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fileservernas\publica\1001 - Usuarios\320 - Gerencia Contratacion\ccardozo\SAE SAS\2022\Concurso Publico\Concurso Publico 3 de 2022 Rom\"/>
    </mc:Choice>
  </mc:AlternateContent>
  <xr:revisionPtr revIDLastSave="0" documentId="8_{3A35E155-4279-444A-BC17-D28C45B3D84F}" xr6:coauthVersionLast="47" xr6:coauthVersionMax="47" xr10:uidLastSave="{00000000-0000-0000-0000-000000000000}"/>
  <bookViews>
    <workbookView xWindow="-120" yWindow="-120" windowWidth="29040" windowHeight="15840" firstSheet="2" activeTab="4" xr2:uid="{00000000-000D-0000-FFFF-FFFF00000000}"/>
  </bookViews>
  <sheets>
    <sheet name="Hoja2" sheetId="4" state="hidden" r:id="rId1"/>
    <sheet name="Hoja3" sheetId="6" state="hidden" r:id="rId2"/>
    <sheet name="PRESUPUESTO" sheetId="1" r:id="rId3"/>
    <sheet name="PRESUPUESTO CONSOLIDADO" sheetId="7" r:id="rId4"/>
    <sheet name="DEPURADO" sheetId="8" r:id="rId5"/>
    <sheet name="Hoja1" sheetId="9" r:id="rId6"/>
  </sheets>
  <definedNames>
    <definedName name="_xlnm._FilterDatabase" localSheetId="4" hidden="1">DEPURADO!$A$4:$BS$246</definedName>
    <definedName name="_xlnm._FilterDatabase" localSheetId="0" hidden="1">Hoja2!$B$3:$B$20</definedName>
    <definedName name="_xlnm._FilterDatabase" localSheetId="2" hidden="1">PRESUPUESTO!$A$3:$M$897</definedName>
    <definedName name="_xlnm._FilterDatabase" localSheetId="3" hidden="1">'PRESUPUESTO CONSOLIDADO'!$A$4:$BM$898</definedName>
  </definedNames>
  <calcPr calcId="191029"/>
  <pivotCaches>
    <pivotCache cacheId="0" r:id="rId7"/>
    <pivotCache cacheId="1" r:id="rId8"/>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H10" i="8" l="1"/>
  <c r="AG10" i="8"/>
  <c r="AF10" i="8"/>
  <c r="Z10" i="8"/>
  <c r="BA10" i="8"/>
  <c r="BO10" i="8"/>
  <c r="BS10" i="8" s="1"/>
  <c r="BC10" i="8"/>
  <c r="AW10" i="8"/>
  <c r="AX10" i="8" s="1"/>
  <c r="AY10" i="8" s="1"/>
  <c r="AZ10" i="8" s="1"/>
  <c r="AS10" i="8"/>
  <c r="AN227" i="8"/>
  <c r="AZ222" i="8"/>
  <c r="AQ222" i="8"/>
  <c r="U214" i="8"/>
  <c r="K211" i="8"/>
  <c r="AN209" i="8"/>
  <c r="AW199" i="8"/>
  <c r="U191" i="8"/>
  <c r="U190" i="8"/>
  <c r="U158" i="8"/>
  <c r="K152" i="8"/>
  <c r="U136" i="8"/>
  <c r="U91" i="8"/>
  <c r="AN50" i="8"/>
  <c r="AQ50" i="8" s="1"/>
  <c r="BO50" i="8"/>
  <c r="AN24" i="8"/>
  <c r="U20" i="8"/>
  <c r="K92" i="8"/>
  <c r="AW60" i="8"/>
  <c r="U27" i="8"/>
  <c r="BP10" i="8" l="1"/>
  <c r="BQ10" i="8" s="1"/>
  <c r="BR10" i="8" s="1"/>
  <c r="AL244" i="8"/>
  <c r="AJ244" i="8"/>
  <c r="AN244" i="8" s="1"/>
  <c r="AO244" i="8" s="1"/>
  <c r="AP244" i="8" s="1"/>
  <c r="N147" i="8"/>
  <c r="AJ38" i="8"/>
  <c r="AN38" i="8" s="1"/>
  <c r="AK29" i="8"/>
  <c r="AJ30" i="8"/>
  <c r="AN30" i="8" s="1"/>
  <c r="AJ29" i="8"/>
  <c r="AN29" i="8" s="1"/>
  <c r="AO29" i="8" s="1"/>
  <c r="AP29" i="8" s="1"/>
  <c r="AK15" i="8"/>
  <c r="AJ15" i="8"/>
  <c r="AN15" i="8" s="1"/>
  <c r="U241" i="8"/>
  <c r="X241" i="8" s="1"/>
  <c r="I241" i="8"/>
  <c r="K241" i="8" s="1"/>
  <c r="N241" i="8" s="1"/>
  <c r="R241" i="8"/>
  <c r="R239" i="8"/>
  <c r="R235" i="8"/>
  <c r="P239" i="8"/>
  <c r="P238" i="8"/>
  <c r="U238" i="8" s="1"/>
  <c r="P237" i="8"/>
  <c r="U237" i="8" s="1"/>
  <c r="P236" i="8"/>
  <c r="P235" i="8"/>
  <c r="U235" i="8" s="1"/>
  <c r="P230" i="8"/>
  <c r="U230" i="8" s="1"/>
  <c r="X230" i="8" s="1"/>
  <c r="U171" i="8"/>
  <c r="P172" i="8"/>
  <c r="U172" i="8" s="1"/>
  <c r="X172" i="8" s="1"/>
  <c r="R167" i="8"/>
  <c r="R165" i="8"/>
  <c r="R163" i="8"/>
  <c r="R162" i="8"/>
  <c r="R161" i="8"/>
  <c r="P167" i="8"/>
  <c r="U167" i="8" s="1"/>
  <c r="V167" i="8" s="1"/>
  <c r="W167" i="8" s="1"/>
  <c r="P166" i="8"/>
  <c r="U166" i="8" s="1"/>
  <c r="P165" i="8"/>
  <c r="U165" i="8" s="1"/>
  <c r="V165" i="8" s="1"/>
  <c r="W165" i="8" s="1"/>
  <c r="P164" i="8"/>
  <c r="U164" i="8" s="1"/>
  <c r="V164" i="8" s="1"/>
  <c r="W164" i="8" s="1"/>
  <c r="P163" i="8"/>
  <c r="P162" i="8"/>
  <c r="U162" i="8" s="1"/>
  <c r="V162" i="8" s="1"/>
  <c r="W162" i="8" s="1"/>
  <c r="P161" i="8"/>
  <c r="R159" i="8"/>
  <c r="U159" i="8" s="1"/>
  <c r="X159" i="8" s="1"/>
  <c r="P159" i="8"/>
  <c r="R155" i="8"/>
  <c r="R154" i="8"/>
  <c r="P155" i="8"/>
  <c r="P154" i="8"/>
  <c r="U148" i="8"/>
  <c r="U150" i="8"/>
  <c r="X150" i="8" s="1"/>
  <c r="R150" i="8"/>
  <c r="R149" i="8"/>
  <c r="U149" i="8" s="1"/>
  <c r="X149" i="8" s="1"/>
  <c r="R148" i="8"/>
  <c r="P150" i="8"/>
  <c r="P149" i="8"/>
  <c r="P148" i="8"/>
  <c r="U140" i="8"/>
  <c r="X140" i="8" s="1"/>
  <c r="R139" i="8"/>
  <c r="U139" i="8" s="1"/>
  <c r="X139" i="8" s="1"/>
  <c r="P140" i="8"/>
  <c r="P139" i="8"/>
  <c r="P137" i="8"/>
  <c r="U137" i="8" s="1"/>
  <c r="V137" i="8" s="1"/>
  <c r="W137" i="8" s="1"/>
  <c r="P134" i="8"/>
  <c r="U134" i="8" s="1"/>
  <c r="V134" i="8" s="1"/>
  <c r="W134" i="8" s="1"/>
  <c r="P133" i="8"/>
  <c r="U133" i="8" s="1"/>
  <c r="V133" i="8" s="1"/>
  <c r="W133" i="8" s="1"/>
  <c r="P132" i="8"/>
  <c r="U132" i="8" s="1"/>
  <c r="P131" i="8"/>
  <c r="U131" i="8" s="1"/>
  <c r="V131" i="8" s="1"/>
  <c r="W131" i="8" s="1"/>
  <c r="P130" i="8"/>
  <c r="U130" i="8" s="1"/>
  <c r="P129" i="8"/>
  <c r="U129" i="8" s="1"/>
  <c r="V129" i="8" s="1"/>
  <c r="W129" i="8" s="1"/>
  <c r="P128" i="8"/>
  <c r="U128" i="8" s="1"/>
  <c r="P127" i="8"/>
  <c r="U127" i="8" s="1"/>
  <c r="V127" i="8" s="1"/>
  <c r="W127" i="8" s="1"/>
  <c r="P135" i="8"/>
  <c r="P136" i="8"/>
  <c r="R15" i="8"/>
  <c r="K212" i="8"/>
  <c r="G201" i="8"/>
  <c r="K201" i="8" s="1"/>
  <c r="L201" i="8" s="1"/>
  <c r="M201" i="8" s="1"/>
  <c r="G200" i="8"/>
  <c r="K200" i="8" s="1"/>
  <c r="L200" i="8" s="1"/>
  <c r="M200" i="8" s="1"/>
  <c r="G199" i="8"/>
  <c r="K199" i="8" s="1"/>
  <c r="L199" i="8" s="1"/>
  <c r="M199" i="8" s="1"/>
  <c r="G198" i="8"/>
  <c r="K198" i="8" s="1"/>
  <c r="L198" i="8" s="1"/>
  <c r="M198" i="8" s="1"/>
  <c r="G197" i="8"/>
  <c r="K197" i="8" s="1"/>
  <c r="L197" i="8" s="1"/>
  <c r="M197" i="8" s="1"/>
  <c r="G196" i="8"/>
  <c r="K196" i="8" s="1"/>
  <c r="L196" i="8" s="1"/>
  <c r="M196" i="8" s="1"/>
  <c r="G195" i="8"/>
  <c r="K195" i="8" s="1"/>
  <c r="L195" i="8" s="1"/>
  <c r="M195" i="8" s="1"/>
  <c r="G194" i="8"/>
  <c r="K194" i="8" s="1"/>
  <c r="L194" i="8" s="1"/>
  <c r="M194" i="8" s="1"/>
  <c r="G193" i="8"/>
  <c r="K193" i="8" s="1"/>
  <c r="L193" i="8" s="1"/>
  <c r="M193" i="8" s="1"/>
  <c r="G192" i="8"/>
  <c r="K192" i="8" s="1"/>
  <c r="L192" i="8" s="1"/>
  <c r="M192" i="8" s="1"/>
  <c r="G191" i="8"/>
  <c r="K191" i="8" s="1"/>
  <c r="L191" i="8" s="1"/>
  <c r="M191" i="8" s="1"/>
  <c r="G190" i="8"/>
  <c r="K190" i="8" s="1"/>
  <c r="L190" i="8" s="1"/>
  <c r="M190" i="8" s="1"/>
  <c r="G189" i="8"/>
  <c r="K189" i="8" s="1"/>
  <c r="L189" i="8" s="1"/>
  <c r="M189" i="8" s="1"/>
  <c r="G188" i="8"/>
  <c r="K188" i="8" s="1"/>
  <c r="L188" i="8" s="1"/>
  <c r="M188" i="8" s="1"/>
  <c r="G187" i="8"/>
  <c r="K187" i="8" s="1"/>
  <c r="G186" i="8"/>
  <c r="K186" i="8" s="1"/>
  <c r="G179" i="8"/>
  <c r="K179" i="8" s="1"/>
  <c r="L179" i="8" s="1"/>
  <c r="M179" i="8" s="1"/>
  <c r="G180" i="8"/>
  <c r="K180" i="8" s="1"/>
  <c r="L180" i="8" s="1"/>
  <c r="M180" i="8" s="1"/>
  <c r="G181" i="8"/>
  <c r="K181" i="8" s="1"/>
  <c r="G182" i="8"/>
  <c r="K182" i="8" s="1"/>
  <c r="L182" i="8" s="1"/>
  <c r="M182" i="8" s="1"/>
  <c r="G183" i="8"/>
  <c r="K183" i="8" s="1"/>
  <c r="L183" i="8" s="1"/>
  <c r="M183" i="8" s="1"/>
  <c r="G61" i="8"/>
  <c r="K61" i="8" s="1"/>
  <c r="N61" i="8" s="1"/>
  <c r="G62" i="8"/>
  <c r="K62" i="8" s="1"/>
  <c r="N62" i="8" s="1"/>
  <c r="K52" i="8"/>
  <c r="K42" i="8"/>
  <c r="N42" i="8" s="1"/>
  <c r="K220" i="8"/>
  <c r="BO51" i="8"/>
  <c r="BO49" i="8"/>
  <c r="BO42" i="8"/>
  <c r="BO30" i="8"/>
  <c r="AW51" i="8"/>
  <c r="AW50" i="8"/>
  <c r="AW49" i="8"/>
  <c r="AW42" i="8"/>
  <c r="AW30" i="8"/>
  <c r="AW15" i="8"/>
  <c r="G7" i="8"/>
  <c r="K7" i="8" s="1"/>
  <c r="G246" i="8"/>
  <c r="K246" i="8" s="1"/>
  <c r="G244" i="8"/>
  <c r="K244" i="8" s="1"/>
  <c r="G243" i="8"/>
  <c r="K243" i="8" s="1"/>
  <c r="G242" i="8"/>
  <c r="K242" i="8" s="1"/>
  <c r="G241" i="8"/>
  <c r="G240" i="8"/>
  <c r="K240" i="8" s="1"/>
  <c r="G239" i="8"/>
  <c r="K239" i="8" s="1"/>
  <c r="G238" i="8"/>
  <c r="K238" i="8" s="1"/>
  <c r="N238" i="8" s="1"/>
  <c r="G237" i="8"/>
  <c r="K237" i="8" s="1"/>
  <c r="G236" i="8"/>
  <c r="G235" i="8"/>
  <c r="G234" i="8"/>
  <c r="K234" i="8" s="1"/>
  <c r="G233" i="8"/>
  <c r="K233" i="8" s="1"/>
  <c r="G232" i="8"/>
  <c r="K232" i="8" s="1"/>
  <c r="G231" i="8"/>
  <c r="K231" i="8" s="1"/>
  <c r="G230" i="8"/>
  <c r="K230" i="8" s="1"/>
  <c r="G229" i="8"/>
  <c r="K229" i="8" s="1"/>
  <c r="G228" i="8"/>
  <c r="K228" i="8" s="1"/>
  <c r="G227" i="8"/>
  <c r="K227" i="8" s="1"/>
  <c r="G226" i="8"/>
  <c r="K226" i="8" s="1"/>
  <c r="G224" i="8"/>
  <c r="K224" i="8" s="1"/>
  <c r="G223" i="8"/>
  <c r="K223" i="8" s="1"/>
  <c r="G222" i="8"/>
  <c r="G221" i="8"/>
  <c r="K221" i="8" s="1"/>
  <c r="G220" i="8"/>
  <c r="G219" i="8"/>
  <c r="K219" i="8" s="1"/>
  <c r="G218" i="8"/>
  <c r="K218" i="8" s="1"/>
  <c r="N218" i="8" s="1"/>
  <c r="G217" i="8"/>
  <c r="K217" i="8" s="1"/>
  <c r="G216" i="8"/>
  <c r="K216" i="8" s="1"/>
  <c r="G215" i="8"/>
  <c r="K215" i="8" s="1"/>
  <c r="G214" i="8"/>
  <c r="K214" i="8" s="1"/>
  <c r="G213" i="8"/>
  <c r="K213" i="8" s="1"/>
  <c r="G212" i="8"/>
  <c r="G211" i="8"/>
  <c r="G210" i="8"/>
  <c r="K210" i="8" s="1"/>
  <c r="N210" i="8" s="1"/>
  <c r="G209" i="8"/>
  <c r="K209" i="8" s="1"/>
  <c r="G208" i="8"/>
  <c r="K208" i="8" s="1"/>
  <c r="G207" i="8"/>
  <c r="K207" i="8" s="1"/>
  <c r="G206" i="8"/>
  <c r="K206" i="8" s="1"/>
  <c r="N206" i="8" s="1"/>
  <c r="G205" i="8"/>
  <c r="K205" i="8" s="1"/>
  <c r="G204" i="8"/>
  <c r="K204" i="8" s="1"/>
  <c r="G203" i="8"/>
  <c r="K203" i="8" s="1"/>
  <c r="G184" i="8"/>
  <c r="K184" i="8" s="1"/>
  <c r="G177" i="8"/>
  <c r="K177" i="8" s="1"/>
  <c r="G176" i="8"/>
  <c r="K176" i="8" s="1"/>
  <c r="G175" i="8"/>
  <c r="K175" i="8" s="1"/>
  <c r="G174" i="8"/>
  <c r="G173" i="8"/>
  <c r="K173" i="8" s="1"/>
  <c r="G172" i="8"/>
  <c r="K172" i="8" s="1"/>
  <c r="N172" i="8" s="1"/>
  <c r="G171" i="8"/>
  <c r="K171" i="8" s="1"/>
  <c r="G170" i="8"/>
  <c r="N170" i="8" s="1"/>
  <c r="G169" i="8"/>
  <c r="K169" i="8" s="1"/>
  <c r="G167" i="8"/>
  <c r="K167" i="8" s="1"/>
  <c r="G166" i="8"/>
  <c r="K166" i="8" s="1"/>
  <c r="N166" i="8" s="1"/>
  <c r="G165" i="8"/>
  <c r="K165" i="8" s="1"/>
  <c r="G164" i="8"/>
  <c r="K164" i="8" s="1"/>
  <c r="G163" i="8"/>
  <c r="K163" i="8" s="1"/>
  <c r="G162" i="8"/>
  <c r="K162" i="8" s="1"/>
  <c r="G161" i="8"/>
  <c r="K161" i="8" s="1"/>
  <c r="G160" i="8"/>
  <c r="K160" i="8" s="1"/>
  <c r="G159" i="8"/>
  <c r="K159" i="8" s="1"/>
  <c r="G158" i="8"/>
  <c r="K158" i="8" s="1"/>
  <c r="G157" i="8"/>
  <c r="K157" i="8" s="1"/>
  <c r="G155" i="8"/>
  <c r="K155" i="8" s="1"/>
  <c r="G154" i="8"/>
  <c r="K154" i="8" s="1"/>
  <c r="G152" i="8"/>
  <c r="G151" i="8"/>
  <c r="K151" i="8" s="1"/>
  <c r="G150" i="8"/>
  <c r="K150" i="8" s="1"/>
  <c r="G149" i="8"/>
  <c r="K149" i="8" s="1"/>
  <c r="G148" i="8"/>
  <c r="K148" i="8" s="1"/>
  <c r="G147" i="8"/>
  <c r="G146" i="8"/>
  <c r="K146" i="8" s="1"/>
  <c r="G145" i="8"/>
  <c r="K145" i="8" s="1"/>
  <c r="G144" i="8"/>
  <c r="K144" i="8" s="1"/>
  <c r="G143" i="8"/>
  <c r="K143" i="8" s="1"/>
  <c r="G142" i="8"/>
  <c r="K142" i="8" s="1"/>
  <c r="G141" i="8"/>
  <c r="K141" i="8" s="1"/>
  <c r="G140" i="8"/>
  <c r="K140" i="8" s="1"/>
  <c r="G139" i="8"/>
  <c r="K139" i="8" s="1"/>
  <c r="G138" i="8"/>
  <c r="G137" i="8"/>
  <c r="K137" i="8" s="1"/>
  <c r="G136" i="8"/>
  <c r="K136" i="8" s="1"/>
  <c r="G135" i="8"/>
  <c r="K135" i="8" s="1"/>
  <c r="G134" i="8"/>
  <c r="K134" i="8" s="1"/>
  <c r="G133" i="8"/>
  <c r="K133" i="8" s="1"/>
  <c r="G132" i="8"/>
  <c r="K132" i="8" s="1"/>
  <c r="G131" i="8"/>
  <c r="K131" i="8" s="1"/>
  <c r="G130" i="8"/>
  <c r="K130" i="8" s="1"/>
  <c r="G129" i="8"/>
  <c r="K129" i="8" s="1"/>
  <c r="G128" i="8"/>
  <c r="K128" i="8" s="1"/>
  <c r="G127" i="8"/>
  <c r="K127" i="8" s="1"/>
  <c r="G125" i="8"/>
  <c r="K125" i="8" s="1"/>
  <c r="G124" i="8"/>
  <c r="K124" i="8" s="1"/>
  <c r="G123" i="8"/>
  <c r="K123" i="8" s="1"/>
  <c r="G122" i="8"/>
  <c r="K122" i="8" s="1"/>
  <c r="G121" i="8"/>
  <c r="K121" i="8" s="1"/>
  <c r="N121" i="8" s="1"/>
  <c r="G120" i="8"/>
  <c r="K120" i="8" s="1"/>
  <c r="N120" i="8" s="1"/>
  <c r="G119" i="8"/>
  <c r="K119" i="8" s="1"/>
  <c r="G118" i="8"/>
  <c r="K118" i="8" s="1"/>
  <c r="G117" i="8"/>
  <c r="K117" i="8" s="1"/>
  <c r="G116" i="8"/>
  <c r="K116" i="8" s="1"/>
  <c r="N116" i="8" s="1"/>
  <c r="G115" i="8"/>
  <c r="K115" i="8" s="1"/>
  <c r="G114" i="8"/>
  <c r="K114" i="8" s="1"/>
  <c r="G113" i="8"/>
  <c r="K113" i="8" s="1"/>
  <c r="G112" i="8"/>
  <c r="K112" i="8" s="1"/>
  <c r="G111" i="8"/>
  <c r="K111" i="8" s="1"/>
  <c r="G110" i="8"/>
  <c r="K110" i="8" s="1"/>
  <c r="G109" i="8"/>
  <c r="K109" i="8" s="1"/>
  <c r="G108" i="8"/>
  <c r="K108" i="8" s="1"/>
  <c r="G107" i="8"/>
  <c r="K107" i="8" s="1"/>
  <c r="G105" i="8"/>
  <c r="K105" i="8" s="1"/>
  <c r="G104" i="8"/>
  <c r="K104" i="8" s="1"/>
  <c r="G103" i="8"/>
  <c r="K103" i="8" s="1"/>
  <c r="G102" i="8"/>
  <c r="K102" i="8" s="1"/>
  <c r="G101" i="8"/>
  <c r="K101" i="8" s="1"/>
  <c r="G100" i="8"/>
  <c r="G99" i="8"/>
  <c r="K99" i="8" s="1"/>
  <c r="G98" i="8"/>
  <c r="K98" i="8" s="1"/>
  <c r="G97" i="8"/>
  <c r="K97" i="8" s="1"/>
  <c r="G96" i="8"/>
  <c r="K96" i="8" s="1"/>
  <c r="G95" i="8"/>
  <c r="K95" i="8" s="1"/>
  <c r="G94" i="8"/>
  <c r="K94" i="8" s="1"/>
  <c r="G93" i="8"/>
  <c r="K93" i="8" s="1"/>
  <c r="G92" i="8"/>
  <c r="N92" i="8" s="1"/>
  <c r="G91" i="8"/>
  <c r="K91" i="8" s="1"/>
  <c r="G90" i="8"/>
  <c r="K90" i="8" s="1"/>
  <c r="G89" i="8"/>
  <c r="K89" i="8" s="1"/>
  <c r="N89" i="8" s="1"/>
  <c r="G88" i="8"/>
  <c r="K88" i="8" s="1"/>
  <c r="G87" i="8"/>
  <c r="K87" i="8" s="1"/>
  <c r="N87" i="8" s="1"/>
  <c r="G86" i="8"/>
  <c r="K86" i="8" s="1"/>
  <c r="G85" i="8"/>
  <c r="K85" i="8" s="1"/>
  <c r="G84" i="8"/>
  <c r="K84" i="8" s="1"/>
  <c r="G83" i="8"/>
  <c r="K83" i="8" s="1"/>
  <c r="G82" i="8"/>
  <c r="K82" i="8" s="1"/>
  <c r="G81" i="8"/>
  <c r="K81" i="8" s="1"/>
  <c r="G80" i="8"/>
  <c r="K80" i="8" s="1"/>
  <c r="G79" i="8"/>
  <c r="K79" i="8" s="1"/>
  <c r="G78" i="8"/>
  <c r="K78" i="8" s="1"/>
  <c r="G77" i="8"/>
  <c r="K77" i="8" s="1"/>
  <c r="G76" i="8"/>
  <c r="K76" i="8" s="1"/>
  <c r="G75" i="8"/>
  <c r="K75" i="8" s="1"/>
  <c r="G74" i="8"/>
  <c r="K74" i="8" s="1"/>
  <c r="G73" i="8"/>
  <c r="K73" i="8" s="1"/>
  <c r="G72" i="8"/>
  <c r="K72" i="8" s="1"/>
  <c r="G71" i="8"/>
  <c r="G70" i="8"/>
  <c r="K70" i="8" s="1"/>
  <c r="G69" i="8"/>
  <c r="K69" i="8" s="1"/>
  <c r="G68" i="8"/>
  <c r="K68" i="8" s="1"/>
  <c r="G67" i="8"/>
  <c r="K67" i="8" s="1"/>
  <c r="G66" i="8"/>
  <c r="K66" i="8" s="1"/>
  <c r="G65" i="8"/>
  <c r="K65" i="8" s="1"/>
  <c r="G64" i="8"/>
  <c r="K64" i="8" s="1"/>
  <c r="G60" i="8"/>
  <c r="K60" i="8" s="1"/>
  <c r="N60" i="8" s="1"/>
  <c r="G59" i="8"/>
  <c r="K59" i="8" s="1"/>
  <c r="G58" i="8"/>
  <c r="K58" i="8" s="1"/>
  <c r="G57" i="8"/>
  <c r="K57" i="8" s="1"/>
  <c r="G56" i="8"/>
  <c r="K56" i="8" s="1"/>
  <c r="G55" i="8"/>
  <c r="K55" i="8" s="1"/>
  <c r="G54" i="8"/>
  <c r="K54" i="8" s="1"/>
  <c r="G52" i="8"/>
  <c r="G51" i="8"/>
  <c r="K51" i="8" s="1"/>
  <c r="G50" i="8"/>
  <c r="K50" i="8" s="1"/>
  <c r="N50" i="8" s="1"/>
  <c r="G49" i="8"/>
  <c r="K49" i="8" s="1"/>
  <c r="G48" i="8"/>
  <c r="K48" i="8" s="1"/>
  <c r="G47" i="8"/>
  <c r="K47" i="8" s="1"/>
  <c r="G46" i="8"/>
  <c r="K46" i="8" s="1"/>
  <c r="G45" i="8"/>
  <c r="K45" i="8" s="1"/>
  <c r="G44" i="8"/>
  <c r="K44" i="8" s="1"/>
  <c r="G43" i="8"/>
  <c r="K43" i="8" s="1"/>
  <c r="N43" i="8" s="1"/>
  <c r="G42" i="8"/>
  <c r="G41" i="8"/>
  <c r="K41" i="8" s="1"/>
  <c r="G40" i="8"/>
  <c r="K40" i="8" s="1"/>
  <c r="G39" i="8"/>
  <c r="K39" i="8" s="1"/>
  <c r="G38" i="8"/>
  <c r="K38" i="8" s="1"/>
  <c r="G37" i="8"/>
  <c r="K37" i="8" s="1"/>
  <c r="G36" i="8"/>
  <c r="G35" i="8"/>
  <c r="K35" i="8" s="1"/>
  <c r="G34" i="8"/>
  <c r="K34" i="8" s="1"/>
  <c r="G33" i="8"/>
  <c r="G32" i="8"/>
  <c r="K32" i="8" s="1"/>
  <c r="G30" i="8"/>
  <c r="N30" i="8" s="1"/>
  <c r="G29" i="8"/>
  <c r="K29" i="8" s="1"/>
  <c r="G28" i="8"/>
  <c r="K28" i="8" s="1"/>
  <c r="G27" i="8"/>
  <c r="K27" i="8" s="1"/>
  <c r="G26" i="8"/>
  <c r="K26" i="8" s="1"/>
  <c r="G25" i="8"/>
  <c r="G24" i="8"/>
  <c r="K24" i="8" s="1"/>
  <c r="G23" i="8"/>
  <c r="K23" i="8" s="1"/>
  <c r="G22" i="8"/>
  <c r="K22" i="8" s="1"/>
  <c r="N22" i="8" s="1"/>
  <c r="G21" i="8"/>
  <c r="G20" i="8"/>
  <c r="K20" i="8" s="1"/>
  <c r="G19" i="8"/>
  <c r="K19" i="8" s="1"/>
  <c r="G18" i="8"/>
  <c r="K18" i="8" s="1"/>
  <c r="G17" i="8"/>
  <c r="K17" i="8" s="1"/>
  <c r="G16" i="8"/>
  <c r="K16" i="8" s="1"/>
  <c r="G15" i="8"/>
  <c r="K15" i="8" s="1"/>
  <c r="G14" i="8"/>
  <c r="K14" i="8" s="1"/>
  <c r="G13" i="8"/>
  <c r="K13" i="8" s="1"/>
  <c r="N13" i="8" s="1"/>
  <c r="G12" i="8"/>
  <c r="K12" i="8" s="1"/>
  <c r="G10" i="8"/>
  <c r="N10" i="8" s="1"/>
  <c r="G9" i="8"/>
  <c r="K9" i="8" s="1"/>
  <c r="G8" i="8"/>
  <c r="K8" i="8" s="1"/>
  <c r="G6" i="8"/>
  <c r="K6" i="8" s="1"/>
  <c r="N6" i="8" s="1"/>
  <c r="K25" i="8" l="1"/>
  <c r="N25" i="8"/>
  <c r="K71" i="8"/>
  <c r="N71" i="8"/>
  <c r="U161" i="8"/>
  <c r="V161" i="8" s="1"/>
  <c r="W161" i="8" s="1"/>
  <c r="K222" i="8"/>
  <c r="N222" i="8"/>
  <c r="U154" i="8"/>
  <c r="X154" i="8" s="1"/>
  <c r="U163" i="8"/>
  <c r="V163" i="8" s="1"/>
  <c r="W163" i="8" s="1"/>
  <c r="U155" i="8"/>
  <c r="U239" i="8"/>
  <c r="X239" i="8" s="1"/>
  <c r="K138" i="8"/>
  <c r="N138" i="8" s="1"/>
  <c r="N100" i="8"/>
  <c r="K100" i="8"/>
  <c r="K36" i="8"/>
  <c r="N36" i="8"/>
  <c r="K33" i="8"/>
  <c r="N33" i="8" s="1"/>
  <c r="N236" i="8"/>
  <c r="K236" i="8"/>
  <c r="U236" i="8"/>
  <c r="V236" i="8" s="1"/>
  <c r="W236" i="8" s="1"/>
  <c r="X236" i="8"/>
  <c r="K235" i="8"/>
  <c r="N235" i="8"/>
  <c r="V166" i="8"/>
  <c r="W166" i="8" s="1"/>
  <c r="X166" i="8"/>
  <c r="V149" i="8"/>
  <c r="W149" i="8" s="1"/>
  <c r="V148" i="8"/>
  <c r="W148" i="8" s="1"/>
  <c r="X148" i="8"/>
  <c r="N181" i="8"/>
  <c r="L181" i="8"/>
  <c r="M181" i="8" s="1"/>
  <c r="X235" i="8"/>
  <c r="V235" i="8"/>
  <c r="W235" i="8" s="1"/>
  <c r="AQ15" i="8"/>
  <c r="AO15" i="8"/>
  <c r="AP15" i="8" s="1"/>
  <c r="L187" i="8"/>
  <c r="M187" i="8" s="1"/>
  <c r="N187" i="8"/>
  <c r="V128" i="8"/>
  <c r="W128" i="8" s="1"/>
  <c r="X128" i="8"/>
  <c r="V238" i="8"/>
  <c r="W238" i="8" s="1"/>
  <c r="X238" i="8"/>
  <c r="V239" i="8"/>
  <c r="W239" i="8" s="1"/>
  <c r="AO30" i="8"/>
  <c r="AP30" i="8" s="1"/>
  <c r="AQ30" i="8"/>
  <c r="X237" i="8"/>
  <c r="V237" i="8"/>
  <c r="W237" i="8" s="1"/>
  <c r="V130" i="8"/>
  <c r="W130" i="8" s="1"/>
  <c r="X130" i="8"/>
  <c r="V159" i="8"/>
  <c r="W159" i="8" s="1"/>
  <c r="AO38" i="8"/>
  <c r="AP38" i="8" s="1"/>
  <c r="AQ38" i="8"/>
  <c r="V132" i="8"/>
  <c r="W132" i="8" s="1"/>
  <c r="X132" i="8"/>
  <c r="V172" i="8"/>
  <c r="W172" i="8" s="1"/>
  <c r="V155" i="8"/>
  <c r="W155" i="8" s="1"/>
  <c r="X155" i="8"/>
  <c r="V139" i="8"/>
  <c r="W139" i="8" s="1"/>
  <c r="V150" i="8"/>
  <c r="W150" i="8" s="1"/>
  <c r="N179" i="8"/>
  <c r="X134" i="8"/>
  <c r="V230" i="8"/>
  <c r="W230" i="8" s="1"/>
  <c r="V140" i="8"/>
  <c r="W140" i="8" s="1"/>
  <c r="AQ244" i="8"/>
  <c r="AQ29" i="8"/>
  <c r="X164" i="8"/>
  <c r="X162" i="8"/>
  <c r="X167" i="8"/>
  <c r="X165" i="8"/>
  <c r="X163" i="8"/>
  <c r="X137" i="8"/>
  <c r="X133" i="8"/>
  <c r="X131" i="8"/>
  <c r="X129" i="8"/>
  <c r="X127" i="8"/>
  <c r="N201" i="8"/>
  <c r="N199" i="8"/>
  <c r="N197" i="8"/>
  <c r="N195" i="8"/>
  <c r="N193" i="8"/>
  <c r="N191" i="8"/>
  <c r="N189" i="8"/>
  <c r="N200" i="8"/>
  <c r="N198" i="8"/>
  <c r="N196" i="8"/>
  <c r="N194" i="8"/>
  <c r="N192" i="8"/>
  <c r="N190" i="8"/>
  <c r="N188" i="8"/>
  <c r="N183" i="8"/>
  <c r="N182" i="8"/>
  <c r="N180" i="8"/>
  <c r="L62" i="8"/>
  <c r="M62" i="8" s="1"/>
  <c r="L61" i="8"/>
  <c r="M61" i="8" s="1"/>
  <c r="K21" i="8"/>
  <c r="N21" i="8" s="1"/>
  <c r="X161" i="8" l="1"/>
  <c r="V154" i="8"/>
  <c r="W154" i="8" s="1"/>
  <c r="U97" i="8"/>
  <c r="X97" i="8" s="1"/>
  <c r="U98" i="8"/>
  <c r="X98" i="8" s="1"/>
  <c r="BC7" i="8"/>
  <c r="BC8" i="8"/>
  <c r="BC9" i="8"/>
  <c r="BC12" i="8"/>
  <c r="BC13" i="8"/>
  <c r="BO13" i="8" s="1"/>
  <c r="BS13" i="8" s="1"/>
  <c r="BC14" i="8"/>
  <c r="BO14" i="8" s="1"/>
  <c r="BC15" i="8"/>
  <c r="BC16" i="8"/>
  <c r="BC17" i="8"/>
  <c r="BC18" i="8"/>
  <c r="BC19" i="8"/>
  <c r="BC20" i="8"/>
  <c r="BC21" i="8"/>
  <c r="BC22" i="8"/>
  <c r="BC23" i="8"/>
  <c r="BO23" i="8" s="1"/>
  <c r="BS23" i="8" s="1"/>
  <c r="BC24" i="8"/>
  <c r="BC25" i="8"/>
  <c r="BC26" i="8"/>
  <c r="BO26" i="8" s="1"/>
  <c r="BS26" i="8" s="1"/>
  <c r="BC27" i="8"/>
  <c r="BC28" i="8"/>
  <c r="BC29" i="8"/>
  <c r="BC30" i="8"/>
  <c r="BS30" i="8" s="1"/>
  <c r="BC32" i="8"/>
  <c r="BC33" i="8"/>
  <c r="BC34" i="8"/>
  <c r="BC35" i="8"/>
  <c r="BC36" i="8"/>
  <c r="BC37" i="8"/>
  <c r="BC38" i="8"/>
  <c r="BC39" i="8"/>
  <c r="BC40" i="8"/>
  <c r="BO40" i="8" s="1"/>
  <c r="BS40" i="8" s="1"/>
  <c r="BC41" i="8"/>
  <c r="BC42" i="8"/>
  <c r="BS42" i="8" s="1"/>
  <c r="BC43" i="8"/>
  <c r="BC44" i="8"/>
  <c r="BO44" i="8" s="1"/>
  <c r="BC45" i="8"/>
  <c r="BC46" i="8"/>
  <c r="BC47" i="8"/>
  <c r="BC48" i="8"/>
  <c r="BO48" i="8" s="1"/>
  <c r="BS48" i="8" s="1"/>
  <c r="BC49" i="8"/>
  <c r="BS49" i="8" s="1"/>
  <c r="BC50" i="8"/>
  <c r="BS50" i="8" s="1"/>
  <c r="BC51" i="8"/>
  <c r="BS51" i="8" s="1"/>
  <c r="BC52" i="8"/>
  <c r="BO52" i="8" s="1"/>
  <c r="BS52" i="8" s="1"/>
  <c r="BC54" i="8"/>
  <c r="BC55" i="8"/>
  <c r="BC56" i="8"/>
  <c r="BC57" i="8"/>
  <c r="BO57" i="8" s="1"/>
  <c r="BS57" i="8" s="1"/>
  <c r="BC58" i="8"/>
  <c r="BC59" i="8"/>
  <c r="BC60" i="8"/>
  <c r="BC61" i="8"/>
  <c r="BC62" i="8"/>
  <c r="BC64" i="8"/>
  <c r="BO64" i="8" s="1"/>
  <c r="BS64" i="8" s="1"/>
  <c r="BC65" i="8"/>
  <c r="BC66" i="8"/>
  <c r="BC67" i="8"/>
  <c r="BC68" i="8"/>
  <c r="BC69" i="8"/>
  <c r="BC70" i="8"/>
  <c r="BC71" i="8"/>
  <c r="BC72" i="8"/>
  <c r="BC73" i="8"/>
  <c r="BC74" i="8"/>
  <c r="BC75" i="8"/>
  <c r="BC76" i="8"/>
  <c r="BC77" i="8"/>
  <c r="BC78" i="8"/>
  <c r="BC79" i="8"/>
  <c r="BC80" i="8"/>
  <c r="BC81" i="8"/>
  <c r="BO81" i="8" s="1"/>
  <c r="BC82" i="8"/>
  <c r="BC83" i="8"/>
  <c r="BC84" i="8"/>
  <c r="BC85" i="8"/>
  <c r="BO85" i="8" s="1"/>
  <c r="BC86" i="8"/>
  <c r="BC87" i="8"/>
  <c r="BC88" i="8"/>
  <c r="BC89" i="8"/>
  <c r="BC90" i="8"/>
  <c r="BC91" i="8"/>
  <c r="BC92" i="8"/>
  <c r="BC93" i="8"/>
  <c r="BC94" i="8"/>
  <c r="BO94" i="8" s="1"/>
  <c r="BS94" i="8" s="1"/>
  <c r="BC95" i="8"/>
  <c r="BC96" i="8"/>
  <c r="BO96" i="8" s="1"/>
  <c r="BS96" i="8" s="1"/>
  <c r="BC97" i="8"/>
  <c r="BC98" i="8"/>
  <c r="BO98" i="8" s="1"/>
  <c r="BS98" i="8" s="1"/>
  <c r="BC99" i="8"/>
  <c r="BC100" i="8"/>
  <c r="BC101" i="8"/>
  <c r="BC102" i="8"/>
  <c r="BC103" i="8"/>
  <c r="BC104" i="8"/>
  <c r="BC105" i="8"/>
  <c r="BO105" i="8" s="1"/>
  <c r="BS105" i="8" s="1"/>
  <c r="BC107" i="8"/>
  <c r="BC108" i="8"/>
  <c r="BC109" i="8"/>
  <c r="BC110" i="8"/>
  <c r="BC111" i="8"/>
  <c r="BC112" i="8"/>
  <c r="BC113" i="8"/>
  <c r="BC114" i="8"/>
  <c r="BC115" i="8"/>
  <c r="BC116" i="8"/>
  <c r="BO116" i="8" s="1"/>
  <c r="BC117" i="8"/>
  <c r="BC118" i="8"/>
  <c r="BC119" i="8"/>
  <c r="BC120" i="8"/>
  <c r="BS120" i="8" s="1"/>
  <c r="BC121" i="8"/>
  <c r="BC122" i="8"/>
  <c r="BC123" i="8"/>
  <c r="BC124" i="8"/>
  <c r="BC125" i="8"/>
  <c r="BC127" i="8"/>
  <c r="BC128" i="8"/>
  <c r="BC129" i="8"/>
  <c r="BC130" i="8"/>
  <c r="BC131" i="8"/>
  <c r="BC132" i="8"/>
  <c r="BC133" i="8"/>
  <c r="BC134" i="8"/>
  <c r="BC135" i="8"/>
  <c r="BC136" i="8"/>
  <c r="BC137" i="8"/>
  <c r="BC138" i="8"/>
  <c r="BO138" i="8" s="1"/>
  <c r="BS138" i="8" s="1"/>
  <c r="BC139" i="8"/>
  <c r="BC140" i="8"/>
  <c r="BC141" i="8"/>
  <c r="BC142" i="8"/>
  <c r="BC143" i="8"/>
  <c r="BC144" i="8"/>
  <c r="BC145" i="8"/>
  <c r="BC146" i="8"/>
  <c r="BC147" i="8"/>
  <c r="BC148" i="8"/>
  <c r="BC149" i="8"/>
  <c r="BC150" i="8"/>
  <c r="BC151" i="8"/>
  <c r="BC152" i="8"/>
  <c r="BC154" i="8"/>
  <c r="BC155" i="8"/>
  <c r="BC157" i="8"/>
  <c r="BC158" i="8"/>
  <c r="BC159" i="8"/>
  <c r="BC160" i="8"/>
  <c r="BC161" i="8"/>
  <c r="BC162" i="8"/>
  <c r="BC163" i="8"/>
  <c r="BC164" i="8"/>
  <c r="BC165" i="8"/>
  <c r="BC166" i="8"/>
  <c r="BC167" i="8"/>
  <c r="BC169" i="8"/>
  <c r="BC170" i="8"/>
  <c r="BC171" i="8"/>
  <c r="BO171" i="8" s="1"/>
  <c r="BC172" i="8"/>
  <c r="BC173" i="8"/>
  <c r="BC174" i="8"/>
  <c r="BC175" i="8"/>
  <c r="BC176" i="8"/>
  <c r="BC177" i="8"/>
  <c r="BC179" i="8"/>
  <c r="BC180" i="8"/>
  <c r="BC181" i="8"/>
  <c r="BC182" i="8"/>
  <c r="BC183" i="8"/>
  <c r="BC184" i="8"/>
  <c r="BC186" i="8"/>
  <c r="BC187" i="8"/>
  <c r="BC188" i="8"/>
  <c r="BC189" i="8"/>
  <c r="BC190" i="8"/>
  <c r="BC191" i="8"/>
  <c r="BC192" i="8"/>
  <c r="BC193" i="8"/>
  <c r="BC194" i="8"/>
  <c r="BC195" i="8"/>
  <c r="BC196" i="8"/>
  <c r="BC197" i="8"/>
  <c r="BC198" i="8"/>
  <c r="BC199" i="8"/>
  <c r="BC200" i="8"/>
  <c r="BC201" i="8"/>
  <c r="BC203" i="8"/>
  <c r="BC204" i="8"/>
  <c r="BC205" i="8"/>
  <c r="BC206" i="8"/>
  <c r="BC207" i="8"/>
  <c r="BC208" i="8"/>
  <c r="BO208" i="8" s="1"/>
  <c r="BS208" i="8" s="1"/>
  <c r="BC209" i="8"/>
  <c r="BC210" i="8"/>
  <c r="BC211" i="8"/>
  <c r="BC212" i="8"/>
  <c r="BC213" i="8"/>
  <c r="BC214" i="8"/>
  <c r="BC215" i="8"/>
  <c r="BC216" i="8"/>
  <c r="BC217" i="8"/>
  <c r="BC218" i="8"/>
  <c r="BC219" i="8"/>
  <c r="BC220" i="8"/>
  <c r="BC221" i="8"/>
  <c r="BC222" i="8"/>
  <c r="BC223" i="8"/>
  <c r="BC224" i="8"/>
  <c r="BC226" i="8"/>
  <c r="BC227" i="8"/>
  <c r="BC228" i="8"/>
  <c r="BC229" i="8"/>
  <c r="BC230" i="8"/>
  <c r="BC231" i="8"/>
  <c r="BC232" i="8"/>
  <c r="BC233" i="8"/>
  <c r="BC234" i="8"/>
  <c r="BC235" i="8"/>
  <c r="BS235" i="8" s="1"/>
  <c r="BC236" i="8"/>
  <c r="BC237" i="8"/>
  <c r="BC238" i="8"/>
  <c r="BC239" i="8"/>
  <c r="BC240" i="8"/>
  <c r="BC241" i="8"/>
  <c r="BC242" i="8"/>
  <c r="BC243" i="8"/>
  <c r="BC244" i="8"/>
  <c r="BC246" i="8"/>
  <c r="BC6" i="8"/>
  <c r="AS8" i="8"/>
  <c r="AW8" i="8" s="1"/>
  <c r="AS9" i="8"/>
  <c r="AW9" i="8" s="1"/>
  <c r="AS12" i="8"/>
  <c r="AW12" i="8" s="1"/>
  <c r="AS13" i="8"/>
  <c r="AW13" i="8" s="1"/>
  <c r="AS14" i="8"/>
  <c r="AS15" i="8"/>
  <c r="AS16" i="8"/>
  <c r="AW16" i="8" s="1"/>
  <c r="AS17" i="8"/>
  <c r="AW17" i="8" s="1"/>
  <c r="AS18" i="8"/>
  <c r="AW18" i="8" s="1"/>
  <c r="AS19" i="8"/>
  <c r="AW19" i="8" s="1"/>
  <c r="AS20" i="8"/>
  <c r="AW20" i="8" s="1"/>
  <c r="AS21" i="8"/>
  <c r="AW21" i="8" s="1"/>
  <c r="AS22" i="8"/>
  <c r="AW22" i="8" s="1"/>
  <c r="BA22" i="8" s="1"/>
  <c r="AS23" i="8"/>
  <c r="AW23" i="8" s="1"/>
  <c r="AS24" i="8"/>
  <c r="AW24" i="8" s="1"/>
  <c r="AS25" i="8"/>
  <c r="AW25" i="8" s="1"/>
  <c r="AS26" i="8"/>
  <c r="AS27" i="8"/>
  <c r="AS28" i="8"/>
  <c r="AW28" i="8" s="1"/>
  <c r="AS29" i="8"/>
  <c r="AW29" i="8" s="1"/>
  <c r="AS30" i="8"/>
  <c r="AS32" i="8"/>
  <c r="AW32" i="8" s="1"/>
  <c r="AS33" i="8"/>
  <c r="AS34" i="8"/>
  <c r="AW34" i="8" s="1"/>
  <c r="AS35" i="8"/>
  <c r="AW35" i="8" s="1"/>
  <c r="AS36" i="8"/>
  <c r="AS37" i="8"/>
  <c r="AW37" i="8" s="1"/>
  <c r="AS38" i="8"/>
  <c r="AW38" i="8" s="1"/>
  <c r="AS39" i="8"/>
  <c r="AW39" i="8" s="1"/>
  <c r="AS40" i="8"/>
  <c r="AW40" i="8" s="1"/>
  <c r="BA40" i="8" s="1"/>
  <c r="AS41" i="8"/>
  <c r="AW41" i="8" s="1"/>
  <c r="AS42" i="8"/>
  <c r="AS43" i="8"/>
  <c r="AS44" i="8"/>
  <c r="AS45" i="8"/>
  <c r="AW45" i="8" s="1"/>
  <c r="AS46" i="8"/>
  <c r="BA46" i="8" s="1"/>
  <c r="AS47" i="8"/>
  <c r="AW47" i="8" s="1"/>
  <c r="AS48" i="8"/>
  <c r="AW48" i="8" s="1"/>
  <c r="AS49" i="8"/>
  <c r="AS50" i="8"/>
  <c r="AS51" i="8"/>
  <c r="AS52" i="8"/>
  <c r="AW52" i="8" s="1"/>
  <c r="AS54" i="8"/>
  <c r="AW54" i="8" s="1"/>
  <c r="AS55" i="8"/>
  <c r="AW55" i="8" s="1"/>
  <c r="AS56" i="8"/>
  <c r="AW56" i="8" s="1"/>
  <c r="AS57" i="8"/>
  <c r="AS58" i="8"/>
  <c r="AW58" i="8" s="1"/>
  <c r="AS59" i="8"/>
  <c r="AW59" i="8" s="1"/>
  <c r="AS60" i="8"/>
  <c r="BA60" i="8" s="1"/>
  <c r="AS61" i="8"/>
  <c r="AS62" i="8"/>
  <c r="AW62" i="8" s="1"/>
  <c r="AS64" i="8"/>
  <c r="AW64" i="8" s="1"/>
  <c r="AS65" i="8"/>
  <c r="AW65" i="8" s="1"/>
  <c r="AS66" i="8"/>
  <c r="AW66" i="8" s="1"/>
  <c r="AS67" i="8"/>
  <c r="AW67" i="8" s="1"/>
  <c r="AS68" i="8"/>
  <c r="AW68" i="8" s="1"/>
  <c r="AS69" i="8"/>
  <c r="AW69" i="8" s="1"/>
  <c r="AS70" i="8"/>
  <c r="AW70" i="8" s="1"/>
  <c r="AS71" i="8"/>
  <c r="AW71" i="8" s="1"/>
  <c r="AS72" i="8"/>
  <c r="AW72" i="8" s="1"/>
  <c r="AS73" i="8"/>
  <c r="AW73" i="8" s="1"/>
  <c r="AS74" i="8"/>
  <c r="AW74" i="8" s="1"/>
  <c r="AS75" i="8"/>
  <c r="AW75" i="8" s="1"/>
  <c r="AS76" i="8"/>
  <c r="AW76" i="8" s="1"/>
  <c r="AS77" i="8"/>
  <c r="AW77" i="8" s="1"/>
  <c r="AS78" i="8"/>
  <c r="AW78" i="8" s="1"/>
  <c r="AS79" i="8"/>
  <c r="AW79" i="8" s="1"/>
  <c r="AS80" i="8"/>
  <c r="AW80" i="8" s="1"/>
  <c r="AS81" i="8"/>
  <c r="AS82" i="8"/>
  <c r="AW82" i="8" s="1"/>
  <c r="AS83" i="8"/>
  <c r="AW83" i="8" s="1"/>
  <c r="AS84" i="8"/>
  <c r="AW84" i="8" s="1"/>
  <c r="AS85" i="8"/>
  <c r="AS86" i="8"/>
  <c r="AW86" i="8" s="1"/>
  <c r="AS87" i="8"/>
  <c r="AS88" i="8"/>
  <c r="AW88" i="8" s="1"/>
  <c r="AS89" i="8"/>
  <c r="AW89" i="8" s="1"/>
  <c r="AS90" i="8"/>
  <c r="AW90" i="8" s="1"/>
  <c r="AS91" i="8"/>
  <c r="AW91" i="8" s="1"/>
  <c r="AS92" i="8"/>
  <c r="AS93" i="8"/>
  <c r="AW93" i="8" s="1"/>
  <c r="AS94" i="8"/>
  <c r="AW94" i="8" s="1"/>
  <c r="AS95" i="8"/>
  <c r="AS96" i="8"/>
  <c r="AS97" i="8"/>
  <c r="AS98" i="8"/>
  <c r="AS99" i="8"/>
  <c r="AS100" i="8"/>
  <c r="AS101" i="8"/>
  <c r="AS102" i="8"/>
  <c r="AW102" i="8" s="1"/>
  <c r="AS103" i="8"/>
  <c r="AW103" i="8" s="1"/>
  <c r="AS104" i="8"/>
  <c r="AW104" i="8" s="1"/>
  <c r="AS105" i="8"/>
  <c r="AW105" i="8" s="1"/>
  <c r="AS107" i="8"/>
  <c r="AW107" i="8" s="1"/>
  <c r="AS108" i="8"/>
  <c r="AW108" i="8" s="1"/>
  <c r="AS109" i="8"/>
  <c r="AW109" i="8" s="1"/>
  <c r="AS110" i="8"/>
  <c r="AW110" i="8" s="1"/>
  <c r="AS111" i="8"/>
  <c r="AW111" i="8" s="1"/>
  <c r="AS112" i="8"/>
  <c r="AW112" i="8" s="1"/>
  <c r="AS113" i="8"/>
  <c r="AW113" i="8" s="1"/>
  <c r="AS114" i="8"/>
  <c r="AW114" i="8" s="1"/>
  <c r="AS115" i="8"/>
  <c r="AW115" i="8" s="1"/>
  <c r="AS116" i="8"/>
  <c r="AW116" i="8" s="1"/>
  <c r="AS117" i="8"/>
  <c r="AS118" i="8"/>
  <c r="AW118" i="8" s="1"/>
  <c r="AS119" i="8"/>
  <c r="AS120" i="8"/>
  <c r="AS121" i="8"/>
  <c r="AW121" i="8" s="1"/>
  <c r="AS122" i="8"/>
  <c r="AW122" i="8" s="1"/>
  <c r="AS123" i="8"/>
  <c r="AW123" i="8" s="1"/>
  <c r="AS124" i="8"/>
  <c r="AW124" i="8" s="1"/>
  <c r="AS125" i="8"/>
  <c r="AW125" i="8" s="1"/>
  <c r="AS127" i="8"/>
  <c r="AW127" i="8" s="1"/>
  <c r="AS128" i="8"/>
  <c r="AW128" i="8" s="1"/>
  <c r="AS129" i="8"/>
  <c r="AW129" i="8" s="1"/>
  <c r="AS130" i="8"/>
  <c r="AW130" i="8" s="1"/>
  <c r="AS131" i="8"/>
  <c r="AW131" i="8" s="1"/>
  <c r="AS132" i="8"/>
  <c r="AW132" i="8" s="1"/>
  <c r="AS133" i="8"/>
  <c r="AW133" i="8" s="1"/>
  <c r="AS134" i="8"/>
  <c r="AW134" i="8" s="1"/>
  <c r="AS135" i="8"/>
  <c r="AW135" i="8" s="1"/>
  <c r="AS136" i="8"/>
  <c r="AW136" i="8" s="1"/>
  <c r="AS137" i="8"/>
  <c r="AW137" i="8" s="1"/>
  <c r="AS138" i="8"/>
  <c r="AW138" i="8" s="1"/>
  <c r="BA138" i="8" s="1"/>
  <c r="AS139" i="8"/>
  <c r="AW139" i="8" s="1"/>
  <c r="AS140" i="8"/>
  <c r="AW140" i="8" s="1"/>
  <c r="AS141" i="8"/>
  <c r="AW141" i="8" s="1"/>
  <c r="AS142" i="8"/>
  <c r="AW142" i="8" s="1"/>
  <c r="AS143" i="8"/>
  <c r="AW143" i="8" s="1"/>
  <c r="AS144" i="8"/>
  <c r="AW144" i="8" s="1"/>
  <c r="AS145" i="8"/>
  <c r="AW145" i="8" s="1"/>
  <c r="AS146" i="8"/>
  <c r="AW146" i="8" s="1"/>
  <c r="AS147" i="8"/>
  <c r="AS148" i="8"/>
  <c r="AW148" i="8" s="1"/>
  <c r="AS149" i="8"/>
  <c r="AW149" i="8" s="1"/>
  <c r="AS150" i="8"/>
  <c r="AW150" i="8" s="1"/>
  <c r="AS151" i="8"/>
  <c r="AW151" i="8" s="1"/>
  <c r="AS152" i="8"/>
  <c r="AW152" i="8" s="1"/>
  <c r="AS154" i="8"/>
  <c r="AW154" i="8" s="1"/>
  <c r="BA154" i="8" s="1"/>
  <c r="AS155" i="8"/>
  <c r="AW155" i="8" s="1"/>
  <c r="AS157" i="8"/>
  <c r="AW157" i="8" s="1"/>
  <c r="AS158" i="8"/>
  <c r="AW158" i="8" s="1"/>
  <c r="AS159" i="8"/>
  <c r="AW159" i="8" s="1"/>
  <c r="AS160" i="8"/>
  <c r="AW160" i="8" s="1"/>
  <c r="AS161" i="8"/>
  <c r="AW161" i="8" s="1"/>
  <c r="AS162" i="8"/>
  <c r="AW162" i="8" s="1"/>
  <c r="AS163" i="8"/>
  <c r="AW163" i="8" s="1"/>
  <c r="AS164" i="8"/>
  <c r="AW164" i="8" s="1"/>
  <c r="AS165" i="8"/>
  <c r="AW165" i="8" s="1"/>
  <c r="AS166" i="8"/>
  <c r="AS167" i="8"/>
  <c r="AW167" i="8" s="1"/>
  <c r="AS169" i="8"/>
  <c r="AS170" i="8"/>
  <c r="AS171" i="8"/>
  <c r="AW171" i="8" s="1"/>
  <c r="AS172" i="8"/>
  <c r="AW172" i="8" s="1"/>
  <c r="AS173" i="8"/>
  <c r="AW173" i="8" s="1"/>
  <c r="AS174" i="8"/>
  <c r="K174" i="8" s="1"/>
  <c r="N174" i="8" s="1"/>
  <c r="X174" i="8" s="1"/>
  <c r="AS175" i="8"/>
  <c r="AW175" i="8" s="1"/>
  <c r="AS176" i="8"/>
  <c r="AW176" i="8" s="1"/>
  <c r="AS177" i="8"/>
  <c r="AW177" i="8" s="1"/>
  <c r="AS179" i="8"/>
  <c r="AW179" i="8" s="1"/>
  <c r="AS180" i="8"/>
  <c r="AW180" i="8" s="1"/>
  <c r="AS181" i="8"/>
  <c r="AW181" i="8" s="1"/>
  <c r="AS182" i="8"/>
  <c r="AW182" i="8" s="1"/>
  <c r="AS183" i="8"/>
  <c r="AS184" i="8"/>
  <c r="BA184" i="8" s="1"/>
  <c r="AS186" i="8"/>
  <c r="AW186" i="8" s="1"/>
  <c r="AS187" i="8"/>
  <c r="AW187" i="8" s="1"/>
  <c r="AS188" i="8"/>
  <c r="AW188" i="8" s="1"/>
  <c r="AS189" i="8"/>
  <c r="AW189" i="8" s="1"/>
  <c r="AS190" i="8"/>
  <c r="AW190" i="8" s="1"/>
  <c r="AS191" i="8"/>
  <c r="AW191" i="8" s="1"/>
  <c r="AS192" i="8"/>
  <c r="AW192" i="8" s="1"/>
  <c r="AS193" i="8"/>
  <c r="AW193" i="8" s="1"/>
  <c r="AS194" i="8"/>
  <c r="AW194" i="8" s="1"/>
  <c r="AS195" i="8"/>
  <c r="AS196" i="8"/>
  <c r="AW196" i="8" s="1"/>
  <c r="AS197" i="8"/>
  <c r="AW197" i="8" s="1"/>
  <c r="AS198" i="8"/>
  <c r="AW198" i="8" s="1"/>
  <c r="AS199" i="8"/>
  <c r="AS200" i="8"/>
  <c r="AW200" i="8" s="1"/>
  <c r="AS201" i="8"/>
  <c r="AW201" i="8" s="1"/>
  <c r="AS203" i="8"/>
  <c r="AW203" i="8" s="1"/>
  <c r="AS204" i="8"/>
  <c r="AW204" i="8" s="1"/>
  <c r="AS205" i="8"/>
  <c r="AW205" i="8" s="1"/>
  <c r="AS206" i="8"/>
  <c r="AW206" i="8" s="1"/>
  <c r="AS207" i="8"/>
  <c r="AW207" i="8" s="1"/>
  <c r="AS208" i="8"/>
  <c r="AW208" i="8" s="1"/>
  <c r="AS209" i="8"/>
  <c r="AW209" i="8" s="1"/>
  <c r="AS210" i="8"/>
  <c r="AW210" i="8" s="1"/>
  <c r="AS211" i="8"/>
  <c r="AW211" i="8" s="1"/>
  <c r="AS212" i="8"/>
  <c r="AW212" i="8" s="1"/>
  <c r="AS213" i="8"/>
  <c r="AW213" i="8" s="1"/>
  <c r="AS214" i="8"/>
  <c r="AW214" i="8" s="1"/>
  <c r="AS215" i="8"/>
  <c r="AW215" i="8" s="1"/>
  <c r="AS216" i="8"/>
  <c r="AW216" i="8" s="1"/>
  <c r="AS217" i="8"/>
  <c r="AW217" i="8" s="1"/>
  <c r="AS218" i="8"/>
  <c r="AW218" i="8" s="1"/>
  <c r="AS219" i="8"/>
  <c r="AW219" i="8" s="1"/>
  <c r="AS220" i="8"/>
  <c r="AW220" i="8" s="1"/>
  <c r="AS221" i="8"/>
  <c r="AW221" i="8" s="1"/>
  <c r="AS222" i="8"/>
  <c r="AW222" i="8" s="1"/>
  <c r="AS223" i="8"/>
  <c r="AW223" i="8" s="1"/>
  <c r="AS224" i="8"/>
  <c r="AW224" i="8" s="1"/>
  <c r="AS226" i="8"/>
  <c r="AW226" i="8" s="1"/>
  <c r="AS227" i="8"/>
  <c r="AW227" i="8" s="1"/>
  <c r="BA227" i="8" s="1"/>
  <c r="AS228" i="8"/>
  <c r="AW228" i="8" s="1"/>
  <c r="AS229" i="8"/>
  <c r="AW229" i="8" s="1"/>
  <c r="AS230" i="8"/>
  <c r="AW230" i="8" s="1"/>
  <c r="AS231" i="8"/>
  <c r="AW231" i="8" s="1"/>
  <c r="AS232" i="8"/>
  <c r="AW232" i="8" s="1"/>
  <c r="AS233" i="8"/>
  <c r="AW233" i="8" s="1"/>
  <c r="AS234" i="8"/>
  <c r="AW234" i="8" s="1"/>
  <c r="AS235" i="8"/>
  <c r="BA235" i="8" s="1"/>
  <c r="AS236" i="8"/>
  <c r="AZ236" i="8" s="1"/>
  <c r="AS237" i="8"/>
  <c r="AW237" i="8" s="1"/>
  <c r="AS238" i="8"/>
  <c r="AW238" i="8" s="1"/>
  <c r="AS239" i="8"/>
  <c r="AW239" i="8" s="1"/>
  <c r="AS240" i="8"/>
  <c r="AW240" i="8" s="1"/>
  <c r="AS241" i="8"/>
  <c r="AW241" i="8" s="1"/>
  <c r="AS242" i="8"/>
  <c r="AW242" i="8" s="1"/>
  <c r="AS243" i="8"/>
  <c r="AW243" i="8" s="1"/>
  <c r="AS244" i="8"/>
  <c r="AW244" i="8" s="1"/>
  <c r="AS246" i="8"/>
  <c r="AW246" i="8" s="1"/>
  <c r="AS7" i="8"/>
  <c r="AW7" i="8" s="1"/>
  <c r="AS6" i="8"/>
  <c r="AW6" i="8" s="1"/>
  <c r="AJ7" i="8"/>
  <c r="AN7" i="8" s="1"/>
  <c r="AJ8" i="8"/>
  <c r="AN8" i="8" s="1"/>
  <c r="AJ9" i="8"/>
  <c r="AN9" i="8" s="1"/>
  <c r="AJ10" i="8"/>
  <c r="AN10" i="8" s="1"/>
  <c r="AJ12" i="8"/>
  <c r="AN12" i="8" s="1"/>
  <c r="AJ13" i="8"/>
  <c r="AN13" i="8" s="1"/>
  <c r="AJ14" i="8"/>
  <c r="AN14" i="8" s="1"/>
  <c r="AJ16" i="8"/>
  <c r="AN16" i="8" s="1"/>
  <c r="AJ17" i="8"/>
  <c r="AN17" i="8" s="1"/>
  <c r="AJ18" i="8"/>
  <c r="AN18" i="8" s="1"/>
  <c r="AJ19" i="8"/>
  <c r="AN19" i="8" s="1"/>
  <c r="AJ20" i="8"/>
  <c r="AN20" i="8" s="1"/>
  <c r="AJ21" i="8"/>
  <c r="AN21" i="8" s="1"/>
  <c r="AJ22" i="8"/>
  <c r="AN22" i="8" s="1"/>
  <c r="AQ22" i="8" s="1"/>
  <c r="AJ23" i="8"/>
  <c r="AN23" i="8" s="1"/>
  <c r="AJ24" i="8"/>
  <c r="AJ25" i="8"/>
  <c r="AN25" i="8" s="1"/>
  <c r="AJ26" i="8"/>
  <c r="AN26" i="8" s="1"/>
  <c r="AJ27" i="8"/>
  <c r="AN27" i="8" s="1"/>
  <c r="AJ28" i="8"/>
  <c r="AN28" i="8" s="1"/>
  <c r="AJ32" i="8"/>
  <c r="AN32" i="8" s="1"/>
  <c r="AJ33" i="8"/>
  <c r="AN33" i="8" s="1"/>
  <c r="AJ34" i="8"/>
  <c r="AN34" i="8" s="1"/>
  <c r="AJ35" i="8"/>
  <c r="AN35" i="8" s="1"/>
  <c r="AJ36" i="8"/>
  <c r="AN36" i="8" s="1"/>
  <c r="AJ37" i="8"/>
  <c r="AN37" i="8" s="1"/>
  <c r="AJ39" i="8"/>
  <c r="AN39" i="8" s="1"/>
  <c r="AJ40" i="8"/>
  <c r="AN40" i="8" s="1"/>
  <c r="AJ41" i="8"/>
  <c r="AJ42" i="8"/>
  <c r="AN42" i="8" s="1"/>
  <c r="AJ43" i="8"/>
  <c r="AN43" i="8" s="1"/>
  <c r="AJ44" i="8"/>
  <c r="AN44" i="8" s="1"/>
  <c r="AJ45" i="8"/>
  <c r="AN45" i="8" s="1"/>
  <c r="AJ46" i="8"/>
  <c r="AN46" i="8" s="1"/>
  <c r="AJ47" i="8"/>
  <c r="AN47" i="8" s="1"/>
  <c r="AJ48" i="8"/>
  <c r="AN48" i="8" s="1"/>
  <c r="AJ49" i="8"/>
  <c r="AN49" i="8" s="1"/>
  <c r="AJ50" i="8"/>
  <c r="AJ51" i="8"/>
  <c r="AN51" i="8" s="1"/>
  <c r="AJ52" i="8"/>
  <c r="AN52" i="8" s="1"/>
  <c r="AJ54" i="8"/>
  <c r="AN54" i="8" s="1"/>
  <c r="AJ55" i="8"/>
  <c r="AN55" i="8" s="1"/>
  <c r="AJ56" i="8"/>
  <c r="AN56" i="8" s="1"/>
  <c r="AJ57" i="8"/>
  <c r="AN57" i="8" s="1"/>
  <c r="AJ58" i="8"/>
  <c r="AN58" i="8" s="1"/>
  <c r="AJ59" i="8"/>
  <c r="AN59" i="8" s="1"/>
  <c r="AJ60" i="8"/>
  <c r="AN60" i="8" s="1"/>
  <c r="AJ61" i="8"/>
  <c r="AN61" i="8" s="1"/>
  <c r="AJ62" i="8"/>
  <c r="AN62" i="8" s="1"/>
  <c r="AJ64" i="8"/>
  <c r="AN64" i="8" s="1"/>
  <c r="AJ65" i="8"/>
  <c r="AN65" i="8" s="1"/>
  <c r="AJ66" i="8"/>
  <c r="AN66" i="8" s="1"/>
  <c r="AJ67" i="8"/>
  <c r="AN67" i="8" s="1"/>
  <c r="AJ68" i="8"/>
  <c r="AN68" i="8" s="1"/>
  <c r="AJ69" i="8"/>
  <c r="AN69" i="8" s="1"/>
  <c r="AJ70" i="8"/>
  <c r="AN70" i="8" s="1"/>
  <c r="AJ71" i="8"/>
  <c r="AN71" i="8" s="1"/>
  <c r="AJ72" i="8"/>
  <c r="AN72" i="8" s="1"/>
  <c r="AJ73" i="8"/>
  <c r="AN73" i="8" s="1"/>
  <c r="AJ74" i="8"/>
  <c r="AN74" i="8" s="1"/>
  <c r="AJ75" i="8"/>
  <c r="AN75" i="8" s="1"/>
  <c r="AJ76" i="8"/>
  <c r="AN76" i="8" s="1"/>
  <c r="AJ77" i="8"/>
  <c r="AN77" i="8" s="1"/>
  <c r="AJ78" i="8"/>
  <c r="AN78" i="8" s="1"/>
  <c r="AJ79" i="8"/>
  <c r="AN79" i="8" s="1"/>
  <c r="AJ80" i="8"/>
  <c r="AN80" i="8" s="1"/>
  <c r="AJ81" i="8"/>
  <c r="AN81" i="8" s="1"/>
  <c r="AJ82" i="8"/>
  <c r="AN82" i="8" s="1"/>
  <c r="AJ83" i="8"/>
  <c r="AN83" i="8" s="1"/>
  <c r="AJ84" i="8"/>
  <c r="AN84" i="8" s="1"/>
  <c r="AJ85" i="8"/>
  <c r="AN85" i="8" s="1"/>
  <c r="AJ86" i="8"/>
  <c r="AN86" i="8" s="1"/>
  <c r="AJ87" i="8"/>
  <c r="AN87" i="8" s="1"/>
  <c r="AJ88" i="8"/>
  <c r="AN88" i="8" s="1"/>
  <c r="AJ89" i="8"/>
  <c r="AJ90" i="8"/>
  <c r="AN90" i="8" s="1"/>
  <c r="AJ91" i="8"/>
  <c r="AN91" i="8" s="1"/>
  <c r="AJ92" i="8"/>
  <c r="AJ93" i="8"/>
  <c r="AN93" i="8" s="1"/>
  <c r="AJ94" i="8"/>
  <c r="AN94" i="8" s="1"/>
  <c r="AJ95" i="8"/>
  <c r="AN95" i="8" s="1"/>
  <c r="AJ96" i="8"/>
  <c r="AJ97" i="8"/>
  <c r="AN97" i="8" s="1"/>
  <c r="AJ98" i="8"/>
  <c r="AN98" i="8" s="1"/>
  <c r="AJ99" i="8"/>
  <c r="AN99" i="8" s="1"/>
  <c r="AJ100" i="8"/>
  <c r="AN100" i="8" s="1"/>
  <c r="AJ101" i="8"/>
  <c r="AN101" i="8" s="1"/>
  <c r="AJ102" i="8"/>
  <c r="AN102" i="8" s="1"/>
  <c r="AJ103" i="8"/>
  <c r="AN103" i="8" s="1"/>
  <c r="AJ104" i="8"/>
  <c r="AN104" i="8" s="1"/>
  <c r="AJ105" i="8"/>
  <c r="AN105" i="8" s="1"/>
  <c r="AJ107" i="8"/>
  <c r="AN107" i="8" s="1"/>
  <c r="AJ108" i="8"/>
  <c r="AN108" i="8" s="1"/>
  <c r="AJ109" i="8"/>
  <c r="AN109" i="8" s="1"/>
  <c r="AJ110" i="8"/>
  <c r="AN110" i="8" s="1"/>
  <c r="AJ111" i="8"/>
  <c r="AN111" i="8" s="1"/>
  <c r="AJ112" i="8"/>
  <c r="AN112" i="8" s="1"/>
  <c r="AJ113" i="8"/>
  <c r="AN113" i="8" s="1"/>
  <c r="AJ114" i="8"/>
  <c r="AN114" i="8" s="1"/>
  <c r="AJ115" i="8"/>
  <c r="AN115" i="8" s="1"/>
  <c r="AJ116" i="8"/>
  <c r="AN116" i="8" s="1"/>
  <c r="AJ117" i="8"/>
  <c r="AN117" i="8" s="1"/>
  <c r="AJ118" i="8"/>
  <c r="AN118" i="8" s="1"/>
  <c r="AJ119" i="8"/>
  <c r="AN119" i="8" s="1"/>
  <c r="AJ120" i="8"/>
  <c r="AN120" i="8" s="1"/>
  <c r="AJ121" i="8"/>
  <c r="AN121" i="8" s="1"/>
  <c r="AJ122" i="8"/>
  <c r="AN122" i="8" s="1"/>
  <c r="AJ123" i="8"/>
  <c r="AN123" i="8" s="1"/>
  <c r="AJ124" i="8"/>
  <c r="AN124" i="8" s="1"/>
  <c r="AJ125" i="8"/>
  <c r="AN125" i="8" s="1"/>
  <c r="AJ127" i="8"/>
  <c r="AN127" i="8" s="1"/>
  <c r="AJ128" i="8"/>
  <c r="AN128" i="8" s="1"/>
  <c r="AJ129" i="8"/>
  <c r="AN129" i="8" s="1"/>
  <c r="AJ130" i="8"/>
  <c r="AN130" i="8" s="1"/>
  <c r="AJ131" i="8"/>
  <c r="AN131" i="8" s="1"/>
  <c r="AJ132" i="8"/>
  <c r="AN132" i="8" s="1"/>
  <c r="AJ133" i="8"/>
  <c r="AN133" i="8" s="1"/>
  <c r="AJ134" i="8"/>
  <c r="AN134" i="8" s="1"/>
  <c r="AJ135" i="8"/>
  <c r="AN135" i="8" s="1"/>
  <c r="AJ136" i="8"/>
  <c r="AN136" i="8" s="1"/>
  <c r="AJ137" i="8"/>
  <c r="AN137" i="8" s="1"/>
  <c r="AJ138" i="8"/>
  <c r="AN138" i="8" s="1"/>
  <c r="AJ139" i="8"/>
  <c r="AN139" i="8" s="1"/>
  <c r="AJ140" i="8"/>
  <c r="AN140" i="8" s="1"/>
  <c r="AJ141" i="8"/>
  <c r="AN141" i="8" s="1"/>
  <c r="AJ142" i="8"/>
  <c r="AN142" i="8" s="1"/>
  <c r="AJ143" i="8"/>
  <c r="AN143" i="8" s="1"/>
  <c r="AJ144" i="8"/>
  <c r="AN144" i="8" s="1"/>
  <c r="AJ145" i="8"/>
  <c r="AN145" i="8" s="1"/>
  <c r="AJ146" i="8"/>
  <c r="AN146" i="8" s="1"/>
  <c r="AJ147" i="8"/>
  <c r="AJ148" i="8"/>
  <c r="AN148" i="8" s="1"/>
  <c r="AJ149" i="8"/>
  <c r="AN149" i="8" s="1"/>
  <c r="AJ150" i="8"/>
  <c r="AN150" i="8" s="1"/>
  <c r="AJ151" i="8"/>
  <c r="AN151" i="8" s="1"/>
  <c r="AJ152" i="8"/>
  <c r="AN152" i="8" s="1"/>
  <c r="AJ154" i="8"/>
  <c r="AN154" i="8" s="1"/>
  <c r="AJ155" i="8"/>
  <c r="AN155" i="8" s="1"/>
  <c r="AJ157" i="8"/>
  <c r="AN157" i="8" s="1"/>
  <c r="AJ158" i="8"/>
  <c r="AN158" i="8" s="1"/>
  <c r="AJ159" i="8"/>
  <c r="AN159" i="8" s="1"/>
  <c r="AJ160" i="8"/>
  <c r="AN160" i="8" s="1"/>
  <c r="AJ161" i="8"/>
  <c r="AN161" i="8" s="1"/>
  <c r="AJ162" i="8"/>
  <c r="AN162" i="8" s="1"/>
  <c r="AJ163" i="8"/>
  <c r="AN163" i="8" s="1"/>
  <c r="AJ164" i="8"/>
  <c r="AN164" i="8" s="1"/>
  <c r="AJ165" i="8"/>
  <c r="AN165" i="8" s="1"/>
  <c r="AJ166" i="8"/>
  <c r="AN166" i="8" s="1"/>
  <c r="AJ167" i="8"/>
  <c r="AN167" i="8" s="1"/>
  <c r="AJ169" i="8"/>
  <c r="AN169" i="8" s="1"/>
  <c r="AJ170" i="8"/>
  <c r="AN170" i="8" s="1"/>
  <c r="AJ171" i="8"/>
  <c r="AN171" i="8" s="1"/>
  <c r="AJ172" i="8"/>
  <c r="AN172" i="8" s="1"/>
  <c r="AJ173" i="8"/>
  <c r="AN173" i="8" s="1"/>
  <c r="AJ174" i="8"/>
  <c r="AN174" i="8" s="1"/>
  <c r="AJ175" i="8"/>
  <c r="AN175" i="8" s="1"/>
  <c r="AJ176" i="8"/>
  <c r="AN176" i="8" s="1"/>
  <c r="AJ177" i="8"/>
  <c r="AN177" i="8" s="1"/>
  <c r="AJ179" i="8"/>
  <c r="AN179" i="8" s="1"/>
  <c r="AJ180" i="8"/>
  <c r="AN180" i="8" s="1"/>
  <c r="AJ181" i="8"/>
  <c r="AN181" i="8" s="1"/>
  <c r="AJ182" i="8"/>
  <c r="AN182" i="8" s="1"/>
  <c r="AJ183" i="8"/>
  <c r="AN183" i="8" s="1"/>
  <c r="AJ184" i="8"/>
  <c r="AN184" i="8" s="1"/>
  <c r="AJ186" i="8"/>
  <c r="AN186" i="8" s="1"/>
  <c r="AJ187" i="8"/>
  <c r="AN187" i="8" s="1"/>
  <c r="AJ188" i="8"/>
  <c r="AN188" i="8" s="1"/>
  <c r="AJ189" i="8"/>
  <c r="AN189" i="8" s="1"/>
  <c r="AJ190" i="8"/>
  <c r="AN190" i="8" s="1"/>
  <c r="AJ191" i="8"/>
  <c r="AN191" i="8" s="1"/>
  <c r="AJ192" i="8"/>
  <c r="AN192" i="8" s="1"/>
  <c r="AJ193" i="8"/>
  <c r="AN193" i="8" s="1"/>
  <c r="AJ194" i="8"/>
  <c r="AN194" i="8" s="1"/>
  <c r="AJ195" i="8"/>
  <c r="AN195" i="8" s="1"/>
  <c r="AJ196" i="8"/>
  <c r="AN196" i="8" s="1"/>
  <c r="AJ197" i="8"/>
  <c r="AN197" i="8" s="1"/>
  <c r="AJ198" i="8"/>
  <c r="AN198" i="8" s="1"/>
  <c r="AJ199" i="8"/>
  <c r="AN199" i="8" s="1"/>
  <c r="AJ200" i="8"/>
  <c r="AN200" i="8" s="1"/>
  <c r="AJ201" i="8"/>
  <c r="AN201" i="8" s="1"/>
  <c r="AJ203" i="8"/>
  <c r="AN203" i="8" s="1"/>
  <c r="AJ204" i="8"/>
  <c r="AN204" i="8" s="1"/>
  <c r="AJ205" i="8"/>
  <c r="AN205" i="8" s="1"/>
  <c r="AJ206" i="8"/>
  <c r="AN206" i="8" s="1"/>
  <c r="AJ207" i="8"/>
  <c r="AN207" i="8" s="1"/>
  <c r="AJ208" i="8"/>
  <c r="AN208" i="8" s="1"/>
  <c r="AJ209" i="8"/>
  <c r="AJ210" i="8"/>
  <c r="AN210" i="8" s="1"/>
  <c r="AJ211" i="8"/>
  <c r="AN211" i="8" s="1"/>
  <c r="AJ212" i="8"/>
  <c r="AN212" i="8" s="1"/>
  <c r="AJ213" i="8"/>
  <c r="AN213" i="8" s="1"/>
  <c r="AJ214" i="8"/>
  <c r="AN214" i="8" s="1"/>
  <c r="AJ215" i="8"/>
  <c r="AN215" i="8" s="1"/>
  <c r="AJ216" i="8"/>
  <c r="AN216" i="8" s="1"/>
  <c r="AJ217" i="8"/>
  <c r="AJ218" i="8"/>
  <c r="AN218" i="8" s="1"/>
  <c r="AJ219" i="8"/>
  <c r="AN219" i="8" s="1"/>
  <c r="AJ220" i="8"/>
  <c r="AN220" i="8" s="1"/>
  <c r="AJ221" i="8"/>
  <c r="AN221" i="8" s="1"/>
  <c r="AJ222" i="8"/>
  <c r="AN222" i="8" s="1"/>
  <c r="AJ223" i="8"/>
  <c r="AN223" i="8" s="1"/>
  <c r="AJ224" i="8"/>
  <c r="AN224" i="8" s="1"/>
  <c r="AJ226" i="8"/>
  <c r="AN226" i="8" s="1"/>
  <c r="AJ227" i="8"/>
  <c r="AJ228" i="8"/>
  <c r="AN228" i="8" s="1"/>
  <c r="AJ229" i="8"/>
  <c r="AN229" i="8" s="1"/>
  <c r="AJ230" i="8"/>
  <c r="AN230" i="8" s="1"/>
  <c r="AJ231" i="8"/>
  <c r="AN231" i="8" s="1"/>
  <c r="AJ232" i="8"/>
  <c r="AN232" i="8" s="1"/>
  <c r="AJ233" i="8"/>
  <c r="AN233" i="8" s="1"/>
  <c r="AJ234" i="8"/>
  <c r="AN234" i="8" s="1"/>
  <c r="AJ235" i="8"/>
  <c r="AN235" i="8" s="1"/>
  <c r="AJ236" i="8"/>
  <c r="AJ237" i="8"/>
  <c r="AN237" i="8" s="1"/>
  <c r="AJ238" i="8"/>
  <c r="AN238" i="8" s="1"/>
  <c r="AJ239" i="8"/>
  <c r="AN239" i="8" s="1"/>
  <c r="AJ240" i="8"/>
  <c r="AN240" i="8" s="1"/>
  <c r="AJ241" i="8"/>
  <c r="AN241" i="8" s="1"/>
  <c r="AJ242" i="8"/>
  <c r="AN242" i="8" s="1"/>
  <c r="AJ243" i="8"/>
  <c r="AN243" i="8" s="1"/>
  <c r="AJ246" i="8"/>
  <c r="AN246" i="8" s="1"/>
  <c r="AJ6" i="8"/>
  <c r="AN6" i="8" s="1"/>
  <c r="Z7" i="8"/>
  <c r="AD7" i="8" s="1"/>
  <c r="Z8" i="8"/>
  <c r="AD8" i="8" s="1"/>
  <c r="Z9" i="8"/>
  <c r="AD9" i="8" s="1"/>
  <c r="Z12" i="8"/>
  <c r="AD12" i="8" s="1"/>
  <c r="Z13" i="8"/>
  <c r="AD13" i="8" s="1"/>
  <c r="Z14" i="8"/>
  <c r="AD14" i="8" s="1"/>
  <c r="Z15" i="8"/>
  <c r="AD15" i="8" s="1"/>
  <c r="Z16" i="8"/>
  <c r="AD16" i="8" s="1"/>
  <c r="Z17" i="8"/>
  <c r="AD17" i="8" s="1"/>
  <c r="Z18" i="8"/>
  <c r="AD18" i="8" s="1"/>
  <c r="Z19" i="8"/>
  <c r="AD19" i="8" s="1"/>
  <c r="Z20" i="8"/>
  <c r="AD20" i="8" s="1"/>
  <c r="Z21" i="8"/>
  <c r="AD21" i="8" s="1"/>
  <c r="Z22" i="8"/>
  <c r="AD22" i="8" s="1"/>
  <c r="Z23" i="8"/>
  <c r="AD23" i="8" s="1"/>
  <c r="Z24" i="8"/>
  <c r="AD24" i="8" s="1"/>
  <c r="Z25" i="8"/>
  <c r="AD25" i="8" s="1"/>
  <c r="Z26" i="8"/>
  <c r="AD26" i="8" s="1"/>
  <c r="Z27" i="8"/>
  <c r="AD27" i="8" s="1"/>
  <c r="Z28" i="8"/>
  <c r="AD28" i="8" s="1"/>
  <c r="Z29" i="8"/>
  <c r="AD29" i="8" s="1"/>
  <c r="Z30" i="8"/>
  <c r="AD30" i="8" s="1"/>
  <c r="Z32" i="8"/>
  <c r="AD32" i="8" s="1"/>
  <c r="Z33" i="8"/>
  <c r="AD33" i="8" s="1"/>
  <c r="Z34" i="8"/>
  <c r="AD34" i="8" s="1"/>
  <c r="Z35" i="8"/>
  <c r="AD35" i="8" s="1"/>
  <c r="Z36" i="8"/>
  <c r="AD36" i="8" s="1"/>
  <c r="Z37" i="8"/>
  <c r="AD37" i="8" s="1"/>
  <c r="Z38" i="8"/>
  <c r="AD38" i="8" s="1"/>
  <c r="Z39" i="8"/>
  <c r="AD39" i="8" s="1"/>
  <c r="Z40" i="8"/>
  <c r="AD40" i="8" s="1"/>
  <c r="Z41" i="8"/>
  <c r="AD41" i="8" s="1"/>
  <c r="Z42" i="8"/>
  <c r="AD42" i="8" s="1"/>
  <c r="Z43" i="8"/>
  <c r="AD43" i="8" s="1"/>
  <c r="Z44" i="8"/>
  <c r="AD44" i="8" s="1"/>
  <c r="Z45" i="8"/>
  <c r="Z46" i="8"/>
  <c r="AD46" i="8" s="1"/>
  <c r="Z47" i="8"/>
  <c r="AD47" i="8" s="1"/>
  <c r="Z48" i="8"/>
  <c r="AD48" i="8" s="1"/>
  <c r="Z49" i="8"/>
  <c r="AD49" i="8" s="1"/>
  <c r="Z50" i="8"/>
  <c r="AD50" i="8" s="1"/>
  <c r="Z51" i="8"/>
  <c r="AD51" i="8" s="1"/>
  <c r="Z52" i="8"/>
  <c r="AD52" i="8" s="1"/>
  <c r="Z54" i="8"/>
  <c r="AD54" i="8" s="1"/>
  <c r="Z55" i="8"/>
  <c r="AD55" i="8" s="1"/>
  <c r="Z56" i="8"/>
  <c r="AD56" i="8" s="1"/>
  <c r="Z57" i="8"/>
  <c r="AD57" i="8" s="1"/>
  <c r="Z58" i="8"/>
  <c r="AD58" i="8" s="1"/>
  <c r="Z59" i="8"/>
  <c r="AD59" i="8" s="1"/>
  <c r="Z60" i="8"/>
  <c r="AD60" i="8" s="1"/>
  <c r="Z61" i="8"/>
  <c r="AD61" i="8" s="1"/>
  <c r="Z62" i="8"/>
  <c r="AD62" i="8" s="1"/>
  <c r="Z64" i="8"/>
  <c r="AD64" i="8" s="1"/>
  <c r="Z65" i="8"/>
  <c r="AD65" i="8" s="1"/>
  <c r="Z66" i="8"/>
  <c r="AD66" i="8" s="1"/>
  <c r="Z67" i="8"/>
  <c r="AD67" i="8" s="1"/>
  <c r="Z68" i="8"/>
  <c r="AD68" i="8" s="1"/>
  <c r="Z69" i="8"/>
  <c r="AD69" i="8" s="1"/>
  <c r="Z70" i="8"/>
  <c r="AD70" i="8" s="1"/>
  <c r="Z71" i="8"/>
  <c r="Z72" i="8"/>
  <c r="AD72" i="8" s="1"/>
  <c r="Z73" i="8"/>
  <c r="AD73" i="8" s="1"/>
  <c r="Z74" i="8"/>
  <c r="AD74" i="8" s="1"/>
  <c r="Z75" i="8"/>
  <c r="AD75" i="8" s="1"/>
  <c r="Z76" i="8"/>
  <c r="AD76" i="8" s="1"/>
  <c r="Z77" i="8"/>
  <c r="AD77" i="8" s="1"/>
  <c r="Z78" i="8"/>
  <c r="AD78" i="8" s="1"/>
  <c r="Z79" i="8"/>
  <c r="AD79" i="8" s="1"/>
  <c r="Z80" i="8"/>
  <c r="AD80" i="8" s="1"/>
  <c r="Z81" i="8"/>
  <c r="AD81" i="8" s="1"/>
  <c r="Z82" i="8"/>
  <c r="AD82" i="8" s="1"/>
  <c r="Z83" i="8"/>
  <c r="AD83" i="8" s="1"/>
  <c r="Z84" i="8"/>
  <c r="AD84" i="8" s="1"/>
  <c r="Z85" i="8"/>
  <c r="AD85" i="8" s="1"/>
  <c r="Z86" i="8"/>
  <c r="AD86" i="8" s="1"/>
  <c r="Z87" i="8"/>
  <c r="Z88" i="8"/>
  <c r="AD88" i="8" s="1"/>
  <c r="Z89" i="8"/>
  <c r="AD89" i="8" s="1"/>
  <c r="Z90" i="8"/>
  <c r="AD90" i="8" s="1"/>
  <c r="Z91" i="8"/>
  <c r="AD91" i="8" s="1"/>
  <c r="Z92" i="8"/>
  <c r="AD92" i="8" s="1"/>
  <c r="Z93" i="8"/>
  <c r="AD93" i="8" s="1"/>
  <c r="Z94" i="8"/>
  <c r="AD94" i="8" s="1"/>
  <c r="Z95" i="8"/>
  <c r="AD95" i="8" s="1"/>
  <c r="Z96" i="8"/>
  <c r="AD96" i="8" s="1"/>
  <c r="Z97" i="8"/>
  <c r="AD97" i="8" s="1"/>
  <c r="Z98" i="8"/>
  <c r="AD98" i="8" s="1"/>
  <c r="Z99" i="8"/>
  <c r="AD99" i="8" s="1"/>
  <c r="Z100" i="8"/>
  <c r="AD100" i="8" s="1"/>
  <c r="Z101" i="8"/>
  <c r="AD101" i="8" s="1"/>
  <c r="Z102" i="8"/>
  <c r="AD102" i="8" s="1"/>
  <c r="Z103" i="8"/>
  <c r="AD103" i="8" s="1"/>
  <c r="Z104" i="8"/>
  <c r="AD104" i="8" s="1"/>
  <c r="Z105" i="8"/>
  <c r="AD105" i="8" s="1"/>
  <c r="Z107" i="8"/>
  <c r="AD107" i="8" s="1"/>
  <c r="Z108" i="8"/>
  <c r="AD108" i="8" s="1"/>
  <c r="Z109" i="8"/>
  <c r="AD109" i="8" s="1"/>
  <c r="Z110" i="8"/>
  <c r="AD110" i="8" s="1"/>
  <c r="Z111" i="8"/>
  <c r="AD111" i="8" s="1"/>
  <c r="Z112" i="8"/>
  <c r="AD112" i="8" s="1"/>
  <c r="Z113" i="8"/>
  <c r="AD113" i="8" s="1"/>
  <c r="Z114" i="8"/>
  <c r="AD114" i="8" s="1"/>
  <c r="Z115" i="8"/>
  <c r="AD115" i="8" s="1"/>
  <c r="Z116" i="8"/>
  <c r="AD116" i="8" s="1"/>
  <c r="Z117" i="8"/>
  <c r="AD117" i="8" s="1"/>
  <c r="Z118" i="8"/>
  <c r="AD118" i="8" s="1"/>
  <c r="Z119" i="8"/>
  <c r="AD119" i="8" s="1"/>
  <c r="Z120" i="8"/>
  <c r="AD120" i="8" s="1"/>
  <c r="Z121" i="8"/>
  <c r="AD121" i="8" s="1"/>
  <c r="Z122" i="8"/>
  <c r="AD122" i="8" s="1"/>
  <c r="Z123" i="8"/>
  <c r="AD123" i="8" s="1"/>
  <c r="Z124" i="8"/>
  <c r="AD124" i="8" s="1"/>
  <c r="Z125" i="8"/>
  <c r="AD125" i="8" s="1"/>
  <c r="Z127" i="8"/>
  <c r="AD127" i="8" s="1"/>
  <c r="Z128" i="8"/>
  <c r="AD128" i="8" s="1"/>
  <c r="Z129" i="8"/>
  <c r="AD129" i="8" s="1"/>
  <c r="Z130" i="8"/>
  <c r="AD130" i="8" s="1"/>
  <c r="Z131" i="8"/>
  <c r="AD131" i="8" s="1"/>
  <c r="Z132" i="8"/>
  <c r="AD132" i="8" s="1"/>
  <c r="Z133" i="8"/>
  <c r="AD133" i="8" s="1"/>
  <c r="Z134" i="8"/>
  <c r="AD134" i="8" s="1"/>
  <c r="Z135" i="8"/>
  <c r="AD135" i="8" s="1"/>
  <c r="Z136" i="8"/>
  <c r="AD136" i="8" s="1"/>
  <c r="Z137" i="8"/>
  <c r="AD137" i="8" s="1"/>
  <c r="Z138" i="8"/>
  <c r="AD138" i="8" s="1"/>
  <c r="Z139" i="8"/>
  <c r="AD139" i="8" s="1"/>
  <c r="Z140" i="8"/>
  <c r="AD140" i="8" s="1"/>
  <c r="Z141" i="8"/>
  <c r="AD141" i="8" s="1"/>
  <c r="Z142" i="8"/>
  <c r="AD142" i="8" s="1"/>
  <c r="Z143" i="8"/>
  <c r="AD143" i="8" s="1"/>
  <c r="Z144" i="8"/>
  <c r="AD144" i="8" s="1"/>
  <c r="Z145" i="8"/>
  <c r="AD145" i="8" s="1"/>
  <c r="Z146" i="8"/>
  <c r="AD146" i="8" s="1"/>
  <c r="Z147" i="8"/>
  <c r="AD147" i="8" s="1"/>
  <c r="Z148" i="8"/>
  <c r="AD148" i="8" s="1"/>
  <c r="Z149" i="8"/>
  <c r="AD149" i="8" s="1"/>
  <c r="Z150" i="8"/>
  <c r="AD150" i="8" s="1"/>
  <c r="Z151" i="8"/>
  <c r="AD151" i="8" s="1"/>
  <c r="Z152" i="8"/>
  <c r="AD152" i="8" s="1"/>
  <c r="Z154" i="8"/>
  <c r="AD154" i="8" s="1"/>
  <c r="Z155" i="8"/>
  <c r="AD155" i="8" s="1"/>
  <c r="Z157" i="8"/>
  <c r="AD157" i="8" s="1"/>
  <c r="Z158" i="8"/>
  <c r="AD158" i="8" s="1"/>
  <c r="Z159" i="8"/>
  <c r="AD159" i="8" s="1"/>
  <c r="Z160" i="8"/>
  <c r="AD160" i="8" s="1"/>
  <c r="Z161" i="8"/>
  <c r="AD161" i="8" s="1"/>
  <c r="Z162" i="8"/>
  <c r="AD162" i="8" s="1"/>
  <c r="Z163" i="8"/>
  <c r="AD163" i="8" s="1"/>
  <c r="Z164" i="8"/>
  <c r="AD164" i="8" s="1"/>
  <c r="Z165" i="8"/>
  <c r="AD165" i="8" s="1"/>
  <c r="Z166" i="8"/>
  <c r="AD166" i="8" s="1"/>
  <c r="Z167" i="8"/>
  <c r="AD167" i="8" s="1"/>
  <c r="Z169" i="8"/>
  <c r="AD169" i="8" s="1"/>
  <c r="Z170" i="8"/>
  <c r="AD170" i="8" s="1"/>
  <c r="Z171" i="8"/>
  <c r="AD171" i="8" s="1"/>
  <c r="Z172" i="8"/>
  <c r="AD172" i="8" s="1"/>
  <c r="Z173" i="8"/>
  <c r="AD173" i="8" s="1"/>
  <c r="Z174" i="8"/>
  <c r="AD174" i="8" s="1"/>
  <c r="Z175" i="8"/>
  <c r="AD175" i="8" s="1"/>
  <c r="Z176" i="8"/>
  <c r="AD176" i="8" s="1"/>
  <c r="Z177" i="8"/>
  <c r="AD177" i="8" s="1"/>
  <c r="Z179" i="8"/>
  <c r="AD179" i="8" s="1"/>
  <c r="Z180" i="8"/>
  <c r="AD180" i="8" s="1"/>
  <c r="Z181" i="8"/>
  <c r="AD181" i="8" s="1"/>
  <c r="Z182" i="8"/>
  <c r="AD182" i="8" s="1"/>
  <c r="Z183" i="8"/>
  <c r="AD183" i="8" s="1"/>
  <c r="Z184" i="8"/>
  <c r="AD184" i="8" s="1"/>
  <c r="Z186" i="8"/>
  <c r="AD186" i="8" s="1"/>
  <c r="Z187" i="8"/>
  <c r="AD187" i="8" s="1"/>
  <c r="Z188" i="8"/>
  <c r="AD188" i="8" s="1"/>
  <c r="Z189" i="8"/>
  <c r="AD189" i="8" s="1"/>
  <c r="Z190" i="8"/>
  <c r="AD190" i="8" s="1"/>
  <c r="Z191" i="8"/>
  <c r="AD191" i="8" s="1"/>
  <c r="Z192" i="8"/>
  <c r="AD192" i="8" s="1"/>
  <c r="Z193" i="8"/>
  <c r="AD193" i="8" s="1"/>
  <c r="Z194" i="8"/>
  <c r="AD194" i="8" s="1"/>
  <c r="Z195" i="8"/>
  <c r="AD195" i="8" s="1"/>
  <c r="Z196" i="8"/>
  <c r="AD196" i="8" s="1"/>
  <c r="Z197" i="8"/>
  <c r="AD197" i="8" s="1"/>
  <c r="Z198" i="8"/>
  <c r="AD198" i="8" s="1"/>
  <c r="Z199" i="8"/>
  <c r="AD199" i="8" s="1"/>
  <c r="Z200" i="8"/>
  <c r="AD200" i="8" s="1"/>
  <c r="Z201" i="8"/>
  <c r="AD201" i="8" s="1"/>
  <c r="Z203" i="8"/>
  <c r="AD203" i="8" s="1"/>
  <c r="Z204" i="8"/>
  <c r="AD204" i="8" s="1"/>
  <c r="Z205" i="8"/>
  <c r="AD205" i="8" s="1"/>
  <c r="Z206" i="8"/>
  <c r="AD206" i="8" s="1"/>
  <c r="Z207" i="8"/>
  <c r="AD207" i="8" s="1"/>
  <c r="Z208" i="8"/>
  <c r="AD208" i="8" s="1"/>
  <c r="Z209" i="8"/>
  <c r="AD209" i="8" s="1"/>
  <c r="Z210" i="8"/>
  <c r="AD210" i="8" s="1"/>
  <c r="Z211" i="8"/>
  <c r="AD211" i="8" s="1"/>
  <c r="Z212" i="8"/>
  <c r="AD212" i="8" s="1"/>
  <c r="Z213" i="8"/>
  <c r="AD213" i="8" s="1"/>
  <c r="Z214" i="8"/>
  <c r="AD214" i="8" s="1"/>
  <c r="Z215" i="8"/>
  <c r="AD215" i="8" s="1"/>
  <c r="Z216" i="8"/>
  <c r="AD216" i="8" s="1"/>
  <c r="Z217" i="8"/>
  <c r="AD217" i="8" s="1"/>
  <c r="Z218" i="8"/>
  <c r="AD218" i="8" s="1"/>
  <c r="Z219" i="8"/>
  <c r="AD219" i="8" s="1"/>
  <c r="Z220" i="8"/>
  <c r="AD220" i="8" s="1"/>
  <c r="Z221" i="8"/>
  <c r="AD221" i="8" s="1"/>
  <c r="Z222" i="8"/>
  <c r="AD222" i="8" s="1"/>
  <c r="Z223" i="8"/>
  <c r="AD223" i="8" s="1"/>
  <c r="Z224" i="8"/>
  <c r="AD224" i="8" s="1"/>
  <c r="Z226" i="8"/>
  <c r="AD226" i="8" s="1"/>
  <c r="Z227" i="8"/>
  <c r="AD227" i="8" s="1"/>
  <c r="Z228" i="8"/>
  <c r="AD228" i="8" s="1"/>
  <c r="Z229" i="8"/>
  <c r="AD229" i="8" s="1"/>
  <c r="Z230" i="8"/>
  <c r="AD230" i="8" s="1"/>
  <c r="Z231" i="8"/>
  <c r="AD231" i="8" s="1"/>
  <c r="Z232" i="8"/>
  <c r="AD232" i="8" s="1"/>
  <c r="Z233" i="8"/>
  <c r="AD233" i="8" s="1"/>
  <c r="Z234" i="8"/>
  <c r="AD234" i="8" s="1"/>
  <c r="Z235" i="8"/>
  <c r="AD235" i="8" s="1"/>
  <c r="Z236" i="8"/>
  <c r="AD236" i="8" s="1"/>
  <c r="Z237" i="8"/>
  <c r="AD237" i="8" s="1"/>
  <c r="Z238" i="8"/>
  <c r="AD238" i="8" s="1"/>
  <c r="Z239" i="8"/>
  <c r="AD239" i="8" s="1"/>
  <c r="Z240" i="8"/>
  <c r="AD240" i="8" s="1"/>
  <c r="Z241" i="8"/>
  <c r="AD241" i="8" s="1"/>
  <c r="Z242" i="8"/>
  <c r="AD242" i="8" s="1"/>
  <c r="Z243" i="8"/>
  <c r="AD243" i="8" s="1"/>
  <c r="Z244" i="8"/>
  <c r="AD244" i="8" s="1"/>
  <c r="Z246" i="8"/>
  <c r="AD246" i="8" s="1"/>
  <c r="Z6" i="8"/>
  <c r="AD6" i="8" s="1"/>
  <c r="P8" i="8"/>
  <c r="P9" i="8"/>
  <c r="U9" i="8" s="1"/>
  <c r="V9" i="8" s="1"/>
  <c r="P10" i="8"/>
  <c r="U10" i="8" s="1"/>
  <c r="V10" i="8" s="1"/>
  <c r="P12" i="8"/>
  <c r="P13" i="8"/>
  <c r="P14" i="8"/>
  <c r="P15" i="8"/>
  <c r="U15" i="8" s="1"/>
  <c r="P16" i="8"/>
  <c r="P17" i="8"/>
  <c r="P18" i="8"/>
  <c r="P19" i="8"/>
  <c r="P20" i="8"/>
  <c r="P21" i="8"/>
  <c r="P22" i="8"/>
  <c r="P23" i="8"/>
  <c r="P24" i="8"/>
  <c r="U24" i="8" s="1"/>
  <c r="V24" i="8" s="1"/>
  <c r="P25" i="8"/>
  <c r="U25" i="8" s="1"/>
  <c r="V25" i="8" s="1"/>
  <c r="P26" i="8"/>
  <c r="P27" i="8"/>
  <c r="P28" i="8"/>
  <c r="U28" i="8" s="1"/>
  <c r="V28" i="8" s="1"/>
  <c r="P29" i="8"/>
  <c r="P30" i="8"/>
  <c r="U30" i="8" s="1"/>
  <c r="V30" i="8" s="1"/>
  <c r="P32" i="8"/>
  <c r="U32" i="8" s="1"/>
  <c r="V32" i="8" s="1"/>
  <c r="P33" i="8"/>
  <c r="P34" i="8"/>
  <c r="U34" i="8" s="1"/>
  <c r="V34" i="8" s="1"/>
  <c r="P35" i="8"/>
  <c r="U35" i="8" s="1"/>
  <c r="V35" i="8" s="1"/>
  <c r="P36" i="8"/>
  <c r="X36" i="8" s="1"/>
  <c r="P37" i="8"/>
  <c r="P38" i="8"/>
  <c r="U38" i="8" s="1"/>
  <c r="V38" i="8" s="1"/>
  <c r="P39" i="8"/>
  <c r="P40" i="8"/>
  <c r="P41" i="8"/>
  <c r="P42" i="8"/>
  <c r="U42" i="8" s="1"/>
  <c r="V42" i="8" s="1"/>
  <c r="P43" i="8"/>
  <c r="P44" i="8"/>
  <c r="P45" i="8"/>
  <c r="U45" i="8" s="1"/>
  <c r="V45" i="8" s="1"/>
  <c r="P46" i="8"/>
  <c r="P47" i="8"/>
  <c r="U47" i="8" s="1"/>
  <c r="V47" i="8" s="1"/>
  <c r="P48" i="8"/>
  <c r="U48" i="8" s="1"/>
  <c r="V48" i="8" s="1"/>
  <c r="P49" i="8"/>
  <c r="X49" i="8" s="1"/>
  <c r="P50" i="8"/>
  <c r="P51" i="8"/>
  <c r="P52" i="8"/>
  <c r="P54" i="8"/>
  <c r="U54" i="8" s="1"/>
  <c r="X54" i="8" s="1"/>
  <c r="P55" i="8"/>
  <c r="U55" i="8" s="1"/>
  <c r="X55" i="8" s="1"/>
  <c r="P56" i="8"/>
  <c r="P57" i="8"/>
  <c r="P58" i="8"/>
  <c r="P59" i="8"/>
  <c r="P60" i="8"/>
  <c r="X60" i="8" s="1"/>
  <c r="P61" i="8"/>
  <c r="U61" i="8" s="1"/>
  <c r="X61" i="8" s="1"/>
  <c r="P62" i="8"/>
  <c r="P64" i="8"/>
  <c r="P65" i="8"/>
  <c r="P66" i="8"/>
  <c r="X66" i="8" s="1"/>
  <c r="P67" i="8"/>
  <c r="P68" i="8"/>
  <c r="U68" i="8" s="1"/>
  <c r="V68" i="8" s="1"/>
  <c r="P69" i="8"/>
  <c r="U69" i="8" s="1"/>
  <c r="V69" i="8" s="1"/>
  <c r="P70" i="8"/>
  <c r="P71" i="8"/>
  <c r="P72" i="8"/>
  <c r="P73" i="8"/>
  <c r="P74" i="8"/>
  <c r="U74" i="8" s="1"/>
  <c r="P75" i="8"/>
  <c r="P76" i="8"/>
  <c r="P77" i="8"/>
  <c r="U77" i="8" s="1"/>
  <c r="P78" i="8"/>
  <c r="U78" i="8" s="1"/>
  <c r="V78" i="8" s="1"/>
  <c r="P79" i="8"/>
  <c r="U79" i="8" s="1"/>
  <c r="V79" i="8" s="1"/>
  <c r="P80" i="8"/>
  <c r="P81" i="8"/>
  <c r="P82" i="8"/>
  <c r="U82" i="8" s="1"/>
  <c r="X82" i="8" s="1"/>
  <c r="P83" i="8"/>
  <c r="P84" i="8"/>
  <c r="U84" i="8" s="1"/>
  <c r="V84" i="8" s="1"/>
  <c r="P85" i="8"/>
  <c r="X85" i="8" s="1"/>
  <c r="P86" i="8"/>
  <c r="X86" i="8" s="1"/>
  <c r="P87" i="8"/>
  <c r="P88" i="8"/>
  <c r="U88" i="8" s="1"/>
  <c r="P89" i="8"/>
  <c r="U89" i="8" s="1"/>
  <c r="V89" i="8" s="1"/>
  <c r="P90" i="8"/>
  <c r="U90" i="8" s="1"/>
  <c r="V90" i="8" s="1"/>
  <c r="P91" i="8"/>
  <c r="P92" i="8"/>
  <c r="P93" i="8"/>
  <c r="X93" i="8" s="1"/>
  <c r="P94" i="8"/>
  <c r="X94" i="8" s="1"/>
  <c r="P95" i="8"/>
  <c r="X95" i="8" s="1"/>
  <c r="P96" i="8"/>
  <c r="X96" i="8" s="1"/>
  <c r="P97" i="8"/>
  <c r="P98" i="8"/>
  <c r="P99" i="8"/>
  <c r="U99" i="8" s="1"/>
  <c r="P100" i="8"/>
  <c r="U100" i="8" s="1"/>
  <c r="P101" i="8"/>
  <c r="U101" i="8" s="1"/>
  <c r="P102" i="8"/>
  <c r="U102" i="8" s="1"/>
  <c r="P103" i="8"/>
  <c r="U103" i="8" s="1"/>
  <c r="V103" i="8" s="1"/>
  <c r="P104" i="8"/>
  <c r="U104" i="8" s="1"/>
  <c r="P105" i="8"/>
  <c r="U105" i="8" s="1"/>
  <c r="P107" i="8"/>
  <c r="U107" i="8" s="1"/>
  <c r="P108" i="8"/>
  <c r="P109" i="8"/>
  <c r="U109" i="8" s="1"/>
  <c r="P110" i="8"/>
  <c r="U110" i="8" s="1"/>
  <c r="P111" i="8"/>
  <c r="U111" i="8" s="1"/>
  <c r="P112" i="8"/>
  <c r="U112" i="8" s="1"/>
  <c r="P113" i="8"/>
  <c r="P114" i="8"/>
  <c r="U114" i="8" s="1"/>
  <c r="P115" i="8"/>
  <c r="U115" i="8" s="1"/>
  <c r="P116" i="8"/>
  <c r="U116" i="8" s="1"/>
  <c r="P117" i="8"/>
  <c r="P118" i="8"/>
  <c r="U118" i="8" s="1"/>
  <c r="P119" i="8"/>
  <c r="U119" i="8" s="1"/>
  <c r="P120" i="8"/>
  <c r="P121" i="8"/>
  <c r="U121" i="8" s="1"/>
  <c r="P122" i="8"/>
  <c r="U122" i="8" s="1"/>
  <c r="P123" i="8"/>
  <c r="U123" i="8" s="1"/>
  <c r="P124" i="8"/>
  <c r="U124" i="8" s="1"/>
  <c r="P125" i="8"/>
  <c r="X125" i="8" s="1"/>
  <c r="U135" i="8"/>
  <c r="P138" i="8"/>
  <c r="P141" i="8"/>
  <c r="U141" i="8" s="1"/>
  <c r="P142" i="8"/>
  <c r="U142" i="8" s="1"/>
  <c r="P143" i="8"/>
  <c r="U143" i="8" s="1"/>
  <c r="P144" i="8"/>
  <c r="U144" i="8" s="1"/>
  <c r="P145" i="8"/>
  <c r="U145" i="8" s="1"/>
  <c r="P146" i="8"/>
  <c r="U146" i="8" s="1"/>
  <c r="P147" i="8"/>
  <c r="P151" i="8"/>
  <c r="U151" i="8" s="1"/>
  <c r="X151" i="8" s="1"/>
  <c r="P152" i="8"/>
  <c r="U152" i="8" s="1"/>
  <c r="X152" i="8" s="1"/>
  <c r="P157" i="8"/>
  <c r="U157" i="8" s="1"/>
  <c r="P158" i="8"/>
  <c r="X158" i="8" s="1"/>
  <c r="P160" i="8"/>
  <c r="U160" i="8" s="1"/>
  <c r="P169" i="8"/>
  <c r="U169" i="8" s="1"/>
  <c r="P170" i="8"/>
  <c r="X170" i="8" s="1"/>
  <c r="P171" i="8"/>
  <c r="P173" i="8"/>
  <c r="P174" i="8"/>
  <c r="P175" i="8"/>
  <c r="U175" i="8" s="1"/>
  <c r="X175" i="8" s="1"/>
  <c r="P176" i="8"/>
  <c r="U176" i="8" s="1"/>
  <c r="P177" i="8"/>
  <c r="U177" i="8" s="1"/>
  <c r="P179" i="8"/>
  <c r="P180" i="8"/>
  <c r="U180" i="8" s="1"/>
  <c r="P181" i="8"/>
  <c r="U181" i="8" s="1"/>
  <c r="P182" i="8"/>
  <c r="P183" i="8"/>
  <c r="U183" i="8" s="1"/>
  <c r="P184" i="8"/>
  <c r="P186" i="8"/>
  <c r="U186" i="8" s="1"/>
  <c r="P187" i="8"/>
  <c r="U187" i="8" s="1"/>
  <c r="P188" i="8"/>
  <c r="U188" i="8" s="1"/>
  <c r="P189" i="8"/>
  <c r="U189" i="8" s="1"/>
  <c r="P190" i="8"/>
  <c r="P191" i="8"/>
  <c r="P192" i="8"/>
  <c r="U192" i="8" s="1"/>
  <c r="P193" i="8"/>
  <c r="U193" i="8" s="1"/>
  <c r="P194" i="8"/>
  <c r="U194" i="8" s="1"/>
  <c r="P195" i="8"/>
  <c r="U195" i="8" s="1"/>
  <c r="P196" i="8"/>
  <c r="U196" i="8" s="1"/>
  <c r="P197" i="8"/>
  <c r="U197" i="8" s="1"/>
  <c r="P198" i="8"/>
  <c r="U198" i="8" s="1"/>
  <c r="P199" i="8"/>
  <c r="U199" i="8" s="1"/>
  <c r="P200" i="8"/>
  <c r="U200" i="8" s="1"/>
  <c r="P201" i="8"/>
  <c r="U201" i="8" s="1"/>
  <c r="P203" i="8"/>
  <c r="U203" i="8" s="1"/>
  <c r="P204" i="8"/>
  <c r="U204" i="8" s="1"/>
  <c r="P205" i="8"/>
  <c r="U205" i="8" s="1"/>
  <c r="P206" i="8"/>
  <c r="U206" i="8" s="1"/>
  <c r="P207" i="8"/>
  <c r="U207" i="8" s="1"/>
  <c r="P208" i="8"/>
  <c r="U208" i="8" s="1"/>
  <c r="P209" i="8"/>
  <c r="U209" i="8" s="1"/>
  <c r="P210" i="8"/>
  <c r="P211" i="8"/>
  <c r="P212" i="8"/>
  <c r="U212" i="8" s="1"/>
  <c r="P213" i="8"/>
  <c r="P214" i="8"/>
  <c r="X214" i="8" s="1"/>
  <c r="P215" i="8"/>
  <c r="U215" i="8" s="1"/>
  <c r="P216" i="8"/>
  <c r="U216" i="8" s="1"/>
  <c r="P217" i="8"/>
  <c r="X217" i="8" s="1"/>
  <c r="P218" i="8"/>
  <c r="U218" i="8" s="1"/>
  <c r="P219" i="8"/>
  <c r="U219" i="8" s="1"/>
  <c r="P220" i="8"/>
  <c r="X220" i="8" s="1"/>
  <c r="P221" i="8"/>
  <c r="X221" i="8" s="1"/>
  <c r="P222" i="8"/>
  <c r="U222" i="8" s="1"/>
  <c r="P223" i="8"/>
  <c r="U223" i="8" s="1"/>
  <c r="P224" i="8"/>
  <c r="U224" i="8" s="1"/>
  <c r="P226" i="8"/>
  <c r="U226" i="8" s="1"/>
  <c r="P227" i="8"/>
  <c r="U227" i="8" s="1"/>
  <c r="X227" i="8" s="1"/>
  <c r="P228" i="8"/>
  <c r="U228" i="8" s="1"/>
  <c r="P229" i="8"/>
  <c r="U229" i="8" s="1"/>
  <c r="P231" i="8"/>
  <c r="U231" i="8" s="1"/>
  <c r="X231" i="8" s="1"/>
  <c r="P232" i="8"/>
  <c r="P233" i="8"/>
  <c r="P234" i="8"/>
  <c r="P240" i="8"/>
  <c r="U240" i="8" s="1"/>
  <c r="P241" i="8"/>
  <c r="P242" i="8"/>
  <c r="U242" i="8" s="1"/>
  <c r="P243" i="8"/>
  <c r="U243" i="8" s="1"/>
  <c r="P244" i="8"/>
  <c r="U244" i="8" s="1"/>
  <c r="P246" i="8"/>
  <c r="P7" i="8"/>
  <c r="P6" i="8"/>
  <c r="U6" i="8" s="1"/>
  <c r="V6" i="8" s="1"/>
  <c r="AW61" i="8" l="1"/>
  <c r="BA61" i="8"/>
  <c r="X147" i="8"/>
  <c r="U147" i="8"/>
  <c r="AD71" i="8"/>
  <c r="AH71" i="8"/>
  <c r="X211" i="8"/>
  <c r="U211" i="8"/>
  <c r="V105" i="8"/>
  <c r="X105" i="8"/>
  <c r="V73" i="8"/>
  <c r="U73" i="8"/>
  <c r="X73" i="8" s="1"/>
  <c r="AW26" i="8"/>
  <c r="AZ26" i="8"/>
  <c r="BS136" i="8"/>
  <c r="BO136" i="8"/>
  <c r="BO61" i="8"/>
  <c r="BS61" i="8"/>
  <c r="U113" i="8"/>
  <c r="X113" i="8" s="1"/>
  <c r="X80" i="8"/>
  <c r="U80" i="8"/>
  <c r="U72" i="8"/>
  <c r="X72" i="8" s="1"/>
  <c r="U13" i="8"/>
  <c r="V13" i="8" s="1"/>
  <c r="X13" i="8"/>
  <c r="U71" i="8"/>
  <c r="X71" i="8" s="1"/>
  <c r="U138" i="8"/>
  <c r="X138" i="8" s="1"/>
  <c r="AD45" i="8"/>
  <c r="AH45" i="8"/>
  <c r="U76" i="8"/>
  <c r="V76" i="8" s="1"/>
  <c r="U246" i="8"/>
  <c r="X246" i="8"/>
  <c r="U213" i="8"/>
  <c r="X213" i="8" s="1"/>
  <c r="U108" i="8"/>
  <c r="X108" i="8"/>
  <c r="U75" i="8"/>
  <c r="X75" i="8"/>
  <c r="V16" i="8"/>
  <c r="U16" i="8"/>
  <c r="X16" i="8" s="1"/>
  <c r="AW99" i="8"/>
  <c r="BA99" i="8" s="1"/>
  <c r="AH87" i="8"/>
  <c r="AD87" i="8"/>
  <c r="U87" i="8"/>
  <c r="V87" i="8" s="1"/>
  <c r="X87" i="8"/>
  <c r="U81" i="8"/>
  <c r="V81" i="8" s="1"/>
  <c r="X81" i="8"/>
  <c r="AW57" i="8"/>
  <c r="BA57" i="8" s="1"/>
  <c r="X46" i="8"/>
  <c r="U46" i="8"/>
  <c r="U44" i="8"/>
  <c r="X44" i="8" s="1"/>
  <c r="U43" i="8"/>
  <c r="V43" i="8" s="1"/>
  <c r="X43" i="8"/>
  <c r="U41" i="8"/>
  <c r="V41" i="8" s="1"/>
  <c r="X41" i="8"/>
  <c r="BO41" i="8"/>
  <c r="BS41" i="8" s="1"/>
  <c r="AQ41" i="8"/>
  <c r="AN41" i="8"/>
  <c r="BO36" i="8"/>
  <c r="BS36" i="8" s="1"/>
  <c r="U33" i="8"/>
  <c r="V33" i="8" s="1"/>
  <c r="BO27" i="8"/>
  <c r="BS27" i="8" s="1"/>
  <c r="BO22" i="8"/>
  <c r="BS22" i="8" s="1"/>
  <c r="U14" i="8"/>
  <c r="V14" i="8" s="1"/>
  <c r="X14" i="8"/>
  <c r="AN236" i="8"/>
  <c r="AQ236" i="8"/>
  <c r="X120" i="8"/>
  <c r="U120" i="8"/>
  <c r="X17" i="8"/>
  <c r="U17" i="8"/>
  <c r="V17" i="8" s="1"/>
  <c r="X15" i="8"/>
  <c r="V15" i="8"/>
  <c r="U37" i="8"/>
  <c r="X223" i="8"/>
  <c r="N223" i="8" s="1"/>
  <c r="V223" i="8"/>
  <c r="W223" i="8" s="1"/>
  <c r="X210" i="8"/>
  <c r="U210" i="8"/>
  <c r="U184" i="8"/>
  <c r="X184" i="8" s="1"/>
  <c r="U234" i="8"/>
  <c r="X234" i="8" s="1"/>
  <c r="X182" i="8"/>
  <c r="U182" i="8"/>
  <c r="V173" i="8"/>
  <c r="W173" i="8" s="1"/>
  <c r="X209" i="8"/>
  <c r="U233" i="8"/>
  <c r="U232" i="8"/>
  <c r="X232" i="8"/>
  <c r="V171" i="8"/>
  <c r="W171" i="8" s="1"/>
  <c r="V174" i="8"/>
  <c r="W174" i="8" s="1"/>
  <c r="BO238" i="8"/>
  <c r="BS238" i="8" s="1"/>
  <c r="BO174" i="8"/>
  <c r="BS174" i="8"/>
  <c r="BO135" i="8"/>
  <c r="BS135" i="8" s="1"/>
  <c r="BO237" i="8"/>
  <c r="BS237" i="8" s="1"/>
  <c r="BO212" i="8"/>
  <c r="BS212" i="8" s="1"/>
  <c r="BO160" i="8"/>
  <c r="BS160" i="8" s="1"/>
  <c r="BO134" i="8"/>
  <c r="BS134" i="8" s="1"/>
  <c r="BS236" i="8"/>
  <c r="BO236" i="8"/>
  <c r="BO211" i="8"/>
  <c r="BS211" i="8" s="1"/>
  <c r="BO186" i="8"/>
  <c r="BS186" i="8" s="1"/>
  <c r="BO172" i="8"/>
  <c r="BS172" i="8" s="1"/>
  <c r="BO133" i="8"/>
  <c r="BS133" i="8" s="1"/>
  <c r="BO175" i="8"/>
  <c r="BS175" i="8" s="1"/>
  <c r="BO184" i="8"/>
  <c r="BS184" i="8" s="1"/>
  <c r="BS171" i="8"/>
  <c r="BO158" i="8"/>
  <c r="BS158" i="8" s="1"/>
  <c r="BO132" i="8"/>
  <c r="BS132" i="8" s="1"/>
  <c r="BO246" i="8"/>
  <c r="BS246" i="8" s="1"/>
  <c r="BO195" i="8"/>
  <c r="BS195" i="8" s="1"/>
  <c r="BO130" i="8"/>
  <c r="BS130" i="8" s="1"/>
  <c r="BO234" i="8"/>
  <c r="BS234" i="8" s="1"/>
  <c r="BO209" i="8"/>
  <c r="BS209" i="8" s="1"/>
  <c r="BO207" i="8"/>
  <c r="BS207" i="8" s="1"/>
  <c r="BO129" i="8"/>
  <c r="BS129" i="8" s="1"/>
  <c r="BS116" i="8"/>
  <c r="BO218" i="8"/>
  <c r="BS218" i="8" s="1"/>
  <c r="BO206" i="8"/>
  <c r="BS206" i="8"/>
  <c r="BO166" i="8"/>
  <c r="BS166" i="8" s="1"/>
  <c r="BO152" i="8"/>
  <c r="BS152" i="8" s="1"/>
  <c r="BO140" i="8"/>
  <c r="BS140" i="8" s="1"/>
  <c r="BO128" i="8"/>
  <c r="BS128" i="8" s="1"/>
  <c r="BO183" i="8"/>
  <c r="BS183" i="8" s="1"/>
  <c r="BO230" i="8"/>
  <c r="BS230" i="8" s="1"/>
  <c r="BS217" i="8"/>
  <c r="BO217" i="8"/>
  <c r="BO205" i="8"/>
  <c r="BS205" i="8" s="1"/>
  <c r="BO151" i="8"/>
  <c r="BS151" i="8" s="1"/>
  <c r="BO127" i="8"/>
  <c r="BS127" i="8" s="1"/>
  <c r="BO131" i="8"/>
  <c r="BS131" i="8" s="1"/>
  <c r="BO204" i="8"/>
  <c r="BS204" i="8" s="1"/>
  <c r="BO164" i="8"/>
  <c r="BS164" i="8" s="1"/>
  <c r="BO170" i="8"/>
  <c r="BS170" i="8" s="1"/>
  <c r="BO203" i="8"/>
  <c r="BS203" i="8" s="1"/>
  <c r="BO137" i="8"/>
  <c r="BS137" i="8" s="1"/>
  <c r="BO97" i="8"/>
  <c r="BS97" i="8" s="1"/>
  <c r="BO73" i="8"/>
  <c r="BS73" i="8" s="1"/>
  <c r="BO47" i="8"/>
  <c r="BS47" i="8" s="1"/>
  <c r="BO35" i="8"/>
  <c r="BS35" i="8" s="1"/>
  <c r="BO86" i="8"/>
  <c r="BS86" i="8" s="1"/>
  <c r="BO59" i="8"/>
  <c r="BS59" i="8" s="1"/>
  <c r="BO34" i="8"/>
  <c r="BS34" i="8" s="1"/>
  <c r="BO45" i="8"/>
  <c r="BS45" i="8" s="1"/>
  <c r="BO82" i="8"/>
  <c r="BS82" i="8" s="1"/>
  <c r="BS44" i="8"/>
  <c r="BO32" i="8"/>
  <c r="BS32" i="8" s="1"/>
  <c r="BO93" i="8"/>
  <c r="BS93" i="8" s="1"/>
  <c r="BS81" i="8"/>
  <c r="BO56" i="8"/>
  <c r="BS56" i="8" s="1"/>
  <c r="BO43" i="8"/>
  <c r="BS43" i="8" s="1"/>
  <c r="BO18" i="8"/>
  <c r="BS18" i="8" s="1"/>
  <c r="BS104" i="8"/>
  <c r="BO80" i="8"/>
  <c r="BS80" i="8" s="1"/>
  <c r="BO55" i="8"/>
  <c r="BS55" i="8" s="1"/>
  <c r="BO29" i="8"/>
  <c r="BS29" i="8" s="1"/>
  <c r="BO95" i="8"/>
  <c r="BS95" i="8" s="1"/>
  <c r="BO58" i="8"/>
  <c r="BS58" i="8" s="1"/>
  <c r="BO54" i="8"/>
  <c r="BS54" i="8" s="1"/>
  <c r="BO90" i="8"/>
  <c r="BS90" i="8" s="1"/>
  <c r="BO78" i="8"/>
  <c r="BS78" i="8" s="1"/>
  <c r="BO89" i="8"/>
  <c r="BS89" i="8" s="1"/>
  <c r="BO39" i="8"/>
  <c r="BS39" i="8" s="1"/>
  <c r="BO100" i="8"/>
  <c r="BS100" i="8" s="1"/>
  <c r="BO38" i="8"/>
  <c r="BS38" i="8" s="1"/>
  <c r="BO62" i="8"/>
  <c r="BS62" i="8" s="1"/>
  <c r="BO37" i="8"/>
  <c r="BS37" i="8" s="1"/>
  <c r="BO12" i="8"/>
  <c r="BS12" i="8" s="1"/>
  <c r="AW100" i="8"/>
  <c r="BA100" i="8"/>
  <c r="AW87" i="8"/>
  <c r="BA87" i="8"/>
  <c r="BA98" i="8"/>
  <c r="AW98" i="8"/>
  <c r="AW36" i="8"/>
  <c r="BA36" i="8" s="1"/>
  <c r="BA174" i="8"/>
  <c r="AQ174" i="8" s="1"/>
  <c r="AW174" i="8"/>
  <c r="AW147" i="8"/>
  <c r="BA147" i="8" s="1"/>
  <c r="BA97" i="8"/>
  <c r="AW97" i="8"/>
  <c r="AW85" i="8"/>
  <c r="BA85" i="8" s="1"/>
  <c r="BA96" i="8"/>
  <c r="AW96" i="8"/>
  <c r="AW46" i="8"/>
  <c r="BA236" i="8"/>
  <c r="AW236" i="8"/>
  <c r="BA120" i="8"/>
  <c r="AW120" i="8"/>
  <c r="BA95" i="8"/>
  <c r="AW95" i="8"/>
  <c r="BA33" i="8"/>
  <c r="AW33" i="8"/>
  <c r="BA119" i="8"/>
  <c r="AW119" i="8"/>
  <c r="AW44" i="8"/>
  <c r="BA44" i="8"/>
  <c r="AW235" i="8"/>
  <c r="AW184" i="8"/>
  <c r="AW183" i="8"/>
  <c r="BA183" i="8" s="1"/>
  <c r="AW170" i="8"/>
  <c r="BA170" i="8" s="1"/>
  <c r="AW81" i="8"/>
  <c r="BA81" i="8" s="1"/>
  <c r="AW43" i="8"/>
  <c r="BA43" i="8" s="1"/>
  <c r="AW195" i="8"/>
  <c r="BA195" i="8" s="1"/>
  <c r="AW169" i="8"/>
  <c r="BA169" i="8" s="1"/>
  <c r="AW117" i="8"/>
  <c r="BA117" i="8" s="1"/>
  <c r="AW92" i="8"/>
  <c r="BA92" i="8" s="1"/>
  <c r="BA41" i="8"/>
  <c r="AW166" i="8"/>
  <c r="BA166" i="8" s="1"/>
  <c r="BA27" i="8"/>
  <c r="AW27" i="8"/>
  <c r="AW101" i="8"/>
  <c r="BA101" i="8" s="1"/>
  <c r="AW14" i="8"/>
  <c r="BA14" i="8"/>
  <c r="AN147" i="8"/>
  <c r="AQ147" i="8" s="1"/>
  <c r="AQ96" i="8"/>
  <c r="AN96" i="8"/>
  <c r="AN92" i="8"/>
  <c r="AQ92" i="8" s="1"/>
  <c r="AN217" i="8"/>
  <c r="AQ217" i="8"/>
  <c r="AQ89" i="8"/>
  <c r="AN89" i="8"/>
  <c r="AQ138" i="8"/>
  <c r="AD10" i="8"/>
  <c r="AE10" i="8" s="1"/>
  <c r="X104" i="8"/>
  <c r="V104" i="8"/>
  <c r="V102" i="8"/>
  <c r="X102" i="8"/>
  <c r="V101" i="8"/>
  <c r="X101" i="8"/>
  <c r="X100" i="8"/>
  <c r="V100" i="8"/>
  <c r="X88" i="8"/>
  <c r="V88" i="8"/>
  <c r="V99" i="8"/>
  <c r="X99" i="8"/>
  <c r="U93" i="8"/>
  <c r="V93" i="8" s="1"/>
  <c r="V98" i="8"/>
  <c r="V97" i="8"/>
  <c r="X103" i="8"/>
  <c r="V71" i="8" l="1"/>
  <c r="V37" i="8"/>
  <c r="X37" i="8"/>
  <c r="V72" i="8"/>
  <c r="U85" i="8"/>
  <c r="V85" i="8" s="1"/>
  <c r="U83" i="8"/>
  <c r="V83" i="8" s="1"/>
  <c r="U65" i="8"/>
  <c r="V65" i="8" s="1"/>
  <c r="U64" i="8"/>
  <c r="U60" i="8"/>
  <c r="V60" i="8" s="1"/>
  <c r="X59" i="8"/>
  <c r="U56" i="8"/>
  <c r="V56" i="8" s="1"/>
  <c r="U57" i="8"/>
  <c r="U52" i="8"/>
  <c r="V52" i="8" s="1"/>
  <c r="U51" i="8"/>
  <c r="U49" i="8"/>
  <c r="V49" i="8" s="1"/>
  <c r="W47" i="8"/>
  <c r="X45" i="8"/>
  <c r="U40" i="8"/>
  <c r="U36" i="8"/>
  <c r="V36" i="8" s="1"/>
  <c r="S29" i="8"/>
  <c r="V27" i="8"/>
  <c r="U26" i="8"/>
  <c r="V26" i="8" s="1"/>
  <c r="U23" i="8"/>
  <c r="V23" i="8" s="1"/>
  <c r="V20" i="8"/>
  <c r="U18" i="8"/>
  <c r="V18" i="8" s="1"/>
  <c r="Q7" i="8"/>
  <c r="U7" i="8" s="1"/>
  <c r="V7" i="8" s="1"/>
  <c r="N14" i="8"/>
  <c r="L12" i="8"/>
  <c r="M12" i="8" s="1"/>
  <c r="N185" i="8"/>
  <c r="N186" i="8"/>
  <c r="X51" i="8" l="1"/>
  <c r="V51" i="8"/>
  <c r="V57" i="8"/>
  <c r="U29" i="8"/>
  <c r="V29" i="8" s="1"/>
  <c r="W29" i="8" s="1"/>
  <c r="X64" i="8"/>
  <c r="V64" i="8"/>
  <c r="W64" i="8" s="1"/>
  <c r="X40" i="8"/>
  <c r="V40" i="8"/>
  <c r="W40" i="8" s="1"/>
  <c r="X74" i="8"/>
  <c r="V74" i="8"/>
  <c r="W74" i="8" s="1"/>
  <c r="X42" i="8"/>
  <c r="X7" i="8"/>
  <c r="W7" i="8"/>
  <c r="X30" i="8"/>
  <c r="X57" i="8"/>
  <c r="X47" i="8"/>
  <c r="N12" i="8"/>
  <c r="N9" i="8"/>
  <c r="N7" i="8"/>
  <c r="AH7" i="8" s="1"/>
  <c r="X29" i="8" l="1"/>
  <c r="N8" i="8"/>
  <c r="K10" i="8"/>
  <c r="BP246" i="8"/>
  <c r="BQ246" i="8" s="1"/>
  <c r="BR246" i="8" s="1"/>
  <c r="BA246" i="8"/>
  <c r="AQ246" i="8"/>
  <c r="V246" i="8"/>
  <c r="BK244" i="8"/>
  <c r="BO244" i="8" s="1"/>
  <c r="BS244" i="8" s="1"/>
  <c r="BA244" i="8"/>
  <c r="AE244" i="8"/>
  <c r="V244" i="8"/>
  <c r="BK243" i="8"/>
  <c r="BO243" i="8" s="1"/>
  <c r="BS243" i="8" s="1"/>
  <c r="AQ243" i="8"/>
  <c r="BK242" i="8"/>
  <c r="BO242" i="8" s="1"/>
  <c r="BS242" i="8" s="1"/>
  <c r="AX242" i="8"/>
  <c r="AY242" i="8" s="1"/>
  <c r="AZ242" i="8" s="1"/>
  <c r="AQ242" i="8"/>
  <c r="BK241" i="8"/>
  <c r="BO241" i="8" s="1"/>
  <c r="BS241" i="8" s="1"/>
  <c r="BA241" i="8"/>
  <c r="AQ241" i="8"/>
  <c r="AE241" i="8"/>
  <c r="BK240" i="8"/>
  <c r="BO240" i="8" s="1"/>
  <c r="BS240" i="8" s="1"/>
  <c r="BA240" i="8"/>
  <c r="AQ240" i="8"/>
  <c r="BK239" i="8"/>
  <c r="BO239" i="8" s="1"/>
  <c r="BS239" i="8" s="1"/>
  <c r="BA239" i="8"/>
  <c r="AO239" i="8"/>
  <c r="AP239" i="8" s="1"/>
  <c r="BA238" i="8"/>
  <c r="AO238" i="8"/>
  <c r="AP238" i="8" s="1"/>
  <c r="AX237" i="8"/>
  <c r="AY237" i="8" s="1"/>
  <c r="AZ237" i="8" s="1"/>
  <c r="AO237" i="8"/>
  <c r="AP237" i="8" s="1"/>
  <c r="AX236" i="8"/>
  <c r="AY236" i="8" s="1"/>
  <c r="BK235" i="8"/>
  <c r="BO235" i="8" s="1"/>
  <c r="AX235" i="8"/>
  <c r="AY235" i="8" s="1"/>
  <c r="AZ235" i="8" s="1"/>
  <c r="AQ235" i="8"/>
  <c r="BA234" i="8"/>
  <c r="AQ234" i="8"/>
  <c r="BK233" i="8"/>
  <c r="BO233" i="8" s="1"/>
  <c r="BS233" i="8" s="1"/>
  <c r="BA233" i="8"/>
  <c r="AQ233" i="8"/>
  <c r="V233" i="8"/>
  <c r="BK232" i="8"/>
  <c r="BO232" i="8" s="1"/>
  <c r="BS232" i="8" s="1"/>
  <c r="BA232" i="8"/>
  <c r="AQ232" i="8"/>
  <c r="AE232" i="8"/>
  <c r="BK231" i="8"/>
  <c r="BO231" i="8" s="1"/>
  <c r="BS231" i="8" s="1"/>
  <c r="BA231" i="8"/>
  <c r="AQ231" i="8"/>
  <c r="AE231" i="8"/>
  <c r="BP230" i="8"/>
  <c r="BQ230" i="8" s="1"/>
  <c r="BR230" i="8" s="1"/>
  <c r="AQ230" i="8"/>
  <c r="BK229" i="8"/>
  <c r="BO229" i="8" s="1"/>
  <c r="BS229" i="8" s="1"/>
  <c r="AX229" i="8"/>
  <c r="AY229" i="8" s="1"/>
  <c r="AZ229" i="8" s="1"/>
  <c r="AQ229" i="8"/>
  <c r="AE229" i="8"/>
  <c r="V229" i="8"/>
  <c r="BK228" i="8"/>
  <c r="BO228" i="8" s="1"/>
  <c r="BS228" i="8" s="1"/>
  <c r="AO228" i="8"/>
  <c r="AP228" i="8" s="1"/>
  <c r="V228" i="8"/>
  <c r="BK227" i="8"/>
  <c r="BO227" i="8" s="1"/>
  <c r="BS227" i="8" s="1"/>
  <c r="AX227" i="8"/>
  <c r="AY227" i="8" s="1"/>
  <c r="AZ227" i="8" s="1"/>
  <c r="AE227" i="8"/>
  <c r="BK226" i="8"/>
  <c r="BO226" i="8" s="1"/>
  <c r="BS226" i="8" s="1"/>
  <c r="AO226" i="8"/>
  <c r="AP226" i="8" s="1"/>
  <c r="AX224" i="8"/>
  <c r="AY224" i="8" s="1"/>
  <c r="AZ224" i="8" s="1"/>
  <c r="AO224" i="8"/>
  <c r="AP224" i="8" s="1"/>
  <c r="V224" i="8"/>
  <c r="BK223" i="8"/>
  <c r="BO223" i="8" s="1"/>
  <c r="BS223" i="8" s="1"/>
  <c r="AO223" i="8"/>
  <c r="AP223" i="8" s="1"/>
  <c r="BK222" i="8"/>
  <c r="AX222" i="8"/>
  <c r="AY222" i="8" s="1"/>
  <c r="AO222" i="8"/>
  <c r="AP222" i="8" s="1"/>
  <c r="AE222" i="8"/>
  <c r="V222" i="8"/>
  <c r="BK221" i="8"/>
  <c r="BO221" i="8" s="1"/>
  <c r="BS221" i="8" s="1"/>
  <c r="AO221" i="8"/>
  <c r="AP221" i="8" s="1"/>
  <c r="U221" i="8"/>
  <c r="BK220" i="8"/>
  <c r="BO220" i="8" s="1"/>
  <c r="BS220" i="8" s="1"/>
  <c r="AX220" i="8"/>
  <c r="AY220" i="8" s="1"/>
  <c r="AZ220" i="8" s="1"/>
  <c r="AQ220" i="8"/>
  <c r="U220" i="8"/>
  <c r="V220" i="8" s="1"/>
  <c r="BA219" i="8"/>
  <c r="AO219" i="8"/>
  <c r="AP219" i="8" s="1"/>
  <c r="AO218" i="8"/>
  <c r="AP218" i="8" s="1"/>
  <c r="AO217" i="8"/>
  <c r="AP217" i="8" s="1"/>
  <c r="AE217" i="8"/>
  <c r="U217" i="8"/>
  <c r="V217" i="8" s="1"/>
  <c r="BA216" i="8"/>
  <c r="AQ216" i="8"/>
  <c r="AE216" i="8"/>
  <c r="BK215" i="8"/>
  <c r="BO215" i="8" s="1"/>
  <c r="BS215" i="8" s="1"/>
  <c r="BA215" i="8"/>
  <c r="AQ215" i="8"/>
  <c r="BK214" i="8"/>
  <c r="BO214" i="8" s="1"/>
  <c r="BS214" i="8" s="1"/>
  <c r="BA214" i="8"/>
  <c r="AQ214" i="8"/>
  <c r="BK213" i="8"/>
  <c r="BO213" i="8" s="1"/>
  <c r="BS213" i="8" s="1"/>
  <c r="BA213" i="8"/>
  <c r="AQ213" i="8"/>
  <c r="V213" i="8"/>
  <c r="BP212" i="8"/>
  <c r="BQ212" i="8" s="1"/>
  <c r="BR212" i="8" s="1"/>
  <c r="AQ212" i="8"/>
  <c r="AX211" i="8"/>
  <c r="AY211" i="8" s="1"/>
  <c r="AZ211" i="8" s="1"/>
  <c r="AQ211" i="8"/>
  <c r="BK210" i="8"/>
  <c r="AO210" i="8"/>
  <c r="AP210" i="8" s="1"/>
  <c r="BP209" i="8"/>
  <c r="BQ209" i="8" s="1"/>
  <c r="BR209" i="8" s="1"/>
  <c r="BA209" i="8"/>
  <c r="AO209" i="8"/>
  <c r="AP209" i="8" s="1"/>
  <c r="V209" i="8"/>
  <c r="BP207" i="8"/>
  <c r="BQ207" i="8" s="1"/>
  <c r="BR207" i="8" s="1"/>
  <c r="BA207" i="8"/>
  <c r="AO207" i="8"/>
  <c r="AP207" i="8" s="1"/>
  <c r="AX206" i="8"/>
  <c r="AY206" i="8" s="1"/>
  <c r="AZ206" i="8" s="1"/>
  <c r="V206" i="8"/>
  <c r="BA205" i="8"/>
  <c r="AQ205" i="8"/>
  <c r="BA204" i="8"/>
  <c r="AQ204" i="8"/>
  <c r="V204" i="8"/>
  <c r="AQ203" i="8"/>
  <c r="V203" i="8"/>
  <c r="BK201" i="8"/>
  <c r="BO201" i="8" s="1"/>
  <c r="BS201" i="8" s="1"/>
  <c r="BK200" i="8"/>
  <c r="BO200" i="8" s="1"/>
  <c r="BS200" i="8" s="1"/>
  <c r="BA200" i="8"/>
  <c r="BK199" i="8"/>
  <c r="AX199" i="8"/>
  <c r="V199" i="8"/>
  <c r="BK198" i="8"/>
  <c r="BO198" i="8" s="1"/>
  <c r="BS198" i="8" s="1"/>
  <c r="BA198" i="8"/>
  <c r="AQ198" i="8"/>
  <c r="BK197" i="8"/>
  <c r="AQ197" i="8"/>
  <c r="BK196" i="8"/>
  <c r="AQ196" i="8"/>
  <c r="AX195" i="8"/>
  <c r="AY195" i="8" s="1"/>
  <c r="AZ195" i="8" s="1"/>
  <c r="AQ195" i="8"/>
  <c r="BK194" i="8"/>
  <c r="BO194" i="8" s="1"/>
  <c r="BS194" i="8" s="1"/>
  <c r="AX194" i="8"/>
  <c r="AY194" i="8" s="1"/>
  <c r="AZ194" i="8" s="1"/>
  <c r="AQ194" i="8"/>
  <c r="BK193" i="8"/>
  <c r="BO193" i="8" s="1"/>
  <c r="BS193" i="8" s="1"/>
  <c r="AX193" i="8"/>
  <c r="AY193" i="8" s="1"/>
  <c r="AZ193" i="8" s="1"/>
  <c r="AQ193" i="8"/>
  <c r="BK192" i="8"/>
  <c r="BO192" i="8" s="1"/>
  <c r="BS192" i="8" s="1"/>
  <c r="AX192" i="8"/>
  <c r="AY192" i="8" s="1"/>
  <c r="AZ192" i="8" s="1"/>
  <c r="AQ192" i="8"/>
  <c r="BK191" i="8"/>
  <c r="BO191" i="8" s="1"/>
  <c r="BS191" i="8" s="1"/>
  <c r="AX191" i="8"/>
  <c r="AY191" i="8" s="1"/>
  <c r="AZ191" i="8" s="1"/>
  <c r="AQ191" i="8"/>
  <c r="BK190" i="8"/>
  <c r="AX190" i="8"/>
  <c r="AY190" i="8" s="1"/>
  <c r="AZ190" i="8" s="1"/>
  <c r="AQ190" i="8"/>
  <c r="BA189" i="8"/>
  <c r="AO189" i="8"/>
  <c r="AP189" i="8" s="1"/>
  <c r="AE189" i="8"/>
  <c r="BK188" i="8"/>
  <c r="BO188" i="8" s="1"/>
  <c r="BA188" i="8"/>
  <c r="AO188" i="8"/>
  <c r="AP188" i="8" s="1"/>
  <c r="BA187" i="8"/>
  <c r="AO187" i="8"/>
  <c r="AP187" i="8" s="1"/>
  <c r="BA186" i="8"/>
  <c r="AO186" i="8"/>
  <c r="AP186" i="8" s="1"/>
  <c r="AX184" i="8"/>
  <c r="AY184" i="8" s="1"/>
  <c r="AZ184" i="8" s="1"/>
  <c r="AO184" i="8"/>
  <c r="AP184" i="8" s="1"/>
  <c r="AE184" i="8"/>
  <c r="AQ183" i="8"/>
  <c r="BK182" i="8"/>
  <c r="BO182" i="8" s="1"/>
  <c r="BS182" i="8" s="1"/>
  <c r="AQ182" i="8"/>
  <c r="BK181" i="8"/>
  <c r="BO181" i="8" s="1"/>
  <c r="BS181" i="8" s="1"/>
  <c r="BA181" i="8"/>
  <c r="AO181" i="8"/>
  <c r="AP181" i="8" s="1"/>
  <c r="AE181" i="8"/>
  <c r="V181" i="8"/>
  <c r="BK180" i="8"/>
  <c r="AX180" i="8"/>
  <c r="AY180" i="8" s="1"/>
  <c r="AZ180" i="8" s="1"/>
  <c r="AQ180" i="8"/>
  <c r="AE180" i="8"/>
  <c r="AX179" i="8"/>
  <c r="AY179" i="8" s="1"/>
  <c r="AZ179" i="8" s="1"/>
  <c r="AQ179" i="8"/>
  <c r="AE179" i="8"/>
  <c r="T179" i="8"/>
  <c r="BK177" i="8"/>
  <c r="BO177" i="8" s="1"/>
  <c r="BS177" i="8" s="1"/>
  <c r="BA177" i="8"/>
  <c r="V177" i="8"/>
  <c r="BK176" i="8"/>
  <c r="BO176" i="8" s="1"/>
  <c r="BS176" i="8" s="1"/>
  <c r="BA176" i="8"/>
  <c r="AQ176" i="8"/>
  <c r="V176" i="8"/>
  <c r="AX175" i="8"/>
  <c r="AY175" i="8" s="1"/>
  <c r="AZ175" i="8" s="1"/>
  <c r="V175" i="8"/>
  <c r="W175" i="8" s="1"/>
  <c r="AE174" i="8"/>
  <c r="BK173" i="8"/>
  <c r="BO173" i="8" s="1"/>
  <c r="BS173" i="8" s="1"/>
  <c r="BA173" i="8"/>
  <c r="AO173" i="8"/>
  <c r="AP173" i="8" s="1"/>
  <c r="BA172" i="8"/>
  <c r="AO172" i="8"/>
  <c r="AP172" i="8" s="1"/>
  <c r="BA171" i="8"/>
  <c r="AO171" i="8"/>
  <c r="AP171" i="8" s="1"/>
  <c r="AE171" i="8"/>
  <c r="BP170" i="8"/>
  <c r="BQ170" i="8" s="1"/>
  <c r="BR170" i="8" s="1"/>
  <c r="AX170" i="8"/>
  <c r="AY170" i="8" s="1"/>
  <c r="AZ170" i="8" s="1"/>
  <c r="AQ170" i="8"/>
  <c r="U170" i="8"/>
  <c r="K170" i="8"/>
  <c r="BK169" i="8"/>
  <c r="BO169" i="8" s="1"/>
  <c r="BS169" i="8" s="1"/>
  <c r="AQ169" i="8"/>
  <c r="BK167" i="8"/>
  <c r="BO167" i="8" s="1"/>
  <c r="BS167" i="8" s="1"/>
  <c r="BA167" i="8"/>
  <c r="AQ167" i="8"/>
  <c r="AE167" i="8"/>
  <c r="AQ166" i="8"/>
  <c r="BK165" i="8"/>
  <c r="BO165" i="8" s="1"/>
  <c r="BS165" i="8" s="1"/>
  <c r="BA165" i="8"/>
  <c r="BP164" i="8"/>
  <c r="BQ164" i="8" s="1"/>
  <c r="BR164" i="8" s="1"/>
  <c r="AX164" i="8"/>
  <c r="AY164" i="8" s="1"/>
  <c r="AZ164" i="8" s="1"/>
  <c r="AO164" i="8"/>
  <c r="AP164" i="8" s="1"/>
  <c r="BK163" i="8"/>
  <c r="BO163" i="8" s="1"/>
  <c r="BS163" i="8" s="1"/>
  <c r="BA163" i="8"/>
  <c r="AQ163" i="8"/>
  <c r="BK162" i="8"/>
  <c r="BO162" i="8" s="1"/>
  <c r="BS162" i="8" s="1"/>
  <c r="AX162" i="8"/>
  <c r="AY162" i="8" s="1"/>
  <c r="AZ162" i="8" s="1"/>
  <c r="AO162" i="8"/>
  <c r="AP162" i="8" s="1"/>
  <c r="BK161" i="8"/>
  <c r="BO161" i="8" s="1"/>
  <c r="BS161" i="8" s="1"/>
  <c r="BA161" i="8"/>
  <c r="AQ161" i="8"/>
  <c r="AX160" i="8"/>
  <c r="AY160" i="8" s="1"/>
  <c r="AZ160" i="8" s="1"/>
  <c r="AQ160" i="8"/>
  <c r="BK159" i="8"/>
  <c r="BO159" i="8" s="1"/>
  <c r="BS159" i="8" s="1"/>
  <c r="BA159" i="8"/>
  <c r="AQ159" i="8"/>
  <c r="BP158" i="8"/>
  <c r="BQ158" i="8" s="1"/>
  <c r="BR158" i="8" s="1"/>
  <c r="BA158" i="8"/>
  <c r="AQ158" i="8"/>
  <c r="V158" i="8"/>
  <c r="BK157" i="8"/>
  <c r="BO157" i="8" s="1"/>
  <c r="BS157" i="8" s="1"/>
  <c r="BA157" i="8"/>
  <c r="AQ157" i="8"/>
  <c r="BK155" i="8"/>
  <c r="BO155" i="8" s="1"/>
  <c r="BS155" i="8" s="1"/>
  <c r="BA155" i="8"/>
  <c r="AQ155" i="8"/>
  <c r="BK154" i="8"/>
  <c r="BO154" i="8" s="1"/>
  <c r="BS154" i="8" s="1"/>
  <c r="AQ154" i="8"/>
  <c r="BP152" i="8"/>
  <c r="BQ152" i="8" s="1"/>
  <c r="BR152" i="8" s="1"/>
  <c r="AX152" i="8"/>
  <c r="AY152" i="8" s="1"/>
  <c r="AZ152" i="8" s="1"/>
  <c r="AQ152" i="8"/>
  <c r="AE152" i="8"/>
  <c r="V152" i="8"/>
  <c r="BK150" i="8"/>
  <c r="BO150" i="8" s="1"/>
  <c r="BS150" i="8" s="1"/>
  <c r="AX150" i="8"/>
  <c r="AY150" i="8" s="1"/>
  <c r="AZ150" i="8" s="1"/>
  <c r="BK149" i="8"/>
  <c r="BO149" i="8" s="1"/>
  <c r="BS149" i="8" s="1"/>
  <c r="AX149" i="8"/>
  <c r="AY149" i="8" s="1"/>
  <c r="AZ149" i="8" s="1"/>
  <c r="AE149" i="8"/>
  <c r="BK148" i="8"/>
  <c r="BO148" i="8" s="1"/>
  <c r="BS148" i="8" s="1"/>
  <c r="AX148" i="8"/>
  <c r="AY148" i="8" s="1"/>
  <c r="AZ148" i="8" s="1"/>
  <c r="AQ148" i="8"/>
  <c r="BK147" i="8"/>
  <c r="BO147" i="8" s="1"/>
  <c r="V147" i="8"/>
  <c r="K147" i="8"/>
  <c r="BK146" i="8"/>
  <c r="BO146" i="8" s="1"/>
  <c r="BS146" i="8" s="1"/>
  <c r="BK145" i="8"/>
  <c r="BO145" i="8" s="1"/>
  <c r="BS145" i="8" s="1"/>
  <c r="AX145" i="8"/>
  <c r="AY145" i="8" s="1"/>
  <c r="AZ145" i="8" s="1"/>
  <c r="AQ145" i="8"/>
  <c r="AE145" i="8"/>
  <c r="V145" i="8"/>
  <c r="BK144" i="8"/>
  <c r="BO144" i="8" s="1"/>
  <c r="BS144" i="8" s="1"/>
  <c r="BA144" i="8"/>
  <c r="AE144" i="8"/>
  <c r="V144" i="8"/>
  <c r="BK143" i="8"/>
  <c r="BO143" i="8" s="1"/>
  <c r="BS143" i="8" s="1"/>
  <c r="AX143" i="8"/>
  <c r="AY143" i="8" s="1"/>
  <c r="AZ143" i="8" s="1"/>
  <c r="BK142" i="8"/>
  <c r="BO142" i="8" s="1"/>
  <c r="BS142" i="8" s="1"/>
  <c r="BA142" i="8"/>
  <c r="AO142" i="8"/>
  <c r="AP142" i="8" s="1"/>
  <c r="AE142" i="8"/>
  <c r="BK141" i="8"/>
  <c r="BO141" i="8" s="1"/>
  <c r="BS141" i="8" s="1"/>
  <c r="AX141" i="8"/>
  <c r="AY141" i="8" s="1"/>
  <c r="AZ141" i="8" s="1"/>
  <c r="V141" i="8"/>
  <c r="AE140" i="8"/>
  <c r="BK139" i="8"/>
  <c r="BO139" i="8" s="1"/>
  <c r="BS139" i="8" s="1"/>
  <c r="BA139" i="8"/>
  <c r="AQ139" i="8"/>
  <c r="AE139" i="8"/>
  <c r="AX138" i="8"/>
  <c r="AY138" i="8" s="1"/>
  <c r="AZ138" i="8" s="1"/>
  <c r="BP137" i="8"/>
  <c r="BQ137" i="8" s="1"/>
  <c r="BR137" i="8" s="1"/>
  <c r="BA137" i="8"/>
  <c r="AQ137" i="8"/>
  <c r="AE137" i="8"/>
  <c r="AO136" i="8"/>
  <c r="AP136" i="8" s="1"/>
  <c r="V136" i="8"/>
  <c r="BA135" i="8"/>
  <c r="AQ135" i="8"/>
  <c r="AE135" i="8"/>
  <c r="BP134" i="8"/>
  <c r="BQ134" i="8" s="1"/>
  <c r="BR134" i="8" s="1"/>
  <c r="BA134" i="8"/>
  <c r="AQ134" i="8"/>
  <c r="BP133" i="8"/>
  <c r="BQ133" i="8" s="1"/>
  <c r="BR133" i="8" s="1"/>
  <c r="BA133" i="8"/>
  <c r="AO133" i="8"/>
  <c r="AP133" i="8" s="1"/>
  <c r="AO132" i="8"/>
  <c r="AP132" i="8" s="1"/>
  <c r="BA131" i="8"/>
  <c r="AO131" i="8"/>
  <c r="AP131" i="8" s="1"/>
  <c r="AE131" i="8"/>
  <c r="AX130" i="8"/>
  <c r="AY130" i="8" s="1"/>
  <c r="AZ130" i="8" s="1"/>
  <c r="AQ130" i="8"/>
  <c r="AX129" i="8"/>
  <c r="AY129" i="8" s="1"/>
  <c r="AZ129" i="8" s="1"/>
  <c r="AQ129" i="8"/>
  <c r="AX128" i="8"/>
  <c r="AY128" i="8" s="1"/>
  <c r="AZ128" i="8" s="1"/>
  <c r="BP127" i="8"/>
  <c r="BQ127" i="8" s="1"/>
  <c r="BR127" i="8" s="1"/>
  <c r="BA127" i="8"/>
  <c r="AQ127" i="8"/>
  <c r="BK125" i="8"/>
  <c r="BO125" i="8" s="1"/>
  <c r="BS125" i="8" s="1"/>
  <c r="BA125" i="8"/>
  <c r="U125" i="8"/>
  <c r="BK124" i="8"/>
  <c r="BO124" i="8" s="1"/>
  <c r="BS124" i="8" s="1"/>
  <c r="AQ124" i="8"/>
  <c r="V124" i="8"/>
  <c r="BK123" i="8"/>
  <c r="BO123" i="8" s="1"/>
  <c r="BS123" i="8" s="1"/>
  <c r="BA123" i="8"/>
  <c r="BK122" i="8"/>
  <c r="BO122" i="8" s="1"/>
  <c r="BS122" i="8" s="1"/>
  <c r="AQ122" i="8"/>
  <c r="BK121" i="8"/>
  <c r="BO121" i="8" s="1"/>
  <c r="BS121" i="8" s="1"/>
  <c r="AX121" i="8"/>
  <c r="AY121" i="8" s="1"/>
  <c r="AZ121" i="8" s="1"/>
  <c r="AE121" i="8"/>
  <c r="BK120" i="8"/>
  <c r="BO120" i="8" s="1"/>
  <c r="AO120" i="8"/>
  <c r="AP120" i="8" s="1"/>
  <c r="BK119" i="8"/>
  <c r="AX119" i="8"/>
  <c r="AY119" i="8" s="1"/>
  <c r="AZ119" i="8" s="1"/>
  <c r="BK118" i="8"/>
  <c r="BO118" i="8" s="1"/>
  <c r="BS118" i="8" s="1"/>
  <c r="AO118" i="8"/>
  <c r="AP118" i="8" s="1"/>
  <c r="BK117" i="8"/>
  <c r="BO117" i="8" s="1"/>
  <c r="BS117" i="8" s="1"/>
  <c r="AX117" i="8"/>
  <c r="AY117" i="8" s="1"/>
  <c r="AZ117" i="8" s="1"/>
  <c r="U117" i="8"/>
  <c r="X117" i="8" s="1"/>
  <c r="BA116" i="8"/>
  <c r="AQ116" i="8"/>
  <c r="AE116" i="8"/>
  <c r="BK115" i="8"/>
  <c r="BO115" i="8" s="1"/>
  <c r="BS115" i="8" s="1"/>
  <c r="BA115" i="8"/>
  <c r="AO115" i="8"/>
  <c r="AP115" i="8" s="1"/>
  <c r="AE115" i="8"/>
  <c r="V115" i="8"/>
  <c r="BK114" i="8"/>
  <c r="BO114" i="8" s="1"/>
  <c r="BS114" i="8" s="1"/>
  <c r="BA114" i="8"/>
  <c r="AQ114" i="8"/>
  <c r="AE114" i="8"/>
  <c r="BK113" i="8"/>
  <c r="BO113" i="8" s="1"/>
  <c r="BS113" i="8" s="1"/>
  <c r="BA113" i="8"/>
  <c r="AO113" i="8"/>
  <c r="AP113" i="8" s="1"/>
  <c r="V113" i="8"/>
  <c r="BK112" i="8"/>
  <c r="BO112" i="8" s="1"/>
  <c r="BS112" i="8" s="1"/>
  <c r="BA112" i="8"/>
  <c r="AO112" i="8"/>
  <c r="AP112" i="8" s="1"/>
  <c r="AE112" i="8"/>
  <c r="BK111" i="8"/>
  <c r="BO111" i="8" s="1"/>
  <c r="BS111" i="8" s="1"/>
  <c r="BA111" i="8"/>
  <c r="AO111" i="8"/>
  <c r="AP111" i="8" s="1"/>
  <c r="V111" i="8"/>
  <c r="BK110" i="8"/>
  <c r="BO110" i="8" s="1"/>
  <c r="BS110" i="8" s="1"/>
  <c r="BA110" i="8"/>
  <c r="AO110" i="8"/>
  <c r="AP110" i="8" s="1"/>
  <c r="AE110" i="8"/>
  <c r="V110" i="8"/>
  <c r="BK109" i="8"/>
  <c r="BO109" i="8" s="1"/>
  <c r="BS109" i="8" s="1"/>
  <c r="BA109" i="8"/>
  <c r="V109" i="8"/>
  <c r="BK108" i="8"/>
  <c r="BO108" i="8" s="1"/>
  <c r="BS108" i="8" s="1"/>
  <c r="BA108" i="8"/>
  <c r="AQ108" i="8"/>
  <c r="AE108" i="8"/>
  <c r="BK107" i="8"/>
  <c r="BO107" i="8" s="1"/>
  <c r="BS107" i="8" s="1"/>
  <c r="BA107" i="8"/>
  <c r="AO107" i="8"/>
  <c r="AP107" i="8" s="1"/>
  <c r="V107" i="8"/>
  <c r="BA105" i="8"/>
  <c r="AQ105" i="8"/>
  <c r="BK104" i="8"/>
  <c r="BO104" i="8" s="1"/>
  <c r="BP104" i="8" s="1"/>
  <c r="BQ104" i="8" s="1"/>
  <c r="BR104" i="8" s="1"/>
  <c r="AX104" i="8"/>
  <c r="AY104" i="8" s="1"/>
  <c r="AZ104" i="8" s="1"/>
  <c r="AO104" i="8"/>
  <c r="AP104" i="8" s="1"/>
  <c r="BK103" i="8"/>
  <c r="BO103" i="8" s="1"/>
  <c r="BS103" i="8" s="1"/>
  <c r="BA103" i="8"/>
  <c r="AO103" i="8"/>
  <c r="AP103" i="8" s="1"/>
  <c r="BK102" i="8"/>
  <c r="BO102" i="8" s="1"/>
  <c r="BS102" i="8" s="1"/>
  <c r="AX102" i="8"/>
  <c r="AY102" i="8" s="1"/>
  <c r="AZ102" i="8" s="1"/>
  <c r="BK101" i="8"/>
  <c r="BO101" i="8" s="1"/>
  <c r="BS101" i="8" s="1"/>
  <c r="AX101" i="8"/>
  <c r="AY101" i="8" s="1"/>
  <c r="AZ101" i="8" s="1"/>
  <c r="AQ101" i="8"/>
  <c r="BK100" i="8"/>
  <c r="AX100" i="8"/>
  <c r="AY100" i="8" s="1"/>
  <c r="AZ100" i="8" s="1"/>
  <c r="AQ100" i="8"/>
  <c r="BK99" i="8"/>
  <c r="BO99" i="8" s="1"/>
  <c r="BS99" i="8" s="1"/>
  <c r="AX99" i="8"/>
  <c r="AY99" i="8" s="1"/>
  <c r="AZ99" i="8" s="1"/>
  <c r="AQ99" i="8"/>
  <c r="AQ98" i="8"/>
  <c r="AX97" i="8"/>
  <c r="AY97" i="8" s="1"/>
  <c r="AZ97" i="8" s="1"/>
  <c r="AQ97" i="8"/>
  <c r="AX96" i="8"/>
  <c r="AY96" i="8" s="1"/>
  <c r="AZ96" i="8" s="1"/>
  <c r="U96" i="8"/>
  <c r="V96" i="8" s="1"/>
  <c r="AO95" i="8"/>
  <c r="AP95" i="8" s="1"/>
  <c r="U95" i="8"/>
  <c r="AX94" i="8"/>
  <c r="AY94" i="8" s="1"/>
  <c r="AZ94" i="8" s="1"/>
  <c r="AQ94" i="8"/>
  <c r="U94" i="8"/>
  <c r="BP93" i="8"/>
  <c r="BQ93" i="8" s="1"/>
  <c r="BR93" i="8" s="1"/>
  <c r="BA93" i="8"/>
  <c r="AQ93" i="8"/>
  <c r="BK92" i="8"/>
  <c r="BO92" i="8" s="1"/>
  <c r="BS92" i="8" s="1"/>
  <c r="AX92" i="8"/>
  <c r="AY92" i="8" s="1"/>
  <c r="AZ92" i="8" s="1"/>
  <c r="U92" i="8"/>
  <c r="X92" i="8" s="1"/>
  <c r="BK91" i="8"/>
  <c r="BO91" i="8" s="1"/>
  <c r="BS91" i="8" s="1"/>
  <c r="BA91" i="8"/>
  <c r="AO91" i="8"/>
  <c r="AP91" i="8" s="1"/>
  <c r="V91" i="8"/>
  <c r="BA90" i="8"/>
  <c r="AQ90" i="8"/>
  <c r="X90" i="8"/>
  <c r="BP89" i="8"/>
  <c r="BQ89" i="8" s="1"/>
  <c r="BR89" i="8" s="1"/>
  <c r="X89" i="8"/>
  <c r="BK88" i="8"/>
  <c r="BO88" i="8" s="1"/>
  <c r="BS88" i="8" s="1"/>
  <c r="BA88" i="8"/>
  <c r="AQ88" i="8"/>
  <c r="AE88" i="8"/>
  <c r="BK87" i="8"/>
  <c r="BO87" i="8" s="1"/>
  <c r="BS87" i="8" s="1"/>
  <c r="AQ87" i="8"/>
  <c r="BP86" i="8"/>
  <c r="BQ86" i="8" s="1"/>
  <c r="BR86" i="8" s="1"/>
  <c r="BA86" i="8"/>
  <c r="AO86" i="8"/>
  <c r="AP86" i="8" s="1"/>
  <c r="U86" i="8"/>
  <c r="V86" i="8" s="1"/>
  <c r="BK85" i="8"/>
  <c r="BS85" i="8" s="1"/>
  <c r="AX85" i="8"/>
  <c r="AY85" i="8" s="1"/>
  <c r="AZ85" i="8" s="1"/>
  <c r="BK84" i="8"/>
  <c r="BO84" i="8" s="1"/>
  <c r="BS84" i="8" s="1"/>
  <c r="BA84" i="8"/>
  <c r="AO84" i="8"/>
  <c r="AP84" i="8" s="1"/>
  <c r="X84" i="8"/>
  <c r="BK83" i="8"/>
  <c r="BO83" i="8" s="1"/>
  <c r="BS83" i="8" s="1"/>
  <c r="AX83" i="8"/>
  <c r="AY83" i="8" s="1"/>
  <c r="AZ83" i="8" s="1"/>
  <c r="AQ83" i="8"/>
  <c r="X83" i="8"/>
  <c r="BP82" i="8"/>
  <c r="BQ82" i="8" s="1"/>
  <c r="BR82" i="8" s="1"/>
  <c r="BA82" i="8"/>
  <c r="AQ82" i="8"/>
  <c r="AX81" i="8"/>
  <c r="AY81" i="8" s="1"/>
  <c r="AZ81" i="8" s="1"/>
  <c r="AQ81" i="8"/>
  <c r="BA80" i="8"/>
  <c r="AO80" i="8"/>
  <c r="AP80" i="8" s="1"/>
  <c r="AE80" i="8"/>
  <c r="BK79" i="8"/>
  <c r="BO79" i="8" s="1"/>
  <c r="BS79" i="8" s="1"/>
  <c r="AX79" i="8"/>
  <c r="AY79" i="8" s="1"/>
  <c r="AZ79" i="8" s="1"/>
  <c r="AO79" i="8"/>
  <c r="AP79" i="8" s="1"/>
  <c r="X79" i="8"/>
  <c r="BK78" i="8"/>
  <c r="BA78" i="8"/>
  <c r="W78" i="8"/>
  <c r="BK77" i="8"/>
  <c r="BO77" i="8" s="1"/>
  <c r="BS77" i="8" s="1"/>
  <c r="AX77" i="8"/>
  <c r="AY77" i="8" s="1"/>
  <c r="AZ77" i="8" s="1"/>
  <c r="BK76" i="8"/>
  <c r="BO76" i="8" s="1"/>
  <c r="BS76" i="8" s="1"/>
  <c r="BA76" i="8"/>
  <c r="AO76" i="8"/>
  <c r="AP76" i="8" s="1"/>
  <c r="W76" i="8"/>
  <c r="AX75" i="8"/>
  <c r="AY75" i="8" s="1"/>
  <c r="AZ75" i="8" s="1"/>
  <c r="AO75" i="8"/>
  <c r="AP75" i="8" s="1"/>
  <c r="V75" i="8"/>
  <c r="BK74" i="8"/>
  <c r="BO74" i="8" s="1"/>
  <c r="BS74" i="8" s="1"/>
  <c r="BA74" i="8"/>
  <c r="AO74" i="8"/>
  <c r="AP74" i="8" s="1"/>
  <c r="BP73" i="8"/>
  <c r="BQ73" i="8" s="1"/>
  <c r="BR73" i="8" s="1"/>
  <c r="AQ73" i="8"/>
  <c r="BK72" i="8"/>
  <c r="BA72" i="8"/>
  <c r="AO72" i="8"/>
  <c r="AP72" i="8" s="1"/>
  <c r="W72" i="8"/>
  <c r="BK71" i="8"/>
  <c r="AQ71" i="8"/>
  <c r="BK70" i="8"/>
  <c r="BO70" i="8" s="1"/>
  <c r="BS70" i="8" s="1"/>
  <c r="BA70" i="8"/>
  <c r="AO70" i="8"/>
  <c r="AP70" i="8" s="1"/>
  <c r="U70" i="8"/>
  <c r="BK69" i="8"/>
  <c r="BO69" i="8" s="1"/>
  <c r="BS69" i="8" s="1"/>
  <c r="BA69" i="8"/>
  <c r="AQ69" i="8"/>
  <c r="BK68" i="8"/>
  <c r="BO68" i="8" s="1"/>
  <c r="BS68" i="8" s="1"/>
  <c r="BA68" i="8"/>
  <c r="AO68" i="8"/>
  <c r="AP68" i="8" s="1"/>
  <c r="AE68" i="8"/>
  <c r="W68" i="8"/>
  <c r="BK67" i="8"/>
  <c r="BO67" i="8" s="1"/>
  <c r="BS67" i="8" s="1"/>
  <c r="AQ67" i="8"/>
  <c r="U67" i="8"/>
  <c r="BK66" i="8"/>
  <c r="BO66" i="8" s="1"/>
  <c r="BS66" i="8" s="1"/>
  <c r="BA66" i="8"/>
  <c r="AE66" i="8"/>
  <c r="U66" i="8"/>
  <c r="BK65" i="8"/>
  <c r="BO65" i="8" s="1"/>
  <c r="BS65" i="8" s="1"/>
  <c r="BA65" i="8"/>
  <c r="AQ65" i="8"/>
  <c r="AE65" i="8"/>
  <c r="W65" i="8"/>
  <c r="BA64" i="8"/>
  <c r="BP62" i="8"/>
  <c r="BQ62" i="8" s="1"/>
  <c r="BR62" i="8" s="1"/>
  <c r="BA62" i="8"/>
  <c r="AQ62" i="8"/>
  <c r="AE62" i="8"/>
  <c r="U62" i="8"/>
  <c r="AQ61" i="8"/>
  <c r="BK60" i="8"/>
  <c r="BO60" i="8" s="1"/>
  <c r="BS60" i="8" s="1"/>
  <c r="AQ60" i="8"/>
  <c r="AQ59" i="8"/>
  <c r="U59" i="8"/>
  <c r="V59" i="8" s="1"/>
  <c r="BA58" i="8"/>
  <c r="AO58" i="8"/>
  <c r="AP58" i="8" s="1"/>
  <c r="U58" i="8"/>
  <c r="AX57" i="8"/>
  <c r="AY57" i="8" s="1"/>
  <c r="AZ57" i="8" s="1"/>
  <c r="AX56" i="8"/>
  <c r="AY56" i="8" s="1"/>
  <c r="AZ56" i="8" s="1"/>
  <c r="AQ56" i="8"/>
  <c r="X56" i="8"/>
  <c r="AQ55" i="8"/>
  <c r="BP54" i="8"/>
  <c r="BQ54" i="8" s="1"/>
  <c r="BR54" i="8" s="1"/>
  <c r="BA54" i="8"/>
  <c r="AQ54" i="8"/>
  <c r="BP52" i="8"/>
  <c r="BQ52" i="8" s="1"/>
  <c r="BR52" i="8" s="1"/>
  <c r="AX52" i="8"/>
  <c r="AY52" i="8" s="1"/>
  <c r="AZ52" i="8" s="1"/>
  <c r="AQ52" i="8"/>
  <c r="AX51" i="8"/>
  <c r="AQ51" i="8"/>
  <c r="BR50" i="8"/>
  <c r="BA50" i="8"/>
  <c r="AO50" i="8"/>
  <c r="AP50" i="8" s="1"/>
  <c r="AE50" i="8"/>
  <c r="U50" i="8"/>
  <c r="BR49" i="8"/>
  <c r="BA49" i="8"/>
  <c r="AO49" i="8"/>
  <c r="AP49" i="8" s="1"/>
  <c r="AE49" i="8"/>
  <c r="W49" i="8"/>
  <c r="BP48" i="8"/>
  <c r="BQ48" i="8" s="1"/>
  <c r="BR48" i="8" s="1"/>
  <c r="BA48" i="8"/>
  <c r="AQ48" i="8"/>
  <c r="X48" i="8"/>
  <c r="BP47" i="8"/>
  <c r="BQ47" i="8" s="1"/>
  <c r="BR47" i="8" s="1"/>
  <c r="BA47" i="8"/>
  <c r="AQ47" i="8"/>
  <c r="BK46" i="8"/>
  <c r="AO46" i="8"/>
  <c r="AP46" i="8" s="1"/>
  <c r="AE46" i="8"/>
  <c r="BP45" i="8"/>
  <c r="BQ45" i="8" s="1"/>
  <c r="BR45" i="8" s="1"/>
  <c r="BA45" i="8"/>
  <c r="AQ45" i="8"/>
  <c r="AX44" i="8"/>
  <c r="AY44" i="8" s="1"/>
  <c r="AZ44" i="8" s="1"/>
  <c r="AQ44" i="8"/>
  <c r="V44" i="8"/>
  <c r="AO43" i="8"/>
  <c r="AP43" i="8" s="1"/>
  <c r="W43" i="8"/>
  <c r="AO42" i="8"/>
  <c r="AP42" i="8" s="1"/>
  <c r="AO41" i="8"/>
  <c r="AP41" i="8" s="1"/>
  <c r="AE41" i="8"/>
  <c r="W41" i="8"/>
  <c r="BP40" i="8"/>
  <c r="BQ40" i="8" s="1"/>
  <c r="BR40" i="8" s="1"/>
  <c r="AQ40" i="8"/>
  <c r="BP39" i="8"/>
  <c r="BQ39" i="8" s="1"/>
  <c r="BR39" i="8" s="1"/>
  <c r="BA39" i="8"/>
  <c r="AO39" i="8"/>
  <c r="AP39" i="8" s="1"/>
  <c r="U39" i="8"/>
  <c r="BP38" i="8"/>
  <c r="BQ38" i="8" s="1"/>
  <c r="BR38" i="8" s="1"/>
  <c r="AX38" i="8"/>
  <c r="AY38" i="8" s="1"/>
  <c r="AZ38" i="8" s="1"/>
  <c r="W38" i="8"/>
  <c r="BP37" i="8"/>
  <c r="BQ37" i="8" s="1"/>
  <c r="BR37" i="8" s="1"/>
  <c r="BA37" i="8"/>
  <c r="AQ37" i="8"/>
  <c r="W37" i="8"/>
  <c r="AX36" i="8"/>
  <c r="AY36" i="8" s="1"/>
  <c r="AZ36" i="8" s="1"/>
  <c r="AQ36" i="8"/>
  <c r="AQ35" i="8"/>
  <c r="W35" i="8"/>
  <c r="BA34" i="8"/>
  <c r="AQ34" i="8"/>
  <c r="W34" i="8"/>
  <c r="BK33" i="8"/>
  <c r="BO33" i="8" s="1"/>
  <c r="BS33" i="8" s="1"/>
  <c r="AO33" i="8"/>
  <c r="AP33" i="8" s="1"/>
  <c r="AE33" i="8"/>
  <c r="X33" i="8"/>
  <c r="BP32" i="8"/>
  <c r="BQ32" i="8" s="1"/>
  <c r="BR32" i="8" s="1"/>
  <c r="AX32" i="8"/>
  <c r="AY32" i="8" s="1"/>
  <c r="AZ32" i="8" s="1"/>
  <c r="AQ32" i="8"/>
  <c r="X32" i="8"/>
  <c r="AX30" i="8"/>
  <c r="K30" i="8"/>
  <c r="BP29" i="8"/>
  <c r="BQ29" i="8" s="1"/>
  <c r="BR29" i="8" s="1"/>
  <c r="BK29" i="8"/>
  <c r="AX29" i="8"/>
  <c r="AY29" i="8" s="1"/>
  <c r="AZ29" i="8" s="1"/>
  <c r="BK28" i="8"/>
  <c r="BO28" i="8" s="1"/>
  <c r="BS28" i="8" s="1"/>
  <c r="BA28" i="8"/>
  <c r="AO28" i="8"/>
  <c r="AP28" i="8" s="1"/>
  <c r="X28" i="8"/>
  <c r="AQ27" i="8"/>
  <c r="X27" i="8"/>
  <c r="AX26" i="8"/>
  <c r="AY26" i="8" s="1"/>
  <c r="AQ26" i="8"/>
  <c r="X26" i="8"/>
  <c r="BK25" i="8"/>
  <c r="BO25" i="8" s="1"/>
  <c r="BS25" i="8" s="1"/>
  <c r="BA25" i="8"/>
  <c r="AQ25" i="8"/>
  <c r="X25" i="8"/>
  <c r="BK24" i="8"/>
  <c r="BO24" i="8" s="1"/>
  <c r="BS24" i="8" s="1"/>
  <c r="AX24" i="8"/>
  <c r="AY24" i="8" s="1"/>
  <c r="AZ24" i="8" s="1"/>
  <c r="AQ24" i="8"/>
  <c r="X24" i="8"/>
  <c r="BP23" i="8"/>
  <c r="BQ23" i="8" s="1"/>
  <c r="BR23" i="8" s="1"/>
  <c r="BA23" i="8"/>
  <c r="AQ23" i="8"/>
  <c r="X23" i="8"/>
  <c r="AX22" i="8"/>
  <c r="AY22" i="8" s="1"/>
  <c r="AZ22" i="8" s="1"/>
  <c r="U22" i="8"/>
  <c r="X22" i="8" s="1"/>
  <c r="BK21" i="8"/>
  <c r="BO21" i="8" s="1"/>
  <c r="BS21" i="8" s="1"/>
  <c r="BA21" i="8"/>
  <c r="AO21" i="8"/>
  <c r="AP21" i="8" s="1"/>
  <c r="U21" i="8"/>
  <c r="BK20" i="8"/>
  <c r="BO20" i="8" s="1"/>
  <c r="BS20" i="8" s="1"/>
  <c r="AX20" i="8"/>
  <c r="AY20" i="8" s="1"/>
  <c r="AZ20" i="8" s="1"/>
  <c r="AQ20" i="8"/>
  <c r="X20" i="8"/>
  <c r="BK19" i="8"/>
  <c r="BO19" i="8" s="1"/>
  <c r="BS19" i="8" s="1"/>
  <c r="BA19" i="8"/>
  <c r="AO19" i="8"/>
  <c r="AP19" i="8" s="1"/>
  <c r="U19" i="8"/>
  <c r="BA18" i="8"/>
  <c r="AQ18" i="8"/>
  <c r="X18" i="8"/>
  <c r="BK17" i="8"/>
  <c r="BO17" i="8" s="1"/>
  <c r="BS17" i="8" s="1"/>
  <c r="BA17" i="8"/>
  <c r="AQ17" i="8"/>
  <c r="W17" i="8"/>
  <c r="BK16" i="8"/>
  <c r="BA16" i="8"/>
  <c r="AQ16" i="8"/>
  <c r="BK15" i="8"/>
  <c r="BO15" i="8" s="1"/>
  <c r="BS15" i="8" s="1"/>
  <c r="BA15" i="8"/>
  <c r="BK14" i="8"/>
  <c r="BS14" i="8" s="1"/>
  <c r="AO14" i="8"/>
  <c r="AP14" i="8" s="1"/>
  <c r="L14" i="8"/>
  <c r="M14" i="8" s="1"/>
  <c r="BA13" i="8"/>
  <c r="AO13" i="8"/>
  <c r="AP13" i="8" s="1"/>
  <c r="L13" i="8"/>
  <c r="M13" i="8" s="1"/>
  <c r="BA12" i="8"/>
  <c r="AQ12" i="8"/>
  <c r="U12" i="8"/>
  <c r="AO10" i="8"/>
  <c r="AP10" i="8" s="1"/>
  <c r="X10" i="8"/>
  <c r="L10" i="8"/>
  <c r="M10" i="8" s="1"/>
  <c r="BK9" i="8"/>
  <c r="BO9" i="8" s="1"/>
  <c r="BS9" i="8" s="1"/>
  <c r="AX9" i="8"/>
  <c r="AY9" i="8" s="1"/>
  <c r="AZ9" i="8" s="1"/>
  <c r="AQ9" i="8"/>
  <c r="X9" i="8"/>
  <c r="L9" i="8"/>
  <c r="M9" i="8" s="1"/>
  <c r="BK8" i="8"/>
  <c r="BO8" i="8" s="1"/>
  <c r="BS8" i="8" s="1"/>
  <c r="BA8" i="8"/>
  <c r="AO8" i="8"/>
  <c r="AP8" i="8" s="1"/>
  <c r="U8" i="8"/>
  <c r="BK7" i="8"/>
  <c r="BO7" i="8" s="1"/>
  <c r="BS7" i="8" s="1"/>
  <c r="AX7" i="8"/>
  <c r="AY7" i="8" s="1"/>
  <c r="AZ7" i="8" s="1"/>
  <c r="AQ7" i="8"/>
  <c r="AO7" i="8"/>
  <c r="AP7" i="8" s="1"/>
  <c r="L7" i="8"/>
  <c r="M7" i="8" s="1"/>
  <c r="BK6" i="8"/>
  <c r="BA6" i="8"/>
  <c r="AO6" i="8"/>
  <c r="AP6" i="8" s="1"/>
  <c r="X6" i="8"/>
  <c r="L6" i="8"/>
  <c r="M6" i="8" s="1"/>
  <c r="BE881" i="7"/>
  <c r="BE880" i="7"/>
  <c r="BE876" i="7"/>
  <c r="BE870" i="7"/>
  <c r="BE768" i="7"/>
  <c r="BE765" i="7"/>
  <c r="BE764" i="7"/>
  <c r="BE763" i="7"/>
  <c r="BE760" i="7"/>
  <c r="BE759" i="7"/>
  <c r="BE757" i="7"/>
  <c r="BE756" i="7"/>
  <c r="BE755" i="7"/>
  <c r="BE754" i="7"/>
  <c r="BE750" i="7"/>
  <c r="BE749" i="7"/>
  <c r="BE748" i="7"/>
  <c r="BE747" i="7"/>
  <c r="BE746" i="7"/>
  <c r="BE745" i="7"/>
  <c r="BE744" i="7"/>
  <c r="BE740" i="7"/>
  <c r="BE738" i="7"/>
  <c r="BE737" i="7"/>
  <c r="BE736" i="7"/>
  <c r="BE735" i="7"/>
  <c r="BE734" i="7"/>
  <c r="BE732" i="7"/>
  <c r="BE731" i="7"/>
  <c r="BE730" i="7"/>
  <c r="BE729" i="7"/>
  <c r="BE712" i="7"/>
  <c r="BE711" i="7"/>
  <c r="BE708" i="7"/>
  <c r="BE707" i="7"/>
  <c r="BE701" i="7"/>
  <c r="BE700" i="7"/>
  <c r="BE699" i="7"/>
  <c r="BE698" i="7"/>
  <c r="BE693" i="7"/>
  <c r="BE692" i="7"/>
  <c r="BE691" i="7"/>
  <c r="BE688" i="7"/>
  <c r="BE646" i="7"/>
  <c r="BE645" i="7"/>
  <c r="BE644" i="7"/>
  <c r="BE643" i="7"/>
  <c r="BE642" i="7"/>
  <c r="BE631" i="7" s="1"/>
  <c r="BE641" i="7"/>
  <c r="BE702" i="7" s="1"/>
  <c r="BE640" i="7"/>
  <c r="BE639" i="7"/>
  <c r="BE638" i="7"/>
  <c r="BE637" i="7"/>
  <c r="BE636" i="7"/>
  <c r="BE635" i="7"/>
  <c r="BE694" i="7" s="1"/>
  <c r="BE697" i="7" s="1"/>
  <c r="BE632" i="7"/>
  <c r="BE633" i="7" s="1"/>
  <c r="BE560" i="7"/>
  <c r="BE558" i="7"/>
  <c r="BE552" i="7"/>
  <c r="BE551" i="7"/>
  <c r="BE550" i="7"/>
  <c r="BE549" i="7"/>
  <c r="BE548" i="7" s="1"/>
  <c r="BE469" i="7"/>
  <c r="BE467" i="7"/>
  <c r="BE464" i="7"/>
  <c r="BE463" i="7"/>
  <c r="BE461" i="7"/>
  <c r="BE460" i="7"/>
  <c r="BE457" i="7"/>
  <c r="BE450" i="7"/>
  <c r="BE430" i="7"/>
  <c r="BE428" i="7"/>
  <c r="BE426" i="7"/>
  <c r="BE425" i="7"/>
  <c r="BE424" i="7"/>
  <c r="BE422" i="7"/>
  <c r="BE420" i="7"/>
  <c r="BE398" i="7"/>
  <c r="BE397" i="7"/>
  <c r="BE358" i="7"/>
  <c r="BE357" i="7"/>
  <c r="BE356" i="7"/>
  <c r="BE355" i="7"/>
  <c r="BE354" i="7"/>
  <c r="BE353" i="7"/>
  <c r="BE352" i="7"/>
  <c r="BE351" i="7"/>
  <c r="BE350" i="7"/>
  <c r="BE349" i="7"/>
  <c r="BE347" i="7"/>
  <c r="BE274" i="7"/>
  <c r="BE273" i="7"/>
  <c r="BE272" i="7"/>
  <c r="BE271" i="7"/>
  <c r="BE270" i="7"/>
  <c r="BE269" i="7"/>
  <c r="BE268" i="7"/>
  <c r="BE267" i="7"/>
  <c r="BE266" i="7"/>
  <c r="BE265" i="7"/>
  <c r="BE264" i="7"/>
  <c r="BE262" i="7"/>
  <c r="BE261" i="7"/>
  <c r="BE260" i="7"/>
  <c r="BE259" i="7"/>
  <c r="BE258" i="7"/>
  <c r="BE257" i="7"/>
  <c r="BE256" i="7"/>
  <c r="BE255" i="7"/>
  <c r="BE254" i="7"/>
  <c r="BE212" i="7"/>
  <c r="BE211" i="7"/>
  <c r="BE210" i="7"/>
  <c r="BE209" i="7"/>
  <c r="BE208" i="7"/>
  <c r="BE207" i="7"/>
  <c r="BE198" i="7"/>
  <c r="BE196" i="7"/>
  <c r="BE193" i="7"/>
  <c r="BE192" i="7"/>
  <c r="BE190" i="7"/>
  <c r="BE189" i="7"/>
  <c r="BE188" i="7"/>
  <c r="BE183" i="7"/>
  <c r="BE182" i="7"/>
  <c r="BE181" i="7"/>
  <c r="BE221" i="7" s="1"/>
  <c r="BE180" i="7"/>
  <c r="BE178" i="7"/>
  <c r="BE176" i="7"/>
  <c r="BE179" i="7" s="1"/>
  <c r="BE175" i="7"/>
  <c r="BE174" i="7"/>
  <c r="BE173" i="7"/>
  <c r="BE172" i="7"/>
  <c r="BE171" i="7"/>
  <c r="BE170" i="7"/>
  <c r="BE169" i="7"/>
  <c r="BE140" i="7"/>
  <c r="BE94" i="7"/>
  <c r="BE79" i="7"/>
  <c r="BE65" i="7"/>
  <c r="BE52" i="7"/>
  <c r="BE51" i="7"/>
  <c r="BE48" i="7"/>
  <c r="BE47" i="7"/>
  <c r="BE44" i="7"/>
  <c r="BE43" i="7"/>
  <c r="BE42" i="7"/>
  <c r="BE40" i="7"/>
  <c r="BE39" i="7"/>
  <c r="BE38" i="7"/>
  <c r="BE37" i="7"/>
  <c r="BE11" i="7"/>
  <c r="BE10" i="7"/>
  <c r="BE9" i="7"/>
  <c r="BE8" i="7"/>
  <c r="BE6" i="7"/>
  <c r="AR896" i="7"/>
  <c r="AS896" i="7" s="1"/>
  <c r="AR895" i="7"/>
  <c r="AV895" i="7" s="1"/>
  <c r="AR889" i="7"/>
  <c r="AV889" i="7" s="1"/>
  <c r="AR886" i="7"/>
  <c r="AV886" i="7" s="1"/>
  <c r="AR885" i="7"/>
  <c r="AR884" i="7"/>
  <c r="AS884" i="7" s="1"/>
  <c r="AT884" i="7" s="1"/>
  <c r="AU884" i="7" s="1"/>
  <c r="AR883" i="7"/>
  <c r="AV883" i="7" s="1"/>
  <c r="AR881" i="7"/>
  <c r="AV881" i="7" s="1"/>
  <c r="AR880" i="7"/>
  <c r="AS880" i="7" s="1"/>
  <c r="AR879" i="7"/>
  <c r="AV879" i="7" s="1"/>
  <c r="AR878" i="7"/>
  <c r="AS878" i="7" s="1"/>
  <c r="AT878" i="7" s="1"/>
  <c r="AU878" i="7" s="1"/>
  <c r="AR877" i="7"/>
  <c r="AV877" i="7" s="1"/>
  <c r="AR876" i="7"/>
  <c r="AV876" i="7" s="1"/>
  <c r="AR874" i="7"/>
  <c r="AS874" i="7" s="1"/>
  <c r="AR873" i="7"/>
  <c r="AV873" i="7" s="1"/>
  <c r="AR870" i="7"/>
  <c r="AV870" i="7" s="1"/>
  <c r="AR869" i="7"/>
  <c r="AV869" i="7" s="1"/>
  <c r="AR770" i="7"/>
  <c r="AS770" i="7" s="1"/>
  <c r="AT770" i="7" s="1"/>
  <c r="AU770" i="7" s="1"/>
  <c r="AR768" i="7"/>
  <c r="AR767" i="7"/>
  <c r="AV767" i="7" s="1"/>
  <c r="AR766" i="7"/>
  <c r="AV766" i="7" s="1"/>
  <c r="AR765" i="7"/>
  <c r="AS765" i="7" s="1"/>
  <c r="AR764" i="7"/>
  <c r="AV764" i="7" s="1"/>
  <c r="AR763" i="7"/>
  <c r="AV763" i="7" s="1"/>
  <c r="AR762" i="7"/>
  <c r="AR761" i="7"/>
  <c r="AS761" i="7" s="1"/>
  <c r="AT761" i="7" s="1"/>
  <c r="AU761" i="7" s="1"/>
  <c r="AR760" i="7"/>
  <c r="AV760" i="7" s="1"/>
  <c r="AR759" i="7"/>
  <c r="AV759" i="7" s="1"/>
  <c r="AR757" i="7"/>
  <c r="AV757" i="7" s="1"/>
  <c r="AR756" i="7"/>
  <c r="AV756" i="7" s="1"/>
  <c r="AR755" i="7"/>
  <c r="AS755" i="7" s="1"/>
  <c r="AT755" i="7" s="1"/>
  <c r="AU755" i="7" s="1"/>
  <c r="AR754" i="7"/>
  <c r="AV754" i="7" s="1"/>
  <c r="AR753" i="7"/>
  <c r="AR752" i="7"/>
  <c r="AS752" i="7" s="1"/>
  <c r="AT752" i="7" s="1"/>
  <c r="AU752" i="7" s="1"/>
  <c r="AR750" i="7"/>
  <c r="AV750" i="7" s="1"/>
  <c r="AR749" i="7"/>
  <c r="AV749" i="7" s="1"/>
  <c r="AR748" i="7"/>
  <c r="AS748" i="7" s="1"/>
  <c r="AT748" i="7" s="1"/>
  <c r="AU748" i="7" s="1"/>
  <c r="AR747" i="7"/>
  <c r="AV747" i="7" s="1"/>
  <c r="AR746" i="7"/>
  <c r="AS746" i="7" s="1"/>
  <c r="AT746" i="7" s="1"/>
  <c r="AU746" i="7" s="1"/>
  <c r="AR745" i="7"/>
  <c r="AV745" i="7" s="1"/>
  <c r="AR744" i="7"/>
  <c r="AR743" i="7"/>
  <c r="AS743" i="7" s="1"/>
  <c r="AT743" i="7" s="1"/>
  <c r="AU743" i="7" s="1"/>
  <c r="AR742" i="7"/>
  <c r="AV742" i="7" s="1"/>
  <c r="AR741" i="7"/>
  <c r="AV741" i="7" s="1"/>
  <c r="AR740" i="7"/>
  <c r="AS740" i="7" s="1"/>
  <c r="AT740" i="7" s="1"/>
  <c r="AU740" i="7" s="1"/>
  <c r="AR739" i="7"/>
  <c r="AV739" i="7" s="1"/>
  <c r="AR738" i="7"/>
  <c r="AS738" i="7" s="1"/>
  <c r="AT738" i="7" s="1"/>
  <c r="AU738" i="7" s="1"/>
  <c r="AR737" i="7"/>
  <c r="AV737" i="7" s="1"/>
  <c r="AR736" i="7"/>
  <c r="AR735" i="7"/>
  <c r="AS735" i="7" s="1"/>
  <c r="AT735" i="7" s="1"/>
  <c r="AU735" i="7" s="1"/>
  <c r="AR734" i="7"/>
  <c r="AV734" i="7" s="1"/>
  <c r="AR733" i="7"/>
  <c r="AV733" i="7" s="1"/>
  <c r="AR732" i="7"/>
  <c r="AS732" i="7" s="1"/>
  <c r="AT732" i="7" s="1"/>
  <c r="AU732" i="7" s="1"/>
  <c r="AR731" i="7"/>
  <c r="AV731" i="7" s="1"/>
  <c r="AR730" i="7"/>
  <c r="AS730" i="7" s="1"/>
  <c r="AT730" i="7" s="1"/>
  <c r="AU730" i="7" s="1"/>
  <c r="AR729" i="7"/>
  <c r="AV729" i="7" s="1"/>
  <c r="AR713" i="7"/>
  <c r="AR712" i="7"/>
  <c r="AS712" i="7" s="1"/>
  <c r="AT712" i="7" s="1"/>
  <c r="AU712" i="7" s="1"/>
  <c r="AR711" i="7"/>
  <c r="AV711" i="7" s="1"/>
  <c r="AR710" i="7"/>
  <c r="AV710" i="7" s="1"/>
  <c r="AR709" i="7"/>
  <c r="AS709" i="7" s="1"/>
  <c r="AT709" i="7" s="1"/>
  <c r="AU709" i="7" s="1"/>
  <c r="AR708" i="7"/>
  <c r="AV708" i="7" s="1"/>
  <c r="AR707" i="7"/>
  <c r="AS707" i="7" s="1"/>
  <c r="AT707" i="7" s="1"/>
  <c r="AU707" i="7" s="1"/>
  <c r="AR706" i="7"/>
  <c r="AV706" i="7" s="1"/>
  <c r="AR705" i="7"/>
  <c r="AV705" i="7" s="1"/>
  <c r="AR704" i="7"/>
  <c r="AV704" i="7" s="1"/>
  <c r="AR703" i="7"/>
  <c r="AV703" i="7" s="1"/>
  <c r="AR702" i="7"/>
  <c r="AV702" i="7" s="1"/>
  <c r="AR701" i="7"/>
  <c r="AR700" i="7"/>
  <c r="AS700" i="7" s="1"/>
  <c r="AT700" i="7" s="1"/>
  <c r="AU700" i="7" s="1"/>
  <c r="AR699" i="7"/>
  <c r="AV699" i="7" s="1"/>
  <c r="AR698" i="7"/>
  <c r="AV698" i="7" s="1"/>
  <c r="AR697" i="7"/>
  <c r="AS697" i="7" s="1"/>
  <c r="AT697" i="7" s="1"/>
  <c r="AU697" i="7" s="1"/>
  <c r="AR696" i="7"/>
  <c r="AV696" i="7" s="1"/>
  <c r="AR695" i="7"/>
  <c r="AV695" i="7" s="1"/>
  <c r="AR694" i="7"/>
  <c r="AV694" i="7" s="1"/>
  <c r="AR693" i="7"/>
  <c r="AR692" i="7"/>
  <c r="AS692" i="7" s="1"/>
  <c r="AT692" i="7" s="1"/>
  <c r="AU692" i="7" s="1"/>
  <c r="AR691" i="7"/>
  <c r="AV691" i="7" s="1"/>
  <c r="AR690" i="7"/>
  <c r="AV690" i="7" s="1"/>
  <c r="AR689" i="7"/>
  <c r="AS689" i="7" s="1"/>
  <c r="AT689" i="7" s="1"/>
  <c r="AU689" i="7" s="1"/>
  <c r="AR688" i="7"/>
  <c r="AV688" i="7" s="1"/>
  <c r="AR687" i="7"/>
  <c r="AV687" i="7" s="1"/>
  <c r="AR686" i="7"/>
  <c r="AV686" i="7" s="1"/>
  <c r="AR685" i="7"/>
  <c r="AR684" i="7"/>
  <c r="AS684" i="7" s="1"/>
  <c r="AT684" i="7" s="1"/>
  <c r="AU684" i="7" s="1"/>
  <c r="AR683" i="7"/>
  <c r="AV683" i="7" s="1"/>
  <c r="AR682" i="7"/>
  <c r="AV682" i="7" s="1"/>
  <c r="AR681" i="7"/>
  <c r="AS681" i="7" s="1"/>
  <c r="AT681" i="7" s="1"/>
  <c r="AU681" i="7" s="1"/>
  <c r="AR646" i="7"/>
  <c r="AV646" i="7" s="1"/>
  <c r="AR645" i="7"/>
  <c r="AS645" i="7" s="1"/>
  <c r="AT645" i="7" s="1"/>
  <c r="AU645" i="7" s="1"/>
  <c r="AR644" i="7"/>
  <c r="AV644" i="7" s="1"/>
  <c r="AR643" i="7"/>
  <c r="AV643" i="7" s="1"/>
  <c r="AR642" i="7"/>
  <c r="AV642" i="7" s="1"/>
  <c r="AR641" i="7"/>
  <c r="AR640" i="7"/>
  <c r="AS640" i="7" s="1"/>
  <c r="AT640" i="7" s="1"/>
  <c r="AU640" i="7" s="1"/>
  <c r="AR639" i="7"/>
  <c r="AV639" i="7" s="1"/>
  <c r="AR638" i="7"/>
  <c r="AV638" i="7" s="1"/>
  <c r="AR637" i="7"/>
  <c r="AS637" i="7" s="1"/>
  <c r="AT637" i="7" s="1"/>
  <c r="AU637" i="7" s="1"/>
  <c r="AR636" i="7"/>
  <c r="AV636" i="7" s="1"/>
  <c r="AR635" i="7"/>
  <c r="AS635" i="7" s="1"/>
  <c r="AT635" i="7" s="1"/>
  <c r="AU635" i="7" s="1"/>
  <c r="AR634" i="7"/>
  <c r="AV634" i="7" s="1"/>
  <c r="AR633" i="7"/>
  <c r="AR632" i="7"/>
  <c r="AS632" i="7" s="1"/>
  <c r="AT632" i="7" s="1"/>
  <c r="AU632" i="7" s="1"/>
  <c r="AR631" i="7"/>
  <c r="AV631" i="7" s="1"/>
  <c r="AR630" i="7"/>
  <c r="AV630" i="7" s="1"/>
  <c r="AR565" i="7"/>
  <c r="AS565" i="7" s="1"/>
  <c r="AT565" i="7" s="1"/>
  <c r="AU565" i="7" s="1"/>
  <c r="AR564" i="7"/>
  <c r="AV564" i="7" s="1"/>
  <c r="AR563" i="7"/>
  <c r="AS563" i="7" s="1"/>
  <c r="AT563" i="7" s="1"/>
  <c r="AU563" i="7" s="1"/>
  <c r="AR562" i="7"/>
  <c r="AS562" i="7" s="1"/>
  <c r="AT562" i="7" s="1"/>
  <c r="AU562" i="7" s="1"/>
  <c r="AR561" i="7"/>
  <c r="AR560" i="7"/>
  <c r="AS560" i="7" s="1"/>
  <c r="AT560" i="7" s="1"/>
  <c r="AU560" i="7" s="1"/>
  <c r="AR559" i="7"/>
  <c r="AV559" i="7" s="1"/>
  <c r="AR558" i="7"/>
  <c r="AR557" i="7"/>
  <c r="AS557" i="7" s="1"/>
  <c r="AT557" i="7" s="1"/>
  <c r="AU557" i="7" s="1"/>
  <c r="AR556" i="7"/>
  <c r="AV556" i="7" s="1"/>
  <c r="AR555" i="7"/>
  <c r="AS555" i="7" s="1"/>
  <c r="AT555" i="7" s="1"/>
  <c r="AU555" i="7" s="1"/>
  <c r="AR554" i="7"/>
  <c r="AS554" i="7" s="1"/>
  <c r="AT554" i="7" s="1"/>
  <c r="AU554" i="7" s="1"/>
  <c r="AR553" i="7"/>
  <c r="AV553" i="7" s="1"/>
  <c r="AR552" i="7"/>
  <c r="AS552" i="7" s="1"/>
  <c r="AT552" i="7" s="1"/>
  <c r="AU552" i="7" s="1"/>
  <c r="AR551" i="7"/>
  <c r="AV551" i="7" s="1"/>
  <c r="AR550" i="7"/>
  <c r="AR549" i="7"/>
  <c r="AS549" i="7" s="1"/>
  <c r="AT549" i="7" s="1"/>
  <c r="AU549" i="7" s="1"/>
  <c r="AR548" i="7"/>
  <c r="AV548" i="7" s="1"/>
  <c r="AR478" i="7"/>
  <c r="AS478" i="7" s="1"/>
  <c r="AT478" i="7" s="1"/>
  <c r="AU478" i="7" s="1"/>
  <c r="AR477" i="7"/>
  <c r="AS477" i="7" s="1"/>
  <c r="AT477" i="7" s="1"/>
  <c r="AU477" i="7" s="1"/>
  <c r="AR476" i="7"/>
  <c r="AV476" i="7" s="1"/>
  <c r="AR475" i="7"/>
  <c r="AV475" i="7" s="1"/>
  <c r="AR474" i="7"/>
  <c r="AV474" i="7" s="1"/>
  <c r="AR473" i="7"/>
  <c r="AS473" i="7" s="1"/>
  <c r="AT473" i="7" s="1"/>
  <c r="AU473" i="7" s="1"/>
  <c r="AR472" i="7"/>
  <c r="AV472" i="7" s="1"/>
  <c r="AR471" i="7"/>
  <c r="AV471" i="7" s="1"/>
  <c r="AR470" i="7"/>
  <c r="AV470" i="7" s="1"/>
  <c r="AR469" i="7"/>
  <c r="AS469" i="7" s="1"/>
  <c r="AT469" i="7" s="1"/>
  <c r="AU469" i="7" s="1"/>
  <c r="AR468" i="7"/>
  <c r="AV468" i="7" s="1"/>
  <c r="AR467" i="7"/>
  <c r="AV467" i="7" s="1"/>
  <c r="AR466" i="7"/>
  <c r="AV466" i="7" s="1"/>
  <c r="AR465" i="7"/>
  <c r="AS465" i="7" s="1"/>
  <c r="AT465" i="7" s="1"/>
  <c r="AU465" i="7" s="1"/>
  <c r="AR464" i="7"/>
  <c r="AV464" i="7" s="1"/>
  <c r="AR463" i="7"/>
  <c r="AR462" i="7"/>
  <c r="AS462" i="7" s="1"/>
  <c r="AT462" i="7" s="1"/>
  <c r="AU462" i="7" s="1"/>
  <c r="AR461" i="7"/>
  <c r="AV461" i="7" s="1"/>
  <c r="AR460" i="7"/>
  <c r="AS460" i="7" s="1"/>
  <c r="AT460" i="7" s="1"/>
  <c r="AU460" i="7" s="1"/>
  <c r="AR459" i="7"/>
  <c r="AV459" i="7" s="1"/>
  <c r="AR458" i="7"/>
  <c r="AV458" i="7" s="1"/>
  <c r="AR457" i="7"/>
  <c r="AS457" i="7" s="1"/>
  <c r="AT457" i="7" s="1"/>
  <c r="AU457" i="7" s="1"/>
  <c r="AR456" i="7"/>
  <c r="AV456" i="7" s="1"/>
  <c r="AR455" i="7"/>
  <c r="AS455" i="7" s="1"/>
  <c r="AT455" i="7" s="1"/>
  <c r="AU455" i="7" s="1"/>
  <c r="AR454" i="7"/>
  <c r="AV454" i="7" s="1"/>
  <c r="AR453" i="7"/>
  <c r="AR452" i="7"/>
  <c r="AS452" i="7" s="1"/>
  <c r="AT452" i="7" s="1"/>
  <c r="AU452" i="7" s="1"/>
  <c r="AR451" i="7"/>
  <c r="AV451" i="7" s="1"/>
  <c r="AR450" i="7"/>
  <c r="AS450" i="7" s="1"/>
  <c r="AT450" i="7" s="1"/>
  <c r="AU450" i="7" s="1"/>
  <c r="AR431" i="7"/>
  <c r="AV431" i="7" s="1"/>
  <c r="AR430" i="7"/>
  <c r="AV430" i="7" s="1"/>
  <c r="AR429" i="7"/>
  <c r="AS429" i="7" s="1"/>
  <c r="AT429" i="7" s="1"/>
  <c r="AU429" i="7" s="1"/>
  <c r="AR428" i="7"/>
  <c r="AV428" i="7" s="1"/>
  <c r="AR427" i="7"/>
  <c r="AR426" i="7"/>
  <c r="AS426" i="7" s="1"/>
  <c r="AT426" i="7" s="1"/>
  <c r="AU426" i="7" s="1"/>
  <c r="AR425" i="7"/>
  <c r="AV425" i="7" s="1"/>
  <c r="AR424" i="7"/>
  <c r="AS424" i="7" s="1"/>
  <c r="AT424" i="7" s="1"/>
  <c r="AU424" i="7" s="1"/>
  <c r="AR423" i="7"/>
  <c r="AV423" i="7" s="1"/>
  <c r="AR422" i="7"/>
  <c r="AV422" i="7" s="1"/>
  <c r="AR421" i="7"/>
  <c r="AS421" i="7" s="1"/>
  <c r="AT421" i="7" s="1"/>
  <c r="AU421" i="7" s="1"/>
  <c r="AR420" i="7"/>
  <c r="AR400" i="7"/>
  <c r="AV400" i="7" s="1"/>
  <c r="AR399" i="7"/>
  <c r="AR398" i="7"/>
  <c r="AR397" i="7"/>
  <c r="AS397" i="7" s="1"/>
  <c r="AT397" i="7" s="1"/>
  <c r="AU397" i="7" s="1"/>
  <c r="AR361" i="7"/>
  <c r="AV361" i="7" s="1"/>
  <c r="AR360" i="7"/>
  <c r="AS360" i="7" s="1"/>
  <c r="AT360" i="7" s="1"/>
  <c r="AU360" i="7" s="1"/>
  <c r="AR359" i="7"/>
  <c r="AV359" i="7" s="1"/>
  <c r="AR358" i="7"/>
  <c r="AV358" i="7" s="1"/>
  <c r="AR357" i="7"/>
  <c r="AS357" i="7" s="1"/>
  <c r="AT357" i="7" s="1"/>
  <c r="AU357" i="7" s="1"/>
  <c r="AR356" i="7"/>
  <c r="AV356" i="7" s="1"/>
  <c r="AR355" i="7"/>
  <c r="AS355" i="7" s="1"/>
  <c r="AT355" i="7" s="1"/>
  <c r="AU355" i="7" s="1"/>
  <c r="AR354" i="7"/>
  <c r="AV354" i="7" s="1"/>
  <c r="AR353" i="7"/>
  <c r="AS353" i="7" s="1"/>
  <c r="AT353" i="7" s="1"/>
  <c r="AU353" i="7" s="1"/>
  <c r="AR352" i="7"/>
  <c r="AV352" i="7" s="1"/>
  <c r="AR351" i="7"/>
  <c r="AV351" i="7" s="1"/>
  <c r="AR350" i="7"/>
  <c r="AV350" i="7" s="1"/>
  <c r="AR349" i="7"/>
  <c r="AV349" i="7" s="1"/>
  <c r="AR348" i="7"/>
  <c r="AV348" i="7" s="1"/>
  <c r="AR347" i="7"/>
  <c r="AS347" i="7" s="1"/>
  <c r="AT347" i="7" s="1"/>
  <c r="AU347" i="7" s="1"/>
  <c r="AR346" i="7"/>
  <c r="AV346" i="7" s="1"/>
  <c r="AR345" i="7"/>
  <c r="AS345" i="7" s="1"/>
  <c r="AT345" i="7" s="1"/>
  <c r="AU345" i="7" s="1"/>
  <c r="AR344" i="7"/>
  <c r="AV344" i="7" s="1"/>
  <c r="AR343" i="7"/>
  <c r="AV343" i="7" s="1"/>
  <c r="AR342" i="7"/>
  <c r="AV342" i="7" s="1"/>
  <c r="AR341" i="7"/>
  <c r="AV341" i="7" s="1"/>
  <c r="AR340" i="7"/>
  <c r="AV340" i="7" s="1"/>
  <c r="AR339" i="7"/>
  <c r="AS339" i="7" s="1"/>
  <c r="AT339" i="7" s="1"/>
  <c r="AU339" i="7" s="1"/>
  <c r="AR338" i="7"/>
  <c r="AV338" i="7" s="1"/>
  <c r="AR337" i="7"/>
  <c r="AS337" i="7" s="1"/>
  <c r="AT337" i="7" s="1"/>
  <c r="AU337" i="7" s="1"/>
  <c r="AR336" i="7"/>
  <c r="AV336" i="7" s="1"/>
  <c r="AR335" i="7"/>
  <c r="AV335" i="7" s="1"/>
  <c r="AR274" i="7"/>
  <c r="AS274" i="7" s="1"/>
  <c r="AR273" i="7"/>
  <c r="AV273" i="7" s="1"/>
  <c r="AR272" i="7"/>
  <c r="AV272" i="7" s="1"/>
  <c r="AR271" i="7"/>
  <c r="AV271" i="7" s="1"/>
  <c r="AR270" i="7"/>
  <c r="AV270" i="7" s="1"/>
  <c r="AR269" i="7"/>
  <c r="AS269" i="7" s="1"/>
  <c r="AT269" i="7" s="1"/>
  <c r="AU269" i="7" s="1"/>
  <c r="AR268" i="7"/>
  <c r="AV268" i="7" s="1"/>
  <c r="AR267" i="7"/>
  <c r="AS267" i="7" s="1"/>
  <c r="AT267" i="7" s="1"/>
  <c r="AU267" i="7" s="1"/>
  <c r="AR266" i="7"/>
  <c r="AV266" i="7" s="1"/>
  <c r="AR265" i="7"/>
  <c r="AV265" i="7" s="1"/>
  <c r="AR264" i="7"/>
  <c r="AV264" i="7" s="1"/>
  <c r="AR263" i="7"/>
  <c r="AV263" i="7" s="1"/>
  <c r="AR262" i="7"/>
  <c r="AV262" i="7" s="1"/>
  <c r="AR261" i="7"/>
  <c r="AS261" i="7" s="1"/>
  <c r="AT261" i="7" s="1"/>
  <c r="AU261" i="7" s="1"/>
  <c r="AR260" i="7"/>
  <c r="AV260" i="7" s="1"/>
  <c r="AR259" i="7"/>
  <c r="AS259" i="7" s="1"/>
  <c r="AT259" i="7" s="1"/>
  <c r="AU259" i="7" s="1"/>
  <c r="AR258" i="7"/>
  <c r="AV258" i="7" s="1"/>
  <c r="AR257" i="7"/>
  <c r="AV257" i="7" s="1"/>
  <c r="AR256" i="7"/>
  <c r="AV256" i="7" s="1"/>
  <c r="AR255" i="7"/>
  <c r="AV255" i="7" s="1"/>
  <c r="AR254" i="7"/>
  <c r="AV254" i="7" s="1"/>
  <c r="AR222" i="7"/>
  <c r="AS222" i="7" s="1"/>
  <c r="AT222" i="7" s="1"/>
  <c r="AU222" i="7" s="1"/>
  <c r="AR221" i="7"/>
  <c r="AV221" i="7" s="1"/>
  <c r="AR220" i="7"/>
  <c r="AS220" i="7" s="1"/>
  <c r="AR219" i="7"/>
  <c r="AV219" i="7" s="1"/>
  <c r="AR218" i="7"/>
  <c r="AV218" i="7" s="1"/>
  <c r="AR217" i="7"/>
  <c r="AV217" i="7" s="1"/>
  <c r="AR216" i="7"/>
  <c r="AS216" i="7" s="1"/>
  <c r="AT216" i="7" s="1"/>
  <c r="AU216" i="7" s="1"/>
  <c r="AR215" i="7"/>
  <c r="AV215" i="7" s="1"/>
  <c r="AR214" i="7"/>
  <c r="AS214" i="7" s="1"/>
  <c r="AT214" i="7" s="1"/>
  <c r="AU214" i="7" s="1"/>
  <c r="AR213" i="7"/>
  <c r="AV213" i="7" s="1"/>
  <c r="AR212" i="7"/>
  <c r="AV212" i="7" s="1"/>
  <c r="AR211" i="7"/>
  <c r="AS211" i="7" s="1"/>
  <c r="AT211" i="7" s="1"/>
  <c r="AU211" i="7" s="1"/>
  <c r="AR210" i="7"/>
  <c r="AV210" i="7" s="1"/>
  <c r="AR209" i="7"/>
  <c r="AV209" i="7" s="1"/>
  <c r="AR208" i="7"/>
  <c r="AS208" i="7" s="1"/>
  <c r="AT208" i="7" s="1"/>
  <c r="AU208" i="7" s="1"/>
  <c r="AR207" i="7"/>
  <c r="AV207" i="7" s="1"/>
  <c r="AR206" i="7"/>
  <c r="AS206" i="7" s="1"/>
  <c r="AT206" i="7" s="1"/>
  <c r="AU206" i="7" s="1"/>
  <c r="AR205" i="7"/>
  <c r="AV205" i="7" s="1"/>
  <c r="AR204" i="7"/>
  <c r="AV204" i="7" s="1"/>
  <c r="AR203" i="7"/>
  <c r="AV203" i="7" s="1"/>
  <c r="AR202" i="7"/>
  <c r="AV202" i="7" s="1"/>
  <c r="AR201" i="7"/>
  <c r="AV201" i="7" s="1"/>
  <c r="AR200" i="7"/>
  <c r="AS200" i="7" s="1"/>
  <c r="AT200" i="7" s="1"/>
  <c r="AU200" i="7" s="1"/>
  <c r="AR198" i="7"/>
  <c r="AV198" i="7" s="1"/>
  <c r="AR196" i="7"/>
  <c r="AS196" i="7" s="1"/>
  <c r="AT196" i="7" s="1"/>
  <c r="AU196" i="7" s="1"/>
  <c r="AR195" i="7"/>
  <c r="AV195" i="7" s="1"/>
  <c r="AR194" i="7"/>
  <c r="AV194" i="7" s="1"/>
  <c r="AR193" i="7"/>
  <c r="AV193" i="7" s="1"/>
  <c r="AR192" i="7"/>
  <c r="AV192" i="7" s="1"/>
  <c r="AR191" i="7"/>
  <c r="AV191" i="7" s="1"/>
  <c r="AR190" i="7"/>
  <c r="AS190" i="7" s="1"/>
  <c r="AT190" i="7" s="1"/>
  <c r="AU190" i="7" s="1"/>
  <c r="AR189" i="7"/>
  <c r="AV189" i="7" s="1"/>
  <c r="AR188" i="7"/>
  <c r="AS188" i="7" s="1"/>
  <c r="AT188" i="7" s="1"/>
  <c r="AU188" i="7" s="1"/>
  <c r="AR186" i="7"/>
  <c r="AV186" i="7" s="1"/>
  <c r="AR185" i="7"/>
  <c r="AV185" i="7" s="1"/>
  <c r="AR184" i="7"/>
  <c r="AV184" i="7" s="1"/>
  <c r="AR183" i="7"/>
  <c r="AV183" i="7" s="1"/>
  <c r="AR182" i="7"/>
  <c r="AV182" i="7" s="1"/>
  <c r="AR181" i="7"/>
  <c r="AS181" i="7" s="1"/>
  <c r="AT181" i="7" s="1"/>
  <c r="AU181" i="7" s="1"/>
  <c r="AR180" i="7"/>
  <c r="AV180" i="7" s="1"/>
  <c r="AR179" i="7"/>
  <c r="AR178" i="7"/>
  <c r="AV178" i="7" s="1"/>
  <c r="AR177" i="7"/>
  <c r="AV177" i="7" s="1"/>
  <c r="AR176" i="7"/>
  <c r="AV176" i="7" s="1"/>
  <c r="AR175" i="7"/>
  <c r="AS175" i="7" s="1"/>
  <c r="AT175" i="7" s="1"/>
  <c r="AU175" i="7" s="1"/>
  <c r="AR174" i="7"/>
  <c r="AV174" i="7" s="1"/>
  <c r="AR173" i="7"/>
  <c r="AS173" i="7" s="1"/>
  <c r="AT173" i="7" s="1"/>
  <c r="AU173" i="7" s="1"/>
  <c r="AR172" i="7"/>
  <c r="AV172" i="7" s="1"/>
  <c r="AR171" i="7"/>
  <c r="AR170" i="7"/>
  <c r="AV170" i="7" s="1"/>
  <c r="AR169" i="7"/>
  <c r="AS169" i="7" s="1"/>
  <c r="AT169" i="7" s="1"/>
  <c r="AU169" i="7" s="1"/>
  <c r="AR168" i="7"/>
  <c r="AV168" i="7" s="1"/>
  <c r="AR167" i="7"/>
  <c r="AS167" i="7" s="1"/>
  <c r="AT167" i="7" s="1"/>
  <c r="AU167" i="7" s="1"/>
  <c r="AR143" i="7"/>
  <c r="AV143" i="7" s="1"/>
  <c r="AR142" i="7"/>
  <c r="AS142" i="7" s="1"/>
  <c r="AT142" i="7" s="1"/>
  <c r="AU142" i="7" s="1"/>
  <c r="AR141" i="7"/>
  <c r="AV141" i="7" s="1"/>
  <c r="AR140" i="7"/>
  <c r="AR139" i="7"/>
  <c r="AV139" i="7" s="1"/>
  <c r="AR138" i="7"/>
  <c r="AS138" i="7" s="1"/>
  <c r="AT138" i="7" s="1"/>
  <c r="AU138" i="7" s="1"/>
  <c r="AR137" i="7"/>
  <c r="AV137" i="7" s="1"/>
  <c r="AR135" i="7"/>
  <c r="AV135" i="7" s="1"/>
  <c r="AR134" i="7"/>
  <c r="AV134" i="7" s="1"/>
  <c r="AR133" i="7"/>
  <c r="AS133" i="7" s="1"/>
  <c r="AT133" i="7" s="1"/>
  <c r="AU133" i="7" s="1"/>
  <c r="AR132" i="7"/>
  <c r="AS132" i="7" s="1"/>
  <c r="AT132" i="7" s="1"/>
  <c r="AU132" i="7" s="1"/>
  <c r="AR131" i="7"/>
  <c r="AV131" i="7" s="1"/>
  <c r="AR130" i="7"/>
  <c r="AV130" i="7" s="1"/>
  <c r="AR95" i="7"/>
  <c r="AS95" i="7" s="1"/>
  <c r="AT95" i="7" s="1"/>
  <c r="AU95" i="7" s="1"/>
  <c r="AR94" i="7"/>
  <c r="AV94" i="7" s="1"/>
  <c r="AR93" i="7"/>
  <c r="AV93" i="7" s="1"/>
  <c r="AR92" i="7"/>
  <c r="AV92" i="7" s="1"/>
  <c r="AR91" i="7"/>
  <c r="AS91" i="7" s="1"/>
  <c r="AR90" i="7"/>
  <c r="AV90" i="7" s="1"/>
  <c r="AR89" i="7"/>
  <c r="AV89" i="7" s="1"/>
  <c r="AR88" i="7"/>
  <c r="AV88" i="7" s="1"/>
  <c r="AR87" i="7"/>
  <c r="AS87" i="7" s="1"/>
  <c r="AT87" i="7" s="1"/>
  <c r="AU87" i="7" s="1"/>
  <c r="AR86" i="7"/>
  <c r="AV86" i="7" s="1"/>
  <c r="AR85" i="7"/>
  <c r="AS85" i="7" s="1"/>
  <c r="AR84" i="7"/>
  <c r="AV84" i="7" s="1"/>
  <c r="AR83" i="7"/>
  <c r="AV83" i="7" s="1"/>
  <c r="AR81" i="7"/>
  <c r="AV81" i="7" s="1"/>
  <c r="AR79" i="7"/>
  <c r="AS79" i="7" s="1"/>
  <c r="AT79" i="7" s="1"/>
  <c r="AU79" i="7" s="1"/>
  <c r="AR78" i="7"/>
  <c r="AV78" i="7" s="1"/>
  <c r="AR77" i="7"/>
  <c r="AV77" i="7" s="1"/>
  <c r="AR76" i="7"/>
  <c r="AV76" i="7" s="1"/>
  <c r="AR75" i="7"/>
  <c r="AS75" i="7" s="1"/>
  <c r="AR74" i="7"/>
  <c r="AV74" i="7" s="1"/>
  <c r="AR73" i="7"/>
  <c r="AS73" i="7" s="1"/>
  <c r="AT73" i="7" s="1"/>
  <c r="AU73" i="7" s="1"/>
  <c r="AR72" i="7"/>
  <c r="AS72" i="7" s="1"/>
  <c r="AT72" i="7" s="1"/>
  <c r="AU72" i="7" s="1"/>
  <c r="AR71" i="7"/>
  <c r="AV71" i="7" s="1"/>
  <c r="AR70" i="7"/>
  <c r="AV70" i="7" s="1"/>
  <c r="AR69" i="7"/>
  <c r="AS69" i="7" s="1"/>
  <c r="AT69" i="7" s="1"/>
  <c r="AU69" i="7" s="1"/>
  <c r="AR68" i="7"/>
  <c r="AS68" i="7" s="1"/>
  <c r="AT68" i="7" s="1"/>
  <c r="AU68" i="7" s="1"/>
  <c r="AR67" i="7"/>
  <c r="AV67" i="7" s="1"/>
  <c r="AR66" i="7"/>
  <c r="AV66" i="7" s="1"/>
  <c r="AR65" i="7"/>
  <c r="AS65" i="7" s="1"/>
  <c r="AT65" i="7" s="1"/>
  <c r="AU65" i="7" s="1"/>
  <c r="AR64" i="7"/>
  <c r="AV64" i="7" s="1"/>
  <c r="AR53" i="7"/>
  <c r="AS53" i="7" s="1"/>
  <c r="AR52" i="7"/>
  <c r="AV52" i="7" s="1"/>
  <c r="AR51" i="7"/>
  <c r="AV51" i="7" s="1"/>
  <c r="AR50" i="7"/>
  <c r="AV50" i="7" s="1"/>
  <c r="AR49" i="7"/>
  <c r="AS49" i="7" s="1"/>
  <c r="AT49" i="7" s="1"/>
  <c r="AU49" i="7" s="1"/>
  <c r="AR48" i="7"/>
  <c r="AS48" i="7" s="1"/>
  <c r="AT48" i="7" s="1"/>
  <c r="AU48" i="7" s="1"/>
  <c r="AR47" i="7"/>
  <c r="AV47" i="7" s="1"/>
  <c r="AR46" i="7"/>
  <c r="AV46" i="7" s="1"/>
  <c r="AR45" i="7"/>
  <c r="AS45" i="7" s="1"/>
  <c r="AT45" i="7" s="1"/>
  <c r="AU45" i="7" s="1"/>
  <c r="AR44" i="7"/>
  <c r="AS44" i="7" s="1"/>
  <c r="AT44" i="7" s="1"/>
  <c r="AU44" i="7" s="1"/>
  <c r="AR43" i="7"/>
  <c r="AV43" i="7" s="1"/>
  <c r="AR42" i="7"/>
  <c r="AS42" i="7" s="1"/>
  <c r="AT42" i="7" s="1"/>
  <c r="AU42" i="7" s="1"/>
  <c r="AR41" i="7"/>
  <c r="AV41" i="7" s="1"/>
  <c r="AR40" i="7"/>
  <c r="AS40" i="7" s="1"/>
  <c r="AT40" i="7" s="1"/>
  <c r="AU40" i="7" s="1"/>
  <c r="AR39" i="7"/>
  <c r="AV39" i="7" s="1"/>
  <c r="AR38" i="7"/>
  <c r="AV38" i="7" s="1"/>
  <c r="AR37" i="7"/>
  <c r="AV37" i="7" s="1"/>
  <c r="AR36" i="7"/>
  <c r="AV36" i="7" s="1"/>
  <c r="AR35" i="7"/>
  <c r="AS35" i="7" s="1"/>
  <c r="AT35" i="7" s="1"/>
  <c r="AU35" i="7" s="1"/>
  <c r="AR12" i="7"/>
  <c r="AV12" i="7" s="1"/>
  <c r="AR11" i="7"/>
  <c r="AV11" i="7" s="1"/>
  <c r="AR10" i="7"/>
  <c r="AV10" i="7" s="1"/>
  <c r="AR9" i="7"/>
  <c r="AS9" i="7" s="1"/>
  <c r="AT9" i="7" s="1"/>
  <c r="AU9" i="7" s="1"/>
  <c r="AR8" i="7"/>
  <c r="AS8" i="7" s="1"/>
  <c r="AT8" i="7" s="1"/>
  <c r="AU8" i="7" s="1"/>
  <c r="AR7" i="7"/>
  <c r="AV7" i="7" s="1"/>
  <c r="AR6" i="7"/>
  <c r="AV6" i="7" s="1"/>
  <c r="BI896" i="7"/>
  <c r="BM896" i="7" s="1"/>
  <c r="BI895" i="7"/>
  <c r="BM895" i="7" s="1"/>
  <c r="BI889" i="7"/>
  <c r="BJ889" i="7" s="1"/>
  <c r="BK889" i="7" s="1"/>
  <c r="BL889" i="7" s="1"/>
  <c r="BI886" i="7"/>
  <c r="BM886" i="7" s="1"/>
  <c r="BI885" i="7"/>
  <c r="BI884" i="7"/>
  <c r="BJ884" i="7" s="1"/>
  <c r="BK884" i="7" s="1"/>
  <c r="BL884" i="7" s="1"/>
  <c r="BI883" i="7"/>
  <c r="BJ883" i="7" s="1"/>
  <c r="BK883" i="7" s="1"/>
  <c r="BL883" i="7" s="1"/>
  <c r="BI881" i="7"/>
  <c r="BM881" i="7" s="1"/>
  <c r="BI880" i="7"/>
  <c r="BM880" i="7" s="1"/>
  <c r="BI879" i="7"/>
  <c r="BI878" i="7"/>
  <c r="BJ878" i="7" s="1"/>
  <c r="BK878" i="7" s="1"/>
  <c r="BL878" i="7" s="1"/>
  <c r="BI877" i="7"/>
  <c r="BJ877" i="7" s="1"/>
  <c r="BK877" i="7" s="1"/>
  <c r="BL877" i="7" s="1"/>
  <c r="BI876" i="7"/>
  <c r="BM876" i="7" s="1"/>
  <c r="BI874" i="7"/>
  <c r="BL874" i="7" s="1"/>
  <c r="BI873" i="7"/>
  <c r="BI870" i="7"/>
  <c r="BJ870" i="7" s="1"/>
  <c r="BI869" i="7"/>
  <c r="BM869" i="7" s="1"/>
  <c r="BI770" i="7"/>
  <c r="BJ770" i="7" s="1"/>
  <c r="BK770" i="7" s="1"/>
  <c r="BL770" i="7" s="1"/>
  <c r="BI768" i="7"/>
  <c r="BM768" i="7" s="1"/>
  <c r="BI767" i="7"/>
  <c r="BM767" i="7" s="1"/>
  <c r="BI766" i="7"/>
  <c r="BL766" i="7" s="1"/>
  <c r="BI765" i="7"/>
  <c r="BM765" i="7" s="1"/>
  <c r="BI764" i="7"/>
  <c r="BM764" i="7" s="1"/>
  <c r="BI763" i="7"/>
  <c r="BM763" i="7" s="1"/>
  <c r="BI762" i="7"/>
  <c r="BJ762" i="7" s="1"/>
  <c r="BK762" i="7" s="1"/>
  <c r="BL762" i="7" s="1"/>
  <c r="BI761" i="7"/>
  <c r="BM761" i="7" s="1"/>
  <c r="BI760" i="7"/>
  <c r="BI759" i="7"/>
  <c r="BJ759" i="7" s="1"/>
  <c r="BK759" i="7" s="1"/>
  <c r="BL759" i="7" s="1"/>
  <c r="BI757" i="7"/>
  <c r="BJ757" i="7" s="1"/>
  <c r="BK757" i="7" s="1"/>
  <c r="BL757" i="7" s="1"/>
  <c r="BI756" i="7"/>
  <c r="BM756" i="7" s="1"/>
  <c r="BI755" i="7"/>
  <c r="BM755" i="7" s="1"/>
  <c r="BI754" i="7"/>
  <c r="BM754" i="7" s="1"/>
  <c r="BI753" i="7"/>
  <c r="BJ753" i="7" s="1"/>
  <c r="BK753" i="7" s="1"/>
  <c r="BL753" i="7" s="1"/>
  <c r="BI752" i="7"/>
  <c r="BM752" i="7" s="1"/>
  <c r="BI750" i="7"/>
  <c r="BI749" i="7"/>
  <c r="BJ749" i="7" s="1"/>
  <c r="BK749" i="7" s="1"/>
  <c r="BL749" i="7" s="1"/>
  <c r="BI748" i="7"/>
  <c r="BI747" i="7"/>
  <c r="BM747" i="7" s="1"/>
  <c r="BI746" i="7"/>
  <c r="BM746" i="7" s="1"/>
  <c r="BI745" i="7"/>
  <c r="BM745" i="7" s="1"/>
  <c r="BI744" i="7"/>
  <c r="BJ744" i="7" s="1"/>
  <c r="BK744" i="7" s="1"/>
  <c r="BL744" i="7" s="1"/>
  <c r="BI743" i="7"/>
  <c r="BM743" i="7" s="1"/>
  <c r="BI742" i="7"/>
  <c r="BI741" i="7"/>
  <c r="BJ741" i="7" s="1"/>
  <c r="BK741" i="7" s="1"/>
  <c r="BL741" i="7" s="1"/>
  <c r="BI740" i="7"/>
  <c r="BI739" i="7"/>
  <c r="BM739" i="7" s="1"/>
  <c r="BI738" i="7"/>
  <c r="BM738" i="7" s="1"/>
  <c r="BI737" i="7"/>
  <c r="BM737" i="7" s="1"/>
  <c r="BI736" i="7"/>
  <c r="BJ736" i="7" s="1"/>
  <c r="BK736" i="7" s="1"/>
  <c r="BL736" i="7" s="1"/>
  <c r="BI735" i="7"/>
  <c r="BM735" i="7" s="1"/>
  <c r="BI734" i="7"/>
  <c r="BI733" i="7"/>
  <c r="BJ733" i="7" s="1"/>
  <c r="BK733" i="7" s="1"/>
  <c r="BL733" i="7" s="1"/>
  <c r="BI732" i="7"/>
  <c r="BI731" i="7"/>
  <c r="BM731" i="7" s="1"/>
  <c r="BI730" i="7"/>
  <c r="BJ730" i="7" s="1"/>
  <c r="BK730" i="7" s="1"/>
  <c r="BL730" i="7" s="1"/>
  <c r="BI729" i="7"/>
  <c r="BM729" i="7" s="1"/>
  <c r="BI713" i="7"/>
  <c r="BJ713" i="7" s="1"/>
  <c r="BK713" i="7" s="1"/>
  <c r="BL713" i="7" s="1"/>
  <c r="BI712" i="7"/>
  <c r="BM712" i="7" s="1"/>
  <c r="BI711" i="7"/>
  <c r="BI710" i="7"/>
  <c r="BJ710" i="7" s="1"/>
  <c r="BK710" i="7" s="1"/>
  <c r="BL710" i="7" s="1"/>
  <c r="BI709" i="7"/>
  <c r="BI708" i="7"/>
  <c r="BM708" i="7" s="1"/>
  <c r="BI707" i="7"/>
  <c r="BM707" i="7" s="1"/>
  <c r="BI706" i="7"/>
  <c r="BM706" i="7" s="1"/>
  <c r="BI705" i="7"/>
  <c r="BJ705" i="7" s="1"/>
  <c r="BI704" i="7"/>
  <c r="BL704" i="7" s="1"/>
  <c r="BI703" i="7"/>
  <c r="BJ703" i="7" s="1"/>
  <c r="BK703" i="7" s="1"/>
  <c r="BL703" i="7" s="1"/>
  <c r="BI702" i="7"/>
  <c r="BM702" i="7" s="1"/>
  <c r="BI701" i="7"/>
  <c r="BI700" i="7"/>
  <c r="BJ700" i="7" s="1"/>
  <c r="BK700" i="7" s="1"/>
  <c r="BL700" i="7" s="1"/>
  <c r="BI699" i="7"/>
  <c r="BI698" i="7"/>
  <c r="BM698" i="7" s="1"/>
  <c r="BI697" i="7"/>
  <c r="BM697" i="7" s="1"/>
  <c r="BI696" i="7"/>
  <c r="BM696" i="7" s="1"/>
  <c r="BI695" i="7"/>
  <c r="BJ695" i="7" s="1"/>
  <c r="BK695" i="7" s="1"/>
  <c r="BL695" i="7" s="1"/>
  <c r="BI694" i="7"/>
  <c r="BM694" i="7" s="1"/>
  <c r="BI693" i="7"/>
  <c r="BI692" i="7"/>
  <c r="BJ692" i="7" s="1"/>
  <c r="BK692" i="7" s="1"/>
  <c r="BL692" i="7" s="1"/>
  <c r="BI691" i="7"/>
  <c r="BI690" i="7"/>
  <c r="BJ690" i="7" s="1"/>
  <c r="BK690" i="7" s="1"/>
  <c r="BL690" i="7" s="1"/>
  <c r="BI689" i="7"/>
  <c r="BJ689" i="7" s="1"/>
  <c r="BK689" i="7" s="1"/>
  <c r="BL689" i="7" s="1"/>
  <c r="BI688" i="7"/>
  <c r="BM688" i="7" s="1"/>
  <c r="BI687" i="7"/>
  <c r="BJ687" i="7" s="1"/>
  <c r="BK687" i="7" s="1"/>
  <c r="BL687" i="7" s="1"/>
  <c r="BI686" i="7"/>
  <c r="BM686" i="7" s="1"/>
  <c r="BI685" i="7"/>
  <c r="BI684" i="7"/>
  <c r="BJ684" i="7" s="1"/>
  <c r="BK684" i="7" s="1"/>
  <c r="BL684" i="7" s="1"/>
  <c r="BI683" i="7"/>
  <c r="BI682" i="7"/>
  <c r="BM682" i="7" s="1"/>
  <c r="BI681" i="7"/>
  <c r="BM681" i="7" s="1"/>
  <c r="BI646" i="7"/>
  <c r="BM646" i="7" s="1"/>
  <c r="BI645" i="7"/>
  <c r="BJ645" i="7" s="1"/>
  <c r="BK645" i="7" s="1"/>
  <c r="BL645" i="7" s="1"/>
  <c r="BI644" i="7"/>
  <c r="BL644" i="7" s="1"/>
  <c r="BI643" i="7"/>
  <c r="BM643" i="7" s="1"/>
  <c r="BI642" i="7"/>
  <c r="BM642" i="7" s="1"/>
  <c r="BI641" i="7"/>
  <c r="BM641" i="7" s="1"/>
  <c r="BI640" i="7"/>
  <c r="BJ640" i="7" s="1"/>
  <c r="BK640" i="7" s="1"/>
  <c r="BL640" i="7" s="1"/>
  <c r="BI639" i="7"/>
  <c r="BM639" i="7" s="1"/>
  <c r="BI638" i="7"/>
  <c r="BI637" i="7"/>
  <c r="BJ637" i="7" s="1"/>
  <c r="BK637" i="7" s="1"/>
  <c r="BL637" i="7" s="1"/>
  <c r="BI636" i="7"/>
  <c r="BI635" i="7"/>
  <c r="BJ635" i="7" s="1"/>
  <c r="BK635" i="7" s="1"/>
  <c r="BL635" i="7" s="1"/>
  <c r="BI634" i="7"/>
  <c r="BJ634" i="7" s="1"/>
  <c r="BK634" i="7" s="1"/>
  <c r="BL634" i="7" s="1"/>
  <c r="BI633" i="7"/>
  <c r="BM633" i="7" s="1"/>
  <c r="BI632" i="7"/>
  <c r="BJ632" i="7" s="1"/>
  <c r="BK632" i="7" s="1"/>
  <c r="BL632" i="7" s="1"/>
  <c r="BI631" i="7"/>
  <c r="BM631" i="7" s="1"/>
  <c r="BI630" i="7"/>
  <c r="BI565" i="7"/>
  <c r="BJ565" i="7" s="1"/>
  <c r="BK565" i="7" s="1"/>
  <c r="BL565" i="7" s="1"/>
  <c r="BI564" i="7"/>
  <c r="BJ564" i="7" s="1"/>
  <c r="BK564" i="7" s="1"/>
  <c r="BL564" i="7" s="1"/>
  <c r="BI563" i="7"/>
  <c r="BM563" i="7" s="1"/>
  <c r="BI562" i="7"/>
  <c r="BM562" i="7" s="1"/>
  <c r="BI561" i="7"/>
  <c r="BM561" i="7" s="1"/>
  <c r="BI560" i="7"/>
  <c r="BJ560" i="7" s="1"/>
  <c r="BK560" i="7" s="1"/>
  <c r="BL560" i="7" s="1"/>
  <c r="BI559" i="7"/>
  <c r="BM559" i="7" s="1"/>
  <c r="BI558" i="7"/>
  <c r="BI557" i="7"/>
  <c r="BJ557" i="7" s="1"/>
  <c r="BK557" i="7" s="1"/>
  <c r="BL557" i="7" s="1"/>
  <c r="BI556" i="7"/>
  <c r="BJ556" i="7" s="1"/>
  <c r="BK556" i="7" s="1"/>
  <c r="BL556" i="7" s="1"/>
  <c r="BI555" i="7"/>
  <c r="BM555" i="7" s="1"/>
  <c r="BI554" i="7"/>
  <c r="BM554" i="7" s="1"/>
  <c r="BI553" i="7"/>
  <c r="BM553" i="7" s="1"/>
  <c r="BI552" i="7"/>
  <c r="BJ552" i="7" s="1"/>
  <c r="BK552" i="7" s="1"/>
  <c r="BL552" i="7" s="1"/>
  <c r="BI551" i="7"/>
  <c r="BM551" i="7" s="1"/>
  <c r="BI550" i="7"/>
  <c r="BI549" i="7"/>
  <c r="BJ549" i="7" s="1"/>
  <c r="BK549" i="7" s="1"/>
  <c r="BL549" i="7" s="1"/>
  <c r="BI548" i="7"/>
  <c r="BJ548" i="7" s="1"/>
  <c r="BK548" i="7" s="1"/>
  <c r="BL548" i="7" s="1"/>
  <c r="BI478" i="7"/>
  <c r="BM478" i="7" s="1"/>
  <c r="BI477" i="7"/>
  <c r="BJ477" i="7" s="1"/>
  <c r="BK477" i="7" s="1"/>
  <c r="BL477" i="7" s="1"/>
  <c r="BI476" i="7"/>
  <c r="BM476" i="7" s="1"/>
  <c r="BI475" i="7"/>
  <c r="BJ475" i="7" s="1"/>
  <c r="BI474" i="7"/>
  <c r="BJ474" i="7" s="1"/>
  <c r="BK474" i="7" s="1"/>
  <c r="BL474" i="7" s="1"/>
  <c r="BI473" i="7"/>
  <c r="BJ473" i="7" s="1"/>
  <c r="BK473" i="7" s="1"/>
  <c r="BL473" i="7" s="1"/>
  <c r="BI471" i="7"/>
  <c r="BL471" i="7" s="1"/>
  <c r="BI470" i="7"/>
  <c r="BI469" i="7"/>
  <c r="BJ469" i="7" s="1"/>
  <c r="BK469" i="7" s="1"/>
  <c r="BL469" i="7" s="1"/>
  <c r="BI468" i="7"/>
  <c r="BJ468" i="7" s="1"/>
  <c r="BK468" i="7" s="1"/>
  <c r="BL468" i="7" s="1"/>
  <c r="BI467" i="7"/>
  <c r="BI466" i="7"/>
  <c r="BM465" i="7"/>
  <c r="BL465" i="7"/>
  <c r="BI464" i="7"/>
  <c r="BM464" i="7" s="1"/>
  <c r="BI463" i="7"/>
  <c r="BJ463" i="7" s="1"/>
  <c r="BK463" i="7" s="1"/>
  <c r="BL463" i="7" s="1"/>
  <c r="BI462" i="7"/>
  <c r="BM462" i="7" s="1"/>
  <c r="BI461" i="7"/>
  <c r="BI460" i="7"/>
  <c r="BJ460" i="7" s="1"/>
  <c r="BK460" i="7" s="1"/>
  <c r="BL460" i="7" s="1"/>
  <c r="BI459" i="7"/>
  <c r="BJ459" i="7" s="1"/>
  <c r="BK459" i="7" s="1"/>
  <c r="BL459" i="7" s="1"/>
  <c r="BI458" i="7"/>
  <c r="BM458" i="7" s="1"/>
  <c r="BI457" i="7"/>
  <c r="BJ457" i="7" s="1"/>
  <c r="BK457" i="7" s="1"/>
  <c r="BL457" i="7" s="1"/>
  <c r="BI456" i="7"/>
  <c r="BL456" i="7" s="1"/>
  <c r="BI455" i="7"/>
  <c r="BM455" i="7" s="1"/>
  <c r="BI454" i="7"/>
  <c r="BJ454" i="7" s="1"/>
  <c r="BK454" i="7" s="1"/>
  <c r="BL454" i="7" s="1"/>
  <c r="BI453" i="7"/>
  <c r="BM453" i="7" s="1"/>
  <c r="BI452" i="7"/>
  <c r="BJ452" i="7" s="1"/>
  <c r="BK452" i="7" s="1"/>
  <c r="BL452" i="7" s="1"/>
  <c r="BI451" i="7"/>
  <c r="BM451" i="7" s="1"/>
  <c r="BI450" i="7"/>
  <c r="BJ450" i="7" s="1"/>
  <c r="BK450" i="7" s="1"/>
  <c r="BL450" i="7" s="1"/>
  <c r="BI431" i="7"/>
  <c r="BM431" i="7" s="1"/>
  <c r="BI430" i="7"/>
  <c r="BI429" i="7"/>
  <c r="BM429" i="7" s="1"/>
  <c r="BI428" i="7"/>
  <c r="BJ428" i="7" s="1"/>
  <c r="BK428" i="7" s="1"/>
  <c r="BL428" i="7" s="1"/>
  <c r="BI427" i="7"/>
  <c r="BM427" i="7" s="1"/>
  <c r="BI426" i="7"/>
  <c r="BM426" i="7" s="1"/>
  <c r="BI425" i="7"/>
  <c r="BM425" i="7" s="1"/>
  <c r="BI424" i="7"/>
  <c r="BJ424" i="7" s="1"/>
  <c r="BK424" i="7" s="1"/>
  <c r="BL424" i="7" s="1"/>
  <c r="BI423" i="7"/>
  <c r="BM423" i="7" s="1"/>
  <c r="BI422" i="7"/>
  <c r="BI421" i="7"/>
  <c r="BM421" i="7" s="1"/>
  <c r="BI420" i="7"/>
  <c r="BJ420" i="7" s="1"/>
  <c r="BK420" i="7" s="1"/>
  <c r="BL420" i="7" s="1"/>
  <c r="BI400" i="7"/>
  <c r="BI399" i="7"/>
  <c r="BM399" i="7" s="1"/>
  <c r="BI398" i="7"/>
  <c r="BI397" i="7"/>
  <c r="BM397" i="7" s="1"/>
  <c r="BI361" i="7"/>
  <c r="BJ361" i="7" s="1"/>
  <c r="BK361" i="7" s="1"/>
  <c r="BL361" i="7" s="1"/>
  <c r="BI360" i="7"/>
  <c r="BJ360" i="7" s="1"/>
  <c r="BK360" i="7" s="1"/>
  <c r="BL360" i="7" s="1"/>
  <c r="BI359" i="7"/>
  <c r="BM359" i="7" s="1"/>
  <c r="BI358" i="7"/>
  <c r="BM358" i="7" s="1"/>
  <c r="BI357" i="7"/>
  <c r="BJ357" i="7" s="1"/>
  <c r="BK357" i="7" s="1"/>
  <c r="BL357" i="7" s="1"/>
  <c r="BI356" i="7"/>
  <c r="BM356" i="7" s="1"/>
  <c r="BI355" i="7"/>
  <c r="BJ355" i="7" s="1"/>
  <c r="BK355" i="7" s="1"/>
  <c r="BL355" i="7" s="1"/>
  <c r="BI354" i="7"/>
  <c r="BM354" i="7" s="1"/>
  <c r="BI353" i="7"/>
  <c r="BM353" i="7" s="1"/>
  <c r="BI352" i="7"/>
  <c r="BM352" i="7" s="1"/>
  <c r="BI351" i="7"/>
  <c r="BM351" i="7" s="1"/>
  <c r="BI350" i="7"/>
  <c r="BJ350" i="7" s="1"/>
  <c r="BK350" i="7" s="1"/>
  <c r="BL350" i="7" s="1"/>
  <c r="BI349" i="7"/>
  <c r="BM349" i="7" s="1"/>
  <c r="BI348" i="7"/>
  <c r="BM348" i="7" s="1"/>
  <c r="BI347" i="7"/>
  <c r="BJ347" i="7" s="1"/>
  <c r="BK347" i="7" s="1"/>
  <c r="BL347" i="7" s="1"/>
  <c r="BI346" i="7"/>
  <c r="BM346" i="7" s="1"/>
  <c r="BI345" i="7"/>
  <c r="BM345" i="7" s="1"/>
  <c r="BI344" i="7"/>
  <c r="BM344" i="7" s="1"/>
  <c r="BI343" i="7"/>
  <c r="BM343" i="7" s="1"/>
  <c r="BI342" i="7"/>
  <c r="BJ342" i="7" s="1"/>
  <c r="BK342" i="7" s="1"/>
  <c r="BL342" i="7" s="1"/>
  <c r="BI341" i="7"/>
  <c r="BM341" i="7" s="1"/>
  <c r="BI340" i="7"/>
  <c r="BM340" i="7" s="1"/>
  <c r="BI339" i="7"/>
  <c r="BJ339" i="7" s="1"/>
  <c r="BK339" i="7" s="1"/>
  <c r="BL339" i="7" s="1"/>
  <c r="BI338" i="7"/>
  <c r="BJ338" i="7" s="1"/>
  <c r="BK338" i="7" s="1"/>
  <c r="BL338" i="7" s="1"/>
  <c r="BI337" i="7"/>
  <c r="BJ337" i="7" s="1"/>
  <c r="BK337" i="7" s="1"/>
  <c r="BL337" i="7" s="1"/>
  <c r="BI336" i="7"/>
  <c r="BM336" i="7" s="1"/>
  <c r="BI335" i="7"/>
  <c r="BM335" i="7" s="1"/>
  <c r="BI274" i="7"/>
  <c r="BJ274" i="7" s="1"/>
  <c r="BI273" i="7"/>
  <c r="BM273" i="7" s="1"/>
  <c r="BI272" i="7"/>
  <c r="BM272" i="7" s="1"/>
  <c r="BI271" i="7"/>
  <c r="BM271" i="7" s="1"/>
  <c r="BI270" i="7"/>
  <c r="BM270" i="7" s="1"/>
  <c r="BI269" i="7"/>
  <c r="BJ269" i="7" s="1"/>
  <c r="BK269" i="7" s="1"/>
  <c r="BL269" i="7" s="1"/>
  <c r="BI268" i="7"/>
  <c r="BM268" i="7" s="1"/>
  <c r="BI267" i="7"/>
  <c r="BJ267" i="7" s="1"/>
  <c r="BK267" i="7" s="1"/>
  <c r="BL267" i="7" s="1"/>
  <c r="BI266" i="7"/>
  <c r="BJ266" i="7" s="1"/>
  <c r="BK266" i="7" s="1"/>
  <c r="BL266" i="7" s="1"/>
  <c r="BI265" i="7"/>
  <c r="BM265" i="7" s="1"/>
  <c r="BI264" i="7"/>
  <c r="BJ264" i="7" s="1"/>
  <c r="BK264" i="7" s="1"/>
  <c r="BL264" i="7" s="1"/>
  <c r="BI263" i="7"/>
  <c r="BM263" i="7" s="1"/>
  <c r="BI262" i="7"/>
  <c r="BM262" i="7" s="1"/>
  <c r="BI261" i="7"/>
  <c r="BJ261" i="7" s="1"/>
  <c r="BK261" i="7" s="1"/>
  <c r="BL261" i="7" s="1"/>
  <c r="BI260" i="7"/>
  <c r="BM260" i="7" s="1"/>
  <c r="BI259" i="7"/>
  <c r="BM259" i="7" s="1"/>
  <c r="BI258" i="7"/>
  <c r="BJ258" i="7" s="1"/>
  <c r="BK258" i="7" s="1"/>
  <c r="BL258" i="7" s="1"/>
  <c r="BI257" i="7"/>
  <c r="BM257" i="7" s="1"/>
  <c r="BI256" i="7"/>
  <c r="BJ256" i="7" s="1"/>
  <c r="BK256" i="7" s="1"/>
  <c r="BL256" i="7" s="1"/>
  <c r="BI255" i="7"/>
  <c r="BM255" i="7" s="1"/>
  <c r="BI254" i="7"/>
  <c r="BM254" i="7" s="1"/>
  <c r="BI222" i="7"/>
  <c r="BJ222" i="7" s="1"/>
  <c r="BK222" i="7" s="1"/>
  <c r="BL222" i="7" s="1"/>
  <c r="BI221" i="7"/>
  <c r="BM221" i="7" s="1"/>
  <c r="BI220" i="7"/>
  <c r="BL220" i="7" s="1"/>
  <c r="BI219" i="7"/>
  <c r="BM219" i="7" s="1"/>
  <c r="BI218" i="7"/>
  <c r="BL218" i="7" s="1"/>
  <c r="BI217" i="7"/>
  <c r="BM217" i="7" s="1"/>
  <c r="BI216" i="7"/>
  <c r="BM216" i="7" s="1"/>
  <c r="BI215" i="7"/>
  <c r="BJ215" i="7" s="1"/>
  <c r="BK215" i="7" s="1"/>
  <c r="BL215" i="7" s="1"/>
  <c r="BI214" i="7"/>
  <c r="BM214" i="7" s="1"/>
  <c r="BI213" i="7"/>
  <c r="BM213" i="7" s="1"/>
  <c r="BI212" i="7"/>
  <c r="BJ212" i="7" s="1"/>
  <c r="BK212" i="7" s="1"/>
  <c r="BL212" i="7" s="1"/>
  <c r="BI211" i="7"/>
  <c r="BM211" i="7" s="1"/>
  <c r="BI210" i="7"/>
  <c r="BM210" i="7" s="1"/>
  <c r="BI209" i="7"/>
  <c r="BM209" i="7" s="1"/>
  <c r="BI208" i="7"/>
  <c r="BM208" i="7" s="1"/>
  <c r="BI207" i="7"/>
  <c r="BJ207" i="7" s="1"/>
  <c r="BK207" i="7" s="1"/>
  <c r="BL207" i="7" s="1"/>
  <c r="BI206" i="7"/>
  <c r="BM206" i="7" s="1"/>
  <c r="BI205" i="7"/>
  <c r="BM205" i="7" s="1"/>
  <c r="BI204" i="7"/>
  <c r="BJ204" i="7" s="1"/>
  <c r="BK204" i="7" s="1"/>
  <c r="BL204" i="7" s="1"/>
  <c r="BI203" i="7"/>
  <c r="BM203" i="7" s="1"/>
  <c r="BI202" i="7"/>
  <c r="BM202" i="7" s="1"/>
  <c r="BI201" i="7"/>
  <c r="BM201" i="7" s="1"/>
  <c r="BI200" i="7"/>
  <c r="BM200" i="7" s="1"/>
  <c r="BI198" i="7"/>
  <c r="BJ198" i="7" s="1"/>
  <c r="BK198" i="7" s="1"/>
  <c r="BL198" i="7" s="1"/>
  <c r="BI196" i="7"/>
  <c r="BM196" i="7" s="1"/>
  <c r="BI195" i="7"/>
  <c r="BM195" i="7" s="1"/>
  <c r="BI194" i="7"/>
  <c r="BJ194" i="7" s="1"/>
  <c r="BK194" i="7" s="1"/>
  <c r="BL194" i="7" s="1"/>
  <c r="BI193" i="7"/>
  <c r="BM193" i="7" s="1"/>
  <c r="BI192" i="7"/>
  <c r="BM192" i="7" s="1"/>
  <c r="BI191" i="7"/>
  <c r="BM191" i="7" s="1"/>
  <c r="BI190" i="7"/>
  <c r="BM190" i="7" s="1"/>
  <c r="BI189" i="7"/>
  <c r="BJ189" i="7" s="1"/>
  <c r="BK189" i="7" s="1"/>
  <c r="BL189" i="7" s="1"/>
  <c r="BI188" i="7"/>
  <c r="BM188" i="7" s="1"/>
  <c r="BI187" i="7"/>
  <c r="BM187" i="7" s="1"/>
  <c r="BI186" i="7"/>
  <c r="BJ186" i="7" s="1"/>
  <c r="BK186" i="7" s="1"/>
  <c r="BL186" i="7" s="1"/>
  <c r="BI185" i="7"/>
  <c r="BM185" i="7" s="1"/>
  <c r="BI184" i="7"/>
  <c r="BM184" i="7" s="1"/>
  <c r="BI183" i="7"/>
  <c r="BM183" i="7" s="1"/>
  <c r="BI182" i="7"/>
  <c r="BM182" i="7" s="1"/>
  <c r="BI181" i="7"/>
  <c r="BJ181" i="7" s="1"/>
  <c r="BK181" i="7" s="1"/>
  <c r="BL181" i="7" s="1"/>
  <c r="BI180" i="7"/>
  <c r="BM180" i="7" s="1"/>
  <c r="BI179" i="7"/>
  <c r="BM179" i="7" s="1"/>
  <c r="BI178" i="7"/>
  <c r="BJ178" i="7" s="1"/>
  <c r="BK178" i="7" s="1"/>
  <c r="BL178" i="7" s="1"/>
  <c r="BI177" i="7"/>
  <c r="BM177" i="7" s="1"/>
  <c r="BI176" i="7"/>
  <c r="BM176" i="7" s="1"/>
  <c r="BI175" i="7"/>
  <c r="BM175" i="7" s="1"/>
  <c r="BI174" i="7"/>
  <c r="BM174" i="7" s="1"/>
  <c r="BI173" i="7"/>
  <c r="BJ173" i="7" s="1"/>
  <c r="BK173" i="7" s="1"/>
  <c r="BL173" i="7" s="1"/>
  <c r="BI172" i="7"/>
  <c r="BM172" i="7" s="1"/>
  <c r="BI171" i="7"/>
  <c r="BM171" i="7" s="1"/>
  <c r="BI170" i="7"/>
  <c r="BJ170" i="7" s="1"/>
  <c r="BK170" i="7" s="1"/>
  <c r="BL170" i="7" s="1"/>
  <c r="BI169" i="7"/>
  <c r="BM169" i="7" s="1"/>
  <c r="BI168" i="7"/>
  <c r="BM168" i="7" s="1"/>
  <c r="BI167" i="7"/>
  <c r="BM167" i="7" s="1"/>
  <c r="BI143" i="7"/>
  <c r="BM143" i="7" s="1"/>
  <c r="BI142" i="7"/>
  <c r="BI141" i="7"/>
  <c r="BM141" i="7" s="1"/>
  <c r="BI140" i="7"/>
  <c r="BM140" i="7" s="1"/>
  <c r="BI139" i="7"/>
  <c r="BJ139" i="7" s="1"/>
  <c r="BK139" i="7" s="1"/>
  <c r="BL139" i="7" s="1"/>
  <c r="BI138" i="7"/>
  <c r="BM138" i="7" s="1"/>
  <c r="BI137" i="7"/>
  <c r="BM137" i="7" s="1"/>
  <c r="BI135" i="7"/>
  <c r="BM135" i="7" s="1"/>
  <c r="BM134" i="7"/>
  <c r="BI134" i="7"/>
  <c r="BJ134" i="7" s="1"/>
  <c r="BK134" i="7" s="1"/>
  <c r="BL134" i="7" s="1"/>
  <c r="BI133" i="7"/>
  <c r="BI132" i="7"/>
  <c r="BM132" i="7" s="1"/>
  <c r="BI131" i="7"/>
  <c r="BM131" i="7" s="1"/>
  <c r="BI130" i="7"/>
  <c r="BJ130" i="7" s="1"/>
  <c r="BK130" i="7" s="1"/>
  <c r="BL130" i="7" s="1"/>
  <c r="BI95" i="7"/>
  <c r="BM95" i="7" s="1"/>
  <c r="BI94" i="7"/>
  <c r="BM94" i="7" s="1"/>
  <c r="BM93" i="7"/>
  <c r="BI93" i="7"/>
  <c r="BJ93" i="7" s="1"/>
  <c r="BK93" i="7" s="1"/>
  <c r="BL93" i="7" s="1"/>
  <c r="BI92" i="7"/>
  <c r="BM92" i="7" s="1"/>
  <c r="BM91" i="7"/>
  <c r="BI91" i="7"/>
  <c r="BL91" i="7" s="1"/>
  <c r="BI90" i="7"/>
  <c r="BI89" i="7"/>
  <c r="BM88" i="7"/>
  <c r="BI88" i="7"/>
  <c r="BJ88" i="7" s="1"/>
  <c r="BK88" i="7" s="1"/>
  <c r="BL88" i="7" s="1"/>
  <c r="BI87" i="7"/>
  <c r="BM87" i="7" s="1"/>
  <c r="BM86" i="7"/>
  <c r="BI86" i="7"/>
  <c r="BL86" i="7" s="1"/>
  <c r="BI85" i="7"/>
  <c r="BL85" i="7" s="1"/>
  <c r="BM84" i="7"/>
  <c r="BI84" i="7"/>
  <c r="BL84" i="7" s="1"/>
  <c r="BI83" i="7"/>
  <c r="BI82" i="7"/>
  <c r="BJ82" i="7" s="1"/>
  <c r="BK82" i="7" s="1"/>
  <c r="BL82" i="7" s="1"/>
  <c r="BI81" i="7"/>
  <c r="BM81" i="7" s="1"/>
  <c r="BI79" i="7"/>
  <c r="BM79" i="7" s="1"/>
  <c r="BI78" i="7"/>
  <c r="BM78" i="7" s="1"/>
  <c r="BI77" i="7"/>
  <c r="BI76" i="7"/>
  <c r="BI75" i="7"/>
  <c r="BL75" i="7" s="1"/>
  <c r="BI74" i="7"/>
  <c r="BJ74" i="7" s="1"/>
  <c r="BK74" i="7" s="1"/>
  <c r="BL74" i="7" s="1"/>
  <c r="BM73" i="7"/>
  <c r="BI73" i="7"/>
  <c r="BJ73" i="7" s="1"/>
  <c r="BK73" i="7" s="1"/>
  <c r="BL73" i="7" s="1"/>
  <c r="BI72" i="7"/>
  <c r="BM71" i="7"/>
  <c r="BI71" i="7"/>
  <c r="BJ71" i="7" s="1"/>
  <c r="BK71" i="7" s="1"/>
  <c r="BL71" i="7" s="1"/>
  <c r="BI70" i="7"/>
  <c r="BJ70" i="7" s="1"/>
  <c r="BK70" i="7" s="1"/>
  <c r="BL70" i="7" s="1"/>
  <c r="BI69" i="7"/>
  <c r="BM69" i="7" s="1"/>
  <c r="BI68" i="7"/>
  <c r="BJ68" i="7" s="1"/>
  <c r="BK68" i="7" s="1"/>
  <c r="BL68" i="7" s="1"/>
  <c r="BI67" i="7"/>
  <c r="BJ67" i="7" s="1"/>
  <c r="BK67" i="7" s="1"/>
  <c r="BL67" i="7" s="1"/>
  <c r="BI66" i="7"/>
  <c r="BM66" i="7" s="1"/>
  <c r="BI65" i="7"/>
  <c r="BM65" i="7" s="1"/>
  <c r="BI64" i="7"/>
  <c r="BI53" i="7"/>
  <c r="BJ53" i="7" s="1"/>
  <c r="BI52" i="7"/>
  <c r="BJ52" i="7" s="1"/>
  <c r="BK52" i="7" s="1"/>
  <c r="BL52" i="7" s="1"/>
  <c r="BI51" i="7"/>
  <c r="BJ51" i="7" s="1"/>
  <c r="BK51" i="7" s="1"/>
  <c r="BL51" i="7" s="1"/>
  <c r="BI50" i="7"/>
  <c r="BM50" i="7" s="1"/>
  <c r="BI49" i="7"/>
  <c r="BI48" i="7"/>
  <c r="BJ48" i="7" s="1"/>
  <c r="BK48" i="7" s="1"/>
  <c r="BL48" i="7" s="1"/>
  <c r="BI47" i="7"/>
  <c r="BM47" i="7" s="1"/>
  <c r="BI46" i="7"/>
  <c r="BM46" i="7" s="1"/>
  <c r="BI45" i="7"/>
  <c r="BJ45" i="7" s="1"/>
  <c r="BK45" i="7" s="1"/>
  <c r="BL45" i="7" s="1"/>
  <c r="BI44" i="7"/>
  <c r="BM44" i="7" s="1"/>
  <c r="BI43" i="7"/>
  <c r="BM43" i="7" s="1"/>
  <c r="BI42" i="7"/>
  <c r="BM42" i="7" s="1"/>
  <c r="BI41" i="7"/>
  <c r="BJ41" i="7" s="1"/>
  <c r="BK41" i="7" s="1"/>
  <c r="BL41" i="7" s="1"/>
  <c r="BI40" i="7"/>
  <c r="BM40" i="7" s="1"/>
  <c r="BI39" i="7"/>
  <c r="BM39" i="7" s="1"/>
  <c r="BI38" i="7"/>
  <c r="BM38" i="7" s="1"/>
  <c r="BI37" i="7"/>
  <c r="BM37" i="7" s="1"/>
  <c r="BI36" i="7"/>
  <c r="BJ36" i="7" s="1"/>
  <c r="BK36" i="7" s="1"/>
  <c r="BL36" i="7" s="1"/>
  <c r="BI35" i="7"/>
  <c r="BM35" i="7" s="1"/>
  <c r="BI12" i="7"/>
  <c r="BL12" i="7" s="1"/>
  <c r="BI11" i="7"/>
  <c r="BJ11" i="7" s="1"/>
  <c r="BM10" i="7"/>
  <c r="BI10" i="7"/>
  <c r="BJ10" i="7" s="1"/>
  <c r="BK10" i="7" s="1"/>
  <c r="BL10" i="7" s="1"/>
  <c r="BM9" i="7"/>
  <c r="BI9" i="7"/>
  <c r="BJ9" i="7" s="1"/>
  <c r="BK9" i="7" s="1"/>
  <c r="BL9" i="7" s="1"/>
  <c r="BM8" i="7"/>
  <c r="BI8" i="7"/>
  <c r="BJ8" i="7" s="1"/>
  <c r="BK8" i="7" s="1"/>
  <c r="BL8" i="7" s="1"/>
  <c r="BI7" i="7"/>
  <c r="BJ7" i="7" s="1"/>
  <c r="BM6" i="7"/>
  <c r="BI6" i="7"/>
  <c r="BJ6" i="7" s="1"/>
  <c r="BK6" i="7" s="1"/>
  <c r="BL6" i="7" s="1"/>
  <c r="AJ900" i="7"/>
  <c r="AK900" i="7" s="1"/>
  <c r="AL900" i="7" s="1"/>
  <c r="AJ899" i="7"/>
  <c r="AJ873" i="7"/>
  <c r="AK873" i="7" s="1"/>
  <c r="AL873" i="7" s="1"/>
  <c r="AJ872" i="7"/>
  <c r="AJ871" i="7"/>
  <c r="AK871" i="7" s="1"/>
  <c r="AL871" i="7" s="1"/>
  <c r="AJ867" i="7"/>
  <c r="AJ866" i="7"/>
  <c r="AK866" i="7" s="1"/>
  <c r="AL866" i="7" s="1"/>
  <c r="AJ865" i="7"/>
  <c r="AJ864" i="7"/>
  <c r="AK864" i="7" s="1"/>
  <c r="AL864" i="7" s="1"/>
  <c r="AJ863" i="7"/>
  <c r="AJ781" i="7"/>
  <c r="AK781" i="7" s="1"/>
  <c r="AL781" i="7" s="1"/>
  <c r="AJ780" i="7"/>
  <c r="AJ779" i="7"/>
  <c r="AK779" i="7" s="1"/>
  <c r="AL779" i="7" s="1"/>
  <c r="AJ778" i="7"/>
  <c r="AJ777" i="7"/>
  <c r="AK777" i="7" s="1"/>
  <c r="AL777" i="7" s="1"/>
  <c r="AJ776" i="7"/>
  <c r="AK776" i="7" s="1"/>
  <c r="AL776" i="7" s="1"/>
  <c r="AJ775" i="7"/>
  <c r="AK775" i="7" s="1"/>
  <c r="AL775" i="7" s="1"/>
  <c r="AJ774" i="7"/>
  <c r="AM774" i="7" s="1"/>
  <c r="AJ773" i="7"/>
  <c r="AM773" i="7" s="1"/>
  <c r="AJ772" i="7"/>
  <c r="AM772" i="7" s="1"/>
  <c r="AJ771" i="7"/>
  <c r="AK771" i="7" s="1"/>
  <c r="AL771" i="7" s="1"/>
  <c r="AJ748" i="7"/>
  <c r="AM748" i="7" s="1"/>
  <c r="AJ747" i="7"/>
  <c r="AM747" i="7" s="1"/>
  <c r="AJ746" i="7"/>
  <c r="AM746" i="7" s="1"/>
  <c r="AJ745" i="7"/>
  <c r="AK745" i="7" s="1"/>
  <c r="AL745" i="7" s="1"/>
  <c r="AJ744" i="7"/>
  <c r="AM744" i="7" s="1"/>
  <c r="AJ743" i="7"/>
  <c r="AM743" i="7" s="1"/>
  <c r="AJ742" i="7"/>
  <c r="AM742" i="7" s="1"/>
  <c r="AJ741" i="7"/>
  <c r="AK741" i="7" s="1"/>
  <c r="AL741" i="7" s="1"/>
  <c r="AJ740" i="7"/>
  <c r="AM740" i="7" s="1"/>
  <c r="AJ739" i="7"/>
  <c r="AM739" i="7" s="1"/>
  <c r="AJ738" i="7"/>
  <c r="AM738" i="7" s="1"/>
  <c r="AJ735" i="7"/>
  <c r="AK735" i="7" s="1"/>
  <c r="AL735" i="7" s="1"/>
  <c r="AJ734" i="7"/>
  <c r="AM734" i="7" s="1"/>
  <c r="AJ733" i="7"/>
  <c r="AM733" i="7" s="1"/>
  <c r="AJ732" i="7"/>
  <c r="AM732" i="7" s="1"/>
  <c r="AJ731" i="7"/>
  <c r="AK731" i="7" s="1"/>
  <c r="AL731" i="7" s="1"/>
  <c r="AJ730" i="7"/>
  <c r="AM730" i="7" s="1"/>
  <c r="AJ729" i="7"/>
  <c r="AM729" i="7" s="1"/>
  <c r="AJ714" i="7"/>
  <c r="AM714" i="7" s="1"/>
  <c r="AJ702" i="7"/>
  <c r="AK702" i="7" s="1"/>
  <c r="AL702" i="7" s="1"/>
  <c r="AJ701" i="7"/>
  <c r="AM701" i="7" s="1"/>
  <c r="AJ700" i="7"/>
  <c r="AM700" i="7" s="1"/>
  <c r="AJ699" i="7"/>
  <c r="AM699" i="7" s="1"/>
  <c r="AJ698" i="7"/>
  <c r="AK698" i="7" s="1"/>
  <c r="AL698" i="7" s="1"/>
  <c r="AJ697" i="7"/>
  <c r="AM697" i="7" s="1"/>
  <c r="AJ696" i="7"/>
  <c r="AM696" i="7" s="1"/>
  <c r="AM695" i="7"/>
  <c r="AJ695" i="7"/>
  <c r="AK695" i="7" s="1"/>
  <c r="AL695" i="7" s="1"/>
  <c r="AJ694" i="7"/>
  <c r="AM694" i="7" s="1"/>
  <c r="AJ693" i="7"/>
  <c r="AJ692" i="7"/>
  <c r="AM692" i="7" s="1"/>
  <c r="AJ691" i="7"/>
  <c r="AJ690" i="7"/>
  <c r="AM690" i="7" s="1"/>
  <c r="AJ689" i="7"/>
  <c r="AJ688" i="7"/>
  <c r="AM688" i="7" s="1"/>
  <c r="AJ687" i="7"/>
  <c r="AJ686" i="7"/>
  <c r="AM686" i="7" s="1"/>
  <c r="AJ685" i="7"/>
  <c r="AJ684" i="7"/>
  <c r="AM684" i="7" s="1"/>
  <c r="AJ683" i="7"/>
  <c r="AJ682" i="7"/>
  <c r="AM682" i="7" s="1"/>
  <c r="AJ681" i="7"/>
  <c r="AJ671" i="7"/>
  <c r="AM671" i="7" s="1"/>
  <c r="AJ668" i="7"/>
  <c r="AJ646" i="7"/>
  <c r="AM646" i="7" s="1"/>
  <c r="AJ645" i="7"/>
  <c r="AJ644" i="7"/>
  <c r="AM644" i="7" s="1"/>
  <c r="AJ643" i="7"/>
  <c r="AJ642" i="7"/>
  <c r="AM642" i="7" s="1"/>
  <c r="AJ641" i="7"/>
  <c r="AJ640" i="7"/>
  <c r="AM640" i="7" s="1"/>
  <c r="AJ639" i="7"/>
  <c r="AJ638" i="7"/>
  <c r="AM638" i="7" s="1"/>
  <c r="AJ637" i="7"/>
  <c r="AJ636" i="7"/>
  <c r="AM636" i="7" s="1"/>
  <c r="AJ635" i="7"/>
  <c r="AJ634" i="7"/>
  <c r="AM634" i="7" s="1"/>
  <c r="AJ633" i="7"/>
  <c r="AJ632" i="7"/>
  <c r="AM632" i="7" s="1"/>
  <c r="AJ631" i="7"/>
  <c r="AJ630" i="7"/>
  <c r="AM630" i="7" s="1"/>
  <c r="AM628" i="7"/>
  <c r="AJ628" i="7"/>
  <c r="AK628" i="7" s="1"/>
  <c r="AL628" i="7" s="1"/>
  <c r="AM627" i="7"/>
  <c r="AJ627" i="7"/>
  <c r="AK627" i="7" s="1"/>
  <c r="AL627" i="7" s="1"/>
  <c r="AM626" i="7"/>
  <c r="AJ626" i="7"/>
  <c r="AK626" i="7" s="1"/>
  <c r="AL626" i="7" s="1"/>
  <c r="AJ625" i="7"/>
  <c r="AM625" i="7" s="1"/>
  <c r="AJ624" i="7"/>
  <c r="AJ623" i="7"/>
  <c r="AK623" i="7" s="1"/>
  <c r="AL623" i="7" s="1"/>
  <c r="AM609" i="7"/>
  <c r="AJ609" i="7"/>
  <c r="AK609" i="7" s="1"/>
  <c r="AL609" i="7" s="1"/>
  <c r="AJ600" i="7"/>
  <c r="AM600" i="7" s="1"/>
  <c r="AJ599" i="7"/>
  <c r="AJ598" i="7"/>
  <c r="AK598" i="7" s="1"/>
  <c r="AL598" i="7" s="1"/>
  <c r="AJ597" i="7"/>
  <c r="AJ596" i="7"/>
  <c r="AM596" i="7" s="1"/>
  <c r="AJ595" i="7"/>
  <c r="AJ592" i="7"/>
  <c r="AK592" i="7" s="1"/>
  <c r="AL592" i="7" s="1"/>
  <c r="AJ591" i="7"/>
  <c r="AJ590" i="7"/>
  <c r="AM590" i="7" s="1"/>
  <c r="AJ556" i="7"/>
  <c r="AJ555" i="7"/>
  <c r="AK555" i="7" s="1"/>
  <c r="AL555" i="7" s="1"/>
  <c r="AJ554" i="7"/>
  <c r="AJ553" i="7"/>
  <c r="AM553" i="7" s="1"/>
  <c r="AJ552" i="7"/>
  <c r="AJ551" i="7"/>
  <c r="AK551" i="7" s="1"/>
  <c r="AL551" i="7" s="1"/>
  <c r="AJ550" i="7"/>
  <c r="AJ549" i="7"/>
  <c r="AM549" i="7" s="1"/>
  <c r="AJ548" i="7"/>
  <c r="AM546" i="7"/>
  <c r="AJ546" i="7"/>
  <c r="AK546" i="7" s="1"/>
  <c r="AL546" i="7" s="1"/>
  <c r="AM545" i="7"/>
  <c r="AJ545" i="7"/>
  <c r="AK545" i="7" s="1"/>
  <c r="AL545" i="7" s="1"/>
  <c r="AM544" i="7"/>
  <c r="AJ544" i="7"/>
  <c r="AK544" i="7" s="1"/>
  <c r="AL544" i="7" s="1"/>
  <c r="AM543" i="7"/>
  <c r="AJ543" i="7"/>
  <c r="AK543" i="7" s="1"/>
  <c r="AL543" i="7" s="1"/>
  <c r="AM542" i="7"/>
  <c r="AJ542" i="7"/>
  <c r="AK542" i="7" s="1"/>
  <c r="AL542" i="7" s="1"/>
  <c r="AM525" i="7"/>
  <c r="AJ525" i="7"/>
  <c r="AK525" i="7" s="1"/>
  <c r="AL525" i="7" s="1"/>
  <c r="AJ491" i="7"/>
  <c r="AK491" i="7" s="1"/>
  <c r="AL491" i="7" s="1"/>
  <c r="AJ490" i="7"/>
  <c r="AJ489" i="7"/>
  <c r="AM489" i="7" s="1"/>
  <c r="AJ488" i="7"/>
  <c r="AJ487" i="7"/>
  <c r="AM487" i="7" s="1"/>
  <c r="AJ486" i="7"/>
  <c r="AJ485" i="7"/>
  <c r="AM485" i="7" s="1"/>
  <c r="AJ484" i="7"/>
  <c r="AJ483" i="7"/>
  <c r="AM483" i="7" s="1"/>
  <c r="AJ482" i="7"/>
  <c r="AJ481" i="7"/>
  <c r="AM481" i="7" s="1"/>
  <c r="AJ480" i="7"/>
  <c r="AJ479" i="7"/>
  <c r="AM479" i="7" s="1"/>
  <c r="AJ464" i="7"/>
  <c r="AJ463" i="7"/>
  <c r="AM463" i="7" s="1"/>
  <c r="AJ459" i="7"/>
  <c r="AJ458" i="7"/>
  <c r="AM458" i="7" s="1"/>
  <c r="AJ457" i="7"/>
  <c r="AJ453" i="7"/>
  <c r="AM453" i="7" s="1"/>
  <c r="AJ452" i="7"/>
  <c r="AJ451" i="7"/>
  <c r="AM451" i="7" s="1"/>
  <c r="AJ450" i="7"/>
  <c r="AJ432" i="7"/>
  <c r="AM432" i="7" s="1"/>
  <c r="AJ430" i="7"/>
  <c r="AJ429" i="7"/>
  <c r="AM429" i="7" s="1"/>
  <c r="AJ428" i="7"/>
  <c r="AJ427" i="7"/>
  <c r="AM427" i="7" s="1"/>
  <c r="AJ426" i="7"/>
  <c r="AJ425" i="7"/>
  <c r="AM425" i="7" s="1"/>
  <c r="AJ424" i="7"/>
  <c r="AJ423" i="7"/>
  <c r="AM423" i="7" s="1"/>
  <c r="AJ422" i="7"/>
  <c r="AJ421" i="7"/>
  <c r="AM421" i="7" s="1"/>
  <c r="AJ420" i="7"/>
  <c r="AJ411" i="7"/>
  <c r="AM411" i="7" s="1"/>
  <c r="AJ410" i="7"/>
  <c r="AJ409" i="7"/>
  <c r="AM409" i="7" s="1"/>
  <c r="AJ408" i="7"/>
  <c r="AJ407" i="7"/>
  <c r="AM407" i="7" s="1"/>
  <c r="AJ406" i="7"/>
  <c r="AJ405" i="7"/>
  <c r="AM405" i="7" s="1"/>
  <c r="AJ404" i="7"/>
  <c r="AJ403" i="7"/>
  <c r="AM403" i="7" s="1"/>
  <c r="AJ402" i="7"/>
  <c r="AJ401" i="7"/>
  <c r="AM401" i="7" s="1"/>
  <c r="AJ399" i="7"/>
  <c r="AJ398" i="7"/>
  <c r="AM398" i="7" s="1"/>
  <c r="AJ397" i="7"/>
  <c r="AJ360" i="7"/>
  <c r="AM360" i="7" s="1"/>
  <c r="AJ359" i="7"/>
  <c r="AJ358" i="7"/>
  <c r="AM358" i="7" s="1"/>
  <c r="AJ357" i="7"/>
  <c r="AJ356" i="7"/>
  <c r="AM356" i="7" s="1"/>
  <c r="AJ355" i="7"/>
  <c r="AJ354" i="7"/>
  <c r="AM354" i="7" s="1"/>
  <c r="AJ353" i="7"/>
  <c r="AJ352" i="7"/>
  <c r="AM352" i="7" s="1"/>
  <c r="AJ351" i="7"/>
  <c r="AJ350" i="7"/>
  <c r="AM350" i="7" s="1"/>
  <c r="AJ349" i="7"/>
  <c r="AK349" i="7" s="1"/>
  <c r="AL349" i="7" s="1"/>
  <c r="AJ348" i="7"/>
  <c r="AK348" i="7" s="1"/>
  <c r="AL348" i="7" s="1"/>
  <c r="AJ347" i="7"/>
  <c r="AM347" i="7" s="1"/>
  <c r="AJ346" i="7"/>
  <c r="AK346" i="7" s="1"/>
  <c r="AL346" i="7" s="1"/>
  <c r="AJ345" i="7"/>
  <c r="AK345" i="7" s="1"/>
  <c r="AL345" i="7" s="1"/>
  <c r="AJ344" i="7"/>
  <c r="AK344" i="7" s="1"/>
  <c r="AL344" i="7" s="1"/>
  <c r="AJ343" i="7"/>
  <c r="AK343" i="7" s="1"/>
  <c r="AL343" i="7" s="1"/>
  <c r="AJ342" i="7"/>
  <c r="AK342" i="7" s="1"/>
  <c r="AL342" i="7" s="1"/>
  <c r="AJ341" i="7"/>
  <c r="AK341" i="7" s="1"/>
  <c r="AL341" i="7" s="1"/>
  <c r="AJ340" i="7"/>
  <c r="AK340" i="7" s="1"/>
  <c r="AL340" i="7" s="1"/>
  <c r="AJ339" i="7"/>
  <c r="AK339" i="7" s="1"/>
  <c r="AL339" i="7" s="1"/>
  <c r="AJ338" i="7"/>
  <c r="AK338" i="7" s="1"/>
  <c r="AL338" i="7" s="1"/>
  <c r="AJ337" i="7"/>
  <c r="AK337" i="7" s="1"/>
  <c r="AL337" i="7" s="1"/>
  <c r="AJ336" i="7"/>
  <c r="AK336" i="7" s="1"/>
  <c r="AL336" i="7" s="1"/>
  <c r="AJ335" i="7"/>
  <c r="AK335" i="7" s="1"/>
  <c r="AL335" i="7" s="1"/>
  <c r="AJ308" i="7"/>
  <c r="AK308" i="7" s="1"/>
  <c r="AL308" i="7" s="1"/>
  <c r="AJ293" i="7"/>
  <c r="AK293" i="7" s="1"/>
  <c r="AL293" i="7" s="1"/>
  <c r="AJ292" i="7"/>
  <c r="AK292" i="7" s="1"/>
  <c r="AL292" i="7" s="1"/>
  <c r="AJ291" i="7"/>
  <c r="AK291" i="7" s="1"/>
  <c r="AL291" i="7" s="1"/>
  <c r="AJ290" i="7"/>
  <c r="AK290" i="7" s="1"/>
  <c r="AL290" i="7" s="1"/>
  <c r="AJ289" i="7"/>
  <c r="AK289" i="7" s="1"/>
  <c r="AL289" i="7" s="1"/>
  <c r="AJ288" i="7"/>
  <c r="AK288" i="7" s="1"/>
  <c r="AL288" i="7" s="1"/>
  <c r="AJ287" i="7"/>
  <c r="AK287" i="7" s="1"/>
  <c r="AL287" i="7" s="1"/>
  <c r="AJ286" i="7"/>
  <c r="AK286" i="7" s="1"/>
  <c r="AL286" i="7" s="1"/>
  <c r="AJ285" i="7"/>
  <c r="AK285" i="7" s="1"/>
  <c r="AL285" i="7" s="1"/>
  <c r="AJ284" i="7"/>
  <c r="AK284" i="7" s="1"/>
  <c r="AL284" i="7" s="1"/>
  <c r="AJ283" i="7"/>
  <c r="AM283" i="7" s="1"/>
  <c r="AJ282" i="7"/>
  <c r="AK282" i="7" s="1"/>
  <c r="AL282" i="7" s="1"/>
  <c r="AJ281" i="7"/>
  <c r="AK281" i="7" s="1"/>
  <c r="AL281" i="7" s="1"/>
  <c r="AJ280" i="7"/>
  <c r="AJ279" i="7"/>
  <c r="AM279" i="7" s="1"/>
  <c r="AJ278" i="7"/>
  <c r="AJ276" i="7"/>
  <c r="AK276" i="7" s="1"/>
  <c r="AL276" i="7" s="1"/>
  <c r="AJ272" i="7"/>
  <c r="AJ271" i="7"/>
  <c r="AM271" i="7" s="1"/>
  <c r="AJ270" i="7"/>
  <c r="AJ269" i="7"/>
  <c r="AK269" i="7" s="1"/>
  <c r="AL269" i="7" s="1"/>
  <c r="AJ268" i="7"/>
  <c r="AJ267" i="7"/>
  <c r="AM267" i="7" s="1"/>
  <c r="AJ266" i="7"/>
  <c r="AJ265" i="7"/>
  <c r="AK265" i="7" s="1"/>
  <c r="AL265" i="7" s="1"/>
  <c r="AJ264" i="7"/>
  <c r="AJ263" i="7"/>
  <c r="AK263" i="7" s="1"/>
  <c r="AL263" i="7" s="1"/>
  <c r="AJ262" i="7"/>
  <c r="AJ261" i="7"/>
  <c r="AM261" i="7" s="1"/>
  <c r="AJ260" i="7"/>
  <c r="AJ259" i="7"/>
  <c r="AM259" i="7" s="1"/>
  <c r="AJ258" i="7"/>
  <c r="AJ257" i="7"/>
  <c r="AM257" i="7" s="1"/>
  <c r="AJ256" i="7"/>
  <c r="AJ255" i="7"/>
  <c r="AM255" i="7" s="1"/>
  <c r="AJ254" i="7"/>
  <c r="AM253" i="7"/>
  <c r="AJ226" i="7"/>
  <c r="AM226" i="7" s="1"/>
  <c r="AJ225" i="7"/>
  <c r="AM225" i="7" s="1"/>
  <c r="AJ224" i="7"/>
  <c r="AM224" i="7" s="1"/>
  <c r="AJ223" i="7"/>
  <c r="AM223" i="7" s="1"/>
  <c r="AJ213" i="7"/>
  <c r="AM213" i="7" s="1"/>
  <c r="AJ212" i="7"/>
  <c r="AM212" i="7" s="1"/>
  <c r="AJ211" i="7"/>
  <c r="AM211" i="7" s="1"/>
  <c r="AJ210" i="7"/>
  <c r="AM210" i="7" s="1"/>
  <c r="AJ209" i="7"/>
  <c r="AM209" i="7" s="1"/>
  <c r="AJ208" i="7"/>
  <c r="AM208" i="7" s="1"/>
  <c r="AJ207" i="7"/>
  <c r="AM207" i="7" s="1"/>
  <c r="AJ206" i="7"/>
  <c r="AM206" i="7" s="1"/>
  <c r="AJ205" i="7"/>
  <c r="AM205" i="7" s="1"/>
  <c r="AJ204" i="7"/>
  <c r="AM204" i="7" s="1"/>
  <c r="AJ203" i="7"/>
  <c r="AM203" i="7" s="1"/>
  <c r="AJ202" i="7"/>
  <c r="AM202" i="7" s="1"/>
  <c r="AJ201" i="7"/>
  <c r="AM201" i="7" s="1"/>
  <c r="AJ200" i="7"/>
  <c r="AM200" i="7" s="1"/>
  <c r="AJ199" i="7"/>
  <c r="AM199" i="7" s="1"/>
  <c r="AJ198" i="7"/>
  <c r="AM198" i="7" s="1"/>
  <c r="AJ197" i="7"/>
  <c r="AM197" i="7" s="1"/>
  <c r="AJ196" i="7"/>
  <c r="AM196" i="7" s="1"/>
  <c r="AJ195" i="7"/>
  <c r="AM195" i="7" s="1"/>
  <c r="AJ194" i="7"/>
  <c r="AM194" i="7" s="1"/>
  <c r="AJ193" i="7"/>
  <c r="AM193" i="7" s="1"/>
  <c r="AJ192" i="7"/>
  <c r="AM192" i="7" s="1"/>
  <c r="AJ191" i="7"/>
  <c r="AM191" i="7" s="1"/>
  <c r="AJ190" i="7"/>
  <c r="AM190" i="7" s="1"/>
  <c r="AJ189" i="7"/>
  <c r="AM189" i="7" s="1"/>
  <c r="AJ188" i="7"/>
  <c r="AM188" i="7" s="1"/>
  <c r="AJ187" i="7"/>
  <c r="AM187" i="7" s="1"/>
  <c r="AJ186" i="7"/>
  <c r="AM186" i="7" s="1"/>
  <c r="AJ185" i="7"/>
  <c r="AM185" i="7" s="1"/>
  <c r="AJ184" i="7"/>
  <c r="AM184" i="7" s="1"/>
  <c r="AJ183" i="7"/>
  <c r="AM183" i="7" s="1"/>
  <c r="AJ182" i="7"/>
  <c r="AM182" i="7" s="1"/>
  <c r="AJ181" i="7"/>
  <c r="AM181" i="7" s="1"/>
  <c r="AJ180" i="7"/>
  <c r="AM180" i="7" s="1"/>
  <c r="AJ179" i="7"/>
  <c r="AM179" i="7" s="1"/>
  <c r="AJ178" i="7"/>
  <c r="AM178" i="7" s="1"/>
  <c r="AJ177" i="7"/>
  <c r="AM177" i="7" s="1"/>
  <c r="AJ176" i="7"/>
  <c r="AM176" i="7" s="1"/>
  <c r="AJ175" i="7"/>
  <c r="AM175" i="7" s="1"/>
  <c r="AJ174" i="7"/>
  <c r="AM174" i="7" s="1"/>
  <c r="AJ173" i="7"/>
  <c r="AM173" i="7" s="1"/>
  <c r="AJ172" i="7"/>
  <c r="AM172" i="7" s="1"/>
  <c r="AJ171" i="7"/>
  <c r="AM171" i="7" s="1"/>
  <c r="AJ170" i="7"/>
  <c r="AM170" i="7" s="1"/>
  <c r="AJ169" i="7"/>
  <c r="AM169" i="7" s="1"/>
  <c r="AJ168" i="7"/>
  <c r="AM168" i="7" s="1"/>
  <c r="AJ165" i="7"/>
  <c r="AM165" i="7" s="1"/>
  <c r="AJ151" i="7"/>
  <c r="AM151" i="7" s="1"/>
  <c r="AJ150" i="7"/>
  <c r="AM150" i="7" s="1"/>
  <c r="AJ149" i="7"/>
  <c r="AM149" i="7" s="1"/>
  <c r="AJ148" i="7"/>
  <c r="AM148" i="7" s="1"/>
  <c r="AJ147" i="7"/>
  <c r="AM147" i="7" s="1"/>
  <c r="AJ146" i="7"/>
  <c r="AM146" i="7" s="1"/>
  <c r="AJ145" i="7"/>
  <c r="AM145" i="7" s="1"/>
  <c r="AJ144" i="7"/>
  <c r="AM144" i="7" s="1"/>
  <c r="AJ142" i="7"/>
  <c r="AM142" i="7" s="1"/>
  <c r="AJ141" i="7"/>
  <c r="AM141" i="7" s="1"/>
  <c r="AJ140" i="7"/>
  <c r="AM140" i="7" s="1"/>
  <c r="AJ139" i="7"/>
  <c r="AM139" i="7" s="1"/>
  <c r="AJ138" i="7"/>
  <c r="AM138" i="7" s="1"/>
  <c r="AJ137" i="7"/>
  <c r="AM137" i="7" s="1"/>
  <c r="AJ132" i="7"/>
  <c r="AM132" i="7" s="1"/>
  <c r="AJ131" i="7"/>
  <c r="AM131" i="7" s="1"/>
  <c r="AJ130" i="7"/>
  <c r="AM130" i="7" s="1"/>
  <c r="AH128" i="7"/>
  <c r="AJ128" i="7" s="1"/>
  <c r="AM128" i="7" s="1"/>
  <c r="AJ127" i="7"/>
  <c r="AK127" i="7" s="1"/>
  <c r="AL127" i="7" s="1"/>
  <c r="AJ126" i="7"/>
  <c r="AK126" i="7" s="1"/>
  <c r="AL126" i="7" s="1"/>
  <c r="AJ125" i="7"/>
  <c r="AM125" i="7" s="1"/>
  <c r="AJ124" i="7"/>
  <c r="AM124" i="7" s="1"/>
  <c r="AJ123" i="7"/>
  <c r="AM123" i="7" s="1"/>
  <c r="AJ89" i="7"/>
  <c r="AK89" i="7" s="1"/>
  <c r="AL89" i="7" s="1"/>
  <c r="AJ87" i="7"/>
  <c r="AM87" i="7" s="1"/>
  <c r="AJ86" i="7"/>
  <c r="AM86" i="7" s="1"/>
  <c r="AJ85" i="7"/>
  <c r="AM85" i="7" s="1"/>
  <c r="AJ84" i="7"/>
  <c r="AM84" i="7" s="1"/>
  <c r="AJ83" i="7"/>
  <c r="AM83" i="7" s="1"/>
  <c r="AJ82" i="7"/>
  <c r="AK82" i="7" s="1"/>
  <c r="AL82" i="7" s="1"/>
  <c r="AJ81" i="7"/>
  <c r="AK81" i="7" s="1"/>
  <c r="AL81" i="7" s="1"/>
  <c r="AJ80" i="7"/>
  <c r="AM80" i="7" s="1"/>
  <c r="AJ79" i="7"/>
  <c r="AK79" i="7" s="1"/>
  <c r="AL79" i="7" s="1"/>
  <c r="AJ78" i="7"/>
  <c r="AM78" i="7" s="1"/>
  <c r="AJ77" i="7"/>
  <c r="AM77" i="7" s="1"/>
  <c r="AJ76" i="7"/>
  <c r="AK76" i="7" s="1"/>
  <c r="AL76" i="7" s="1"/>
  <c r="AJ75" i="7"/>
  <c r="AK75" i="7" s="1"/>
  <c r="AL75" i="7" s="1"/>
  <c r="AJ74" i="7"/>
  <c r="AM74" i="7" s="1"/>
  <c r="AJ73" i="7"/>
  <c r="AM73" i="7" s="1"/>
  <c r="AJ72" i="7"/>
  <c r="AM72" i="7" s="1"/>
  <c r="AJ69" i="7"/>
  <c r="AK69" i="7" s="1"/>
  <c r="AL69" i="7" s="1"/>
  <c r="AJ68" i="7"/>
  <c r="AK68" i="7" s="1"/>
  <c r="AL68" i="7" s="1"/>
  <c r="AJ67" i="7"/>
  <c r="AK67" i="7" s="1"/>
  <c r="AL67" i="7" s="1"/>
  <c r="AJ66" i="7"/>
  <c r="AK66" i="7" s="1"/>
  <c r="AL66" i="7" s="1"/>
  <c r="AJ65" i="7"/>
  <c r="AK65" i="7" s="1"/>
  <c r="AL65" i="7" s="1"/>
  <c r="AJ64" i="7"/>
  <c r="AK64" i="7" s="1"/>
  <c r="AL64" i="7" s="1"/>
  <c r="AJ62" i="7"/>
  <c r="AM62" i="7" s="1"/>
  <c r="AJ51" i="7"/>
  <c r="AK51" i="7" s="1"/>
  <c r="AL51" i="7" s="1"/>
  <c r="AJ50" i="7"/>
  <c r="AK50" i="7" s="1"/>
  <c r="AL50" i="7" s="1"/>
  <c r="AJ49" i="7"/>
  <c r="AK49" i="7" s="1"/>
  <c r="AL49" i="7" s="1"/>
  <c r="AJ48" i="7"/>
  <c r="AK48" i="7" s="1"/>
  <c r="AL48" i="7" s="1"/>
  <c r="AJ47" i="7"/>
  <c r="AK47" i="7" s="1"/>
  <c r="AL47" i="7" s="1"/>
  <c r="AJ46" i="7"/>
  <c r="AK46" i="7" s="1"/>
  <c r="AL46" i="7" s="1"/>
  <c r="AJ45" i="7"/>
  <c r="AK45" i="7" s="1"/>
  <c r="AL45" i="7" s="1"/>
  <c r="AJ44" i="7"/>
  <c r="AK44" i="7" s="1"/>
  <c r="AL44" i="7" s="1"/>
  <c r="AJ43" i="7"/>
  <c r="AK43" i="7" s="1"/>
  <c r="AL43" i="7" s="1"/>
  <c r="AJ42" i="7"/>
  <c r="AK42" i="7" s="1"/>
  <c r="AL42" i="7" s="1"/>
  <c r="AJ41" i="7"/>
  <c r="AK41" i="7" s="1"/>
  <c r="AL41" i="7" s="1"/>
  <c r="AJ40" i="7"/>
  <c r="AM40" i="7" s="1"/>
  <c r="AJ39" i="7"/>
  <c r="AK39" i="7" s="1"/>
  <c r="AL39" i="7" s="1"/>
  <c r="AJ37" i="7"/>
  <c r="AK37" i="7" s="1"/>
  <c r="AL37" i="7" s="1"/>
  <c r="AJ36" i="7"/>
  <c r="AK36" i="7" s="1"/>
  <c r="AL36" i="7" s="1"/>
  <c r="AJ35" i="7"/>
  <c r="AM35" i="7" s="1"/>
  <c r="AJ14" i="7"/>
  <c r="AK14" i="7" s="1"/>
  <c r="AL14" i="7" s="1"/>
  <c r="AJ11" i="7"/>
  <c r="AK11" i="7" s="1"/>
  <c r="AL11" i="7" s="1"/>
  <c r="AJ10" i="7"/>
  <c r="AK10" i="7" s="1"/>
  <c r="AL10" i="7" s="1"/>
  <c r="AJ9" i="7"/>
  <c r="AM9" i="7" s="1"/>
  <c r="AM8" i="7"/>
  <c r="AJ8" i="7"/>
  <c r="AK8" i="7" s="1"/>
  <c r="AL8" i="7" s="1"/>
  <c r="AJ6" i="7"/>
  <c r="AM6" i="7" s="1"/>
  <c r="AA898" i="7"/>
  <c r="AE898" i="7" s="1"/>
  <c r="AA897" i="7"/>
  <c r="AB897" i="7" s="1"/>
  <c r="AC897" i="7" s="1"/>
  <c r="AD897" i="7" s="1"/>
  <c r="AA896" i="7"/>
  <c r="AE896" i="7" s="1"/>
  <c r="AA895" i="7"/>
  <c r="AB895" i="7" s="1"/>
  <c r="AC895" i="7" s="1"/>
  <c r="AD895" i="7" s="1"/>
  <c r="AA894" i="7"/>
  <c r="AE894" i="7" s="1"/>
  <c r="AA893" i="7"/>
  <c r="AE893" i="7" s="1"/>
  <c r="AA892" i="7"/>
  <c r="AE892" i="7" s="1"/>
  <c r="AA891" i="7"/>
  <c r="AA890" i="7"/>
  <c r="AE890" i="7" s="1"/>
  <c r="AA889" i="7"/>
  <c r="AB889" i="7" s="1"/>
  <c r="AC889" i="7" s="1"/>
  <c r="AD889" i="7" s="1"/>
  <c r="AA888" i="7"/>
  <c r="AE888" i="7" s="1"/>
  <c r="AA887" i="7"/>
  <c r="AB887" i="7" s="1"/>
  <c r="AC887" i="7" s="1"/>
  <c r="AD887" i="7" s="1"/>
  <c r="AA886" i="7"/>
  <c r="AB886" i="7" s="1"/>
  <c r="AC886" i="7" s="1"/>
  <c r="AD886" i="7" s="1"/>
  <c r="AA885" i="7"/>
  <c r="AB885" i="7" s="1"/>
  <c r="AC885" i="7" s="1"/>
  <c r="AD885" i="7" s="1"/>
  <c r="AA884" i="7"/>
  <c r="AE884" i="7" s="1"/>
  <c r="AA883" i="7"/>
  <c r="AA882" i="7"/>
  <c r="AE882" i="7" s="1"/>
  <c r="AA881" i="7"/>
  <c r="AB881" i="7" s="1"/>
  <c r="AC881" i="7" s="1"/>
  <c r="AD881" i="7" s="1"/>
  <c r="AA880" i="7"/>
  <c r="AE880" i="7" s="1"/>
  <c r="AA879" i="7"/>
  <c r="AB879" i="7" s="1"/>
  <c r="AC879" i="7" s="1"/>
  <c r="AD879" i="7" s="1"/>
  <c r="AA878" i="7"/>
  <c r="AE878" i="7" s="1"/>
  <c r="AA877" i="7"/>
  <c r="AB877" i="7" s="1"/>
  <c r="AC877" i="7" s="1"/>
  <c r="AD877" i="7" s="1"/>
  <c r="AA876" i="7"/>
  <c r="AE876" i="7" s="1"/>
  <c r="AA875" i="7"/>
  <c r="AA874" i="7"/>
  <c r="AE874" i="7" s="1"/>
  <c r="AA873" i="7"/>
  <c r="AB873" i="7" s="1"/>
  <c r="AC873" i="7" s="1"/>
  <c r="AD873" i="7" s="1"/>
  <c r="AA872" i="7"/>
  <c r="AE872" i="7" s="1"/>
  <c r="AA871" i="7"/>
  <c r="AB871" i="7" s="1"/>
  <c r="AC871" i="7" s="1"/>
  <c r="AD871" i="7" s="1"/>
  <c r="AA870" i="7"/>
  <c r="AB870" i="7" s="1"/>
  <c r="AC870" i="7" s="1"/>
  <c r="AD870" i="7" s="1"/>
  <c r="AA869" i="7"/>
  <c r="AB869" i="7" s="1"/>
  <c r="AC869" i="7" s="1"/>
  <c r="AD869" i="7" s="1"/>
  <c r="AA770" i="7"/>
  <c r="AE770" i="7" s="1"/>
  <c r="AA769" i="7"/>
  <c r="AA768" i="7"/>
  <c r="AE768" i="7" s="1"/>
  <c r="AA767" i="7"/>
  <c r="AB767" i="7" s="1"/>
  <c r="AC767" i="7" s="1"/>
  <c r="AD767" i="7" s="1"/>
  <c r="AA766" i="7"/>
  <c r="AE766" i="7" s="1"/>
  <c r="AA765" i="7"/>
  <c r="AB765" i="7" s="1"/>
  <c r="AC765" i="7" s="1"/>
  <c r="AD765" i="7" s="1"/>
  <c r="AA764" i="7"/>
  <c r="AE764" i="7" s="1"/>
  <c r="AA763" i="7"/>
  <c r="AB763" i="7" s="1"/>
  <c r="AC763" i="7" s="1"/>
  <c r="AD763" i="7" s="1"/>
  <c r="AA762" i="7"/>
  <c r="AE762" i="7" s="1"/>
  <c r="AA761" i="7"/>
  <c r="AA760" i="7"/>
  <c r="AE760" i="7" s="1"/>
  <c r="AA759" i="7"/>
  <c r="AB759" i="7" s="1"/>
  <c r="AC759" i="7" s="1"/>
  <c r="AD759" i="7" s="1"/>
  <c r="AA758" i="7"/>
  <c r="AE758" i="7" s="1"/>
  <c r="AA757" i="7"/>
  <c r="AB757" i="7" s="1"/>
  <c r="AC757" i="7" s="1"/>
  <c r="AD757" i="7" s="1"/>
  <c r="AA756" i="7"/>
  <c r="AE756" i="7" s="1"/>
  <c r="AA755" i="7"/>
  <c r="AB755" i="7" s="1"/>
  <c r="AC755" i="7" s="1"/>
  <c r="AD755" i="7" s="1"/>
  <c r="AA754" i="7"/>
  <c r="AE754" i="7" s="1"/>
  <c r="AA753" i="7"/>
  <c r="AA752" i="7"/>
  <c r="AE752" i="7" s="1"/>
  <c r="AA751" i="7"/>
  <c r="AA750" i="7"/>
  <c r="AE750" i="7" s="1"/>
  <c r="AA749" i="7"/>
  <c r="AB749" i="7" s="1"/>
  <c r="AC749" i="7" s="1"/>
  <c r="AD749" i="7" s="1"/>
  <c r="AA748" i="7"/>
  <c r="AE748" i="7" s="1"/>
  <c r="AA747" i="7"/>
  <c r="AB747" i="7" s="1"/>
  <c r="AC747" i="7" s="1"/>
  <c r="AD747" i="7" s="1"/>
  <c r="AA746" i="7"/>
  <c r="AE746" i="7" s="1"/>
  <c r="AA745" i="7"/>
  <c r="AA744" i="7"/>
  <c r="AE744" i="7" s="1"/>
  <c r="AA743" i="7"/>
  <c r="AA742" i="7"/>
  <c r="AE742" i="7" s="1"/>
  <c r="AA741" i="7"/>
  <c r="AB741" i="7" s="1"/>
  <c r="AC741" i="7" s="1"/>
  <c r="AD741" i="7" s="1"/>
  <c r="AA740" i="7"/>
  <c r="AE740" i="7" s="1"/>
  <c r="AA739" i="7"/>
  <c r="AB739" i="7" s="1"/>
  <c r="AC739" i="7" s="1"/>
  <c r="AD739" i="7" s="1"/>
  <c r="AA738" i="7"/>
  <c r="AE738" i="7" s="1"/>
  <c r="AA737" i="7"/>
  <c r="AA736" i="7"/>
  <c r="AE736" i="7" s="1"/>
  <c r="AA735" i="7"/>
  <c r="AA734" i="7"/>
  <c r="AE734" i="7" s="1"/>
  <c r="AA733" i="7"/>
  <c r="AB733" i="7" s="1"/>
  <c r="AC733" i="7" s="1"/>
  <c r="AD733" i="7" s="1"/>
  <c r="AA732" i="7"/>
  <c r="AE732" i="7" s="1"/>
  <c r="AA731" i="7"/>
  <c r="AB731" i="7" s="1"/>
  <c r="AC731" i="7" s="1"/>
  <c r="AD731" i="7" s="1"/>
  <c r="AA730" i="7"/>
  <c r="AE730" i="7" s="1"/>
  <c r="AA729" i="7"/>
  <c r="AA713" i="7"/>
  <c r="AE713" i="7" s="1"/>
  <c r="AA712" i="7"/>
  <c r="AA711" i="7"/>
  <c r="AE711" i="7" s="1"/>
  <c r="AA710" i="7"/>
  <c r="AB710" i="7" s="1"/>
  <c r="AC710" i="7" s="1"/>
  <c r="AD710" i="7" s="1"/>
  <c r="AA709" i="7"/>
  <c r="AE709" i="7" s="1"/>
  <c r="AA708" i="7"/>
  <c r="AB708" i="7" s="1"/>
  <c r="AC708" i="7" s="1"/>
  <c r="AD708" i="7" s="1"/>
  <c r="AA707" i="7"/>
  <c r="AE707" i="7" s="1"/>
  <c r="AA706" i="7"/>
  <c r="AA705" i="7"/>
  <c r="AE705" i="7" s="1"/>
  <c r="AA704" i="7"/>
  <c r="AA703" i="7"/>
  <c r="AE703" i="7" s="1"/>
  <c r="AA702" i="7"/>
  <c r="AB702" i="7" s="1"/>
  <c r="AC702" i="7" s="1"/>
  <c r="AD702" i="7" s="1"/>
  <c r="AA701" i="7"/>
  <c r="AE701" i="7" s="1"/>
  <c r="AA700" i="7"/>
  <c r="AB700" i="7" s="1"/>
  <c r="AC700" i="7" s="1"/>
  <c r="AD700" i="7" s="1"/>
  <c r="AA699" i="7"/>
  <c r="AE699" i="7" s="1"/>
  <c r="AA698" i="7"/>
  <c r="AA697" i="7"/>
  <c r="AE697" i="7" s="1"/>
  <c r="AA696" i="7"/>
  <c r="AA695" i="7"/>
  <c r="AE695" i="7" s="1"/>
  <c r="AA694" i="7"/>
  <c r="AB694" i="7" s="1"/>
  <c r="AC694" i="7" s="1"/>
  <c r="AD694" i="7" s="1"/>
  <c r="AA693" i="7"/>
  <c r="AE693" i="7" s="1"/>
  <c r="AA692" i="7"/>
  <c r="AB692" i="7" s="1"/>
  <c r="AC692" i="7" s="1"/>
  <c r="AD692" i="7" s="1"/>
  <c r="AA691" i="7"/>
  <c r="AE691" i="7" s="1"/>
  <c r="AA690" i="7"/>
  <c r="AA689" i="7"/>
  <c r="AE689" i="7" s="1"/>
  <c r="AA688" i="7"/>
  <c r="AA687" i="7"/>
  <c r="AE687" i="7" s="1"/>
  <c r="AA686" i="7"/>
  <c r="AB686" i="7" s="1"/>
  <c r="AC686" i="7" s="1"/>
  <c r="AD686" i="7" s="1"/>
  <c r="AA685" i="7"/>
  <c r="AE685" i="7" s="1"/>
  <c r="AA684" i="7"/>
  <c r="AB684" i="7" s="1"/>
  <c r="AC684" i="7" s="1"/>
  <c r="AD684" i="7" s="1"/>
  <c r="AA683" i="7"/>
  <c r="AE683" i="7" s="1"/>
  <c r="AA682" i="7"/>
  <c r="AA681" i="7"/>
  <c r="AE681" i="7" s="1"/>
  <c r="AA646" i="7"/>
  <c r="AA645" i="7"/>
  <c r="AE645" i="7" s="1"/>
  <c r="AA644" i="7"/>
  <c r="AB644" i="7" s="1"/>
  <c r="AC644" i="7" s="1"/>
  <c r="AD644" i="7" s="1"/>
  <c r="AA643" i="7"/>
  <c r="AE643" i="7" s="1"/>
  <c r="AA642" i="7"/>
  <c r="AB642" i="7" s="1"/>
  <c r="AC642" i="7" s="1"/>
  <c r="AD642" i="7" s="1"/>
  <c r="AA641" i="7"/>
  <c r="AE641" i="7" s="1"/>
  <c r="AA640" i="7"/>
  <c r="AA639" i="7"/>
  <c r="AE639" i="7" s="1"/>
  <c r="AA638" i="7"/>
  <c r="AA637" i="7"/>
  <c r="AE637" i="7" s="1"/>
  <c r="AA636" i="7"/>
  <c r="AB636" i="7" s="1"/>
  <c r="AC636" i="7" s="1"/>
  <c r="AD636" i="7" s="1"/>
  <c r="AA635" i="7"/>
  <c r="AE635" i="7" s="1"/>
  <c r="AA634" i="7"/>
  <c r="AB634" i="7" s="1"/>
  <c r="AC634" i="7" s="1"/>
  <c r="AD634" i="7" s="1"/>
  <c r="AA633" i="7"/>
  <c r="AE633" i="7" s="1"/>
  <c r="AA632" i="7"/>
  <c r="AA631" i="7"/>
  <c r="AE631" i="7" s="1"/>
  <c r="AA630" i="7"/>
  <c r="AB630" i="7" s="1"/>
  <c r="AC630" i="7" s="1"/>
  <c r="AD630" i="7" s="1"/>
  <c r="AA565" i="7"/>
  <c r="AE565" i="7" s="1"/>
  <c r="AA564" i="7"/>
  <c r="AB564" i="7" s="1"/>
  <c r="AC564" i="7" s="1"/>
  <c r="AD564" i="7" s="1"/>
  <c r="AA563" i="7"/>
  <c r="AE563" i="7" s="1"/>
  <c r="AA562" i="7"/>
  <c r="AB562" i="7" s="1"/>
  <c r="AC562" i="7" s="1"/>
  <c r="AD562" i="7" s="1"/>
  <c r="AA561" i="7"/>
  <c r="AE561" i="7" s="1"/>
  <c r="AA560" i="7"/>
  <c r="AA559" i="7"/>
  <c r="AE559" i="7" s="1"/>
  <c r="AA558" i="7"/>
  <c r="AB558" i="7" s="1"/>
  <c r="AC558" i="7" s="1"/>
  <c r="AD558" i="7" s="1"/>
  <c r="AA557" i="7"/>
  <c r="AE557" i="7" s="1"/>
  <c r="AA556" i="7"/>
  <c r="AB556" i="7" s="1"/>
  <c r="AC556" i="7" s="1"/>
  <c r="AD556" i="7" s="1"/>
  <c r="AA555" i="7"/>
  <c r="AE555" i="7" s="1"/>
  <c r="AA554" i="7"/>
  <c r="AB554" i="7" s="1"/>
  <c r="AC554" i="7" s="1"/>
  <c r="AD554" i="7" s="1"/>
  <c r="AA553" i="7"/>
  <c r="AE553" i="7" s="1"/>
  <c r="AA552" i="7"/>
  <c r="AA551" i="7"/>
  <c r="AE551" i="7" s="1"/>
  <c r="AA550" i="7"/>
  <c r="AB550" i="7" s="1"/>
  <c r="AC550" i="7" s="1"/>
  <c r="AD550" i="7" s="1"/>
  <c r="AA549" i="7"/>
  <c r="AE549" i="7" s="1"/>
  <c r="AA548" i="7"/>
  <c r="AB548" i="7" s="1"/>
  <c r="AC548" i="7" s="1"/>
  <c r="AD548" i="7" s="1"/>
  <c r="AA478" i="7"/>
  <c r="AE478" i="7" s="1"/>
  <c r="AA477" i="7"/>
  <c r="AB477" i="7" s="1"/>
  <c r="AC477" i="7" s="1"/>
  <c r="AD477" i="7" s="1"/>
  <c r="AA476" i="7"/>
  <c r="AE476" i="7" s="1"/>
  <c r="AA475" i="7"/>
  <c r="AA474" i="7"/>
  <c r="AE474" i="7" s="1"/>
  <c r="AA473" i="7"/>
  <c r="AB473" i="7" s="1"/>
  <c r="AC473" i="7" s="1"/>
  <c r="AD473" i="7" s="1"/>
  <c r="AA472" i="7"/>
  <c r="AE472" i="7" s="1"/>
  <c r="AA471" i="7"/>
  <c r="AB471" i="7" s="1"/>
  <c r="AC471" i="7" s="1"/>
  <c r="AD471" i="7" s="1"/>
  <c r="AA470" i="7"/>
  <c r="AE470" i="7" s="1"/>
  <c r="AA469" i="7"/>
  <c r="AB469" i="7" s="1"/>
  <c r="AC469" i="7" s="1"/>
  <c r="AD469" i="7" s="1"/>
  <c r="AA468" i="7"/>
  <c r="AE468" i="7" s="1"/>
  <c r="AA467" i="7"/>
  <c r="AA466" i="7"/>
  <c r="AE466" i="7" s="1"/>
  <c r="AA465" i="7"/>
  <c r="AB465" i="7" s="1"/>
  <c r="AC465" i="7" s="1"/>
  <c r="AD465" i="7" s="1"/>
  <c r="AA464" i="7"/>
  <c r="AE464" i="7" s="1"/>
  <c r="AA463" i="7"/>
  <c r="AB463" i="7" s="1"/>
  <c r="AC463" i="7" s="1"/>
  <c r="AD463" i="7" s="1"/>
  <c r="AA462" i="7"/>
  <c r="AE462" i="7" s="1"/>
  <c r="AA461" i="7"/>
  <c r="AB461" i="7" s="1"/>
  <c r="AC461" i="7" s="1"/>
  <c r="AD461" i="7" s="1"/>
  <c r="AA460" i="7"/>
  <c r="AE460" i="7" s="1"/>
  <c r="AA459" i="7"/>
  <c r="AA458" i="7"/>
  <c r="AE458" i="7" s="1"/>
  <c r="AA457" i="7"/>
  <c r="AB457" i="7" s="1"/>
  <c r="AC457" i="7" s="1"/>
  <c r="AD457" i="7" s="1"/>
  <c r="AA456" i="7"/>
  <c r="AE456" i="7" s="1"/>
  <c r="AA455" i="7"/>
  <c r="AB455" i="7" s="1"/>
  <c r="AC455" i="7" s="1"/>
  <c r="AD455" i="7" s="1"/>
  <c r="AA454" i="7"/>
  <c r="AE454" i="7" s="1"/>
  <c r="AA453" i="7"/>
  <c r="AB453" i="7" s="1"/>
  <c r="AC453" i="7" s="1"/>
  <c r="AD453" i="7" s="1"/>
  <c r="AA452" i="7"/>
  <c r="AE452" i="7" s="1"/>
  <c r="AA451" i="7"/>
  <c r="AA450" i="7"/>
  <c r="AE450" i="7" s="1"/>
  <c r="AA431" i="7"/>
  <c r="AB431" i="7" s="1"/>
  <c r="AC431" i="7" s="1"/>
  <c r="AD431" i="7" s="1"/>
  <c r="AA430" i="7"/>
  <c r="AE430" i="7" s="1"/>
  <c r="AA429" i="7"/>
  <c r="AB429" i="7" s="1"/>
  <c r="AC429" i="7" s="1"/>
  <c r="AD429" i="7" s="1"/>
  <c r="AA428" i="7"/>
  <c r="AE428" i="7" s="1"/>
  <c r="AA427" i="7"/>
  <c r="AE427" i="7" s="1"/>
  <c r="AA426" i="7"/>
  <c r="AB426" i="7" s="1"/>
  <c r="AC426" i="7" s="1"/>
  <c r="AD426" i="7" s="1"/>
  <c r="AA425" i="7"/>
  <c r="AE425" i="7" s="1"/>
  <c r="AA424" i="7"/>
  <c r="AE424" i="7" s="1"/>
  <c r="AA423" i="7"/>
  <c r="AB423" i="7" s="1"/>
  <c r="AC423" i="7" s="1"/>
  <c r="AD423" i="7" s="1"/>
  <c r="AA422" i="7"/>
  <c r="AE422" i="7" s="1"/>
  <c r="AA421" i="7"/>
  <c r="AB421" i="7" s="1"/>
  <c r="AC421" i="7" s="1"/>
  <c r="AD421" i="7" s="1"/>
  <c r="AA420" i="7"/>
  <c r="AE420" i="7" s="1"/>
  <c r="AA400" i="7"/>
  <c r="AE400" i="7" s="1"/>
  <c r="AA399" i="7"/>
  <c r="AB399" i="7" s="1"/>
  <c r="AC399" i="7" s="1"/>
  <c r="AD399" i="7" s="1"/>
  <c r="AA398" i="7"/>
  <c r="AB398" i="7" s="1"/>
  <c r="AC398" i="7" s="1"/>
  <c r="AD398" i="7" s="1"/>
  <c r="AA397" i="7"/>
  <c r="AB397" i="7" s="1"/>
  <c r="AC397" i="7" s="1"/>
  <c r="AD397" i="7" s="1"/>
  <c r="AA361" i="7"/>
  <c r="AB361" i="7" s="1"/>
  <c r="AC361" i="7" s="1"/>
  <c r="AD361" i="7" s="1"/>
  <c r="AA360" i="7"/>
  <c r="AE360" i="7" s="1"/>
  <c r="AA359" i="7"/>
  <c r="AB359" i="7" s="1"/>
  <c r="AC359" i="7" s="1"/>
  <c r="AD359" i="7" s="1"/>
  <c r="AA358" i="7"/>
  <c r="AE358" i="7" s="1"/>
  <c r="AA357" i="7"/>
  <c r="AE357" i="7" s="1"/>
  <c r="AA356" i="7"/>
  <c r="AB356" i="7" s="1"/>
  <c r="AC356" i="7" s="1"/>
  <c r="AD356" i="7" s="1"/>
  <c r="AA355" i="7"/>
  <c r="AE355" i="7" s="1"/>
  <c r="AA354" i="7"/>
  <c r="AE354" i="7" s="1"/>
  <c r="AA353" i="7"/>
  <c r="AB353" i="7" s="1"/>
  <c r="AC353" i="7" s="1"/>
  <c r="AD353" i="7" s="1"/>
  <c r="AA352" i="7"/>
  <c r="AE352" i="7" s="1"/>
  <c r="AA351" i="7"/>
  <c r="AB351" i="7" s="1"/>
  <c r="AC351" i="7" s="1"/>
  <c r="AD351" i="7" s="1"/>
  <c r="AA350" i="7"/>
  <c r="AE350" i="7" s="1"/>
  <c r="AA349" i="7"/>
  <c r="AE349" i="7" s="1"/>
  <c r="AA348" i="7"/>
  <c r="AB348" i="7" s="1"/>
  <c r="AC348" i="7" s="1"/>
  <c r="AD348" i="7" s="1"/>
  <c r="AA347" i="7"/>
  <c r="AE347" i="7" s="1"/>
  <c r="AA346" i="7"/>
  <c r="AE346" i="7" s="1"/>
  <c r="AA345" i="7"/>
  <c r="AB345" i="7" s="1"/>
  <c r="AC345" i="7" s="1"/>
  <c r="AD345" i="7" s="1"/>
  <c r="AA344" i="7"/>
  <c r="AE344" i="7" s="1"/>
  <c r="AA343" i="7"/>
  <c r="AB343" i="7" s="1"/>
  <c r="AC343" i="7" s="1"/>
  <c r="AD343" i="7" s="1"/>
  <c r="AA342" i="7"/>
  <c r="AE342" i="7" s="1"/>
  <c r="AA341" i="7"/>
  <c r="AE341" i="7" s="1"/>
  <c r="AA340" i="7"/>
  <c r="AB340" i="7" s="1"/>
  <c r="AC340" i="7" s="1"/>
  <c r="AD340" i="7" s="1"/>
  <c r="AA339" i="7"/>
  <c r="AE339" i="7" s="1"/>
  <c r="AA338" i="7"/>
  <c r="AE338" i="7" s="1"/>
  <c r="AA337" i="7"/>
  <c r="AB337" i="7" s="1"/>
  <c r="AC337" i="7" s="1"/>
  <c r="AD337" i="7" s="1"/>
  <c r="AA336" i="7"/>
  <c r="AE336" i="7" s="1"/>
  <c r="AA335" i="7"/>
  <c r="AB335" i="7" s="1"/>
  <c r="AC335" i="7" s="1"/>
  <c r="AD335" i="7" s="1"/>
  <c r="AA275" i="7"/>
  <c r="AE275" i="7" s="1"/>
  <c r="AA274" i="7"/>
  <c r="AE274" i="7" s="1"/>
  <c r="AA273" i="7"/>
  <c r="AB273" i="7" s="1"/>
  <c r="AC273" i="7" s="1"/>
  <c r="AD273" i="7" s="1"/>
  <c r="AA272" i="7"/>
  <c r="AE272" i="7" s="1"/>
  <c r="AA271" i="7"/>
  <c r="AE271" i="7" s="1"/>
  <c r="AA270" i="7"/>
  <c r="AB270" i="7" s="1"/>
  <c r="AC270" i="7" s="1"/>
  <c r="AD270" i="7" s="1"/>
  <c r="AA269" i="7"/>
  <c r="AE269" i="7" s="1"/>
  <c r="AA268" i="7"/>
  <c r="AB268" i="7" s="1"/>
  <c r="AC268" i="7" s="1"/>
  <c r="AD268" i="7" s="1"/>
  <c r="AA267" i="7"/>
  <c r="AE267" i="7" s="1"/>
  <c r="AA266" i="7"/>
  <c r="AE266" i="7" s="1"/>
  <c r="AA265" i="7"/>
  <c r="AB265" i="7" s="1"/>
  <c r="AC265" i="7" s="1"/>
  <c r="AD265" i="7" s="1"/>
  <c r="AA264" i="7"/>
  <c r="AB264" i="7" s="1"/>
  <c r="AC264" i="7" s="1"/>
  <c r="AD264" i="7" s="1"/>
  <c r="AA263" i="7"/>
  <c r="AE263" i="7" s="1"/>
  <c r="AA262" i="7"/>
  <c r="AB262" i="7" s="1"/>
  <c r="AC262" i="7" s="1"/>
  <c r="AD262" i="7" s="1"/>
  <c r="AA261" i="7"/>
  <c r="AE261" i="7" s="1"/>
  <c r="AA260" i="7"/>
  <c r="AB260" i="7" s="1"/>
  <c r="AC260" i="7" s="1"/>
  <c r="AD260" i="7" s="1"/>
  <c r="AA259" i="7"/>
  <c r="AE259" i="7" s="1"/>
  <c r="AA258" i="7"/>
  <c r="AE258" i="7" s="1"/>
  <c r="AA257" i="7"/>
  <c r="AB257" i="7" s="1"/>
  <c r="AC257" i="7" s="1"/>
  <c r="AD257" i="7" s="1"/>
  <c r="AA256" i="7"/>
  <c r="AB256" i="7" s="1"/>
  <c r="AC256" i="7" s="1"/>
  <c r="AD256" i="7" s="1"/>
  <c r="AA255" i="7"/>
  <c r="AE255" i="7" s="1"/>
  <c r="AA254" i="7"/>
  <c r="AB254" i="7" s="1"/>
  <c r="AC254" i="7" s="1"/>
  <c r="AD254" i="7" s="1"/>
  <c r="AA222" i="7"/>
  <c r="AE222" i="7" s="1"/>
  <c r="AA221" i="7"/>
  <c r="AB221" i="7" s="1"/>
  <c r="AC221" i="7" s="1"/>
  <c r="AD221" i="7" s="1"/>
  <c r="AA220" i="7"/>
  <c r="AE220" i="7" s="1"/>
  <c r="AA219" i="7"/>
  <c r="AE219" i="7" s="1"/>
  <c r="AA218" i="7"/>
  <c r="AB218" i="7" s="1"/>
  <c r="AC218" i="7" s="1"/>
  <c r="AD218" i="7" s="1"/>
  <c r="AA217" i="7"/>
  <c r="AE217" i="7" s="1"/>
  <c r="AA216" i="7"/>
  <c r="AE216" i="7" s="1"/>
  <c r="AA215" i="7"/>
  <c r="AB215" i="7" s="1"/>
  <c r="AC215" i="7" s="1"/>
  <c r="AD215" i="7" s="1"/>
  <c r="AA214" i="7"/>
  <c r="AE214" i="7" s="1"/>
  <c r="AA213" i="7"/>
  <c r="AB213" i="7" s="1"/>
  <c r="AC213" i="7" s="1"/>
  <c r="AD213" i="7" s="1"/>
  <c r="AA212" i="7"/>
  <c r="AE212" i="7" s="1"/>
  <c r="AA211" i="7"/>
  <c r="AE211" i="7" s="1"/>
  <c r="AA210" i="7"/>
  <c r="AB210" i="7" s="1"/>
  <c r="AC210" i="7" s="1"/>
  <c r="AD210" i="7" s="1"/>
  <c r="AA209" i="7"/>
  <c r="AB209" i="7" s="1"/>
  <c r="AC209" i="7" s="1"/>
  <c r="AD209" i="7" s="1"/>
  <c r="AA208" i="7"/>
  <c r="AE208" i="7" s="1"/>
  <c r="AA207" i="7"/>
  <c r="AB207" i="7" s="1"/>
  <c r="AC207" i="7" s="1"/>
  <c r="AD207" i="7" s="1"/>
  <c r="AA206" i="7"/>
  <c r="AE206" i="7" s="1"/>
  <c r="AA205" i="7"/>
  <c r="AA204" i="7"/>
  <c r="AE204" i="7" s="1"/>
  <c r="AA203" i="7"/>
  <c r="AE203" i="7" s="1"/>
  <c r="AA202" i="7"/>
  <c r="AB202" i="7" s="1"/>
  <c r="AC202" i="7" s="1"/>
  <c r="AD202" i="7" s="1"/>
  <c r="AA201" i="7"/>
  <c r="AE201" i="7" s="1"/>
  <c r="AA200" i="7"/>
  <c r="AE200" i="7" s="1"/>
  <c r="AA199" i="7"/>
  <c r="AB199" i="7" s="1"/>
  <c r="AC199" i="7" s="1"/>
  <c r="AD199" i="7" s="1"/>
  <c r="AA198" i="7"/>
  <c r="AE198" i="7" s="1"/>
  <c r="AA197" i="7"/>
  <c r="AA196" i="7"/>
  <c r="AE196" i="7" s="1"/>
  <c r="AA195" i="7"/>
  <c r="AE195" i="7" s="1"/>
  <c r="AA194" i="7"/>
  <c r="AB194" i="7" s="1"/>
  <c r="AC194" i="7" s="1"/>
  <c r="AD194" i="7" s="1"/>
  <c r="AA193" i="7"/>
  <c r="AB193" i="7" s="1"/>
  <c r="AC193" i="7" s="1"/>
  <c r="AD193" i="7" s="1"/>
  <c r="AA192" i="7"/>
  <c r="AE192" i="7" s="1"/>
  <c r="AA191" i="7"/>
  <c r="AB191" i="7" s="1"/>
  <c r="AC191" i="7" s="1"/>
  <c r="AD191" i="7" s="1"/>
  <c r="AA190" i="7"/>
  <c r="AE190" i="7" s="1"/>
  <c r="AA189" i="7"/>
  <c r="AA188" i="7"/>
  <c r="AE188" i="7" s="1"/>
  <c r="AA187" i="7"/>
  <c r="AE187" i="7" s="1"/>
  <c r="AA186" i="7"/>
  <c r="AB186" i="7" s="1"/>
  <c r="AC186" i="7" s="1"/>
  <c r="AD186" i="7" s="1"/>
  <c r="AA185" i="7"/>
  <c r="AE185" i="7" s="1"/>
  <c r="AA184" i="7"/>
  <c r="AE184" i="7" s="1"/>
  <c r="AA183" i="7"/>
  <c r="AB183" i="7" s="1"/>
  <c r="AC183" i="7" s="1"/>
  <c r="AD183" i="7" s="1"/>
  <c r="AA182" i="7"/>
  <c r="AB182" i="7" s="1"/>
  <c r="AC182" i="7" s="1"/>
  <c r="AD182" i="7" s="1"/>
  <c r="AA181" i="7"/>
  <c r="AE181" i="7" s="1"/>
  <c r="AA180" i="7"/>
  <c r="AE180" i="7" s="1"/>
  <c r="AA179" i="7"/>
  <c r="AE179" i="7" s="1"/>
  <c r="AA178" i="7"/>
  <c r="AB178" i="7" s="1"/>
  <c r="AC178" i="7" s="1"/>
  <c r="AD178" i="7" s="1"/>
  <c r="AA177" i="7"/>
  <c r="AE177" i="7" s="1"/>
  <c r="AA176" i="7"/>
  <c r="AE176" i="7" s="1"/>
  <c r="AA175" i="7"/>
  <c r="AB175" i="7" s="1"/>
  <c r="AC175" i="7" s="1"/>
  <c r="AD175" i="7" s="1"/>
  <c r="AA174" i="7"/>
  <c r="AB174" i="7" s="1"/>
  <c r="AC174" i="7" s="1"/>
  <c r="AD174" i="7" s="1"/>
  <c r="AA173" i="7"/>
  <c r="AE173" i="7" s="1"/>
  <c r="AA172" i="7"/>
  <c r="AE172" i="7" s="1"/>
  <c r="AA171" i="7"/>
  <c r="AA170" i="7"/>
  <c r="AB170" i="7" s="1"/>
  <c r="AC170" i="7" s="1"/>
  <c r="AD170" i="7" s="1"/>
  <c r="AA169" i="7"/>
  <c r="AE169" i="7" s="1"/>
  <c r="AA168" i="7"/>
  <c r="AE168" i="7" s="1"/>
  <c r="AA167" i="7"/>
  <c r="AB167" i="7" s="1"/>
  <c r="AC167" i="7" s="1"/>
  <c r="AD167" i="7" s="1"/>
  <c r="AA143" i="7"/>
  <c r="AB143" i="7" s="1"/>
  <c r="AC143" i="7" s="1"/>
  <c r="AD143" i="7" s="1"/>
  <c r="AA142" i="7"/>
  <c r="AE142" i="7" s="1"/>
  <c r="AA141" i="7"/>
  <c r="AE141" i="7" s="1"/>
  <c r="AA140" i="7"/>
  <c r="AA139" i="7"/>
  <c r="AB139" i="7" s="1"/>
  <c r="AC139" i="7" s="1"/>
  <c r="AD139" i="7" s="1"/>
  <c r="AA138" i="7"/>
  <c r="AE138" i="7" s="1"/>
  <c r="AA137" i="7"/>
  <c r="AE137" i="7" s="1"/>
  <c r="AA136" i="7"/>
  <c r="AB136" i="7" s="1"/>
  <c r="AC136" i="7" s="1"/>
  <c r="AD136" i="7" s="1"/>
  <c r="AA135" i="7"/>
  <c r="AB135" i="7" s="1"/>
  <c r="AC135" i="7" s="1"/>
  <c r="AD135" i="7" s="1"/>
  <c r="AE134" i="7"/>
  <c r="AA134" i="7"/>
  <c r="AB134" i="7" s="1"/>
  <c r="AC134" i="7" s="1"/>
  <c r="AD134" i="7" s="1"/>
  <c r="AA133" i="7"/>
  <c r="AE133" i="7" s="1"/>
  <c r="AA132" i="7"/>
  <c r="AB132" i="7" s="1"/>
  <c r="AC132" i="7" s="1"/>
  <c r="AD132" i="7" s="1"/>
  <c r="AA131" i="7"/>
  <c r="AB131" i="7" s="1"/>
  <c r="AC131" i="7" s="1"/>
  <c r="AD131" i="7" s="1"/>
  <c r="AA130" i="7"/>
  <c r="AE130" i="7" s="1"/>
  <c r="AA95" i="7"/>
  <c r="AE95" i="7" s="1"/>
  <c r="AA94" i="7"/>
  <c r="AB94" i="7" s="1"/>
  <c r="AC94" i="7" s="1"/>
  <c r="AD94" i="7" s="1"/>
  <c r="AA93" i="7"/>
  <c r="AB93" i="7" s="1"/>
  <c r="AC93" i="7" s="1"/>
  <c r="AD93" i="7" s="1"/>
  <c r="AA92" i="7"/>
  <c r="AE92" i="7" s="1"/>
  <c r="AA91" i="7"/>
  <c r="AE91" i="7" s="1"/>
  <c r="AA90" i="7"/>
  <c r="AB90" i="7" s="1"/>
  <c r="AC90" i="7" s="1"/>
  <c r="AD90" i="7" s="1"/>
  <c r="AA89" i="7"/>
  <c r="AB89" i="7" s="1"/>
  <c r="AC89" i="7" s="1"/>
  <c r="AD89" i="7" s="1"/>
  <c r="AA88" i="7"/>
  <c r="AB88" i="7" s="1"/>
  <c r="AC88" i="7" s="1"/>
  <c r="AD88" i="7" s="1"/>
  <c r="AA87" i="7"/>
  <c r="AB87" i="7" s="1"/>
  <c r="AC87" i="7" s="1"/>
  <c r="AD87" i="7" s="1"/>
  <c r="AA86" i="7"/>
  <c r="AB86" i="7" s="1"/>
  <c r="AC86" i="7" s="1"/>
  <c r="AD86" i="7" s="1"/>
  <c r="AA85" i="7"/>
  <c r="AE85" i="7" s="1"/>
  <c r="AA84" i="7"/>
  <c r="AB84" i="7" s="1"/>
  <c r="AC84" i="7" s="1"/>
  <c r="AD84" i="7" s="1"/>
  <c r="AA83" i="7"/>
  <c r="AB83" i="7" s="1"/>
  <c r="AC83" i="7" s="1"/>
  <c r="AD83" i="7" s="1"/>
  <c r="AA82" i="7"/>
  <c r="AE82" i="7" s="1"/>
  <c r="AA81" i="7"/>
  <c r="AB81" i="7" s="1"/>
  <c r="AC81" i="7" s="1"/>
  <c r="AD81" i="7" s="1"/>
  <c r="AA80" i="7"/>
  <c r="AE80" i="7" s="1"/>
  <c r="AA79" i="7"/>
  <c r="AB79" i="7" s="1"/>
  <c r="AC79" i="7" s="1"/>
  <c r="AD79" i="7" s="1"/>
  <c r="AA78" i="7"/>
  <c r="AB78" i="7" s="1"/>
  <c r="AC78" i="7" s="1"/>
  <c r="AD78" i="7" s="1"/>
  <c r="AA77" i="7"/>
  <c r="AE77" i="7" s="1"/>
  <c r="AA76" i="7"/>
  <c r="AB76" i="7" s="1"/>
  <c r="AC76" i="7" s="1"/>
  <c r="AD76" i="7" s="1"/>
  <c r="AA75" i="7"/>
  <c r="AB75" i="7" s="1"/>
  <c r="AC75" i="7" s="1"/>
  <c r="AD75" i="7" s="1"/>
  <c r="AA74" i="7"/>
  <c r="AE74" i="7" s="1"/>
  <c r="AA73" i="7"/>
  <c r="AB73" i="7" s="1"/>
  <c r="AC73" i="7" s="1"/>
  <c r="AD73" i="7" s="1"/>
  <c r="AA72" i="7"/>
  <c r="AE72" i="7" s="1"/>
  <c r="AA71" i="7"/>
  <c r="AB71" i="7" s="1"/>
  <c r="AC71" i="7" s="1"/>
  <c r="AD71" i="7" s="1"/>
  <c r="AA70" i="7"/>
  <c r="AB70" i="7" s="1"/>
  <c r="AC70" i="7" s="1"/>
  <c r="AD70" i="7" s="1"/>
  <c r="AA69" i="7"/>
  <c r="AE69" i="7" s="1"/>
  <c r="AA68" i="7"/>
  <c r="AB68" i="7" s="1"/>
  <c r="AC68" i="7" s="1"/>
  <c r="AD68" i="7" s="1"/>
  <c r="AA67" i="7"/>
  <c r="AB67" i="7" s="1"/>
  <c r="AC67" i="7" s="1"/>
  <c r="AD67" i="7" s="1"/>
  <c r="AA66" i="7"/>
  <c r="AE66" i="7" s="1"/>
  <c r="AA65" i="7"/>
  <c r="AB65" i="7" s="1"/>
  <c r="AC65" i="7" s="1"/>
  <c r="AD65" i="7" s="1"/>
  <c r="AA64" i="7"/>
  <c r="AE64" i="7" s="1"/>
  <c r="AA53" i="7"/>
  <c r="AB53" i="7" s="1"/>
  <c r="AC53" i="7" s="1"/>
  <c r="AD53" i="7" s="1"/>
  <c r="AA52" i="7"/>
  <c r="AB52" i="7" s="1"/>
  <c r="AC52" i="7" s="1"/>
  <c r="AD52" i="7" s="1"/>
  <c r="AA51" i="7"/>
  <c r="AE51" i="7" s="1"/>
  <c r="AA50" i="7"/>
  <c r="AB50" i="7" s="1"/>
  <c r="AC50" i="7" s="1"/>
  <c r="AD50" i="7" s="1"/>
  <c r="AA49" i="7"/>
  <c r="AB49" i="7" s="1"/>
  <c r="AC49" i="7" s="1"/>
  <c r="AD49" i="7" s="1"/>
  <c r="AA48" i="7"/>
  <c r="AE48" i="7" s="1"/>
  <c r="AA47" i="7"/>
  <c r="AB47" i="7" s="1"/>
  <c r="AC47" i="7" s="1"/>
  <c r="AD47" i="7" s="1"/>
  <c r="AA46" i="7"/>
  <c r="AB46" i="7" s="1"/>
  <c r="AC46" i="7" s="1"/>
  <c r="AD46" i="7" s="1"/>
  <c r="AA45" i="7"/>
  <c r="AB45" i="7" s="1"/>
  <c r="AC45" i="7" s="1"/>
  <c r="AD45" i="7" s="1"/>
  <c r="AA44" i="7"/>
  <c r="AB44" i="7" s="1"/>
  <c r="AC44" i="7" s="1"/>
  <c r="AD44" i="7" s="1"/>
  <c r="AA43" i="7"/>
  <c r="AE43" i="7" s="1"/>
  <c r="AA42" i="7"/>
  <c r="AB42" i="7" s="1"/>
  <c r="AC42" i="7" s="1"/>
  <c r="AD42" i="7" s="1"/>
  <c r="AA41" i="7"/>
  <c r="AB41" i="7" s="1"/>
  <c r="AC41" i="7" s="1"/>
  <c r="AD41" i="7" s="1"/>
  <c r="AA40" i="7"/>
  <c r="AE40" i="7" s="1"/>
  <c r="AA39" i="7"/>
  <c r="AB39" i="7" s="1"/>
  <c r="AC39" i="7" s="1"/>
  <c r="AD39" i="7" s="1"/>
  <c r="AA38" i="7"/>
  <c r="AE38" i="7" s="1"/>
  <c r="AA37" i="7"/>
  <c r="AB37" i="7" s="1"/>
  <c r="AC37" i="7" s="1"/>
  <c r="AD37" i="7" s="1"/>
  <c r="AA36" i="7"/>
  <c r="AB36" i="7" s="1"/>
  <c r="AC36" i="7" s="1"/>
  <c r="AD36" i="7" s="1"/>
  <c r="AA35" i="7"/>
  <c r="AE35" i="7" s="1"/>
  <c r="AA12" i="7"/>
  <c r="AB12" i="7" s="1"/>
  <c r="AC12" i="7" s="1"/>
  <c r="AD12" i="7" s="1"/>
  <c r="AA11" i="7"/>
  <c r="AB11" i="7" s="1"/>
  <c r="AC11" i="7" s="1"/>
  <c r="AD11" i="7" s="1"/>
  <c r="AA10" i="7"/>
  <c r="AE10" i="7" s="1"/>
  <c r="AA9" i="7"/>
  <c r="AB9" i="7" s="1"/>
  <c r="AC9" i="7" s="1"/>
  <c r="AD9" i="7" s="1"/>
  <c r="AA8" i="7"/>
  <c r="AE8" i="7" s="1"/>
  <c r="AA7" i="7"/>
  <c r="AB7" i="7" s="1"/>
  <c r="AC7" i="7" s="1"/>
  <c r="AD7" i="7" s="1"/>
  <c r="AA6" i="7"/>
  <c r="AB6" i="7" s="1"/>
  <c r="AC6" i="7" s="1"/>
  <c r="AD6" i="7" s="1"/>
  <c r="S1071" i="7"/>
  <c r="V1071" i="7" s="1"/>
  <c r="S1070" i="7"/>
  <c r="S1068" i="7"/>
  <c r="V1068" i="7" s="1"/>
  <c r="S1067" i="7"/>
  <c r="S1065" i="7"/>
  <c r="T1065" i="7" s="1"/>
  <c r="U1065" i="7" s="1"/>
  <c r="S1064" i="7"/>
  <c r="T1064" i="7" s="1"/>
  <c r="U1064" i="7" s="1"/>
  <c r="S1061" i="7"/>
  <c r="T1061" i="7" s="1"/>
  <c r="U1061" i="7" s="1"/>
  <c r="S1054" i="7"/>
  <c r="V1054" i="7" s="1"/>
  <c r="S1053" i="7"/>
  <c r="T1053" i="7" s="1"/>
  <c r="U1053" i="7" s="1"/>
  <c r="S1043" i="7"/>
  <c r="V1043" i="7" s="1"/>
  <c r="S1042" i="7"/>
  <c r="T1042" i="7" s="1"/>
  <c r="U1042" i="7" s="1"/>
  <c r="S1041" i="7"/>
  <c r="V1041" i="7" s="1"/>
  <c r="S1040" i="7"/>
  <c r="T1040" i="7" s="1"/>
  <c r="U1040" i="7" s="1"/>
  <c r="S1036" i="7"/>
  <c r="V1036" i="7" s="1"/>
  <c r="S1035" i="7"/>
  <c r="T1035" i="7" s="1"/>
  <c r="U1035" i="7" s="1"/>
  <c r="S1034" i="7"/>
  <c r="V1034" i="7" s="1"/>
  <c r="S1033" i="7"/>
  <c r="T1033" i="7" s="1"/>
  <c r="U1033" i="7" s="1"/>
  <c r="S1031" i="7"/>
  <c r="V1031" i="7" s="1"/>
  <c r="S1030" i="7"/>
  <c r="T1030" i="7" s="1"/>
  <c r="U1030" i="7" s="1"/>
  <c r="S1029" i="7"/>
  <c r="V1029" i="7" s="1"/>
  <c r="S1028" i="7"/>
  <c r="T1028" i="7" s="1"/>
  <c r="U1028" i="7" s="1"/>
  <c r="S1027" i="7"/>
  <c r="V1027" i="7" s="1"/>
  <c r="S1026" i="7"/>
  <c r="S1025" i="7"/>
  <c r="V1025" i="7" s="1"/>
  <c r="S1024" i="7"/>
  <c r="S1023" i="7"/>
  <c r="V1023" i="7" s="1"/>
  <c r="S1022" i="7"/>
  <c r="S1021" i="7"/>
  <c r="V1021" i="7" s="1"/>
  <c r="S1020" i="7"/>
  <c r="S1019" i="7"/>
  <c r="V1019" i="7" s="1"/>
  <c r="S1018" i="7"/>
  <c r="S1017" i="7"/>
  <c r="V1017" i="7" s="1"/>
  <c r="S1016" i="7"/>
  <c r="S1015" i="7"/>
  <c r="V1015" i="7" s="1"/>
  <c r="S1014" i="7"/>
  <c r="S1013" i="7"/>
  <c r="V1013" i="7" s="1"/>
  <c r="S929" i="7"/>
  <c r="S927" i="7"/>
  <c r="V927" i="7" s="1"/>
  <c r="S926" i="7"/>
  <c r="S924" i="7"/>
  <c r="V924" i="7" s="1"/>
  <c r="S923" i="7"/>
  <c r="S922" i="7"/>
  <c r="V922" i="7" s="1"/>
  <c r="S921" i="7"/>
  <c r="S920" i="7"/>
  <c r="V920" i="7" s="1"/>
  <c r="S919" i="7"/>
  <c r="S918" i="7"/>
  <c r="V918" i="7" s="1"/>
  <c r="S917" i="7"/>
  <c r="S916" i="7"/>
  <c r="V916" i="7" s="1"/>
  <c r="S915" i="7"/>
  <c r="S914" i="7"/>
  <c r="V914" i="7" s="1"/>
  <c r="S913" i="7"/>
  <c r="S873" i="7"/>
  <c r="V873" i="7" s="1"/>
  <c r="S872" i="7"/>
  <c r="S871" i="7"/>
  <c r="V871" i="7" s="1"/>
  <c r="S862" i="7"/>
  <c r="S861" i="7"/>
  <c r="V861" i="7" s="1"/>
  <c r="S860" i="7"/>
  <c r="S859" i="7"/>
  <c r="V859" i="7" s="1"/>
  <c r="S858" i="7"/>
  <c r="S857" i="7"/>
  <c r="V857" i="7" s="1"/>
  <c r="S856" i="7"/>
  <c r="S855" i="7"/>
  <c r="V855" i="7" s="1"/>
  <c r="S854" i="7"/>
  <c r="S853" i="7"/>
  <c r="V853" i="7" s="1"/>
  <c r="S852" i="7"/>
  <c r="S851" i="7"/>
  <c r="V851" i="7" s="1"/>
  <c r="S850" i="7"/>
  <c r="S849" i="7"/>
  <c r="V849" i="7" s="1"/>
  <c r="S848" i="7"/>
  <c r="S847" i="7"/>
  <c r="V847" i="7" s="1"/>
  <c r="S846" i="7"/>
  <c r="S845" i="7"/>
  <c r="V845" i="7" s="1"/>
  <c r="S844" i="7"/>
  <c r="S843" i="7"/>
  <c r="V843" i="7" s="1"/>
  <c r="S842" i="7"/>
  <c r="S841" i="7"/>
  <c r="V841" i="7" s="1"/>
  <c r="S840" i="7"/>
  <c r="S839" i="7"/>
  <c r="V839" i="7" s="1"/>
  <c r="S838" i="7"/>
  <c r="S837" i="7"/>
  <c r="V837" i="7" s="1"/>
  <c r="S836" i="7"/>
  <c r="S835" i="7"/>
  <c r="V835" i="7" s="1"/>
  <c r="S834" i="7"/>
  <c r="S833" i="7"/>
  <c r="V833" i="7" s="1"/>
  <c r="S832" i="7"/>
  <c r="S831" i="7"/>
  <c r="V831" i="7" s="1"/>
  <c r="S830" i="7"/>
  <c r="S829" i="7"/>
  <c r="V829" i="7" s="1"/>
  <c r="S828" i="7"/>
  <c r="S827" i="7"/>
  <c r="V827" i="7" s="1"/>
  <c r="S826" i="7"/>
  <c r="S825" i="7"/>
  <c r="V825" i="7" s="1"/>
  <c r="S824" i="7"/>
  <c r="S823" i="7"/>
  <c r="V823" i="7" s="1"/>
  <c r="S822" i="7"/>
  <c r="S821" i="7"/>
  <c r="V821" i="7" s="1"/>
  <c r="S820" i="7"/>
  <c r="S819" i="7"/>
  <c r="V819" i="7" s="1"/>
  <c r="S818" i="7"/>
  <c r="S817" i="7"/>
  <c r="V817" i="7" s="1"/>
  <c r="S816" i="7"/>
  <c r="S815" i="7"/>
  <c r="V815" i="7" s="1"/>
  <c r="S814" i="7"/>
  <c r="S813" i="7"/>
  <c r="V813" i="7" s="1"/>
  <c r="S812" i="7"/>
  <c r="S811" i="7"/>
  <c r="V811" i="7" s="1"/>
  <c r="S810" i="7"/>
  <c r="S809" i="7"/>
  <c r="V809" i="7" s="1"/>
  <c r="S808" i="7"/>
  <c r="S807" i="7"/>
  <c r="V807" i="7" s="1"/>
  <c r="S806" i="7"/>
  <c r="S805" i="7"/>
  <c r="V805" i="7" s="1"/>
  <c r="S804" i="7"/>
  <c r="S803" i="7"/>
  <c r="V803" i="7" s="1"/>
  <c r="S802" i="7"/>
  <c r="S801" i="7"/>
  <c r="V801" i="7" s="1"/>
  <c r="S800" i="7"/>
  <c r="S799" i="7"/>
  <c r="V799" i="7" s="1"/>
  <c r="S798" i="7"/>
  <c r="S797" i="7"/>
  <c r="V797" i="7" s="1"/>
  <c r="S796" i="7"/>
  <c r="S795" i="7"/>
  <c r="V795" i="7" s="1"/>
  <c r="S794" i="7"/>
  <c r="S793" i="7"/>
  <c r="V793" i="7" s="1"/>
  <c r="S792" i="7"/>
  <c r="S791" i="7"/>
  <c r="V791" i="7" s="1"/>
  <c r="S790" i="7"/>
  <c r="S789" i="7"/>
  <c r="V789" i="7" s="1"/>
  <c r="S788" i="7"/>
  <c r="S787" i="7"/>
  <c r="V787" i="7" s="1"/>
  <c r="S786" i="7"/>
  <c r="S785" i="7"/>
  <c r="V785" i="7" s="1"/>
  <c r="S784" i="7"/>
  <c r="S781" i="7"/>
  <c r="V781" i="7" s="1"/>
  <c r="S779" i="7"/>
  <c r="S778" i="7"/>
  <c r="V778" i="7" s="1"/>
  <c r="S775" i="7"/>
  <c r="S774" i="7"/>
  <c r="V774" i="7" s="1"/>
  <c r="S773" i="7"/>
  <c r="S749" i="7"/>
  <c r="V749" i="7" s="1"/>
  <c r="S748" i="7"/>
  <c r="S747" i="7"/>
  <c r="V747" i="7" s="1"/>
  <c r="S746" i="7"/>
  <c r="S745" i="7"/>
  <c r="V745" i="7" s="1"/>
  <c r="S739" i="7"/>
  <c r="S738" i="7"/>
  <c r="V738" i="7" s="1"/>
  <c r="S735" i="7"/>
  <c r="S734" i="7"/>
  <c r="V734" i="7" s="1"/>
  <c r="S732" i="7"/>
  <c r="S731" i="7"/>
  <c r="V731" i="7" s="1"/>
  <c r="S730" i="7"/>
  <c r="S729" i="7"/>
  <c r="V729" i="7" s="1"/>
  <c r="S727" i="7"/>
  <c r="S725" i="7"/>
  <c r="V725" i="7" s="1"/>
  <c r="S723" i="7"/>
  <c r="S722" i="7"/>
  <c r="V722" i="7" s="1"/>
  <c r="S720" i="7"/>
  <c r="S718" i="7"/>
  <c r="V718" i="7" s="1"/>
  <c r="S717" i="7"/>
  <c r="S714" i="7"/>
  <c r="V714" i="7" s="1"/>
  <c r="S702" i="7"/>
  <c r="S701" i="7"/>
  <c r="V701" i="7" s="1"/>
  <c r="S700" i="7"/>
  <c r="S699" i="7"/>
  <c r="V699" i="7" s="1"/>
  <c r="S698" i="7"/>
  <c r="S697" i="7"/>
  <c r="V697" i="7" s="1"/>
  <c r="S696" i="7"/>
  <c r="S695" i="7"/>
  <c r="V695" i="7" s="1"/>
  <c r="S694" i="7"/>
  <c r="S693" i="7"/>
  <c r="V693" i="7" s="1"/>
  <c r="S692" i="7"/>
  <c r="V692" i="7" s="1"/>
  <c r="S691" i="7"/>
  <c r="V691" i="7" s="1"/>
  <c r="S690" i="7"/>
  <c r="V690" i="7" s="1"/>
  <c r="S689" i="7"/>
  <c r="V689" i="7" s="1"/>
  <c r="S688" i="7"/>
  <c r="V688" i="7" s="1"/>
  <c r="S687" i="7"/>
  <c r="V687" i="7" s="1"/>
  <c r="S686" i="7"/>
  <c r="T686" i="7" s="1"/>
  <c r="U686" i="7" s="1"/>
  <c r="S685" i="7"/>
  <c r="V685" i="7" s="1"/>
  <c r="S684" i="7"/>
  <c r="T684" i="7" s="1"/>
  <c r="U684" i="7" s="1"/>
  <c r="S683" i="7"/>
  <c r="V683" i="7" s="1"/>
  <c r="S682" i="7"/>
  <c r="V682" i="7" s="1"/>
  <c r="S681" i="7"/>
  <c r="V681" i="7" s="1"/>
  <c r="S679" i="7"/>
  <c r="V679" i="7" s="1"/>
  <c r="S678" i="7"/>
  <c r="V678" i="7" s="1"/>
  <c r="S677" i="7"/>
  <c r="T677" i="7" s="1"/>
  <c r="U677" i="7" s="1"/>
  <c r="S676" i="7"/>
  <c r="V676" i="7" s="1"/>
  <c r="S675" i="7"/>
  <c r="T675" i="7" s="1"/>
  <c r="U675" i="7" s="1"/>
  <c r="S674" i="7"/>
  <c r="V674" i="7" s="1"/>
  <c r="S673" i="7"/>
  <c r="V673" i="7" s="1"/>
  <c r="S672" i="7"/>
  <c r="V672" i="7" s="1"/>
  <c r="S671" i="7"/>
  <c r="V671" i="7" s="1"/>
  <c r="S670" i="7"/>
  <c r="V670" i="7" s="1"/>
  <c r="S669" i="7"/>
  <c r="T669" i="7" s="1"/>
  <c r="U669" i="7" s="1"/>
  <c r="S668" i="7"/>
  <c r="V668" i="7" s="1"/>
  <c r="S646" i="7"/>
  <c r="T646" i="7" s="1"/>
  <c r="U646" i="7" s="1"/>
  <c r="S645" i="7"/>
  <c r="V645" i="7" s="1"/>
  <c r="S644" i="7"/>
  <c r="V644" i="7" s="1"/>
  <c r="S643" i="7"/>
  <c r="V643" i="7" s="1"/>
  <c r="S642" i="7"/>
  <c r="V642" i="7" s="1"/>
  <c r="S641" i="7"/>
  <c r="V641" i="7" s="1"/>
  <c r="S640" i="7"/>
  <c r="T640" i="7" s="1"/>
  <c r="U640" i="7" s="1"/>
  <c r="S639" i="7"/>
  <c r="V639" i="7" s="1"/>
  <c r="S638" i="7"/>
  <c r="T638" i="7" s="1"/>
  <c r="U638" i="7" s="1"/>
  <c r="S637" i="7"/>
  <c r="V637" i="7" s="1"/>
  <c r="S636" i="7"/>
  <c r="V636" i="7" s="1"/>
  <c r="S635" i="7"/>
  <c r="V635" i="7" s="1"/>
  <c r="S633" i="7"/>
  <c r="V633" i="7" s="1"/>
  <c r="S632" i="7"/>
  <c r="V632" i="7" s="1"/>
  <c r="S631" i="7"/>
  <c r="T631" i="7" s="1"/>
  <c r="U631" i="7" s="1"/>
  <c r="S630" i="7"/>
  <c r="V630" i="7" s="1"/>
  <c r="S620" i="7"/>
  <c r="T620" i="7" s="1"/>
  <c r="U620" i="7" s="1"/>
  <c r="S616" i="7"/>
  <c r="S599" i="7"/>
  <c r="U598" i="7"/>
  <c r="S597" i="7"/>
  <c r="V597" i="7" s="1"/>
  <c r="S596" i="7"/>
  <c r="V596" i="7" s="1"/>
  <c r="S595" i="7"/>
  <c r="T595" i="7" s="1"/>
  <c r="U595" i="7" s="1"/>
  <c r="S594" i="7"/>
  <c r="V594" i="7" s="1"/>
  <c r="S593" i="7"/>
  <c r="T593" i="7" s="1"/>
  <c r="U593" i="7" s="1"/>
  <c r="U592" i="7"/>
  <c r="S591" i="7"/>
  <c r="V591" i="7" s="1"/>
  <c r="S590" i="7"/>
  <c r="V590" i="7" s="1"/>
  <c r="U559" i="7"/>
  <c r="S557" i="7"/>
  <c r="V557" i="7" s="1"/>
  <c r="S556" i="7"/>
  <c r="T556" i="7" s="1"/>
  <c r="U556" i="7" s="1"/>
  <c r="S555" i="7"/>
  <c r="V555" i="7" s="1"/>
  <c r="S553" i="7"/>
  <c r="T553" i="7" s="1"/>
  <c r="U553" i="7" s="1"/>
  <c r="S552" i="7"/>
  <c r="V552" i="7" s="1"/>
  <c r="S550" i="7"/>
  <c r="V550" i="7" s="1"/>
  <c r="S549" i="7"/>
  <c r="V549" i="7" s="1"/>
  <c r="R548" i="7"/>
  <c r="S548" i="7" s="1"/>
  <c r="V548" i="7" s="1"/>
  <c r="S541" i="7"/>
  <c r="V537" i="7"/>
  <c r="S536" i="7"/>
  <c r="V536" i="7" s="1"/>
  <c r="S535" i="7"/>
  <c r="V535" i="7" s="1"/>
  <c r="S529" i="7"/>
  <c r="V529" i="7" s="1"/>
  <c r="S528" i="7"/>
  <c r="T528" i="7" s="1"/>
  <c r="U528" i="7" s="1"/>
  <c r="S527" i="7"/>
  <c r="V527" i="7" s="1"/>
  <c r="S525" i="7"/>
  <c r="T525" i="7" s="1"/>
  <c r="U525" i="7" s="1"/>
  <c r="S488" i="7"/>
  <c r="V488" i="7" s="1"/>
  <c r="S487" i="7"/>
  <c r="V487" i="7" s="1"/>
  <c r="S486" i="7"/>
  <c r="V486" i="7" s="1"/>
  <c r="S485" i="7"/>
  <c r="V485" i="7" s="1"/>
  <c r="S484" i="7"/>
  <c r="V484" i="7" s="1"/>
  <c r="S483" i="7"/>
  <c r="T483" i="7" s="1"/>
  <c r="U483" i="7" s="1"/>
  <c r="S464" i="7"/>
  <c r="V464" i="7" s="1"/>
  <c r="S463" i="7"/>
  <c r="T463" i="7" s="1"/>
  <c r="U463" i="7" s="1"/>
  <c r="S459" i="7"/>
  <c r="V459" i="7" s="1"/>
  <c r="S451" i="7"/>
  <c r="V451" i="7" s="1"/>
  <c r="S450" i="7"/>
  <c r="V450" i="7" s="1"/>
  <c r="S448" i="7"/>
  <c r="V448" i="7" s="1"/>
  <c r="S447" i="7"/>
  <c r="V447" i="7" s="1"/>
  <c r="S446" i="7"/>
  <c r="V446" i="7" s="1"/>
  <c r="S445" i="7"/>
  <c r="V445" i="7" s="1"/>
  <c r="S444" i="7"/>
  <c r="T444" i="7" s="1"/>
  <c r="U444" i="7" s="1"/>
  <c r="S443" i="7"/>
  <c r="V443" i="7" s="1"/>
  <c r="S442" i="7"/>
  <c r="V442" i="7" s="1"/>
  <c r="S441" i="7"/>
  <c r="T441" i="7" s="1"/>
  <c r="U441" i="7" s="1"/>
  <c r="S440" i="7"/>
  <c r="V440" i="7" s="1"/>
  <c r="S439" i="7"/>
  <c r="V439" i="7" s="1"/>
  <c r="S432" i="7"/>
  <c r="V432" i="7" s="1"/>
  <c r="S423" i="7"/>
  <c r="T423" i="7" s="1"/>
  <c r="U423" i="7" s="1"/>
  <c r="S421" i="7"/>
  <c r="V421" i="7" s="1"/>
  <c r="S420" i="7"/>
  <c r="V420" i="7" s="1"/>
  <c r="S418" i="7"/>
  <c r="T418" i="7" s="1"/>
  <c r="U418" i="7" s="1"/>
  <c r="S417" i="7"/>
  <c r="V417" i="7" s="1"/>
  <c r="S416" i="7"/>
  <c r="V416" i="7" s="1"/>
  <c r="U415" i="7"/>
  <c r="S414" i="7"/>
  <c r="T414" i="7" s="1"/>
  <c r="U414" i="7" s="1"/>
  <c r="S413" i="7"/>
  <c r="T413" i="7" s="1"/>
  <c r="U413" i="7" s="1"/>
  <c r="S411" i="7"/>
  <c r="T411" i="7" s="1"/>
  <c r="U411" i="7" s="1"/>
  <c r="S410" i="7"/>
  <c r="T410" i="7" s="1"/>
  <c r="U410" i="7" s="1"/>
  <c r="S409" i="7"/>
  <c r="T409" i="7" s="1"/>
  <c r="U409" i="7" s="1"/>
  <c r="S406" i="7"/>
  <c r="T406" i="7" s="1"/>
  <c r="U406" i="7" s="1"/>
  <c r="S405" i="7"/>
  <c r="T405" i="7" s="1"/>
  <c r="U405" i="7" s="1"/>
  <c r="S404" i="7"/>
  <c r="T404" i="7" s="1"/>
  <c r="U404" i="7" s="1"/>
  <c r="S402" i="7"/>
  <c r="T402" i="7" s="1"/>
  <c r="U402" i="7" s="1"/>
  <c r="S401" i="7"/>
  <c r="T401" i="7" s="1"/>
  <c r="U401" i="7" s="1"/>
  <c r="S395" i="7"/>
  <c r="T395" i="7" s="1"/>
  <c r="U395" i="7" s="1"/>
  <c r="S394" i="7"/>
  <c r="T394" i="7" s="1"/>
  <c r="U394" i="7" s="1"/>
  <c r="S393" i="7"/>
  <c r="T393" i="7" s="1"/>
  <c r="U393" i="7" s="1"/>
  <c r="S392" i="7"/>
  <c r="T392" i="7" s="1"/>
  <c r="U392" i="7" s="1"/>
  <c r="S390" i="7"/>
  <c r="T390" i="7" s="1"/>
  <c r="U390" i="7" s="1"/>
  <c r="S389" i="7"/>
  <c r="T389" i="7" s="1"/>
  <c r="U389" i="7" s="1"/>
  <c r="S388" i="7"/>
  <c r="T388" i="7" s="1"/>
  <c r="U388" i="7" s="1"/>
  <c r="S387" i="7"/>
  <c r="T387" i="7" s="1"/>
  <c r="U387" i="7" s="1"/>
  <c r="S386" i="7"/>
  <c r="T386" i="7" s="1"/>
  <c r="U386" i="7" s="1"/>
  <c r="S385" i="7"/>
  <c r="T385" i="7" s="1"/>
  <c r="U385" i="7" s="1"/>
  <c r="S384" i="7"/>
  <c r="T384" i="7" s="1"/>
  <c r="U384" i="7" s="1"/>
  <c r="S383" i="7"/>
  <c r="T383" i="7" s="1"/>
  <c r="U383" i="7" s="1"/>
  <c r="S381" i="7"/>
  <c r="V381" i="7" s="1"/>
  <c r="S380" i="7"/>
  <c r="T380" i="7" s="1"/>
  <c r="U380" i="7" s="1"/>
  <c r="S379" i="7"/>
  <c r="V379" i="7" s="1"/>
  <c r="S378" i="7"/>
  <c r="T378" i="7" s="1"/>
  <c r="U378" i="7" s="1"/>
  <c r="S377" i="7"/>
  <c r="V377" i="7" s="1"/>
  <c r="S376" i="7"/>
  <c r="T376" i="7" s="1"/>
  <c r="U376" i="7" s="1"/>
  <c r="S375" i="7"/>
  <c r="V375" i="7" s="1"/>
  <c r="S374" i="7"/>
  <c r="T374" i="7" s="1"/>
  <c r="U374" i="7" s="1"/>
  <c r="S373" i="7"/>
  <c r="V373" i="7" s="1"/>
  <c r="S372" i="7"/>
  <c r="T372" i="7" s="1"/>
  <c r="U372" i="7" s="1"/>
  <c r="S371" i="7"/>
  <c r="V371" i="7" s="1"/>
  <c r="S370" i="7"/>
  <c r="T370" i="7" s="1"/>
  <c r="U370" i="7" s="1"/>
  <c r="S369" i="7"/>
  <c r="V369" i="7" s="1"/>
  <c r="S368" i="7"/>
  <c r="T368" i="7" s="1"/>
  <c r="U368" i="7" s="1"/>
  <c r="S367" i="7"/>
  <c r="V367" i="7" s="1"/>
  <c r="S366" i="7"/>
  <c r="T366" i="7" s="1"/>
  <c r="U366" i="7" s="1"/>
  <c r="S360" i="7"/>
  <c r="V360" i="7" s="1"/>
  <c r="S359" i="7"/>
  <c r="T359" i="7" s="1"/>
  <c r="U359" i="7" s="1"/>
  <c r="S355" i="7"/>
  <c r="V355" i="7" s="1"/>
  <c r="S354" i="7"/>
  <c r="T354" i="7" s="1"/>
  <c r="U354" i="7" s="1"/>
  <c r="S353" i="7"/>
  <c r="V353" i="7" s="1"/>
  <c r="S352" i="7"/>
  <c r="T352" i="7" s="1"/>
  <c r="U352" i="7" s="1"/>
  <c r="S351" i="7"/>
  <c r="V351" i="7" s="1"/>
  <c r="S350" i="7"/>
  <c r="T350" i="7" s="1"/>
  <c r="U350" i="7" s="1"/>
  <c r="S349" i="7"/>
  <c r="V349" i="7" s="1"/>
  <c r="S346" i="7"/>
  <c r="T346" i="7" s="1"/>
  <c r="U346" i="7" s="1"/>
  <c r="S344" i="7"/>
  <c r="V344" i="7" s="1"/>
  <c r="S343" i="7"/>
  <c r="T343" i="7" s="1"/>
  <c r="U343" i="7" s="1"/>
  <c r="S333" i="7"/>
  <c r="S332" i="7"/>
  <c r="T332" i="7" s="1"/>
  <c r="U332" i="7" s="1"/>
  <c r="S331" i="7"/>
  <c r="S330" i="7"/>
  <c r="T330" i="7" s="1"/>
  <c r="U330" i="7" s="1"/>
  <c r="S329" i="7"/>
  <c r="S328" i="7"/>
  <c r="T328" i="7" s="1"/>
  <c r="U328" i="7" s="1"/>
  <c r="S327" i="7"/>
  <c r="S326" i="7"/>
  <c r="T326" i="7" s="1"/>
  <c r="U326" i="7" s="1"/>
  <c r="S325" i="7"/>
  <c r="S324" i="7"/>
  <c r="T324" i="7" s="1"/>
  <c r="U324" i="7" s="1"/>
  <c r="S323" i="7"/>
  <c r="S322" i="7"/>
  <c r="T322" i="7" s="1"/>
  <c r="U322" i="7" s="1"/>
  <c r="S321" i="7"/>
  <c r="S320" i="7"/>
  <c r="T320" i="7" s="1"/>
  <c r="U320" i="7" s="1"/>
  <c r="S319" i="7"/>
  <c r="S318" i="7"/>
  <c r="T318" i="7" s="1"/>
  <c r="U318" i="7" s="1"/>
  <c r="S317" i="7"/>
  <c r="S316" i="7"/>
  <c r="T316" i="7" s="1"/>
  <c r="U316" i="7" s="1"/>
  <c r="S315" i="7"/>
  <c r="S314" i="7"/>
  <c r="T314" i="7" s="1"/>
  <c r="U314" i="7" s="1"/>
  <c r="S313" i="7"/>
  <c r="S312" i="7"/>
  <c r="T312" i="7" s="1"/>
  <c r="U312" i="7" s="1"/>
  <c r="S311" i="7"/>
  <c r="S310" i="7"/>
  <c r="T310" i="7" s="1"/>
  <c r="U310" i="7" s="1"/>
  <c r="S309" i="7"/>
  <c r="S308" i="7"/>
  <c r="T308" i="7" s="1"/>
  <c r="U308" i="7" s="1"/>
  <c r="S293" i="7"/>
  <c r="S292" i="7"/>
  <c r="T292" i="7" s="1"/>
  <c r="U292" i="7" s="1"/>
  <c r="S291" i="7"/>
  <c r="S290" i="7"/>
  <c r="T290" i="7" s="1"/>
  <c r="U290" i="7" s="1"/>
  <c r="S289" i="7"/>
  <c r="S288" i="7"/>
  <c r="T288" i="7" s="1"/>
  <c r="U288" i="7" s="1"/>
  <c r="S287" i="7"/>
  <c r="S286" i="7"/>
  <c r="T286" i="7" s="1"/>
  <c r="U286" i="7" s="1"/>
  <c r="S285" i="7"/>
  <c r="S284" i="7"/>
  <c r="T284" i="7" s="1"/>
  <c r="U284" i="7" s="1"/>
  <c r="S283" i="7"/>
  <c r="S282" i="7"/>
  <c r="T282" i="7" s="1"/>
  <c r="U282" i="7" s="1"/>
  <c r="S281" i="7"/>
  <c r="S278" i="7"/>
  <c r="T278" i="7" s="1"/>
  <c r="U278" i="7" s="1"/>
  <c r="S272" i="7"/>
  <c r="S271" i="7"/>
  <c r="T271" i="7" s="1"/>
  <c r="U271" i="7" s="1"/>
  <c r="S270" i="7"/>
  <c r="S269" i="7"/>
  <c r="T269" i="7" s="1"/>
  <c r="U269" i="7" s="1"/>
  <c r="S268" i="7"/>
  <c r="S267" i="7"/>
  <c r="T267" i="7" s="1"/>
  <c r="U267" i="7" s="1"/>
  <c r="S266" i="7"/>
  <c r="S265" i="7"/>
  <c r="T265" i="7" s="1"/>
  <c r="U265" i="7" s="1"/>
  <c r="S264" i="7"/>
  <c r="S263" i="7"/>
  <c r="T263" i="7" s="1"/>
  <c r="U263" i="7" s="1"/>
  <c r="S262" i="7"/>
  <c r="S261" i="7"/>
  <c r="T261" i="7" s="1"/>
  <c r="U261" i="7" s="1"/>
  <c r="S260" i="7"/>
  <c r="S259" i="7"/>
  <c r="T259" i="7" s="1"/>
  <c r="U259" i="7" s="1"/>
  <c r="S258" i="7"/>
  <c r="S257" i="7"/>
  <c r="T257" i="7" s="1"/>
  <c r="U257" i="7" s="1"/>
  <c r="S256" i="7"/>
  <c r="S255" i="7"/>
  <c r="T255" i="7" s="1"/>
  <c r="U255" i="7" s="1"/>
  <c r="S254" i="7"/>
  <c r="S252" i="7"/>
  <c r="T252" i="7" s="1"/>
  <c r="U252" i="7" s="1"/>
  <c r="S251" i="7"/>
  <c r="S250" i="7"/>
  <c r="T250" i="7" s="1"/>
  <c r="U250" i="7" s="1"/>
  <c r="S249" i="7"/>
  <c r="S248" i="7"/>
  <c r="T248" i="7" s="1"/>
  <c r="U248" i="7" s="1"/>
  <c r="S247" i="7"/>
  <c r="S246" i="7"/>
  <c r="T246" i="7" s="1"/>
  <c r="U246" i="7" s="1"/>
  <c r="S245" i="7"/>
  <c r="S244" i="7"/>
  <c r="T244" i="7" s="1"/>
  <c r="U244" i="7" s="1"/>
  <c r="S243" i="7"/>
  <c r="S242" i="7"/>
  <c r="T242" i="7" s="1"/>
  <c r="U242" i="7" s="1"/>
  <c r="S241" i="7"/>
  <c r="S240" i="7"/>
  <c r="T240" i="7" s="1"/>
  <c r="U240" i="7" s="1"/>
  <c r="S239" i="7"/>
  <c r="S238" i="7"/>
  <c r="T238" i="7" s="1"/>
  <c r="U238" i="7" s="1"/>
  <c r="S237" i="7"/>
  <c r="S236" i="7"/>
  <c r="T236" i="7" s="1"/>
  <c r="U236" i="7" s="1"/>
  <c r="S235" i="7"/>
  <c r="S234" i="7"/>
  <c r="T234" i="7" s="1"/>
  <c r="U234" i="7" s="1"/>
  <c r="S233" i="7"/>
  <c r="S232" i="7"/>
  <c r="T232" i="7" s="1"/>
  <c r="U232" i="7" s="1"/>
  <c r="S231" i="7"/>
  <c r="V231" i="7" s="1"/>
  <c r="S227" i="7"/>
  <c r="T227" i="7" s="1"/>
  <c r="U227" i="7" s="1"/>
  <c r="S226" i="7"/>
  <c r="V226" i="7" s="1"/>
  <c r="S225" i="7"/>
  <c r="T225" i="7" s="1"/>
  <c r="U225" i="7" s="1"/>
  <c r="S224" i="7"/>
  <c r="V224" i="7" s="1"/>
  <c r="S223" i="7"/>
  <c r="T223" i="7" s="1"/>
  <c r="U223" i="7" s="1"/>
  <c r="S219" i="7"/>
  <c r="V219" i="7" s="1"/>
  <c r="S203" i="7"/>
  <c r="V203" i="7" s="1"/>
  <c r="S202" i="7"/>
  <c r="V202" i="7" s="1"/>
  <c r="S201" i="7"/>
  <c r="V201" i="7" s="1"/>
  <c r="S200" i="7"/>
  <c r="V200" i="7" s="1"/>
  <c r="S199" i="7"/>
  <c r="V199" i="7" s="1"/>
  <c r="S198" i="7"/>
  <c r="V198" i="7" s="1"/>
  <c r="S197" i="7"/>
  <c r="V197" i="7" s="1"/>
  <c r="S196" i="7"/>
  <c r="V196" i="7" s="1"/>
  <c r="S195" i="7"/>
  <c r="V195" i="7" s="1"/>
  <c r="S194" i="7"/>
  <c r="V194" i="7" s="1"/>
  <c r="S193" i="7"/>
  <c r="V193" i="7" s="1"/>
  <c r="S192" i="7"/>
  <c r="V192" i="7" s="1"/>
  <c r="S191" i="7"/>
  <c r="V191" i="7" s="1"/>
  <c r="S190" i="7"/>
  <c r="V190" i="7" s="1"/>
  <c r="S189" i="7"/>
  <c r="T189" i="7" s="1"/>
  <c r="U189" i="7" s="1"/>
  <c r="S188" i="7"/>
  <c r="V188" i="7" s="1"/>
  <c r="S186" i="7"/>
  <c r="V186" i="7" s="1"/>
  <c r="S185" i="7"/>
  <c r="V185" i="7" s="1"/>
  <c r="S184" i="7"/>
  <c r="T184" i="7" s="1"/>
  <c r="U184" i="7" s="1"/>
  <c r="S183" i="7"/>
  <c r="V183" i="7" s="1"/>
  <c r="S182" i="7"/>
  <c r="V182" i="7" s="1"/>
  <c r="S181" i="7"/>
  <c r="V181" i="7" s="1"/>
  <c r="S180" i="7"/>
  <c r="T180" i="7" s="1"/>
  <c r="U180" i="7" s="1"/>
  <c r="S179" i="7"/>
  <c r="V179" i="7" s="1"/>
  <c r="S178" i="7"/>
  <c r="V178" i="7" s="1"/>
  <c r="S177" i="7"/>
  <c r="V177" i="7" s="1"/>
  <c r="S176" i="7"/>
  <c r="V176" i="7" s="1"/>
  <c r="S175" i="7"/>
  <c r="V175" i="7" s="1"/>
  <c r="S174" i="7"/>
  <c r="V174" i="7" s="1"/>
  <c r="S173" i="7"/>
  <c r="V173" i="7" s="1"/>
  <c r="S172" i="7"/>
  <c r="V172" i="7" s="1"/>
  <c r="S171" i="7"/>
  <c r="V171" i="7" s="1"/>
  <c r="S170" i="7"/>
  <c r="V170" i="7" s="1"/>
  <c r="S169" i="7"/>
  <c r="V169" i="7" s="1"/>
  <c r="S164" i="7"/>
  <c r="V164" i="7" s="1"/>
  <c r="S163" i="7"/>
  <c r="V163" i="7" s="1"/>
  <c r="S162" i="7"/>
  <c r="V162" i="7" s="1"/>
  <c r="S161" i="7"/>
  <c r="V161" i="7" s="1"/>
  <c r="S160" i="7"/>
  <c r="V160" i="7" s="1"/>
  <c r="S159" i="7"/>
  <c r="V159" i="7" s="1"/>
  <c r="S158" i="7"/>
  <c r="V158" i="7" s="1"/>
  <c r="S157" i="7"/>
  <c r="V157" i="7" s="1"/>
  <c r="S156" i="7"/>
  <c r="V156" i="7" s="1"/>
  <c r="S155" i="7"/>
  <c r="V155" i="7" s="1"/>
  <c r="S149" i="7"/>
  <c r="V149" i="7" s="1"/>
  <c r="S148" i="7"/>
  <c r="V148" i="7" s="1"/>
  <c r="S147" i="7"/>
  <c r="V147" i="7" s="1"/>
  <c r="S146" i="7"/>
  <c r="V146" i="7" s="1"/>
  <c r="S145" i="7"/>
  <c r="V145" i="7" s="1"/>
  <c r="S142" i="7"/>
  <c r="V142" i="7" s="1"/>
  <c r="S141" i="7"/>
  <c r="V141" i="7" s="1"/>
  <c r="S140" i="7"/>
  <c r="V140" i="7" s="1"/>
  <c r="S139" i="7"/>
  <c r="V139" i="7" s="1"/>
  <c r="S138" i="7"/>
  <c r="V138" i="7" s="1"/>
  <c r="S132" i="7"/>
  <c r="V132" i="7" s="1"/>
  <c r="S131" i="7"/>
  <c r="V131" i="7" s="1"/>
  <c r="S130" i="7"/>
  <c r="V130" i="7" s="1"/>
  <c r="S122" i="7"/>
  <c r="V122" i="7" s="1"/>
  <c r="S121" i="7"/>
  <c r="V121" i="7" s="1"/>
  <c r="S120" i="7"/>
  <c r="S119" i="7"/>
  <c r="V119" i="7" s="1"/>
  <c r="S118" i="7"/>
  <c r="V118" i="7" s="1"/>
  <c r="S117" i="7"/>
  <c r="V117" i="7" s="1"/>
  <c r="S116" i="7"/>
  <c r="V116" i="7" s="1"/>
  <c r="S115" i="7"/>
  <c r="T115" i="7" s="1"/>
  <c r="U115" i="7" s="1"/>
  <c r="S114" i="7"/>
  <c r="V114" i="7" s="1"/>
  <c r="S113" i="7"/>
  <c r="T113" i="7" s="1"/>
  <c r="U113" i="7" s="1"/>
  <c r="S112" i="7"/>
  <c r="V112" i="7" s="1"/>
  <c r="S111" i="7"/>
  <c r="V111" i="7" s="1"/>
  <c r="S110" i="7"/>
  <c r="V110" i="7" s="1"/>
  <c r="S109" i="7"/>
  <c r="V109" i="7" s="1"/>
  <c r="S108" i="7"/>
  <c r="V108" i="7" s="1"/>
  <c r="S107" i="7"/>
  <c r="T107" i="7" s="1"/>
  <c r="U107" i="7" s="1"/>
  <c r="S106" i="7"/>
  <c r="T106" i="7" s="1"/>
  <c r="U106" i="7" s="1"/>
  <c r="S105" i="7"/>
  <c r="T105" i="7" s="1"/>
  <c r="U105" i="7" s="1"/>
  <c r="S104" i="7"/>
  <c r="V104" i="7" s="1"/>
  <c r="S103" i="7"/>
  <c r="V103" i="7" s="1"/>
  <c r="S102" i="7"/>
  <c r="T102" i="7" s="1"/>
  <c r="U102" i="7" s="1"/>
  <c r="S101" i="7"/>
  <c r="V101" i="7" s="1"/>
  <c r="S100" i="7"/>
  <c r="V100" i="7" s="1"/>
  <c r="S99" i="7"/>
  <c r="V99" i="7" s="1"/>
  <c r="S98" i="7"/>
  <c r="T98" i="7" s="1"/>
  <c r="U98" i="7" s="1"/>
  <c r="S97" i="7"/>
  <c r="V97" i="7" s="1"/>
  <c r="S87" i="7"/>
  <c r="V87" i="7" s="1"/>
  <c r="S85" i="7"/>
  <c r="V85" i="7" s="1"/>
  <c r="S84" i="7"/>
  <c r="V84" i="7" s="1"/>
  <c r="S83" i="7"/>
  <c r="V83" i="7" s="1"/>
  <c r="S82" i="7"/>
  <c r="V82" i="7" s="1"/>
  <c r="S79" i="7"/>
  <c r="V79" i="7" s="1"/>
  <c r="S78" i="7"/>
  <c r="V78" i="7" s="1"/>
  <c r="S77" i="7"/>
  <c r="V77" i="7" s="1"/>
  <c r="S76" i="7"/>
  <c r="V76" i="7" s="1"/>
  <c r="S74" i="7"/>
  <c r="V74" i="7" s="1"/>
  <c r="S72" i="7"/>
  <c r="V72" i="7" s="1"/>
  <c r="S71" i="7"/>
  <c r="V71" i="7" s="1"/>
  <c r="S69" i="7"/>
  <c r="V69" i="7" s="1"/>
  <c r="S68" i="7"/>
  <c r="V68" i="7" s="1"/>
  <c r="S67" i="7"/>
  <c r="V67" i="7" s="1"/>
  <c r="S66" i="7"/>
  <c r="V66" i="7" s="1"/>
  <c r="S65" i="7"/>
  <c r="V65" i="7" s="1"/>
  <c r="S64" i="7"/>
  <c r="V64" i="7" s="1"/>
  <c r="S61" i="7"/>
  <c r="V61" i="7" s="1"/>
  <c r="S60" i="7"/>
  <c r="V60" i="7" s="1"/>
  <c r="S59" i="7"/>
  <c r="V59" i="7" s="1"/>
  <c r="S58" i="7"/>
  <c r="V58" i="7" s="1"/>
  <c r="S54" i="7"/>
  <c r="V54" i="7" s="1"/>
  <c r="S51" i="7"/>
  <c r="V51" i="7" s="1"/>
  <c r="S50" i="7"/>
  <c r="V50" i="7" s="1"/>
  <c r="S49" i="7"/>
  <c r="V49" i="7" s="1"/>
  <c r="S48" i="7"/>
  <c r="V48" i="7" s="1"/>
  <c r="S47" i="7"/>
  <c r="V47" i="7" s="1"/>
  <c r="S46" i="7"/>
  <c r="V46" i="7" s="1"/>
  <c r="S45" i="7"/>
  <c r="V45" i="7" s="1"/>
  <c r="S44" i="7"/>
  <c r="V44" i="7" s="1"/>
  <c r="S43" i="7"/>
  <c r="V43" i="7" s="1"/>
  <c r="S42" i="7"/>
  <c r="V42" i="7" s="1"/>
  <c r="S41" i="7"/>
  <c r="V41" i="7" s="1"/>
  <c r="S40" i="7"/>
  <c r="V40" i="7" s="1"/>
  <c r="S39" i="7"/>
  <c r="V39" i="7" s="1"/>
  <c r="S37" i="7"/>
  <c r="V37" i="7" s="1"/>
  <c r="S36" i="7"/>
  <c r="V36" i="7" s="1"/>
  <c r="S35" i="7"/>
  <c r="V35" i="7" s="1"/>
  <c r="S33" i="7"/>
  <c r="V33" i="7" s="1"/>
  <c r="S32" i="7"/>
  <c r="V32" i="7" s="1"/>
  <c r="S31" i="7"/>
  <c r="V31" i="7" s="1"/>
  <c r="S30" i="7"/>
  <c r="V30" i="7" s="1"/>
  <c r="S29" i="7"/>
  <c r="V29" i="7" s="1"/>
  <c r="S28" i="7"/>
  <c r="V28" i="7" s="1"/>
  <c r="S27" i="7"/>
  <c r="V27" i="7" s="1"/>
  <c r="S25" i="7"/>
  <c r="V25" i="7" s="1"/>
  <c r="S22" i="7"/>
  <c r="V22" i="7" s="1"/>
  <c r="S21" i="7"/>
  <c r="V21" i="7" s="1"/>
  <c r="S14" i="7"/>
  <c r="V14" i="7" s="1"/>
  <c r="S13" i="7"/>
  <c r="V13" i="7" s="1"/>
  <c r="S10" i="7"/>
  <c r="V10" i="7" s="1"/>
  <c r="S9" i="7"/>
  <c r="V9" i="7" s="1"/>
  <c r="S6" i="7"/>
  <c r="V6" i="7" s="1"/>
  <c r="BO71" i="8" l="1"/>
  <c r="BS71" i="8" s="1"/>
  <c r="BO119" i="8"/>
  <c r="BS119" i="8" s="1"/>
  <c r="N15" i="8"/>
  <c r="BO46" i="8"/>
  <c r="BS46" i="8" s="1"/>
  <c r="BP165" i="8"/>
  <c r="BQ165" i="8" s="1"/>
  <c r="BR165" i="8" s="1"/>
  <c r="BP143" i="8"/>
  <c r="BQ143" i="8" s="1"/>
  <c r="BR143" i="8" s="1"/>
  <c r="BP68" i="8"/>
  <c r="BQ68" i="8" s="1"/>
  <c r="BR68" i="8" s="1"/>
  <c r="BP115" i="8"/>
  <c r="BQ115" i="8" s="1"/>
  <c r="BR115" i="8" s="1"/>
  <c r="BP92" i="8"/>
  <c r="BQ92" i="8" s="1"/>
  <c r="BR92" i="8" s="1"/>
  <c r="BP220" i="8"/>
  <c r="BQ220" i="8" s="1"/>
  <c r="BR220" i="8" s="1"/>
  <c r="BP111" i="8"/>
  <c r="BQ111" i="8" s="1"/>
  <c r="BR111" i="8" s="1"/>
  <c r="BP117" i="8"/>
  <c r="BQ117" i="8" s="1"/>
  <c r="BR117" i="8" s="1"/>
  <c r="BP145" i="8"/>
  <c r="BQ145" i="8" s="1"/>
  <c r="BR145" i="8" s="1"/>
  <c r="BP229" i="8"/>
  <c r="BQ229" i="8" s="1"/>
  <c r="BR229" i="8" s="1"/>
  <c r="BP214" i="8"/>
  <c r="BQ214" i="8" s="1"/>
  <c r="BR214" i="8" s="1"/>
  <c r="BP147" i="8"/>
  <c r="BQ147" i="8" s="1"/>
  <c r="BR147" i="8" s="1"/>
  <c r="BS147" i="8"/>
  <c r="BP7" i="8"/>
  <c r="BQ7" i="8" s="1"/>
  <c r="BR7" i="8" s="1"/>
  <c r="BP119" i="8"/>
  <c r="BQ119" i="8" s="1"/>
  <c r="BR119" i="8" s="1"/>
  <c r="BK187" i="8"/>
  <c r="BO187" i="8" s="1"/>
  <c r="BO197" i="8"/>
  <c r="BO6" i="8"/>
  <c r="BS6" i="8" s="1"/>
  <c r="BP77" i="8"/>
  <c r="BQ77" i="8" s="1"/>
  <c r="BR77" i="8" s="1"/>
  <c r="BP88" i="8"/>
  <c r="BQ88" i="8" s="1"/>
  <c r="BR88" i="8" s="1"/>
  <c r="BP113" i="8"/>
  <c r="BQ113" i="8" s="1"/>
  <c r="BR113" i="8" s="1"/>
  <c r="BP181" i="8"/>
  <c r="BQ181" i="8" s="1"/>
  <c r="BR181" i="8" s="1"/>
  <c r="BK75" i="8"/>
  <c r="BO75" i="8" s="1"/>
  <c r="BO72" i="8"/>
  <c r="BS72" i="8" s="1"/>
  <c r="BP9" i="8"/>
  <c r="BQ9" i="8" s="1"/>
  <c r="BR9" i="8" s="1"/>
  <c r="BP25" i="8"/>
  <c r="BQ25" i="8" s="1"/>
  <c r="BR25" i="8" s="1"/>
  <c r="BP67" i="8"/>
  <c r="BQ67" i="8" s="1"/>
  <c r="BR67" i="8" s="1"/>
  <c r="BP144" i="8"/>
  <c r="BQ144" i="8" s="1"/>
  <c r="BR144" i="8" s="1"/>
  <c r="BP146" i="8"/>
  <c r="BQ146" i="8" s="1"/>
  <c r="BR146" i="8" s="1"/>
  <c r="BP148" i="8"/>
  <c r="BQ148" i="8" s="1"/>
  <c r="BR148" i="8" s="1"/>
  <c r="BP177" i="8"/>
  <c r="BQ177" i="8" s="1"/>
  <c r="BR177" i="8" s="1"/>
  <c r="BK179" i="8"/>
  <c r="BO179" i="8" s="1"/>
  <c r="BS179" i="8" s="1"/>
  <c r="BO180" i="8"/>
  <c r="BP240" i="8"/>
  <c r="BQ240" i="8" s="1"/>
  <c r="BR240" i="8" s="1"/>
  <c r="U179" i="8"/>
  <c r="X179" i="8" s="1"/>
  <c r="BP8" i="8"/>
  <c r="BQ8" i="8" s="1"/>
  <c r="BR8" i="8" s="1"/>
  <c r="BP69" i="8"/>
  <c r="BQ69" i="8" s="1"/>
  <c r="BR69" i="8" s="1"/>
  <c r="BP71" i="8"/>
  <c r="BQ71" i="8" s="1"/>
  <c r="BR71" i="8" s="1"/>
  <c r="BP173" i="8"/>
  <c r="BQ173" i="8" s="1"/>
  <c r="BR173" i="8" s="1"/>
  <c r="BK216" i="8"/>
  <c r="BO216" i="8" s="1"/>
  <c r="BO190" i="8"/>
  <c r="BS190" i="8" s="1"/>
  <c r="BK224" i="8"/>
  <c r="BO196" i="8"/>
  <c r="BP198" i="8"/>
  <c r="BQ198" i="8" s="1"/>
  <c r="BR198" i="8" s="1"/>
  <c r="BP20" i="8"/>
  <c r="BQ20" i="8" s="1"/>
  <c r="BR20" i="8" s="1"/>
  <c r="BP66" i="8"/>
  <c r="BQ66" i="8" s="1"/>
  <c r="BR66" i="8" s="1"/>
  <c r="BP107" i="8"/>
  <c r="BQ107" i="8" s="1"/>
  <c r="BR107" i="8" s="1"/>
  <c r="BP109" i="8"/>
  <c r="BQ109" i="8" s="1"/>
  <c r="BR109" i="8" s="1"/>
  <c r="BP141" i="8"/>
  <c r="BQ141" i="8" s="1"/>
  <c r="BR141" i="8" s="1"/>
  <c r="BP149" i="8"/>
  <c r="BQ149" i="8" s="1"/>
  <c r="BR149" i="8" s="1"/>
  <c r="BP176" i="8"/>
  <c r="BQ176" i="8" s="1"/>
  <c r="BR176" i="8" s="1"/>
  <c r="BO222" i="8"/>
  <c r="BS222" i="8" s="1"/>
  <c r="BO210" i="8"/>
  <c r="BS210" i="8" s="1"/>
  <c r="BO199" i="8"/>
  <c r="BS199" i="8" s="1"/>
  <c r="BO16" i="8"/>
  <c r="BS16" i="8" s="1"/>
  <c r="BP60" i="8"/>
  <c r="BQ60" i="8" s="1"/>
  <c r="BR60" i="8" s="1"/>
  <c r="BK189" i="8"/>
  <c r="BS188" i="8"/>
  <c r="AH6" i="8"/>
  <c r="AE6" i="8"/>
  <c r="AF6" i="8" s="1"/>
  <c r="AG6" i="8" s="1"/>
  <c r="AE20" i="8"/>
  <c r="AF20" i="8" s="1"/>
  <c r="AG20" i="8" s="1"/>
  <c r="V54" i="8"/>
  <c r="W54" i="8" s="1"/>
  <c r="AE58" i="8"/>
  <c r="AF58" i="8" s="1"/>
  <c r="AG58" i="8" s="1"/>
  <c r="AH60" i="8"/>
  <c r="AE60" i="8"/>
  <c r="AF60" i="8" s="1"/>
  <c r="AG60" i="8" s="1"/>
  <c r="AE67" i="8"/>
  <c r="AF67" i="8" s="1"/>
  <c r="AG67" i="8" s="1"/>
  <c r="AH89" i="8"/>
  <c r="AE89" i="8"/>
  <c r="AF89" i="8" s="1"/>
  <c r="AG89" i="8" s="1"/>
  <c r="AH91" i="8"/>
  <c r="AE91" i="8"/>
  <c r="AF91" i="8" s="1"/>
  <c r="AG91" i="8" s="1"/>
  <c r="V95" i="8"/>
  <c r="W95" i="8" s="1"/>
  <c r="AH97" i="8"/>
  <c r="AE97" i="8"/>
  <c r="AF97" i="8" s="1"/>
  <c r="AG97" i="8" s="1"/>
  <c r="V117" i="8"/>
  <c r="W117" i="8" s="1"/>
  <c r="AH122" i="8"/>
  <c r="AE122" i="8"/>
  <c r="AF122" i="8" s="1"/>
  <c r="AG122" i="8" s="1"/>
  <c r="V138" i="8"/>
  <c r="W138" i="8" s="1"/>
  <c r="X142" i="8"/>
  <c r="V142" i="8"/>
  <c r="W142" i="8" s="1"/>
  <c r="AH147" i="8"/>
  <c r="AE147" i="8"/>
  <c r="AF147" i="8" s="1"/>
  <c r="AG147" i="8" s="1"/>
  <c r="V151" i="8"/>
  <c r="W151" i="8" s="1"/>
  <c r="AH154" i="8"/>
  <c r="AE154" i="8"/>
  <c r="AF154" i="8" s="1"/>
  <c r="AG154" i="8" s="1"/>
  <c r="X157" i="8"/>
  <c r="V157" i="8"/>
  <c r="W157" i="8" s="1"/>
  <c r="AH165" i="8"/>
  <c r="AE165" i="8"/>
  <c r="AF165" i="8" s="1"/>
  <c r="AG165" i="8" s="1"/>
  <c r="V170" i="8"/>
  <c r="W170" i="8" s="1"/>
  <c r="V189" i="8"/>
  <c r="W189" i="8" s="1"/>
  <c r="AE191" i="8"/>
  <c r="AF191" i="8" s="1"/>
  <c r="AG191" i="8" s="1"/>
  <c r="AE193" i="8"/>
  <c r="AF193" i="8" s="1"/>
  <c r="AG193" i="8" s="1"/>
  <c r="AE195" i="8"/>
  <c r="AF195" i="8" s="1"/>
  <c r="AG195" i="8" s="1"/>
  <c r="AH197" i="8"/>
  <c r="AE197" i="8"/>
  <c r="AF197" i="8" s="1"/>
  <c r="AG197" i="8" s="1"/>
  <c r="AE199" i="8"/>
  <c r="AF199" i="8" s="1"/>
  <c r="AG199" i="8" s="1"/>
  <c r="AE201" i="8"/>
  <c r="AF201" i="8" s="1"/>
  <c r="AG201" i="8" s="1"/>
  <c r="X208" i="8"/>
  <c r="V208" i="8"/>
  <c r="W208" i="8" s="1"/>
  <c r="V210" i="8"/>
  <c r="W210" i="8" s="1"/>
  <c r="AH219" i="8"/>
  <c r="AE219" i="8"/>
  <c r="AF219" i="8" s="1"/>
  <c r="AG219" i="8" s="1"/>
  <c r="V221" i="8"/>
  <c r="W221" i="8" s="1"/>
  <c r="V231" i="8"/>
  <c r="W231" i="8" s="1"/>
  <c r="AH239" i="8"/>
  <c r="AE239" i="8"/>
  <c r="AF239" i="8" s="1"/>
  <c r="AG239" i="8" s="1"/>
  <c r="X8" i="8"/>
  <c r="V8" i="8"/>
  <c r="W8" i="8" s="1"/>
  <c r="V22" i="8"/>
  <c r="W22" i="8" s="1"/>
  <c r="AE45" i="8"/>
  <c r="AF45" i="8" s="1"/>
  <c r="AG45" i="8" s="1"/>
  <c r="AH47" i="8"/>
  <c r="AE47" i="8"/>
  <c r="AF47" i="8" s="1"/>
  <c r="AG47" i="8" s="1"/>
  <c r="AE51" i="8"/>
  <c r="AF51" i="8" s="1"/>
  <c r="AG51" i="8" s="1"/>
  <c r="AE54" i="8"/>
  <c r="AF54" i="8" s="1"/>
  <c r="AG54" i="8" s="1"/>
  <c r="AE56" i="8"/>
  <c r="AF56" i="8" s="1"/>
  <c r="AG56" i="8" s="1"/>
  <c r="AE69" i="8"/>
  <c r="AF69" i="8" s="1"/>
  <c r="AG69" i="8" s="1"/>
  <c r="AH78" i="8"/>
  <c r="AE78" i="8"/>
  <c r="AF78" i="8" s="1"/>
  <c r="AG78" i="8" s="1"/>
  <c r="AH93" i="8"/>
  <c r="AE93" i="8"/>
  <c r="AF93" i="8" s="1"/>
  <c r="AG93" i="8" s="1"/>
  <c r="AH95" i="8"/>
  <c r="AE95" i="8"/>
  <c r="AF95" i="8" s="1"/>
  <c r="AG95" i="8" s="1"/>
  <c r="AE117" i="8"/>
  <c r="AF117" i="8" s="1"/>
  <c r="AG117" i="8" s="1"/>
  <c r="AE129" i="8"/>
  <c r="AF129" i="8" s="1"/>
  <c r="AG129" i="8" s="1"/>
  <c r="AH138" i="8"/>
  <c r="AE138" i="8"/>
  <c r="AF138" i="8" s="1"/>
  <c r="AG138" i="8" s="1"/>
  <c r="AH151" i="8"/>
  <c r="AE151" i="8"/>
  <c r="AF151" i="8" s="1"/>
  <c r="AG151" i="8" s="1"/>
  <c r="AH157" i="8"/>
  <c r="AE157" i="8"/>
  <c r="AF157" i="8" s="1"/>
  <c r="AG157" i="8" s="1"/>
  <c r="AH159" i="8"/>
  <c r="AE159" i="8"/>
  <c r="AF159" i="8" s="1"/>
  <c r="AG159" i="8" s="1"/>
  <c r="AH161" i="8"/>
  <c r="AE161" i="8"/>
  <c r="AF161" i="8" s="1"/>
  <c r="AG161" i="8" s="1"/>
  <c r="AH163" i="8"/>
  <c r="AE163" i="8"/>
  <c r="AF163" i="8" s="1"/>
  <c r="AG163" i="8" s="1"/>
  <c r="AE170" i="8"/>
  <c r="AF170" i="8" s="1"/>
  <c r="AG170" i="8" s="1"/>
  <c r="V187" i="8"/>
  <c r="W187" i="8" s="1"/>
  <c r="AH204" i="8"/>
  <c r="AE204" i="8"/>
  <c r="AF204" i="8" s="1"/>
  <c r="AG204" i="8" s="1"/>
  <c r="AE206" i="8"/>
  <c r="AF206" i="8" s="1"/>
  <c r="AG206" i="8" s="1"/>
  <c r="AH208" i="8"/>
  <c r="AE208" i="8"/>
  <c r="AF208" i="8" s="1"/>
  <c r="AG208" i="8" s="1"/>
  <c r="AH210" i="8"/>
  <c r="AE210" i="8"/>
  <c r="AF210" i="8" s="1"/>
  <c r="AG210" i="8" s="1"/>
  <c r="X212" i="8"/>
  <c r="V212" i="8"/>
  <c r="W212" i="8" s="1"/>
  <c r="AH221" i="8"/>
  <c r="AE221" i="8"/>
  <c r="AF221" i="8" s="1"/>
  <c r="AG221" i="8" s="1"/>
  <c r="V241" i="8"/>
  <c r="W241" i="8" s="1"/>
  <c r="AH8" i="8"/>
  <c r="AE8" i="8"/>
  <c r="AF8" i="8" s="1"/>
  <c r="AG8" i="8" s="1"/>
  <c r="AE22" i="8"/>
  <c r="AF22" i="8" s="1"/>
  <c r="AG22" i="8" s="1"/>
  <c r="AH24" i="8"/>
  <c r="AE24" i="8"/>
  <c r="AF24" i="8" s="1"/>
  <c r="AG24" i="8" s="1"/>
  <c r="X39" i="8"/>
  <c r="V39" i="8"/>
  <c r="W39" i="8" s="1"/>
  <c r="AH43" i="8"/>
  <c r="AE43" i="8"/>
  <c r="AF43" i="8" s="1"/>
  <c r="AG43" i="8" s="1"/>
  <c r="V80" i="8"/>
  <c r="W80" i="8" s="1"/>
  <c r="V82" i="8"/>
  <c r="W82" i="8" s="1"/>
  <c r="V112" i="8"/>
  <c r="W112" i="8" s="1"/>
  <c r="X119" i="8"/>
  <c r="V119" i="8"/>
  <c r="W119" i="8" s="1"/>
  <c r="AH124" i="8"/>
  <c r="AE124" i="8"/>
  <c r="AF124" i="8" s="1"/>
  <c r="AG124" i="8" s="1"/>
  <c r="AE134" i="8"/>
  <c r="AF134" i="8" s="1"/>
  <c r="AG134" i="8" s="1"/>
  <c r="AH136" i="8"/>
  <c r="AE136" i="8"/>
  <c r="AF136" i="8" s="1"/>
  <c r="AG136" i="8" s="1"/>
  <c r="AE187" i="8"/>
  <c r="AF187" i="8" s="1"/>
  <c r="AG187" i="8" s="1"/>
  <c r="AH212" i="8"/>
  <c r="AE212" i="8"/>
  <c r="AF212" i="8" s="1"/>
  <c r="AG212" i="8" s="1"/>
  <c r="V214" i="8"/>
  <c r="W214" i="8" s="1"/>
  <c r="AH237" i="8"/>
  <c r="AE237" i="8"/>
  <c r="AF237" i="8" s="1"/>
  <c r="AG237" i="8" s="1"/>
  <c r="AE13" i="8"/>
  <c r="AF13" i="8" s="1"/>
  <c r="AG13" i="8" s="1"/>
  <c r="AH15" i="8"/>
  <c r="AE15" i="8"/>
  <c r="AF15" i="8" s="1"/>
  <c r="AG15" i="8" s="1"/>
  <c r="AH30" i="8"/>
  <c r="AE30" i="8"/>
  <c r="AE35" i="8"/>
  <c r="AF35" i="8" s="1"/>
  <c r="AG35" i="8" s="1"/>
  <c r="AH37" i="8"/>
  <c r="AE37" i="8"/>
  <c r="AF37" i="8" s="1"/>
  <c r="AG37" i="8" s="1"/>
  <c r="AH39" i="8"/>
  <c r="AE39" i="8"/>
  <c r="AF39" i="8" s="1"/>
  <c r="AG39" i="8" s="1"/>
  <c r="AE71" i="8"/>
  <c r="AF71" i="8" s="1"/>
  <c r="AG71" i="8" s="1"/>
  <c r="AH82" i="8"/>
  <c r="AE82" i="8"/>
  <c r="AF82" i="8" s="1"/>
  <c r="AG82" i="8" s="1"/>
  <c r="AE119" i="8"/>
  <c r="AF119" i="8" s="1"/>
  <c r="AG119" i="8" s="1"/>
  <c r="AE127" i="8"/>
  <c r="AF127" i="8" s="1"/>
  <c r="AG127" i="8" s="1"/>
  <c r="X180" i="8"/>
  <c r="V180" i="8"/>
  <c r="W180" i="8" s="1"/>
  <c r="V182" i="8"/>
  <c r="W182" i="8" s="1"/>
  <c r="V184" i="8"/>
  <c r="W184" i="8" s="1"/>
  <c r="AE214" i="8"/>
  <c r="AF214" i="8" s="1"/>
  <c r="AG214" i="8" s="1"/>
  <c r="AH223" i="8"/>
  <c r="AE223" i="8"/>
  <c r="AF223" i="8" s="1"/>
  <c r="AG223" i="8" s="1"/>
  <c r="V226" i="8"/>
  <c r="W226" i="8" s="1"/>
  <c r="AH233" i="8"/>
  <c r="AE233" i="8"/>
  <c r="AF233" i="8" s="1"/>
  <c r="AG233" i="8" s="1"/>
  <c r="AE235" i="8"/>
  <c r="AF235" i="8" s="1"/>
  <c r="AG235" i="8" s="1"/>
  <c r="V243" i="8"/>
  <c r="W243" i="8" s="1"/>
  <c r="AH17" i="8"/>
  <c r="AE17" i="8"/>
  <c r="AF17" i="8" s="1"/>
  <c r="AG17" i="8" s="1"/>
  <c r="X19" i="8"/>
  <c r="V19" i="8"/>
  <c r="W19" i="8" s="1"/>
  <c r="AH26" i="8"/>
  <c r="AE26" i="8"/>
  <c r="AF26" i="8" s="1"/>
  <c r="AG26" i="8" s="1"/>
  <c r="AH28" i="8"/>
  <c r="AE28" i="8"/>
  <c r="AF28" i="8" s="1"/>
  <c r="AG28" i="8" s="1"/>
  <c r="AH64" i="8"/>
  <c r="AE64" i="8"/>
  <c r="AF64" i="8" s="1"/>
  <c r="AG64" i="8" s="1"/>
  <c r="V66" i="8"/>
  <c r="W66" i="8" s="1"/>
  <c r="AH84" i="8"/>
  <c r="AE84" i="8"/>
  <c r="AF84" i="8" s="1"/>
  <c r="AG84" i="8" s="1"/>
  <c r="AE100" i="8"/>
  <c r="AF100" i="8" s="1"/>
  <c r="AG100" i="8" s="1"/>
  <c r="AE102" i="8"/>
  <c r="AF102" i="8" s="1"/>
  <c r="AG102" i="8" s="1"/>
  <c r="AE104" i="8"/>
  <c r="AF104" i="8" s="1"/>
  <c r="AG104" i="8" s="1"/>
  <c r="AE107" i="8"/>
  <c r="AF107" i="8" s="1"/>
  <c r="AG107" i="8" s="1"/>
  <c r="V114" i="8"/>
  <c r="W114" i="8" s="1"/>
  <c r="X121" i="8"/>
  <c r="V121" i="8"/>
  <c r="W121" i="8" s="1"/>
  <c r="AH132" i="8"/>
  <c r="AE132" i="8"/>
  <c r="AF132" i="8" s="1"/>
  <c r="AG132" i="8" s="1"/>
  <c r="X146" i="8"/>
  <c r="V146" i="8"/>
  <c r="W146" i="8" s="1"/>
  <c r="AE173" i="8"/>
  <c r="AF173" i="8" s="1"/>
  <c r="AG173" i="8" s="1"/>
  <c r="AE175" i="8"/>
  <c r="AF175" i="8" s="1"/>
  <c r="AG175" i="8" s="1"/>
  <c r="AH182" i="8"/>
  <c r="AE182" i="8"/>
  <c r="AF182" i="8" s="1"/>
  <c r="AG182" i="8" s="1"/>
  <c r="X216" i="8"/>
  <c r="V216" i="8"/>
  <c r="W216" i="8" s="1"/>
  <c r="AH226" i="8"/>
  <c r="AE226" i="8"/>
  <c r="AF226" i="8" s="1"/>
  <c r="AG226" i="8" s="1"/>
  <c r="AH243" i="8"/>
  <c r="AE243" i="8"/>
  <c r="AF243" i="8" s="1"/>
  <c r="AG243" i="8" s="1"/>
  <c r="AH19" i="8"/>
  <c r="AE19" i="8"/>
  <c r="AF19" i="8" s="1"/>
  <c r="AG19" i="8" s="1"/>
  <c r="V61" i="8"/>
  <c r="W61" i="8" s="1"/>
  <c r="AE73" i="8"/>
  <c r="AF73" i="8" s="1"/>
  <c r="AG73" i="8" s="1"/>
  <c r="AE75" i="8"/>
  <c r="AF75" i="8" s="1"/>
  <c r="AG75" i="8" s="1"/>
  <c r="X77" i="8"/>
  <c r="V77" i="8"/>
  <c r="W77" i="8" s="1"/>
  <c r="AH98" i="8"/>
  <c r="AE98" i="8"/>
  <c r="AF98" i="8" s="1"/>
  <c r="AG98" i="8" s="1"/>
  <c r="AH146" i="8"/>
  <c r="AE146" i="8"/>
  <c r="AF146" i="8" s="1"/>
  <c r="AG146" i="8" s="1"/>
  <c r="X169" i="8"/>
  <c r="V169" i="8"/>
  <c r="W169" i="8" s="1"/>
  <c r="AH177" i="8"/>
  <c r="AE177" i="8"/>
  <c r="AF177" i="8" s="1"/>
  <c r="AG177" i="8" s="1"/>
  <c r="X190" i="8"/>
  <c r="V190" i="8"/>
  <c r="W190" i="8" s="1"/>
  <c r="X192" i="8"/>
  <c r="V192" i="8"/>
  <c r="W192" i="8" s="1"/>
  <c r="X194" i="8"/>
  <c r="V194" i="8"/>
  <c r="W194" i="8" s="1"/>
  <c r="X196" i="8"/>
  <c r="V196" i="8"/>
  <c r="W196" i="8" s="1"/>
  <c r="X198" i="8"/>
  <c r="V198" i="8"/>
  <c r="W198" i="8" s="1"/>
  <c r="V200" i="8"/>
  <c r="W200" i="8" s="1"/>
  <c r="X218" i="8"/>
  <c r="V218" i="8"/>
  <c r="W218" i="8" s="1"/>
  <c r="AE246" i="8"/>
  <c r="AF246" i="8" s="1"/>
  <c r="AG246" i="8" s="1"/>
  <c r="AE7" i="8"/>
  <c r="AF7" i="8" s="1"/>
  <c r="AG7" i="8" s="1"/>
  <c r="X21" i="8"/>
  <c r="V21" i="8"/>
  <c r="W21" i="8" s="1"/>
  <c r="V46" i="8"/>
  <c r="W46" i="8" s="1"/>
  <c r="V55" i="8"/>
  <c r="W55" i="8" s="1"/>
  <c r="AE57" i="8"/>
  <c r="AF57" i="8" s="1"/>
  <c r="AG57" i="8" s="1"/>
  <c r="AH59" i="8"/>
  <c r="AE59" i="8"/>
  <c r="AF59" i="8" s="1"/>
  <c r="AG59" i="8" s="1"/>
  <c r="AE61" i="8"/>
  <c r="AF61" i="8" s="1"/>
  <c r="AG61" i="8" s="1"/>
  <c r="AE77" i="8"/>
  <c r="AF77" i="8" s="1"/>
  <c r="AG77" i="8" s="1"/>
  <c r="AH86" i="8"/>
  <c r="AE86" i="8"/>
  <c r="AF86" i="8" s="1"/>
  <c r="AG86" i="8" s="1"/>
  <c r="AE90" i="8"/>
  <c r="AF90" i="8" s="1"/>
  <c r="AG90" i="8" s="1"/>
  <c r="V92" i="8"/>
  <c r="W92" i="8" s="1"/>
  <c r="V94" i="8"/>
  <c r="W94" i="8" s="1"/>
  <c r="AE109" i="8"/>
  <c r="AF109" i="8" s="1"/>
  <c r="AG109" i="8" s="1"/>
  <c r="V116" i="8"/>
  <c r="W116" i="8" s="1"/>
  <c r="X123" i="8"/>
  <c r="V123" i="8"/>
  <c r="W123" i="8" s="1"/>
  <c r="AH130" i="8"/>
  <c r="AE130" i="8"/>
  <c r="AF130" i="8" s="1"/>
  <c r="AG130" i="8" s="1"/>
  <c r="AE141" i="8"/>
  <c r="AF141" i="8" s="1"/>
  <c r="AG141" i="8" s="1"/>
  <c r="AH148" i="8"/>
  <c r="AE148" i="8"/>
  <c r="AF148" i="8" s="1"/>
  <c r="AG148" i="8" s="1"/>
  <c r="AH150" i="8"/>
  <c r="AE150" i="8"/>
  <c r="AF150" i="8" s="1"/>
  <c r="AG150" i="8" s="1"/>
  <c r="AH155" i="8"/>
  <c r="AE155" i="8"/>
  <c r="AF155" i="8" s="1"/>
  <c r="AG155" i="8" s="1"/>
  <c r="AH166" i="8"/>
  <c r="AE166" i="8"/>
  <c r="AF166" i="8" s="1"/>
  <c r="AG166" i="8" s="1"/>
  <c r="AH169" i="8"/>
  <c r="AE169" i="8"/>
  <c r="AF169" i="8" s="1"/>
  <c r="AG169" i="8" s="1"/>
  <c r="V188" i="8"/>
  <c r="W188" i="8" s="1"/>
  <c r="AE190" i="8"/>
  <c r="AF190" i="8" s="1"/>
  <c r="AG190" i="8" s="1"/>
  <c r="AE192" i="8"/>
  <c r="AF192" i="8" s="1"/>
  <c r="AG192" i="8" s="1"/>
  <c r="AE194" i="8"/>
  <c r="AF194" i="8" s="1"/>
  <c r="AG194" i="8" s="1"/>
  <c r="AE196" i="8"/>
  <c r="AF196" i="8" s="1"/>
  <c r="AG196" i="8" s="1"/>
  <c r="AH198" i="8"/>
  <c r="AE198" i="8"/>
  <c r="AF198" i="8" s="1"/>
  <c r="AG198" i="8" s="1"/>
  <c r="AE200" i="8"/>
  <c r="AF200" i="8" s="1"/>
  <c r="AG200" i="8" s="1"/>
  <c r="V205" i="8"/>
  <c r="W205" i="8" s="1"/>
  <c r="X207" i="8"/>
  <c r="V207" i="8"/>
  <c r="W207" i="8" s="1"/>
  <c r="AE218" i="8"/>
  <c r="AF218" i="8" s="1"/>
  <c r="AG218" i="8" s="1"/>
  <c r="AH220" i="8"/>
  <c r="AE220" i="8"/>
  <c r="AF220" i="8" s="1"/>
  <c r="AG220" i="8" s="1"/>
  <c r="AH228" i="8"/>
  <c r="AE228" i="8"/>
  <c r="AF228" i="8" s="1"/>
  <c r="AG228" i="8" s="1"/>
  <c r="X240" i="8"/>
  <c r="V240" i="8"/>
  <c r="W240" i="8" s="1"/>
  <c r="AH21" i="8"/>
  <c r="AE21" i="8"/>
  <c r="AF21" i="8" s="1"/>
  <c r="AG21" i="8" s="1"/>
  <c r="AE48" i="8"/>
  <c r="AF48" i="8" s="1"/>
  <c r="AG48" i="8" s="1"/>
  <c r="V50" i="8"/>
  <c r="W50" i="8" s="1"/>
  <c r="AE52" i="8"/>
  <c r="AF52" i="8" s="1"/>
  <c r="AG52" i="8" s="1"/>
  <c r="AH55" i="8"/>
  <c r="AE55" i="8"/>
  <c r="AF55" i="8" s="1"/>
  <c r="AG55" i="8" s="1"/>
  <c r="V70" i="8"/>
  <c r="W70" i="8" s="1"/>
  <c r="AE92" i="8"/>
  <c r="AF92" i="8" s="1"/>
  <c r="AG92" i="8" s="1"/>
  <c r="AE94" i="8"/>
  <c r="AF94" i="8" s="1"/>
  <c r="AG94" i="8" s="1"/>
  <c r="AE96" i="8"/>
  <c r="AF96" i="8" s="1"/>
  <c r="AG96" i="8" s="1"/>
  <c r="V118" i="8"/>
  <c r="W118" i="8" s="1"/>
  <c r="AE123" i="8"/>
  <c r="AF123" i="8" s="1"/>
  <c r="AG123" i="8" s="1"/>
  <c r="V135" i="8"/>
  <c r="W135" i="8" s="1"/>
  <c r="X143" i="8"/>
  <c r="V143" i="8"/>
  <c r="W143" i="8" s="1"/>
  <c r="X160" i="8"/>
  <c r="V160" i="8"/>
  <c r="W160" i="8" s="1"/>
  <c r="AE162" i="8"/>
  <c r="AF162" i="8" s="1"/>
  <c r="AG162" i="8" s="1"/>
  <c r="AE164" i="8"/>
  <c r="AF164" i="8" s="1"/>
  <c r="AG164" i="8" s="1"/>
  <c r="AH188" i="8"/>
  <c r="AE188" i="8"/>
  <c r="AF188" i="8" s="1"/>
  <c r="AG188" i="8" s="1"/>
  <c r="AE203" i="8"/>
  <c r="AF203" i="8" s="1"/>
  <c r="AG203" i="8" s="1"/>
  <c r="AH205" i="8"/>
  <c r="AE205" i="8"/>
  <c r="AF205" i="8" s="1"/>
  <c r="AG205" i="8" s="1"/>
  <c r="AH207" i="8"/>
  <c r="AE207" i="8"/>
  <c r="AF207" i="8" s="1"/>
  <c r="AG207" i="8" s="1"/>
  <c r="AE209" i="8"/>
  <c r="AF209" i="8" s="1"/>
  <c r="AG209" i="8" s="1"/>
  <c r="V211" i="8"/>
  <c r="W211" i="8" s="1"/>
  <c r="AE230" i="8"/>
  <c r="AF230" i="8" s="1"/>
  <c r="AG230" i="8" s="1"/>
  <c r="V232" i="8"/>
  <c r="W232" i="8" s="1"/>
  <c r="AH238" i="8"/>
  <c r="AE238" i="8"/>
  <c r="AF238" i="8" s="1"/>
  <c r="AG238" i="8" s="1"/>
  <c r="AE240" i="8"/>
  <c r="AF240" i="8" s="1"/>
  <c r="AG240" i="8" s="1"/>
  <c r="X12" i="8"/>
  <c r="V12" i="8"/>
  <c r="W12" i="8" s="1"/>
  <c r="AH23" i="8"/>
  <c r="AE23" i="8"/>
  <c r="AF23" i="8" s="1"/>
  <c r="AG23" i="8" s="1"/>
  <c r="AH32" i="8"/>
  <c r="AE32" i="8"/>
  <c r="AF32" i="8" s="1"/>
  <c r="AG32" i="8" s="1"/>
  <c r="AH40" i="8"/>
  <c r="AE40" i="8"/>
  <c r="AF40" i="8" s="1"/>
  <c r="AG40" i="8" s="1"/>
  <c r="AE42" i="8"/>
  <c r="AF42" i="8" s="1"/>
  <c r="AG42" i="8" s="1"/>
  <c r="AE44" i="8"/>
  <c r="AF44" i="8" s="1"/>
  <c r="AG44" i="8" s="1"/>
  <c r="AH70" i="8"/>
  <c r="AE70" i="8"/>
  <c r="AF70" i="8" s="1"/>
  <c r="AG70" i="8" s="1"/>
  <c r="AE79" i="8"/>
  <c r="AF79" i="8" s="1"/>
  <c r="AG79" i="8" s="1"/>
  <c r="AE111" i="8"/>
  <c r="AF111" i="8" s="1"/>
  <c r="AG111" i="8" s="1"/>
  <c r="AH118" i="8"/>
  <c r="AE118" i="8"/>
  <c r="AF118" i="8" s="1"/>
  <c r="AG118" i="8" s="1"/>
  <c r="V125" i="8"/>
  <c r="W125" i="8" s="1"/>
  <c r="AE128" i="8"/>
  <c r="AF128" i="8" s="1"/>
  <c r="AG128" i="8" s="1"/>
  <c r="AH143" i="8"/>
  <c r="AE143" i="8"/>
  <c r="AF143" i="8" s="1"/>
  <c r="AG143" i="8" s="1"/>
  <c r="AH158" i="8"/>
  <c r="AE158" i="8"/>
  <c r="AF158" i="8" s="1"/>
  <c r="AG158" i="8" s="1"/>
  <c r="AE160" i="8"/>
  <c r="AF160" i="8" s="1"/>
  <c r="AG160" i="8" s="1"/>
  <c r="V186" i="8"/>
  <c r="W186" i="8" s="1"/>
  <c r="AH211" i="8"/>
  <c r="AE211" i="8"/>
  <c r="AF211" i="8" s="1"/>
  <c r="AG211" i="8" s="1"/>
  <c r="AH213" i="8"/>
  <c r="AE213" i="8"/>
  <c r="AF213" i="8" s="1"/>
  <c r="AG213" i="8" s="1"/>
  <c r="X242" i="8"/>
  <c r="V242" i="8"/>
  <c r="W242" i="8" s="1"/>
  <c r="AH12" i="8"/>
  <c r="AE12" i="8"/>
  <c r="AF12" i="8" s="1"/>
  <c r="AG12" i="8" s="1"/>
  <c r="AH14" i="8"/>
  <c r="AE14" i="8"/>
  <c r="AF14" i="8" s="1"/>
  <c r="AG14" i="8" s="1"/>
  <c r="AE16" i="8"/>
  <c r="AF16" i="8" s="1"/>
  <c r="AG16" i="8" s="1"/>
  <c r="AH25" i="8"/>
  <c r="AE25" i="8"/>
  <c r="AF25" i="8" s="1"/>
  <c r="AG25" i="8" s="1"/>
  <c r="AE34" i="8"/>
  <c r="AF34" i="8" s="1"/>
  <c r="AG34" i="8" s="1"/>
  <c r="AE36" i="8"/>
  <c r="AF36" i="8" s="1"/>
  <c r="AG36" i="8" s="1"/>
  <c r="AH38" i="8"/>
  <c r="AE38" i="8"/>
  <c r="AF38" i="8" s="1"/>
  <c r="AG38" i="8" s="1"/>
  <c r="AH81" i="8"/>
  <c r="AE81" i="8"/>
  <c r="AF81" i="8" s="1"/>
  <c r="AG81" i="8" s="1"/>
  <c r="AE83" i="8"/>
  <c r="AF83" i="8" s="1"/>
  <c r="AG83" i="8" s="1"/>
  <c r="V120" i="8"/>
  <c r="W120" i="8" s="1"/>
  <c r="AE125" i="8"/>
  <c r="AF125" i="8" s="1"/>
  <c r="AG125" i="8" s="1"/>
  <c r="AH133" i="8"/>
  <c r="AE133" i="8"/>
  <c r="AF133" i="8" s="1"/>
  <c r="AG133" i="8" s="1"/>
  <c r="V183" i="8"/>
  <c r="W183" i="8" s="1"/>
  <c r="AH186" i="8"/>
  <c r="AE186" i="8"/>
  <c r="AF186" i="8" s="1"/>
  <c r="AG186" i="8" s="1"/>
  <c r="V215" i="8"/>
  <c r="W215" i="8" s="1"/>
  <c r="V234" i="8"/>
  <c r="W234" i="8" s="1"/>
  <c r="AE236" i="8"/>
  <c r="AF236" i="8" s="1"/>
  <c r="AG236" i="8" s="1"/>
  <c r="AE242" i="8"/>
  <c r="AF242" i="8" s="1"/>
  <c r="AG242" i="8" s="1"/>
  <c r="AE9" i="8"/>
  <c r="AF9" i="8" s="1"/>
  <c r="AG9" i="8" s="1"/>
  <c r="AE27" i="8"/>
  <c r="AF27" i="8" s="1"/>
  <c r="AG27" i="8" s="1"/>
  <c r="AH29" i="8"/>
  <c r="AE29" i="8"/>
  <c r="AF29" i="8" s="1"/>
  <c r="AG29" i="8" s="1"/>
  <c r="V62" i="8"/>
  <c r="W62" i="8" s="1"/>
  <c r="AH72" i="8"/>
  <c r="AE72" i="8"/>
  <c r="AF72" i="8" s="1"/>
  <c r="AG72" i="8" s="1"/>
  <c r="AE74" i="8"/>
  <c r="AF74" i="8" s="1"/>
  <c r="AG74" i="8" s="1"/>
  <c r="AE99" i="8"/>
  <c r="AF99" i="8" s="1"/>
  <c r="AG99" i="8" s="1"/>
  <c r="AE101" i="8"/>
  <c r="AF101" i="8" s="1"/>
  <c r="AG101" i="8" s="1"/>
  <c r="AE103" i="8"/>
  <c r="AF103" i="8" s="1"/>
  <c r="AG103" i="8" s="1"/>
  <c r="AE105" i="8"/>
  <c r="AF105" i="8" s="1"/>
  <c r="AG105" i="8" s="1"/>
  <c r="V108" i="8"/>
  <c r="W108" i="8" s="1"/>
  <c r="AE113" i="8"/>
  <c r="AF113" i="8" s="1"/>
  <c r="AG113" i="8" s="1"/>
  <c r="AH120" i="8"/>
  <c r="AE120" i="8"/>
  <c r="AF120" i="8" s="1"/>
  <c r="AG120" i="8" s="1"/>
  <c r="AH176" i="8"/>
  <c r="AE176" i="8"/>
  <c r="AF176" i="8" s="1"/>
  <c r="AG176" i="8" s="1"/>
  <c r="AH183" i="8"/>
  <c r="AE183" i="8"/>
  <c r="AF183" i="8" s="1"/>
  <c r="AG183" i="8" s="1"/>
  <c r="AH215" i="8"/>
  <c r="AE215" i="8"/>
  <c r="AF215" i="8" s="1"/>
  <c r="AG215" i="8" s="1"/>
  <c r="AH224" i="8"/>
  <c r="AE224" i="8"/>
  <c r="AF224" i="8" s="1"/>
  <c r="AG224" i="8" s="1"/>
  <c r="V227" i="8"/>
  <c r="W227" i="8" s="1"/>
  <c r="AE234" i="8"/>
  <c r="AF234" i="8" s="1"/>
  <c r="AG234" i="8" s="1"/>
  <c r="AE18" i="8"/>
  <c r="AF18" i="8" s="1"/>
  <c r="AG18" i="8" s="1"/>
  <c r="V58" i="8"/>
  <c r="W58" i="8" s="1"/>
  <c r="V67" i="8"/>
  <c r="W67" i="8" s="1"/>
  <c r="AH76" i="8"/>
  <c r="AE76" i="8"/>
  <c r="AF76" i="8" s="1"/>
  <c r="AG76" i="8" s="1"/>
  <c r="AH85" i="8"/>
  <c r="AE85" i="8"/>
  <c r="AF85" i="8" s="1"/>
  <c r="AG85" i="8" s="1"/>
  <c r="AE87" i="8"/>
  <c r="AF87" i="8" s="1"/>
  <c r="AG87" i="8" s="1"/>
  <c r="V122" i="8"/>
  <c r="W122" i="8" s="1"/>
  <c r="AE172" i="8"/>
  <c r="AF172" i="8" s="1"/>
  <c r="AG172" i="8" s="1"/>
  <c r="X191" i="8"/>
  <c r="V191" i="8"/>
  <c r="W191" i="8" s="1"/>
  <c r="X193" i="8"/>
  <c r="V193" i="8"/>
  <c r="W193" i="8" s="1"/>
  <c r="X195" i="8"/>
  <c r="V195" i="8"/>
  <c r="W195" i="8" s="1"/>
  <c r="V197" i="8"/>
  <c r="W197" i="8" s="1"/>
  <c r="V201" i="8"/>
  <c r="W201" i="8" s="1"/>
  <c r="V219" i="8"/>
  <c r="W219" i="8" s="1"/>
  <c r="L8" i="8"/>
  <c r="M8" i="8" s="1"/>
  <c r="L35" i="8"/>
  <c r="M35" i="8" s="1"/>
  <c r="N35" i="8"/>
  <c r="L103" i="8"/>
  <c r="M103" i="8" s="1"/>
  <c r="N103" i="8"/>
  <c r="L15" i="8"/>
  <c r="M15" i="8" s="1"/>
  <c r="L20" i="8"/>
  <c r="M20" i="8" s="1"/>
  <c r="N20" i="8"/>
  <c r="L26" i="8"/>
  <c r="M26" i="8" s="1"/>
  <c r="L30" i="8"/>
  <c r="M30" i="8" s="1"/>
  <c r="L50" i="8"/>
  <c r="M50" i="8" s="1"/>
  <c r="L58" i="8"/>
  <c r="M58" i="8" s="1"/>
  <c r="N58" i="8"/>
  <c r="L67" i="8"/>
  <c r="M67" i="8" s="1"/>
  <c r="N67" i="8"/>
  <c r="L74" i="8"/>
  <c r="M74" i="8" s="1"/>
  <c r="N74" i="8"/>
  <c r="L80" i="8"/>
  <c r="M80" i="8" s="1"/>
  <c r="N80" i="8"/>
  <c r="L85" i="8"/>
  <c r="M85" i="8" s="1"/>
  <c r="N85" i="8"/>
  <c r="L107" i="8"/>
  <c r="M107" i="8" s="1"/>
  <c r="N107" i="8"/>
  <c r="L115" i="8"/>
  <c r="M115" i="8" s="1"/>
  <c r="N115" i="8"/>
  <c r="L122" i="8"/>
  <c r="M122" i="8" s="1"/>
  <c r="N122" i="8"/>
  <c r="L131" i="8"/>
  <c r="M131" i="8" s="1"/>
  <c r="N131" i="8"/>
  <c r="L137" i="8"/>
  <c r="M137" i="8" s="1"/>
  <c r="N137" i="8"/>
  <c r="L147" i="8"/>
  <c r="M147" i="8" s="1"/>
  <c r="L158" i="8"/>
  <c r="M158" i="8" s="1"/>
  <c r="N158" i="8"/>
  <c r="L162" i="8"/>
  <c r="M162" i="8" s="1"/>
  <c r="N162" i="8"/>
  <c r="L211" i="8"/>
  <c r="M211" i="8" s="1"/>
  <c r="N211" i="8"/>
  <c r="L222" i="8"/>
  <c r="M222" i="8" s="1"/>
  <c r="L230" i="8"/>
  <c r="M230" i="8" s="1"/>
  <c r="N230" i="8"/>
  <c r="L235" i="8"/>
  <c r="M235" i="8" s="1"/>
  <c r="L238" i="8"/>
  <c r="M238" i="8" s="1"/>
  <c r="L243" i="8"/>
  <c r="M243" i="8" s="1"/>
  <c r="N243" i="8"/>
  <c r="L39" i="8"/>
  <c r="M39" i="8" s="1"/>
  <c r="N39" i="8"/>
  <c r="L68" i="8"/>
  <c r="M68" i="8" s="1"/>
  <c r="N68" i="8"/>
  <c r="L86" i="8"/>
  <c r="M86" i="8" s="1"/>
  <c r="N86" i="8"/>
  <c r="L99" i="8"/>
  <c r="M99" i="8" s="1"/>
  <c r="N99" i="8"/>
  <c r="L152" i="8"/>
  <c r="M152" i="8" s="1"/>
  <c r="N152" i="8"/>
  <c r="L171" i="8"/>
  <c r="M171" i="8" s="1"/>
  <c r="N171" i="8"/>
  <c r="L244" i="8"/>
  <c r="M244" i="8" s="1"/>
  <c r="N244" i="8"/>
  <c r="L19" i="8"/>
  <c r="M19" i="8" s="1"/>
  <c r="N19" i="8"/>
  <c r="L25" i="8"/>
  <c r="M25" i="8" s="1"/>
  <c r="L34" i="8"/>
  <c r="M34" i="8" s="1"/>
  <c r="N34" i="8"/>
  <c r="L38" i="8"/>
  <c r="M38" i="8" s="1"/>
  <c r="N38" i="8"/>
  <c r="L42" i="8"/>
  <c r="M42" i="8" s="1"/>
  <c r="L49" i="8"/>
  <c r="M49" i="8" s="1"/>
  <c r="N49" i="8"/>
  <c r="L54" i="8"/>
  <c r="M54" i="8" s="1"/>
  <c r="N54" i="8"/>
  <c r="L66" i="8"/>
  <c r="M66" i="8" s="1"/>
  <c r="N66" i="8"/>
  <c r="L79" i="8"/>
  <c r="M79" i="8" s="1"/>
  <c r="N79" i="8"/>
  <c r="L84" i="8"/>
  <c r="M84" i="8" s="1"/>
  <c r="N84" i="8"/>
  <c r="L90" i="8"/>
  <c r="M90" i="8" s="1"/>
  <c r="N90" i="8"/>
  <c r="L95" i="8"/>
  <c r="M95" i="8" s="1"/>
  <c r="N95" i="8"/>
  <c r="L102" i="8"/>
  <c r="M102" i="8" s="1"/>
  <c r="N102" i="8"/>
  <c r="L114" i="8"/>
  <c r="M114" i="8" s="1"/>
  <c r="N114" i="8"/>
  <c r="L121" i="8"/>
  <c r="M121" i="8" s="1"/>
  <c r="L128" i="8"/>
  <c r="M128" i="8" s="1"/>
  <c r="N128" i="8"/>
  <c r="L140" i="8"/>
  <c r="M140" i="8" s="1"/>
  <c r="N140" i="8"/>
  <c r="L146" i="8"/>
  <c r="M146" i="8" s="1"/>
  <c r="N146" i="8"/>
  <c r="L151" i="8"/>
  <c r="M151" i="8" s="1"/>
  <c r="N151" i="8"/>
  <c r="L157" i="8"/>
  <c r="M157" i="8" s="1"/>
  <c r="N157" i="8"/>
  <c r="L165" i="8"/>
  <c r="M165" i="8" s="1"/>
  <c r="N165" i="8"/>
  <c r="L170" i="8"/>
  <c r="M170" i="8" s="1"/>
  <c r="L173" i="8"/>
  <c r="M173" i="8" s="1"/>
  <c r="N173" i="8"/>
  <c r="L177" i="8"/>
  <c r="M177" i="8" s="1"/>
  <c r="N177" i="8"/>
  <c r="L206" i="8"/>
  <c r="M206" i="8" s="1"/>
  <c r="L210" i="8"/>
  <c r="M210" i="8" s="1"/>
  <c r="L216" i="8"/>
  <c r="M216" i="8" s="1"/>
  <c r="N216" i="8"/>
  <c r="L221" i="8"/>
  <c r="M221" i="8" s="1"/>
  <c r="N221" i="8"/>
  <c r="L229" i="8"/>
  <c r="M229" i="8" s="1"/>
  <c r="N229" i="8"/>
  <c r="L242" i="8"/>
  <c r="M242" i="8" s="1"/>
  <c r="N242" i="8"/>
  <c r="L116" i="8"/>
  <c r="M116" i="8" s="1"/>
  <c r="L148" i="8"/>
  <c r="M148" i="8" s="1"/>
  <c r="N148" i="8"/>
  <c r="L24" i="8"/>
  <c r="M24" i="8" s="1"/>
  <c r="N24" i="8"/>
  <c r="L33" i="8"/>
  <c r="M33" i="8" s="1"/>
  <c r="L45" i="8"/>
  <c r="M45" i="8" s="1"/>
  <c r="N45" i="8"/>
  <c r="L65" i="8"/>
  <c r="M65" i="8" s="1"/>
  <c r="N65" i="8"/>
  <c r="L73" i="8"/>
  <c r="M73" i="8" s="1"/>
  <c r="N73" i="8"/>
  <c r="L78" i="8"/>
  <c r="M78" i="8" s="1"/>
  <c r="N78" i="8"/>
  <c r="L83" i="8"/>
  <c r="M83" i="8" s="1"/>
  <c r="N83" i="8"/>
  <c r="L98" i="8"/>
  <c r="M98" i="8" s="1"/>
  <c r="N98" i="8"/>
  <c r="L113" i="8"/>
  <c r="M113" i="8" s="1"/>
  <c r="N113" i="8"/>
  <c r="L120" i="8"/>
  <c r="M120" i="8" s="1"/>
  <c r="L133" i="8"/>
  <c r="M133" i="8" s="1"/>
  <c r="N133" i="8"/>
  <c r="L136" i="8"/>
  <c r="M136" i="8" s="1"/>
  <c r="N136" i="8"/>
  <c r="L145" i="8"/>
  <c r="M145" i="8" s="1"/>
  <c r="N145" i="8"/>
  <c r="L161" i="8"/>
  <c r="M161" i="8" s="1"/>
  <c r="N161" i="8"/>
  <c r="L169" i="8"/>
  <c r="M169" i="8" s="1"/>
  <c r="N169" i="8"/>
  <c r="L176" i="8"/>
  <c r="M176" i="8" s="1"/>
  <c r="N176" i="8"/>
  <c r="L215" i="8"/>
  <c r="M215" i="8" s="1"/>
  <c r="N215" i="8"/>
  <c r="L220" i="8"/>
  <c r="M220" i="8" s="1"/>
  <c r="N220" i="8"/>
  <c r="L228" i="8"/>
  <c r="M228" i="8" s="1"/>
  <c r="N228" i="8"/>
  <c r="L234" i="8"/>
  <c r="M234" i="8" s="1"/>
  <c r="N234" i="8"/>
  <c r="L241" i="8"/>
  <c r="M241" i="8" s="1"/>
  <c r="L123" i="8"/>
  <c r="M123" i="8" s="1"/>
  <c r="N123" i="8"/>
  <c r="L166" i="8"/>
  <c r="M166" i="8" s="1"/>
  <c r="L174" i="8"/>
  <c r="M174" i="8" s="1"/>
  <c r="L18" i="8"/>
  <c r="M18" i="8" s="1"/>
  <c r="N18" i="8"/>
  <c r="L29" i="8"/>
  <c r="M29" i="8" s="1"/>
  <c r="N29" i="8"/>
  <c r="L37" i="8"/>
  <c r="M37" i="8" s="1"/>
  <c r="N37" i="8"/>
  <c r="L41" i="8"/>
  <c r="M41" i="8" s="1"/>
  <c r="N41" i="8"/>
  <c r="L48" i="8"/>
  <c r="M48" i="8" s="1"/>
  <c r="N48" i="8"/>
  <c r="L57" i="8"/>
  <c r="M57" i="8" s="1"/>
  <c r="N57" i="8"/>
  <c r="L72" i="8"/>
  <c r="M72" i="8" s="1"/>
  <c r="N72" i="8"/>
  <c r="L77" i="8"/>
  <c r="M77" i="8" s="1"/>
  <c r="N77" i="8"/>
  <c r="L89" i="8"/>
  <c r="M89" i="8" s="1"/>
  <c r="L94" i="8"/>
  <c r="M94" i="8" s="1"/>
  <c r="N94" i="8"/>
  <c r="L101" i="8"/>
  <c r="M101" i="8" s="1"/>
  <c r="N101" i="8"/>
  <c r="L105" i="8"/>
  <c r="M105" i="8" s="1"/>
  <c r="N105" i="8"/>
  <c r="L112" i="8"/>
  <c r="M112" i="8" s="1"/>
  <c r="N112" i="8"/>
  <c r="L119" i="8"/>
  <c r="M119" i="8" s="1"/>
  <c r="N119" i="8"/>
  <c r="L130" i="8"/>
  <c r="M130" i="8" s="1"/>
  <c r="N130" i="8"/>
  <c r="L139" i="8"/>
  <c r="M139" i="8" s="1"/>
  <c r="N139" i="8"/>
  <c r="L144" i="8"/>
  <c r="M144" i="8" s="1"/>
  <c r="N144" i="8"/>
  <c r="L150" i="8"/>
  <c r="M150" i="8" s="1"/>
  <c r="N150" i="8"/>
  <c r="L155" i="8"/>
  <c r="M155" i="8" s="1"/>
  <c r="N155" i="8"/>
  <c r="L205" i="8"/>
  <c r="M205" i="8" s="1"/>
  <c r="N205" i="8"/>
  <c r="L209" i="8"/>
  <c r="M209" i="8" s="1"/>
  <c r="N209" i="8"/>
  <c r="L214" i="8"/>
  <c r="M214" i="8" s="1"/>
  <c r="N214" i="8"/>
  <c r="L227" i="8"/>
  <c r="M227" i="8" s="1"/>
  <c r="N227" i="8"/>
  <c r="L233" i="8"/>
  <c r="M233" i="8" s="1"/>
  <c r="N233" i="8"/>
  <c r="L237" i="8"/>
  <c r="M237" i="8" s="1"/>
  <c r="N237" i="8"/>
  <c r="L240" i="8"/>
  <c r="M240" i="8" s="1"/>
  <c r="N240" i="8"/>
  <c r="L21" i="8"/>
  <c r="M21" i="8" s="1"/>
  <c r="L203" i="8"/>
  <c r="M203" i="8" s="1"/>
  <c r="N203" i="8"/>
  <c r="L223" i="8"/>
  <c r="M223" i="8" s="1"/>
  <c r="L17" i="8"/>
  <c r="M17" i="8" s="1"/>
  <c r="N17" i="8"/>
  <c r="L23" i="8"/>
  <c r="M23" i="8" s="1"/>
  <c r="N23" i="8"/>
  <c r="L28" i="8"/>
  <c r="M28" i="8" s="1"/>
  <c r="N28" i="8"/>
  <c r="L32" i="8"/>
  <c r="M32" i="8" s="1"/>
  <c r="N32" i="8"/>
  <c r="L44" i="8"/>
  <c r="M44" i="8" s="1"/>
  <c r="N44" i="8"/>
  <c r="L52" i="8"/>
  <c r="M52" i="8" s="1"/>
  <c r="N52" i="8"/>
  <c r="L60" i="8"/>
  <c r="M60" i="8" s="1"/>
  <c r="L71" i="8"/>
  <c r="M71" i="8" s="1"/>
  <c r="L76" i="8"/>
  <c r="M76" i="8" s="1"/>
  <c r="N76" i="8"/>
  <c r="L82" i="8"/>
  <c r="M82" i="8" s="1"/>
  <c r="N82" i="8"/>
  <c r="L88" i="8"/>
  <c r="M88" i="8" s="1"/>
  <c r="N88" i="8"/>
  <c r="L111" i="8"/>
  <c r="M111" i="8" s="1"/>
  <c r="N111" i="8"/>
  <c r="L118" i="8"/>
  <c r="M118" i="8" s="1"/>
  <c r="N118" i="8"/>
  <c r="L127" i="8"/>
  <c r="M127" i="8" s="1"/>
  <c r="N127" i="8"/>
  <c r="L135" i="8"/>
  <c r="M135" i="8" s="1"/>
  <c r="N135" i="8"/>
  <c r="L143" i="8"/>
  <c r="M143" i="8" s="1"/>
  <c r="N143" i="8"/>
  <c r="L160" i="8"/>
  <c r="M160" i="8" s="1"/>
  <c r="N160" i="8"/>
  <c r="L164" i="8"/>
  <c r="M164" i="8" s="1"/>
  <c r="N164" i="8"/>
  <c r="L167" i="8"/>
  <c r="M167" i="8" s="1"/>
  <c r="N167" i="8"/>
  <c r="L172" i="8"/>
  <c r="M172" i="8" s="1"/>
  <c r="L175" i="8"/>
  <c r="M175" i="8" s="1"/>
  <c r="N175" i="8"/>
  <c r="L184" i="8"/>
  <c r="M184" i="8" s="1"/>
  <c r="N184" i="8"/>
  <c r="L213" i="8"/>
  <c r="M213" i="8" s="1"/>
  <c r="N213" i="8"/>
  <c r="L219" i="8"/>
  <c r="M219" i="8" s="1"/>
  <c r="N219" i="8"/>
  <c r="L226" i="8"/>
  <c r="M226" i="8" s="1"/>
  <c r="N226" i="8"/>
  <c r="L232" i="8"/>
  <c r="M232" i="8" s="1"/>
  <c r="N232" i="8"/>
  <c r="L96" i="8"/>
  <c r="M96" i="8" s="1"/>
  <c r="N96" i="8"/>
  <c r="L217" i="8"/>
  <c r="M217" i="8" s="1"/>
  <c r="N217" i="8"/>
  <c r="L16" i="8"/>
  <c r="M16" i="8" s="1"/>
  <c r="N16" i="8"/>
  <c r="L36" i="8"/>
  <c r="M36" i="8" s="1"/>
  <c r="L40" i="8"/>
  <c r="M40" i="8" s="1"/>
  <c r="N40" i="8"/>
  <c r="L56" i="8"/>
  <c r="M56" i="8" s="1"/>
  <c r="N56" i="8"/>
  <c r="L64" i="8"/>
  <c r="M64" i="8" s="1"/>
  <c r="N64" i="8"/>
  <c r="L70" i="8"/>
  <c r="M70" i="8" s="1"/>
  <c r="N70" i="8"/>
  <c r="L87" i="8"/>
  <c r="M87" i="8" s="1"/>
  <c r="L93" i="8"/>
  <c r="M93" i="8" s="1"/>
  <c r="N93" i="8"/>
  <c r="L97" i="8"/>
  <c r="M97" i="8" s="1"/>
  <c r="N97" i="8"/>
  <c r="L100" i="8"/>
  <c r="M100" i="8" s="1"/>
  <c r="L104" i="8"/>
  <c r="M104" i="8" s="1"/>
  <c r="N104" i="8"/>
  <c r="L110" i="8"/>
  <c r="M110" i="8" s="1"/>
  <c r="N110" i="8"/>
  <c r="L117" i="8"/>
  <c r="M117" i="8" s="1"/>
  <c r="N117" i="8"/>
  <c r="L125" i="8"/>
  <c r="M125" i="8" s="1"/>
  <c r="N125" i="8"/>
  <c r="L132" i="8"/>
  <c r="M132" i="8" s="1"/>
  <c r="N132" i="8"/>
  <c r="L138" i="8"/>
  <c r="M138" i="8" s="1"/>
  <c r="L142" i="8"/>
  <c r="M142" i="8" s="1"/>
  <c r="N142" i="8"/>
  <c r="L149" i="8"/>
  <c r="M149" i="8" s="1"/>
  <c r="N149" i="8"/>
  <c r="L154" i="8"/>
  <c r="M154" i="8" s="1"/>
  <c r="N154" i="8"/>
  <c r="L204" i="8"/>
  <c r="M204" i="8" s="1"/>
  <c r="N204" i="8"/>
  <c r="L208" i="8"/>
  <c r="M208" i="8" s="1"/>
  <c r="N208" i="8"/>
  <c r="L231" i="8"/>
  <c r="M231" i="8" s="1"/>
  <c r="N231" i="8"/>
  <c r="L239" i="8"/>
  <c r="M239" i="8" s="1"/>
  <c r="N239" i="8"/>
  <c r="L246" i="8"/>
  <c r="M246" i="8" s="1"/>
  <c r="N246" i="8"/>
  <c r="L46" i="8"/>
  <c r="M46" i="8" s="1"/>
  <c r="N46" i="8"/>
  <c r="L55" i="8"/>
  <c r="M55" i="8" s="1"/>
  <c r="N55" i="8"/>
  <c r="L91" i="8"/>
  <c r="M91" i="8" s="1"/>
  <c r="N91" i="8"/>
  <c r="L108" i="8"/>
  <c r="M108" i="8" s="1"/>
  <c r="N108" i="8"/>
  <c r="L134" i="8"/>
  <c r="M134" i="8" s="1"/>
  <c r="N134" i="8"/>
  <c r="L207" i="8"/>
  <c r="M207" i="8" s="1"/>
  <c r="N207" i="8"/>
  <c r="L22" i="8"/>
  <c r="M22" i="8" s="1"/>
  <c r="L27" i="8"/>
  <c r="M27" i="8" s="1"/>
  <c r="N27" i="8"/>
  <c r="L43" i="8"/>
  <c r="M43" i="8" s="1"/>
  <c r="L47" i="8"/>
  <c r="M47" i="8" s="1"/>
  <c r="N47" i="8"/>
  <c r="L51" i="8"/>
  <c r="M51" i="8" s="1"/>
  <c r="N51" i="8"/>
  <c r="L59" i="8"/>
  <c r="M59" i="8" s="1"/>
  <c r="N59" i="8"/>
  <c r="L69" i="8"/>
  <c r="M69" i="8" s="1"/>
  <c r="N69" i="8"/>
  <c r="L75" i="8"/>
  <c r="M75" i="8" s="1"/>
  <c r="N75" i="8"/>
  <c r="L81" i="8"/>
  <c r="M81" i="8" s="1"/>
  <c r="N81" i="8"/>
  <c r="L92" i="8"/>
  <c r="M92" i="8" s="1"/>
  <c r="L109" i="8"/>
  <c r="M109" i="8" s="1"/>
  <c r="N109" i="8"/>
  <c r="L124" i="8"/>
  <c r="M124" i="8" s="1"/>
  <c r="N124" i="8"/>
  <c r="L129" i="8"/>
  <c r="M129" i="8" s="1"/>
  <c r="N129" i="8"/>
  <c r="L141" i="8"/>
  <c r="M141" i="8" s="1"/>
  <c r="N141" i="8"/>
  <c r="L159" i="8"/>
  <c r="M159" i="8" s="1"/>
  <c r="N159" i="8"/>
  <c r="L163" i="8"/>
  <c r="M163" i="8" s="1"/>
  <c r="N163" i="8"/>
  <c r="L212" i="8"/>
  <c r="M212" i="8" s="1"/>
  <c r="N212" i="8"/>
  <c r="L218" i="8"/>
  <c r="M218" i="8" s="1"/>
  <c r="L224" i="8"/>
  <c r="M224" i="8" s="1"/>
  <c r="L236" i="8"/>
  <c r="M236" i="8" s="1"/>
  <c r="AH246" i="8"/>
  <c r="BP123" i="8"/>
  <c r="BQ123" i="8" s="1"/>
  <c r="BR123" i="8" s="1"/>
  <c r="AH52" i="8"/>
  <c r="AQ68" i="8"/>
  <c r="AX125" i="8"/>
  <c r="AY125" i="8" s="1"/>
  <c r="AZ125" i="8" s="1"/>
  <c r="AO236" i="8"/>
  <c r="AP236" i="8" s="1"/>
  <c r="AH58" i="8"/>
  <c r="AO60" i="8"/>
  <c r="AP60" i="8" s="1"/>
  <c r="AX69" i="8"/>
  <c r="AY69" i="8" s="1"/>
  <c r="AZ69" i="8" s="1"/>
  <c r="AQ70" i="8"/>
  <c r="AQ172" i="8"/>
  <c r="BA26" i="8"/>
  <c r="N26" i="8" s="1"/>
  <c r="AX174" i="8"/>
  <c r="AY174" i="8" s="1"/>
  <c r="AZ174" i="8" s="1"/>
  <c r="AQ186" i="8"/>
  <c r="AH206" i="8"/>
  <c r="AO246" i="8"/>
  <c r="AP246" i="8" s="1"/>
  <c r="AO124" i="8"/>
  <c r="AP124" i="8" s="1"/>
  <c r="AX47" i="8"/>
  <c r="AY47" i="8" s="1"/>
  <c r="AZ47" i="8" s="1"/>
  <c r="AH230" i="8"/>
  <c r="AH235" i="8"/>
  <c r="BP13" i="8"/>
  <c r="BQ13" i="8" s="1"/>
  <c r="BR13" i="8" s="1"/>
  <c r="BR30" i="8"/>
  <c r="X50" i="8"/>
  <c r="AX232" i="8"/>
  <c r="AY232" i="8" s="1"/>
  <c r="AZ232" i="8" s="1"/>
  <c r="AO233" i="8"/>
  <c r="AP233" i="8" s="1"/>
  <c r="AO235" i="8"/>
  <c r="AP235" i="8" s="1"/>
  <c r="AH236" i="8"/>
  <c r="BP27" i="8"/>
  <c r="BQ27" i="8" s="1"/>
  <c r="BR27" i="8" s="1"/>
  <c r="W32" i="8"/>
  <c r="W33" i="8"/>
  <c r="BP33" i="8"/>
  <c r="BQ33" i="8" s="1"/>
  <c r="BR33" i="8" s="1"/>
  <c r="AX34" i="8"/>
  <c r="AY34" i="8" s="1"/>
  <c r="AZ34" i="8" s="1"/>
  <c r="W45" i="8"/>
  <c r="AX48" i="8"/>
  <c r="AY48" i="8" s="1"/>
  <c r="AZ48" i="8" s="1"/>
  <c r="BP80" i="8"/>
  <c r="BQ80" i="8" s="1"/>
  <c r="BR80" i="8" s="1"/>
  <c r="AH191" i="8"/>
  <c r="AO192" i="8"/>
  <c r="AP192" i="8" s="1"/>
  <c r="X197" i="8"/>
  <c r="W25" i="8"/>
  <c r="X78" i="8"/>
  <c r="AO148" i="8"/>
  <c r="AP148" i="8" s="1"/>
  <c r="AO154" i="8"/>
  <c r="AP154" i="8" s="1"/>
  <c r="AH196" i="8"/>
  <c r="AO205" i="8"/>
  <c r="AP205" i="8" s="1"/>
  <c r="AO220" i="8"/>
  <c r="AP220" i="8" s="1"/>
  <c r="BP237" i="8"/>
  <c r="BQ237" i="8" s="1"/>
  <c r="BR237" i="8" s="1"/>
  <c r="AQ75" i="8"/>
  <c r="BP90" i="8"/>
  <c r="BQ90" i="8" s="1"/>
  <c r="BR90" i="8" s="1"/>
  <c r="BA152" i="8"/>
  <c r="AH170" i="8"/>
  <c r="AX209" i="8"/>
  <c r="AY209" i="8" s="1"/>
  <c r="AZ209" i="8" s="1"/>
  <c r="AX17" i="8"/>
  <c r="AY17" i="8" s="1"/>
  <c r="AZ17" i="8" s="1"/>
  <c r="AQ33" i="8"/>
  <c r="X34" i="8"/>
  <c r="AO45" i="8"/>
  <c r="AP45" i="8" s="1"/>
  <c r="AX93" i="8"/>
  <c r="AY93" i="8" s="1"/>
  <c r="AZ93" i="8" s="1"/>
  <c r="BP95" i="8"/>
  <c r="BQ95" i="8" s="1"/>
  <c r="BR95" i="8" s="1"/>
  <c r="AQ107" i="8"/>
  <c r="BA148" i="8"/>
  <c r="AX158" i="8"/>
  <c r="AY158" i="8" s="1"/>
  <c r="AZ158" i="8" s="1"/>
  <c r="AH164" i="8"/>
  <c r="AX37" i="8"/>
  <c r="AY37" i="8" s="1"/>
  <c r="AZ37" i="8" s="1"/>
  <c r="AO40" i="8"/>
  <c r="AP40" i="8" s="1"/>
  <c r="AX62" i="8"/>
  <c r="AY62" i="8" s="1"/>
  <c r="AZ62" i="8" s="1"/>
  <c r="AO130" i="8"/>
  <c r="AP130" i="8" s="1"/>
  <c r="AO135" i="8"/>
  <c r="AP135" i="8" s="1"/>
  <c r="AQ164" i="8"/>
  <c r="AH193" i="8"/>
  <c r="AO194" i="8"/>
  <c r="AP194" i="8" s="1"/>
  <c r="AX244" i="8"/>
  <c r="AY244" i="8" s="1"/>
  <c r="AZ244" i="8" s="1"/>
  <c r="AH9" i="8"/>
  <c r="BP21" i="8"/>
  <c r="BQ21" i="8" s="1"/>
  <c r="BR21" i="8" s="1"/>
  <c r="AO25" i="8"/>
  <c r="AP25" i="8" s="1"/>
  <c r="AO35" i="8"/>
  <c r="AP35" i="8" s="1"/>
  <c r="AH54" i="8"/>
  <c r="AO81" i="8"/>
  <c r="AP81" i="8" s="1"/>
  <c r="AO83" i="8"/>
  <c r="AP83" i="8" s="1"/>
  <c r="AQ95" i="8"/>
  <c r="AH96" i="8"/>
  <c r="AO101" i="8"/>
  <c r="AP101" i="8" s="1"/>
  <c r="AX103" i="8"/>
  <c r="AY103" i="8" s="1"/>
  <c r="AZ103" i="8" s="1"/>
  <c r="AX123" i="8"/>
  <c r="AY123" i="8" s="1"/>
  <c r="AZ123" i="8" s="1"/>
  <c r="AQ173" i="8"/>
  <c r="AO179" i="8"/>
  <c r="AP179" i="8" s="1"/>
  <c r="BA180" i="8"/>
  <c r="AX181" i="8"/>
  <c r="AY181" i="8" s="1"/>
  <c r="AZ181" i="8" s="1"/>
  <c r="BA242" i="8"/>
  <c r="AO243" i="8"/>
  <c r="AP243" i="8" s="1"/>
  <c r="AO44" i="8"/>
  <c r="AP44" i="8" s="1"/>
  <c r="AO61" i="8"/>
  <c r="AP61" i="8" s="1"/>
  <c r="X67" i="8"/>
  <c r="AQ72" i="8"/>
  <c r="AH73" i="8"/>
  <c r="AO129" i="8"/>
  <c r="AP129" i="8" s="1"/>
  <c r="BP139" i="8"/>
  <c r="BQ139" i="8" s="1"/>
  <c r="BR139" i="8" s="1"/>
  <c r="AO169" i="8"/>
  <c r="AP169" i="8" s="1"/>
  <c r="AO176" i="8"/>
  <c r="AP176" i="8" s="1"/>
  <c r="AO203" i="8"/>
  <c r="AP203" i="8" s="1"/>
  <c r="AO211" i="8"/>
  <c r="AP211" i="8" s="1"/>
  <c r="AO212" i="8"/>
  <c r="AP212" i="8" s="1"/>
  <c r="AH214" i="8"/>
  <c r="AX234" i="8"/>
  <c r="AY234" i="8" s="1"/>
  <c r="AZ234" i="8" s="1"/>
  <c r="AQ237" i="8"/>
  <c r="AQ239" i="8"/>
  <c r="AH240" i="8"/>
  <c r="AQ91" i="8"/>
  <c r="AH13" i="8"/>
  <c r="BP17" i="8"/>
  <c r="BQ17" i="8" s="1"/>
  <c r="BR17" i="8" s="1"/>
  <c r="AQ21" i="8"/>
  <c r="AO27" i="8"/>
  <c r="AP27" i="8" s="1"/>
  <c r="BP30" i="8"/>
  <c r="AQ49" i="8"/>
  <c r="AH74" i="8"/>
  <c r="W79" i="8"/>
  <c r="BP84" i="8"/>
  <c r="BQ84" i="8" s="1"/>
  <c r="BR84" i="8" s="1"/>
  <c r="AO114" i="8"/>
  <c r="AP114" i="8" s="1"/>
  <c r="AO159" i="8"/>
  <c r="AP159" i="8" s="1"/>
  <c r="BA162" i="8"/>
  <c r="AH199" i="8"/>
  <c r="AQ207" i="8"/>
  <c r="AQ8" i="8"/>
  <c r="AQ13" i="8"/>
  <c r="AH16" i="8"/>
  <c r="BA24" i="8"/>
  <c r="W36" i="8"/>
  <c r="AQ46" i="8"/>
  <c r="BP57" i="8"/>
  <c r="BQ57" i="8" s="1"/>
  <c r="BR57" i="8" s="1"/>
  <c r="AQ74" i="8"/>
  <c r="AX127" i="8"/>
  <c r="AY127" i="8" s="1"/>
  <c r="AZ127" i="8" s="1"/>
  <c r="AH141" i="8"/>
  <c r="BA160" i="8"/>
  <c r="AQ171" i="8"/>
  <c r="AH173" i="8"/>
  <c r="AQ181" i="8"/>
  <c r="AH187" i="8"/>
  <c r="AX207" i="8"/>
  <c r="AY207" i="8" s="1"/>
  <c r="AZ207" i="8" s="1"/>
  <c r="AH34" i="8"/>
  <c r="AH42" i="8"/>
  <c r="AQ102" i="8"/>
  <c r="AO102" i="8"/>
  <c r="AP102" i="8" s="1"/>
  <c r="BP159" i="8"/>
  <c r="BQ159" i="8" s="1"/>
  <c r="BR159" i="8" s="1"/>
  <c r="AH227" i="8"/>
  <c r="AF227" i="8"/>
  <c r="AG227" i="8" s="1"/>
  <c r="AH244" i="8"/>
  <c r="AF244" i="8"/>
  <c r="AG244" i="8" s="1"/>
  <c r="W91" i="8"/>
  <c r="X91" i="8"/>
  <c r="BA146" i="8"/>
  <c r="AX146" i="8"/>
  <c r="AY146" i="8" s="1"/>
  <c r="AZ146" i="8" s="1"/>
  <c r="W177" i="8"/>
  <c r="X177" i="8"/>
  <c r="BP195" i="8"/>
  <c r="BQ195" i="8" s="1"/>
  <c r="BR195" i="8" s="1"/>
  <c r="W213" i="8"/>
  <c r="W220" i="8"/>
  <c r="AH231" i="8"/>
  <c r="AF231" i="8"/>
  <c r="AG231" i="8" s="1"/>
  <c r="BA7" i="8"/>
  <c r="AX13" i="8"/>
  <c r="AY13" i="8" s="1"/>
  <c r="AZ13" i="8" s="1"/>
  <c r="AX25" i="8"/>
  <c r="AY25" i="8" s="1"/>
  <c r="AZ25" i="8" s="1"/>
  <c r="W26" i="8"/>
  <c r="BA30" i="8"/>
  <c r="AO32" i="8"/>
  <c r="AP32" i="8" s="1"/>
  <c r="AO34" i="8"/>
  <c r="AP34" i="8" s="1"/>
  <c r="AH48" i="8"/>
  <c r="AO55" i="8"/>
  <c r="AP55" i="8" s="1"/>
  <c r="AH57" i="8"/>
  <c r="AQ85" i="8"/>
  <c r="AO85" i="8"/>
  <c r="AP85" i="8" s="1"/>
  <c r="BP94" i="8"/>
  <c r="BQ94" i="8" s="1"/>
  <c r="BR94" i="8" s="1"/>
  <c r="W110" i="8"/>
  <c r="X110" i="8"/>
  <c r="BP131" i="8"/>
  <c r="BQ131" i="8" s="1"/>
  <c r="BR131" i="8" s="1"/>
  <c r="W158" i="8"/>
  <c r="X206" i="8"/>
  <c r="W206" i="8"/>
  <c r="AQ10" i="8"/>
  <c r="AO16" i="8"/>
  <c r="AP16" i="8" s="1"/>
  <c r="AQ19" i="8"/>
  <c r="AO24" i="8"/>
  <c r="AP24" i="8" s="1"/>
  <c r="AX27" i="8"/>
  <c r="AY27" i="8" s="1"/>
  <c r="AZ27" i="8" s="1"/>
  <c r="BA29" i="8"/>
  <c r="BA38" i="8"/>
  <c r="X145" i="8"/>
  <c r="W145" i="8"/>
  <c r="BP150" i="8"/>
  <c r="BQ150" i="8" s="1"/>
  <c r="BR150" i="8" s="1"/>
  <c r="BP194" i="8"/>
  <c r="BQ194" i="8" s="1"/>
  <c r="BR194" i="8" s="1"/>
  <c r="BA201" i="8"/>
  <c r="AX201" i="8"/>
  <c r="AY201" i="8" s="1"/>
  <c r="AZ201" i="8" s="1"/>
  <c r="W217" i="8"/>
  <c r="AH35" i="8"/>
  <c r="AO37" i="8"/>
  <c r="AP37" i="8" s="1"/>
  <c r="AQ39" i="8"/>
  <c r="AO48" i="8"/>
  <c r="AP48" i="8" s="1"/>
  <c r="AO109" i="8"/>
  <c r="AP109" i="8" s="1"/>
  <c r="AQ109" i="8"/>
  <c r="AF115" i="8"/>
  <c r="AG115" i="8" s="1"/>
  <c r="AH115" i="8"/>
  <c r="BP130" i="8"/>
  <c r="BQ130" i="8" s="1"/>
  <c r="BR130" i="8" s="1"/>
  <c r="X181" i="8"/>
  <c r="W181" i="8"/>
  <c r="AO200" i="8"/>
  <c r="AP200" i="8" s="1"/>
  <c r="AQ200" i="8"/>
  <c r="W209" i="8"/>
  <c r="AF121" i="8"/>
  <c r="AG121" i="8" s="1"/>
  <c r="AH121" i="8"/>
  <c r="BP124" i="8"/>
  <c r="BQ124" i="8" s="1"/>
  <c r="BR124" i="8" s="1"/>
  <c r="W233" i="8"/>
  <c r="AH241" i="8"/>
  <c r="AF241" i="8"/>
  <c r="AG241" i="8" s="1"/>
  <c r="W9" i="8"/>
  <c r="AX16" i="8"/>
  <c r="AY16" i="8" s="1"/>
  <c r="AZ16" i="8" s="1"/>
  <c r="AO17" i="8"/>
  <c r="AP17" i="8" s="1"/>
  <c r="BA20" i="8"/>
  <c r="BP22" i="8"/>
  <c r="BQ22" i="8" s="1"/>
  <c r="BR22" i="8" s="1"/>
  <c r="BA67" i="8"/>
  <c r="AX67" i="8"/>
  <c r="AY67" i="8" s="1"/>
  <c r="AZ67" i="8" s="1"/>
  <c r="AH80" i="8"/>
  <c r="AF80" i="8"/>
  <c r="AG80" i="8" s="1"/>
  <c r="W93" i="8"/>
  <c r="BA218" i="8"/>
  <c r="AX218" i="8"/>
  <c r="AY218" i="8" s="1"/>
  <c r="AZ218" i="8" s="1"/>
  <c r="BP227" i="8"/>
  <c r="BQ227" i="8" s="1"/>
  <c r="BR227" i="8" s="1"/>
  <c r="AX12" i="8"/>
  <c r="AY12" i="8" s="1"/>
  <c r="AZ12" i="8" s="1"/>
  <c r="BP19" i="8"/>
  <c r="BQ19" i="8" s="1"/>
  <c r="BR19" i="8" s="1"/>
  <c r="AH27" i="8"/>
  <c r="BP34" i="8"/>
  <c r="BQ34" i="8" s="1"/>
  <c r="BR34" i="8" s="1"/>
  <c r="AH36" i="8"/>
  <c r="AX45" i="8"/>
  <c r="AY45" i="8" s="1"/>
  <c r="AZ45" i="8" s="1"/>
  <c r="AO47" i="8"/>
  <c r="AP47" i="8" s="1"/>
  <c r="AQ58" i="8"/>
  <c r="AO59" i="8"/>
  <c r="AP59" i="8" s="1"/>
  <c r="AH61" i="8"/>
  <c r="W87" i="8"/>
  <c r="W124" i="8"/>
  <c r="X124" i="8"/>
  <c r="X136" i="8"/>
  <c r="W136" i="8"/>
  <c r="AF152" i="8"/>
  <c r="AG152" i="8" s="1"/>
  <c r="AH152" i="8"/>
  <c r="BP182" i="8"/>
  <c r="BQ182" i="8" s="1"/>
  <c r="BR182" i="8" s="1"/>
  <c r="BA197" i="8"/>
  <c r="AX197" i="8"/>
  <c r="AY197" i="8" s="1"/>
  <c r="AZ197" i="8" s="1"/>
  <c r="AO208" i="8"/>
  <c r="AP208" i="8" s="1"/>
  <c r="AQ208" i="8"/>
  <c r="BP79" i="8"/>
  <c r="BQ79" i="8" s="1"/>
  <c r="BR79" i="8" s="1"/>
  <c r="AH83" i="8"/>
  <c r="AX86" i="8"/>
  <c r="AY86" i="8" s="1"/>
  <c r="AZ86" i="8" s="1"/>
  <c r="AX105" i="8"/>
  <c r="AY105" i="8" s="1"/>
  <c r="AZ105" i="8" s="1"/>
  <c r="AH107" i="8"/>
  <c r="BP108" i="8"/>
  <c r="BQ108" i="8" s="1"/>
  <c r="BR108" i="8" s="1"/>
  <c r="AX109" i="8"/>
  <c r="AY109" i="8" s="1"/>
  <c r="AZ109" i="8" s="1"/>
  <c r="X112" i="8"/>
  <c r="X122" i="8"/>
  <c r="BP122" i="8"/>
  <c r="BQ122" i="8" s="1"/>
  <c r="BR122" i="8" s="1"/>
  <c r="BP125" i="8"/>
  <c r="BQ125" i="8" s="1"/>
  <c r="BR125" i="8" s="1"/>
  <c r="AH129" i="8"/>
  <c r="AX134" i="8"/>
  <c r="AY134" i="8" s="1"/>
  <c r="AZ134" i="8" s="1"/>
  <c r="AO137" i="8"/>
  <c r="AP137" i="8" s="1"/>
  <c r="AX142" i="8"/>
  <c r="AY142" i="8" s="1"/>
  <c r="AZ142" i="8" s="1"/>
  <c r="BP151" i="8"/>
  <c r="BQ151" i="8" s="1"/>
  <c r="BR151" i="8" s="1"/>
  <c r="BP162" i="8"/>
  <c r="BQ162" i="8" s="1"/>
  <c r="BR162" i="8" s="1"/>
  <c r="AO174" i="8"/>
  <c r="AP174" i="8" s="1"/>
  <c r="AO180" i="8"/>
  <c r="AP180" i="8" s="1"/>
  <c r="X183" i="8"/>
  <c r="BP190" i="8"/>
  <c r="BQ190" i="8" s="1"/>
  <c r="BR190" i="8" s="1"/>
  <c r="AX198" i="8"/>
  <c r="AY198" i="8" s="1"/>
  <c r="AZ198" i="8" s="1"/>
  <c r="AX219" i="8"/>
  <c r="AY219" i="8" s="1"/>
  <c r="AZ219" i="8" s="1"/>
  <c r="X226" i="8"/>
  <c r="BP226" i="8"/>
  <c r="BQ226" i="8" s="1"/>
  <c r="BR226" i="8" s="1"/>
  <c r="AO231" i="8"/>
  <c r="AP231" i="8" s="1"/>
  <c r="AO241" i="8"/>
  <c r="AP241" i="8" s="1"/>
  <c r="AO96" i="8"/>
  <c r="AP96" i="8" s="1"/>
  <c r="AX115" i="8"/>
  <c r="AY115" i="8" s="1"/>
  <c r="AZ115" i="8" s="1"/>
  <c r="AO116" i="8"/>
  <c r="AP116" i="8" s="1"/>
  <c r="BA121" i="8"/>
  <c r="AO155" i="8"/>
  <c r="AP155" i="8" s="1"/>
  <c r="BP157" i="8"/>
  <c r="BQ157" i="8" s="1"/>
  <c r="BR157" i="8" s="1"/>
  <c r="AH162" i="8"/>
  <c r="BP163" i="8"/>
  <c r="BQ163" i="8" s="1"/>
  <c r="BR163" i="8" s="1"/>
  <c r="BA164" i="8"/>
  <c r="AX165" i="8"/>
  <c r="AY165" i="8" s="1"/>
  <c r="AZ165" i="8" s="1"/>
  <c r="AO167" i="8"/>
  <c r="AP167" i="8" s="1"/>
  <c r="AO170" i="8"/>
  <c r="AP170" i="8" s="1"/>
  <c r="AX173" i="8"/>
  <c r="AY173" i="8" s="1"/>
  <c r="AZ173" i="8" s="1"/>
  <c r="BA179" i="8"/>
  <c r="AH195" i="8"/>
  <c r="AH203" i="8"/>
  <c r="BP204" i="8"/>
  <c r="BQ204" i="8" s="1"/>
  <c r="BR204" i="8" s="1"/>
  <c r="BP208" i="8"/>
  <c r="BQ208" i="8" s="1"/>
  <c r="BR208" i="8" s="1"/>
  <c r="AQ209" i="8"/>
  <c r="BA237" i="8"/>
  <c r="AQ238" i="8"/>
  <c r="AH67" i="8"/>
  <c r="AQ84" i="8"/>
  <c r="AX87" i="8"/>
  <c r="AY87" i="8" s="1"/>
  <c r="AZ87" i="8" s="1"/>
  <c r="AO88" i="8"/>
  <c r="AP88" i="8" s="1"/>
  <c r="W89" i="8"/>
  <c r="BP97" i="8"/>
  <c r="BQ97" i="8" s="1"/>
  <c r="BR97" i="8" s="1"/>
  <c r="AH99" i="8"/>
  <c r="AH101" i="8"/>
  <c r="AO108" i="8"/>
  <c r="AP108" i="8" s="1"/>
  <c r="AQ112" i="8"/>
  <c r="BA128" i="8"/>
  <c r="AQ131" i="8"/>
  <c r="BP136" i="8"/>
  <c r="BQ136" i="8" s="1"/>
  <c r="BR136" i="8" s="1"/>
  <c r="X187" i="8"/>
  <c r="X68" i="8"/>
  <c r="BA94" i="8"/>
  <c r="AO100" i="8"/>
  <c r="AP100" i="8" s="1"/>
  <c r="AH102" i="8"/>
  <c r="BP121" i="8"/>
  <c r="BQ121" i="8" s="1"/>
  <c r="BR121" i="8" s="1"/>
  <c r="AO122" i="8"/>
  <c r="AP122" i="8" s="1"/>
  <c r="BA129" i="8"/>
  <c r="BA130" i="8"/>
  <c r="AX139" i="8"/>
  <c r="AY139" i="8" s="1"/>
  <c r="AZ139" i="8" s="1"/>
  <c r="BP142" i="8"/>
  <c r="BQ142" i="8" s="1"/>
  <c r="BR142" i="8" s="1"/>
  <c r="BA143" i="8"/>
  <c r="BP154" i="8"/>
  <c r="BQ154" i="8" s="1"/>
  <c r="BR154" i="8" s="1"/>
  <c r="BP166" i="8"/>
  <c r="BQ166" i="8" s="1"/>
  <c r="BR166" i="8" s="1"/>
  <c r="AX167" i="8"/>
  <c r="AY167" i="8" s="1"/>
  <c r="AZ167" i="8" s="1"/>
  <c r="BP175" i="8"/>
  <c r="BQ175" i="8" s="1"/>
  <c r="BR175" i="8" s="1"/>
  <c r="AO190" i="8"/>
  <c r="AP190" i="8" s="1"/>
  <c r="AH200" i="8"/>
  <c r="AQ218" i="8"/>
  <c r="X219" i="8"/>
  <c r="AQ224" i="8"/>
  <c r="AQ226" i="8"/>
  <c r="AQ42" i="8"/>
  <c r="AH44" i="8"/>
  <c r="AH51" i="8"/>
  <c r="AX58" i="8"/>
  <c r="AY58" i="8" s="1"/>
  <c r="AZ58" i="8" s="1"/>
  <c r="AF62" i="8"/>
  <c r="AG62" i="8" s="1"/>
  <c r="AH62" i="8"/>
  <c r="AX64" i="8"/>
  <c r="AY64" i="8" s="1"/>
  <c r="AZ64" i="8" s="1"/>
  <c r="AF65" i="8"/>
  <c r="AG65" i="8" s="1"/>
  <c r="AH65" i="8"/>
  <c r="X70" i="8"/>
  <c r="BA9" i="8"/>
  <c r="BP12" i="8"/>
  <c r="BQ12" i="8" s="1"/>
  <c r="BR12" i="8" s="1"/>
  <c r="AQ14" i="8"/>
  <c r="AH18" i="8"/>
  <c r="AH22" i="8"/>
  <c r="AO26" i="8"/>
  <c r="AP26" i="8" s="1"/>
  <c r="W56" i="8"/>
  <c r="AO77" i="8"/>
  <c r="AP77" i="8" s="1"/>
  <c r="AQ77" i="8"/>
  <c r="BP64" i="8"/>
  <c r="BQ64" i="8" s="1"/>
  <c r="BR64" i="8" s="1"/>
  <c r="AX73" i="8"/>
  <c r="AY73" i="8" s="1"/>
  <c r="AZ73" i="8" s="1"/>
  <c r="BA73" i="8"/>
  <c r="W75" i="8"/>
  <c r="AX89" i="8"/>
  <c r="AY89" i="8" s="1"/>
  <c r="AZ89" i="8" s="1"/>
  <c r="BA89" i="8"/>
  <c r="AO12" i="8"/>
  <c r="AP12" i="8" s="1"/>
  <c r="AO18" i="8"/>
  <c r="AP18" i="8" s="1"/>
  <c r="BP18" i="8"/>
  <c r="BQ18" i="8" s="1"/>
  <c r="BR18" i="8" s="1"/>
  <c r="AX23" i="8"/>
  <c r="AY23" i="8" s="1"/>
  <c r="AZ23" i="8" s="1"/>
  <c r="W24" i="8"/>
  <c r="BP28" i="8"/>
  <c r="BQ28" i="8" s="1"/>
  <c r="BR28" i="8" s="1"/>
  <c r="AX41" i="8"/>
  <c r="AY41" i="8" s="1"/>
  <c r="AZ41" i="8" s="1"/>
  <c r="AX46" i="8"/>
  <c r="AY46" i="8" s="1"/>
  <c r="AZ46" i="8" s="1"/>
  <c r="BA51" i="8"/>
  <c r="BP58" i="8"/>
  <c r="BQ58" i="8" s="1"/>
  <c r="BR58" i="8" s="1"/>
  <c r="AX65" i="8"/>
  <c r="AY65" i="8" s="1"/>
  <c r="AZ65" i="8" s="1"/>
  <c r="AQ43" i="8"/>
  <c r="AH56" i="8"/>
  <c r="AF88" i="8"/>
  <c r="AG88" i="8" s="1"/>
  <c r="AH88" i="8"/>
  <c r="BP14" i="8"/>
  <c r="BQ14" i="8" s="1"/>
  <c r="BR14" i="8" s="1"/>
  <c r="W20" i="8"/>
  <c r="W23" i="8"/>
  <c r="AF30" i="8"/>
  <c r="AG30" i="8" s="1"/>
  <c r="AX33" i="8"/>
  <c r="AY33" i="8" s="1"/>
  <c r="AZ33" i="8" s="1"/>
  <c r="BP35" i="8"/>
  <c r="BQ35" i="8" s="1"/>
  <c r="BR35" i="8" s="1"/>
  <c r="BA52" i="8"/>
  <c r="AO54" i="8"/>
  <c r="AP54" i="8" s="1"/>
  <c r="AQ66" i="8"/>
  <c r="AO66" i="8"/>
  <c r="AP66" i="8" s="1"/>
  <c r="AX71" i="8"/>
  <c r="AY71" i="8" s="1"/>
  <c r="AZ71" i="8" s="1"/>
  <c r="BA71" i="8"/>
  <c r="AO78" i="8"/>
  <c r="AP78" i="8" s="1"/>
  <c r="AQ78" i="8"/>
  <c r="AQ6" i="8"/>
  <c r="AX18" i="8"/>
  <c r="AY18" i="8" s="1"/>
  <c r="AZ18" i="8" s="1"/>
  <c r="AH20" i="8"/>
  <c r="BP26" i="8"/>
  <c r="BQ26" i="8" s="1"/>
  <c r="BR26" i="8" s="1"/>
  <c r="AQ28" i="8"/>
  <c r="BA32" i="8"/>
  <c r="BP41" i="8"/>
  <c r="BQ41" i="8" s="1"/>
  <c r="BR41" i="8" s="1"/>
  <c r="BP43" i="8"/>
  <c r="BQ43" i="8" s="1"/>
  <c r="BR43" i="8" s="1"/>
  <c r="AX54" i="8"/>
  <c r="AY54" i="8" s="1"/>
  <c r="AZ54" i="8" s="1"/>
  <c r="BA56" i="8"/>
  <c r="X65" i="8"/>
  <c r="AH69" i="8"/>
  <c r="BP70" i="8"/>
  <c r="BQ70" i="8" s="1"/>
  <c r="BR70" i="8" s="1"/>
  <c r="BA75" i="8"/>
  <c r="X76" i="8"/>
  <c r="AX84" i="8"/>
  <c r="AY84" i="8" s="1"/>
  <c r="AZ84" i="8" s="1"/>
  <c r="AQ86" i="8"/>
  <c r="AH90" i="8"/>
  <c r="AH94" i="8"/>
  <c r="AO98" i="8"/>
  <c r="AP98" i="8" s="1"/>
  <c r="AO99" i="8"/>
  <c r="AP99" i="8" s="1"/>
  <c r="AH100" i="8"/>
  <c r="AQ103" i="8"/>
  <c r="BA104" i="8"/>
  <c r="AX107" i="8"/>
  <c r="AY107" i="8" s="1"/>
  <c r="AZ107" i="8" s="1"/>
  <c r="AH109" i="8"/>
  <c r="AQ115" i="8"/>
  <c r="BP132" i="8"/>
  <c r="BQ132" i="8" s="1"/>
  <c r="BR132" i="8" s="1"/>
  <c r="BA136" i="8"/>
  <c r="AX136" i="8"/>
  <c r="AY136" i="8" s="1"/>
  <c r="AZ136" i="8" s="1"/>
  <c r="AO139" i="8"/>
  <c r="AP139" i="8" s="1"/>
  <c r="AH145" i="8"/>
  <c r="AF145" i="8"/>
  <c r="AG145" i="8" s="1"/>
  <c r="BP169" i="8"/>
  <c r="BQ169" i="8" s="1"/>
  <c r="BR169" i="8" s="1"/>
  <c r="W176" i="8"/>
  <c r="X176" i="8"/>
  <c r="AX221" i="8"/>
  <c r="AY221" i="8" s="1"/>
  <c r="AZ221" i="8" s="1"/>
  <c r="BA221" i="8"/>
  <c r="BA77" i="8"/>
  <c r="AQ79" i="8"/>
  <c r="AQ80" i="8"/>
  <c r="AO82" i="8"/>
  <c r="AP82" i="8" s="1"/>
  <c r="AH105" i="8"/>
  <c r="AQ110" i="8"/>
  <c r="AH111" i="8"/>
  <c r="AX113" i="8"/>
  <c r="AY113" i="8" s="1"/>
  <c r="AZ113" i="8" s="1"/>
  <c r="X114" i="8"/>
  <c r="AH117" i="8"/>
  <c r="AQ118" i="8"/>
  <c r="AH127" i="8"/>
  <c r="AO147" i="8"/>
  <c r="AP147" i="8" s="1"/>
  <c r="BP192" i="8"/>
  <c r="BQ192" i="8" s="1"/>
  <c r="BR192" i="8" s="1"/>
  <c r="W203" i="8"/>
  <c r="X203" i="8"/>
  <c r="BP203" i="8"/>
  <c r="BQ203" i="8" s="1"/>
  <c r="BR203" i="8" s="1"/>
  <c r="AX208" i="8"/>
  <c r="AY208" i="8" s="1"/>
  <c r="AZ208" i="8" s="1"/>
  <c r="BA208" i="8"/>
  <c r="AF216" i="8"/>
  <c r="AG216" i="8" s="1"/>
  <c r="AH216" i="8"/>
  <c r="BA243" i="8"/>
  <c r="AX243" i="8"/>
  <c r="AY243" i="8" s="1"/>
  <c r="AZ243" i="8" s="1"/>
  <c r="AQ140" i="8"/>
  <c r="AO140" i="8"/>
  <c r="AP140" i="8" s="1"/>
  <c r="AQ165" i="8"/>
  <c r="AO165" i="8"/>
  <c r="AP165" i="8" s="1"/>
  <c r="AF167" i="8"/>
  <c r="AG167" i="8" s="1"/>
  <c r="AH167" i="8"/>
  <c r="AF174" i="8"/>
  <c r="AG174" i="8" s="1"/>
  <c r="AH174" i="8"/>
  <c r="BA79" i="8"/>
  <c r="W84" i="8"/>
  <c r="AX90" i="8"/>
  <c r="AY90" i="8" s="1"/>
  <c r="AZ90" i="8" s="1"/>
  <c r="AQ111" i="8"/>
  <c r="X116" i="8"/>
  <c r="BP116" i="8"/>
  <c r="BQ116" i="8" s="1"/>
  <c r="BR116" i="8" s="1"/>
  <c r="AH119" i="8"/>
  <c r="AQ120" i="8"/>
  <c r="AH123" i="8"/>
  <c r="AH125" i="8"/>
  <c r="AQ133" i="8"/>
  <c r="AX137" i="8"/>
  <c r="AY137" i="8" s="1"/>
  <c r="AZ137" i="8" s="1"/>
  <c r="BP138" i="8"/>
  <c r="BQ138" i="8" s="1"/>
  <c r="BR138" i="8" s="1"/>
  <c r="AQ141" i="8"/>
  <c r="AO141" i="8"/>
  <c r="AP141" i="8" s="1"/>
  <c r="AF189" i="8"/>
  <c r="AG189" i="8" s="1"/>
  <c r="AH189" i="8"/>
  <c r="X144" i="8"/>
  <c r="W144" i="8"/>
  <c r="W152" i="8"/>
  <c r="AQ177" i="8"/>
  <c r="AO177" i="8"/>
  <c r="AP177" i="8" s="1"/>
  <c r="AF179" i="8"/>
  <c r="AG179" i="8" s="1"/>
  <c r="AH179" i="8"/>
  <c r="AH184" i="8"/>
  <c r="AF184" i="8"/>
  <c r="AG184" i="8" s="1"/>
  <c r="AQ76" i="8"/>
  <c r="W86" i="8"/>
  <c r="AQ104" i="8"/>
  <c r="AX111" i="8"/>
  <c r="AY111" i="8" s="1"/>
  <c r="AZ111" i="8" s="1"/>
  <c r="AH113" i="8"/>
  <c r="X118" i="8"/>
  <c r="BP118" i="8"/>
  <c r="BQ118" i="8" s="1"/>
  <c r="BR118" i="8" s="1"/>
  <c r="AQ132" i="8"/>
  <c r="AX133" i="8"/>
  <c r="AY133" i="8" s="1"/>
  <c r="AZ133" i="8" s="1"/>
  <c r="AH134" i="8"/>
  <c r="AH144" i="8"/>
  <c r="AF144" i="8"/>
  <c r="AG144" i="8" s="1"/>
  <c r="W147" i="8"/>
  <c r="AX166" i="8"/>
  <c r="AY166" i="8" s="1"/>
  <c r="AZ166" i="8" s="1"/>
  <c r="AO175" i="8"/>
  <c r="AP175" i="8" s="1"/>
  <c r="AQ175" i="8"/>
  <c r="AF180" i="8"/>
  <c r="AG180" i="8" s="1"/>
  <c r="AH180" i="8"/>
  <c r="X199" i="8"/>
  <c r="W199" i="8"/>
  <c r="AF229" i="8"/>
  <c r="AG229" i="8" s="1"/>
  <c r="AH229" i="8"/>
  <c r="AH137" i="8"/>
  <c r="AF137" i="8"/>
  <c r="AG137" i="8" s="1"/>
  <c r="AH139" i="8"/>
  <c r="AF139" i="8"/>
  <c r="AG139" i="8" s="1"/>
  <c r="AH181" i="8"/>
  <c r="AF181" i="8"/>
  <c r="AG181" i="8" s="1"/>
  <c r="AX196" i="8"/>
  <c r="AY196" i="8" s="1"/>
  <c r="AZ196" i="8" s="1"/>
  <c r="BA196" i="8"/>
  <c r="AO201" i="8"/>
  <c r="AP201" i="8" s="1"/>
  <c r="AQ201" i="8"/>
  <c r="BA210" i="8"/>
  <c r="AX210" i="8"/>
  <c r="AY210" i="8" s="1"/>
  <c r="AZ210" i="8" s="1"/>
  <c r="AH92" i="8"/>
  <c r="BP103" i="8"/>
  <c r="BQ103" i="8" s="1"/>
  <c r="BR103" i="8" s="1"/>
  <c r="BP105" i="8"/>
  <c r="BQ105" i="8" s="1"/>
  <c r="BR105" i="8" s="1"/>
  <c r="BP112" i="8"/>
  <c r="BQ112" i="8" s="1"/>
  <c r="BR112" i="8" s="1"/>
  <c r="AQ113" i="8"/>
  <c r="BP120" i="8"/>
  <c r="BQ120" i="8" s="1"/>
  <c r="BR120" i="8" s="1"/>
  <c r="AH128" i="8"/>
  <c r="AO134" i="8"/>
  <c r="AP134" i="8" s="1"/>
  <c r="X135" i="8"/>
  <c r="BP135" i="8"/>
  <c r="BQ135" i="8" s="1"/>
  <c r="BR135" i="8" s="1"/>
  <c r="AH149" i="8"/>
  <c r="AF149" i="8"/>
  <c r="AG149" i="8" s="1"/>
  <c r="AH222" i="8"/>
  <c r="AF222" i="8"/>
  <c r="AG222" i="8" s="1"/>
  <c r="BA145" i="8"/>
  <c r="BP155" i="8"/>
  <c r="BQ155" i="8" s="1"/>
  <c r="BR155" i="8" s="1"/>
  <c r="AH160" i="8"/>
  <c r="BP171" i="8"/>
  <c r="BQ171" i="8" s="1"/>
  <c r="BR171" i="8" s="1"/>
  <c r="AX176" i="8"/>
  <c r="AY176" i="8" s="1"/>
  <c r="AZ176" i="8" s="1"/>
  <c r="AX186" i="8"/>
  <c r="AY186" i="8" s="1"/>
  <c r="AZ186" i="8" s="1"/>
  <c r="AO191" i="8"/>
  <c r="AP191" i="8" s="1"/>
  <c r="AH192" i="8"/>
  <c r="AO195" i="8"/>
  <c r="AP195" i="8" s="1"/>
  <c r="AX200" i="8"/>
  <c r="AY200" i="8" s="1"/>
  <c r="AZ200" i="8" s="1"/>
  <c r="BP213" i="8"/>
  <c r="BQ213" i="8" s="1"/>
  <c r="BR213" i="8" s="1"/>
  <c r="AH217" i="8"/>
  <c r="AF217" i="8"/>
  <c r="AG217" i="8" s="1"/>
  <c r="BP218" i="8"/>
  <c r="BQ218" i="8" s="1"/>
  <c r="BR218" i="8" s="1"/>
  <c r="BP172" i="8"/>
  <c r="BQ172" i="8" s="1"/>
  <c r="BR172" i="8" s="1"/>
  <c r="BP174" i="8"/>
  <c r="BQ174" i="8" s="1"/>
  <c r="BR174" i="8" s="1"/>
  <c r="AX177" i="8"/>
  <c r="AY177" i="8" s="1"/>
  <c r="AZ177" i="8" s="1"/>
  <c r="BP193" i="8"/>
  <c r="BQ193" i="8" s="1"/>
  <c r="BR193" i="8" s="1"/>
  <c r="X200" i="8"/>
  <c r="X215" i="8"/>
  <c r="AQ206" i="8"/>
  <c r="AO206" i="8"/>
  <c r="AP206" i="8" s="1"/>
  <c r="W224" i="8"/>
  <c r="X224" i="8"/>
  <c r="BP228" i="8"/>
  <c r="BQ228" i="8" s="1"/>
  <c r="BR228" i="8" s="1"/>
  <c r="AX217" i="8"/>
  <c r="AY217" i="8" s="1"/>
  <c r="AZ217" i="8" s="1"/>
  <c r="BA217" i="8"/>
  <c r="BA230" i="8"/>
  <c r="AX230" i="8"/>
  <c r="AY230" i="8" s="1"/>
  <c r="AZ230" i="8" s="1"/>
  <c r="BP232" i="8"/>
  <c r="BQ232" i="8" s="1"/>
  <c r="BR232" i="8" s="1"/>
  <c r="X244" i="8"/>
  <c r="W244" i="8"/>
  <c r="AO152" i="8"/>
  <c r="AP152" i="8" s="1"/>
  <c r="AO157" i="8"/>
  <c r="AP157" i="8" s="1"/>
  <c r="BP161" i="8"/>
  <c r="BQ161" i="8" s="1"/>
  <c r="BR161" i="8" s="1"/>
  <c r="AQ162" i="8"/>
  <c r="AX169" i="8"/>
  <c r="AY169" i="8" s="1"/>
  <c r="AZ169" i="8" s="1"/>
  <c r="AH172" i="8"/>
  <c r="X188" i="8"/>
  <c r="AH190" i="8"/>
  <c r="AO193" i="8"/>
  <c r="AP193" i="8" s="1"/>
  <c r="AH194" i="8"/>
  <c r="W204" i="8"/>
  <c r="X204" i="8"/>
  <c r="BA212" i="8"/>
  <c r="AX212" i="8"/>
  <c r="AY212" i="8" s="1"/>
  <c r="AZ212" i="8" s="1"/>
  <c r="BA223" i="8"/>
  <c r="AX223" i="8"/>
  <c r="AY223" i="8" s="1"/>
  <c r="AZ223" i="8" s="1"/>
  <c r="AX171" i="8"/>
  <c r="AY171" i="8" s="1"/>
  <c r="AZ171" i="8" s="1"/>
  <c r="BP184" i="8"/>
  <c r="BQ184" i="8" s="1"/>
  <c r="BR184" i="8" s="1"/>
  <c r="X189" i="8"/>
  <c r="BP191" i="8"/>
  <c r="BQ191" i="8" s="1"/>
  <c r="BR191" i="8" s="1"/>
  <c r="AH201" i="8"/>
  <c r="BA203" i="8"/>
  <c r="AX203" i="8"/>
  <c r="AY203" i="8" s="1"/>
  <c r="AZ203" i="8" s="1"/>
  <c r="W222" i="8"/>
  <c r="X222" i="8"/>
  <c r="X228" i="8"/>
  <c r="W228" i="8"/>
  <c r="AF232" i="8"/>
  <c r="AG232" i="8" s="1"/>
  <c r="AH232" i="8"/>
  <c r="BP242" i="8"/>
  <c r="BQ242" i="8" s="1"/>
  <c r="BR242" i="8" s="1"/>
  <c r="BP215" i="8"/>
  <c r="BQ215" i="8" s="1"/>
  <c r="BR215" i="8" s="1"/>
  <c r="AH242" i="8"/>
  <c r="X243" i="8"/>
  <c r="AX240" i="8"/>
  <c r="AY240" i="8" s="1"/>
  <c r="AZ240" i="8" s="1"/>
  <c r="AO242" i="8"/>
  <c r="AP242" i="8" s="1"/>
  <c r="AX246" i="8"/>
  <c r="AY246" i="8" s="1"/>
  <c r="AZ246" i="8" s="1"/>
  <c r="BA229" i="8"/>
  <c r="AQ228" i="8"/>
  <c r="AH234" i="8"/>
  <c r="AH50" i="8"/>
  <c r="AF50" i="8"/>
  <c r="AG50" i="8" s="1"/>
  <c r="BP56" i="8"/>
  <c r="BQ56" i="8" s="1"/>
  <c r="BR56" i="8" s="1"/>
  <c r="AX6" i="8"/>
  <c r="AY6" i="8" s="1"/>
  <c r="AZ6" i="8" s="1"/>
  <c r="AX8" i="8"/>
  <c r="AY8" i="8" s="1"/>
  <c r="AZ8" i="8" s="1"/>
  <c r="AO9" i="8"/>
  <c r="AP9" i="8" s="1"/>
  <c r="W10" i="8"/>
  <c r="W13" i="8"/>
  <c r="AX14" i="8"/>
  <c r="AY14" i="8" s="1"/>
  <c r="AZ14" i="8" s="1"/>
  <c r="BP15" i="8"/>
  <c r="W16" i="8"/>
  <c r="W18" i="8"/>
  <c r="AX19" i="8"/>
  <c r="AY19" i="8" s="1"/>
  <c r="AZ19" i="8" s="1"/>
  <c r="AO20" i="8"/>
  <c r="AP20" i="8" s="1"/>
  <c r="AX21" i="8"/>
  <c r="AY21" i="8" s="1"/>
  <c r="AZ21" i="8" s="1"/>
  <c r="AO22" i="8"/>
  <c r="AP22" i="8" s="1"/>
  <c r="BP24" i="8"/>
  <c r="BQ24" i="8" s="1"/>
  <c r="BR24" i="8" s="1"/>
  <c r="W27" i="8"/>
  <c r="AX28" i="8"/>
  <c r="AY28" i="8" s="1"/>
  <c r="AZ28" i="8" s="1"/>
  <c r="BP36" i="8"/>
  <c r="BQ36" i="8" s="1"/>
  <c r="BR36" i="8" s="1"/>
  <c r="AH46" i="8"/>
  <c r="AF46" i="8"/>
  <c r="AG46" i="8" s="1"/>
  <c r="BR15" i="8"/>
  <c r="AH33" i="8"/>
  <c r="AF33" i="8"/>
  <c r="AG33" i="8" s="1"/>
  <c r="AX43" i="8"/>
  <c r="AY43" i="8" s="1"/>
  <c r="AZ43" i="8" s="1"/>
  <c r="X52" i="8"/>
  <c r="W52" i="8"/>
  <c r="W6" i="8"/>
  <c r="W14" i="8"/>
  <c r="AO23" i="8"/>
  <c r="AP23" i="8" s="1"/>
  <c r="W28" i="8"/>
  <c r="X38" i="8"/>
  <c r="AX39" i="8"/>
  <c r="AY39" i="8" s="1"/>
  <c r="AZ39" i="8" s="1"/>
  <c r="BA42" i="8"/>
  <c r="AX42" i="8"/>
  <c r="W44" i="8"/>
  <c r="BP46" i="8"/>
  <c r="BQ46" i="8" s="1"/>
  <c r="BR46" i="8" s="1"/>
  <c r="AX15" i="8"/>
  <c r="X35" i="8"/>
  <c r="BA35" i="8"/>
  <c r="AX35" i="8"/>
  <c r="AY35" i="8" s="1"/>
  <c r="AZ35" i="8" s="1"/>
  <c r="AO36" i="8"/>
  <c r="AP36" i="8" s="1"/>
  <c r="AX40" i="8"/>
  <c r="AY40" i="8" s="1"/>
  <c r="AZ40" i="8" s="1"/>
  <c r="BR42" i="8"/>
  <c r="BP42" i="8"/>
  <c r="AH49" i="8"/>
  <c r="AF49" i="8"/>
  <c r="AG49" i="8" s="1"/>
  <c r="AH66" i="8"/>
  <c r="AF66" i="8"/>
  <c r="AG66" i="8" s="1"/>
  <c r="BP44" i="8"/>
  <c r="BQ44" i="8" s="1"/>
  <c r="BR44" i="8" s="1"/>
  <c r="AH41" i="8"/>
  <c r="AF41" i="8"/>
  <c r="AG41" i="8" s="1"/>
  <c r="BR51" i="8"/>
  <c r="BP51" i="8"/>
  <c r="AX61" i="8"/>
  <c r="AY61" i="8" s="1"/>
  <c r="AZ61" i="8" s="1"/>
  <c r="X69" i="8"/>
  <c r="W69" i="8"/>
  <c r="BP65" i="8"/>
  <c r="BQ65" i="8" s="1"/>
  <c r="BR65" i="8" s="1"/>
  <c r="W48" i="8"/>
  <c r="AX49" i="8"/>
  <c r="AX50" i="8"/>
  <c r="AO51" i="8"/>
  <c r="AP51" i="8" s="1"/>
  <c r="AO52" i="8"/>
  <c r="AP52" i="8" s="1"/>
  <c r="AO56" i="8"/>
  <c r="AP56" i="8" s="1"/>
  <c r="X58" i="8"/>
  <c r="AX60" i="8"/>
  <c r="AY60" i="8" s="1"/>
  <c r="AZ60" i="8" s="1"/>
  <c r="BP61" i="8"/>
  <c r="BQ61" i="8" s="1"/>
  <c r="BR61" i="8" s="1"/>
  <c r="AQ64" i="8"/>
  <c r="AO64" i="8"/>
  <c r="AP64" i="8" s="1"/>
  <c r="BA55" i="8"/>
  <c r="AX55" i="8"/>
  <c r="AY55" i="8" s="1"/>
  <c r="AZ55" i="8" s="1"/>
  <c r="AX59" i="8"/>
  <c r="AY59" i="8" s="1"/>
  <c r="AZ59" i="8" s="1"/>
  <c r="BA59" i="8"/>
  <c r="AQ57" i="8"/>
  <c r="AO57" i="8"/>
  <c r="AP57" i="8" s="1"/>
  <c r="W59" i="8"/>
  <c r="BP49" i="8"/>
  <c r="BP50" i="8"/>
  <c r="BP59" i="8"/>
  <c r="BQ59" i="8" s="1"/>
  <c r="BR59" i="8" s="1"/>
  <c r="X62" i="8"/>
  <c r="AH68" i="8"/>
  <c r="AF68" i="8"/>
  <c r="AG68" i="8" s="1"/>
  <c r="BP55" i="8"/>
  <c r="BQ55" i="8" s="1"/>
  <c r="BR55" i="8" s="1"/>
  <c r="BP74" i="8"/>
  <c r="BQ74" i="8" s="1"/>
  <c r="BR74" i="8" s="1"/>
  <c r="AH75" i="8"/>
  <c r="BP76" i="8"/>
  <c r="BQ76" i="8" s="1"/>
  <c r="BR76" i="8" s="1"/>
  <c r="AH77" i="8"/>
  <c r="BP78" i="8"/>
  <c r="BQ78" i="8" s="1"/>
  <c r="BR78" i="8" s="1"/>
  <c r="AH79" i="8"/>
  <c r="W81" i="8"/>
  <c r="AX82" i="8"/>
  <c r="AY82" i="8" s="1"/>
  <c r="AZ82" i="8" s="1"/>
  <c r="W83" i="8"/>
  <c r="BA83" i="8"/>
  <c r="W85" i="8"/>
  <c r="AO87" i="8"/>
  <c r="AP87" i="8" s="1"/>
  <c r="AX88" i="8"/>
  <c r="AY88" i="8" s="1"/>
  <c r="AZ88" i="8" s="1"/>
  <c r="AO89" i="8"/>
  <c r="AP89" i="8" s="1"/>
  <c r="BP91" i="8"/>
  <c r="BQ91" i="8" s="1"/>
  <c r="BR91" i="8" s="1"/>
  <c r="AO93" i="8"/>
  <c r="AP93" i="8" s="1"/>
  <c r="W96" i="8"/>
  <c r="AO97" i="8"/>
  <c r="AP97" i="8" s="1"/>
  <c r="BP98" i="8"/>
  <c r="BQ98" i="8" s="1"/>
  <c r="BR98" i="8" s="1"/>
  <c r="BA102" i="8"/>
  <c r="AH135" i="8"/>
  <c r="AF135" i="8"/>
  <c r="AG135" i="8" s="1"/>
  <c r="AQ150" i="8"/>
  <c r="AO150" i="8"/>
  <c r="AP150" i="8" s="1"/>
  <c r="W71" i="8"/>
  <c r="W73" i="8"/>
  <c r="AX74" i="8"/>
  <c r="AY74" i="8" s="1"/>
  <c r="AZ74" i="8" s="1"/>
  <c r="AX76" i="8"/>
  <c r="AY76" i="8" s="1"/>
  <c r="AZ76" i="8" s="1"/>
  <c r="AX78" i="8"/>
  <c r="AY78" i="8" s="1"/>
  <c r="AZ78" i="8" s="1"/>
  <c r="AX80" i="8"/>
  <c r="AY80" i="8" s="1"/>
  <c r="AZ80" i="8" s="1"/>
  <c r="BP81" i="8"/>
  <c r="BQ81" i="8" s="1"/>
  <c r="BR81" i="8" s="1"/>
  <c r="BP87" i="8"/>
  <c r="BQ87" i="8" s="1"/>
  <c r="BR87" i="8" s="1"/>
  <c r="W90" i="8"/>
  <c r="AX91" i="8"/>
  <c r="AY91" i="8" s="1"/>
  <c r="AZ91" i="8" s="1"/>
  <c r="AX95" i="8"/>
  <c r="AY95" i="8" s="1"/>
  <c r="AZ95" i="8" s="1"/>
  <c r="BP96" i="8"/>
  <c r="BQ96" i="8" s="1"/>
  <c r="BR96" i="8" s="1"/>
  <c r="X109" i="8"/>
  <c r="W109" i="8"/>
  <c r="W113" i="8"/>
  <c r="AQ119" i="8"/>
  <c r="AO119" i="8"/>
  <c r="AP119" i="8" s="1"/>
  <c r="AX120" i="8"/>
  <c r="AY120" i="8" s="1"/>
  <c r="AZ120" i="8" s="1"/>
  <c r="AQ123" i="8"/>
  <c r="AO123" i="8"/>
  <c r="AP123" i="8" s="1"/>
  <c r="AQ125" i="8"/>
  <c r="AO125" i="8"/>
  <c r="AP125" i="8" s="1"/>
  <c r="W60" i="8"/>
  <c r="AO62" i="8"/>
  <c r="AP62" i="8" s="1"/>
  <c r="AO65" i="8"/>
  <c r="AP65" i="8" s="1"/>
  <c r="AX66" i="8"/>
  <c r="AY66" i="8" s="1"/>
  <c r="AZ66" i="8" s="1"/>
  <c r="AO67" i="8"/>
  <c r="AP67" i="8" s="1"/>
  <c r="AX68" i="8"/>
  <c r="AY68" i="8" s="1"/>
  <c r="AZ68" i="8" s="1"/>
  <c r="AO69" i="8"/>
  <c r="AP69" i="8" s="1"/>
  <c r="AX70" i="8"/>
  <c r="AY70" i="8" s="1"/>
  <c r="AZ70" i="8" s="1"/>
  <c r="AO71" i="8"/>
  <c r="AP71" i="8" s="1"/>
  <c r="AX72" i="8"/>
  <c r="AY72" i="8" s="1"/>
  <c r="AZ72" i="8" s="1"/>
  <c r="AO73" i="8"/>
  <c r="AP73" i="8" s="1"/>
  <c r="BP83" i="8"/>
  <c r="BQ83" i="8" s="1"/>
  <c r="BR83" i="8" s="1"/>
  <c r="BP85" i="8"/>
  <c r="BQ85" i="8" s="1"/>
  <c r="BR85" i="8" s="1"/>
  <c r="W88" i="8"/>
  <c r="AO90" i="8"/>
  <c r="AP90" i="8" s="1"/>
  <c r="AO92" i="8"/>
  <c r="AP92" i="8" s="1"/>
  <c r="AO94" i="8"/>
  <c r="AP94" i="8" s="1"/>
  <c r="AX98" i="8"/>
  <c r="AY98" i="8" s="1"/>
  <c r="AZ98" i="8" s="1"/>
  <c r="BP99" i="8"/>
  <c r="BQ99" i="8" s="1"/>
  <c r="BR99" i="8" s="1"/>
  <c r="BP100" i="8"/>
  <c r="BQ100" i="8" s="1"/>
  <c r="BR100" i="8" s="1"/>
  <c r="BP101" i="8"/>
  <c r="BQ101" i="8" s="1"/>
  <c r="BR101" i="8" s="1"/>
  <c r="BP102" i="8"/>
  <c r="BQ102" i="8" s="1"/>
  <c r="BR102" i="8" s="1"/>
  <c r="AH104" i="8"/>
  <c r="AO105" i="8"/>
  <c r="AP105" i="8" s="1"/>
  <c r="AH110" i="8"/>
  <c r="AF110" i="8"/>
  <c r="AG110" i="8" s="1"/>
  <c r="BP110" i="8"/>
  <c r="BQ110" i="8" s="1"/>
  <c r="BR110" i="8" s="1"/>
  <c r="AH114" i="8"/>
  <c r="AF114" i="8"/>
  <c r="AG114" i="8" s="1"/>
  <c r="BP114" i="8"/>
  <c r="BQ114" i="8" s="1"/>
  <c r="BR114" i="8" s="1"/>
  <c r="AH140" i="8"/>
  <c r="AF140" i="8"/>
  <c r="AG140" i="8" s="1"/>
  <c r="AX147" i="8"/>
  <c r="AY147" i="8" s="1"/>
  <c r="AZ147" i="8" s="1"/>
  <c r="BA132" i="8"/>
  <c r="AX132" i="8"/>
  <c r="AY132" i="8" s="1"/>
  <c r="AZ132" i="8" s="1"/>
  <c r="AH103" i="8"/>
  <c r="AQ121" i="8"/>
  <c r="AO121" i="8"/>
  <c r="AP121" i="8" s="1"/>
  <c r="BP129" i="8"/>
  <c r="BQ129" i="8" s="1"/>
  <c r="BR129" i="8" s="1"/>
  <c r="AH131" i="8"/>
  <c r="AF131" i="8"/>
  <c r="AG131" i="8" s="1"/>
  <c r="AO138" i="8"/>
  <c r="AP138" i="8" s="1"/>
  <c r="X141" i="8"/>
  <c r="W141" i="8"/>
  <c r="AH142" i="8"/>
  <c r="AF142" i="8"/>
  <c r="AG142" i="8" s="1"/>
  <c r="X107" i="8"/>
  <c r="W107" i="8"/>
  <c r="X111" i="8"/>
  <c r="W111" i="8"/>
  <c r="X115" i="8"/>
  <c r="W115" i="8"/>
  <c r="AQ117" i="8"/>
  <c r="AO117" i="8"/>
  <c r="AP117" i="8" s="1"/>
  <c r="AQ128" i="8"/>
  <c r="AO128" i="8"/>
  <c r="AP128" i="8" s="1"/>
  <c r="AX151" i="8"/>
  <c r="AY151" i="8" s="1"/>
  <c r="AZ151" i="8" s="1"/>
  <c r="BA151" i="8"/>
  <c r="AH108" i="8"/>
  <c r="AF108" i="8"/>
  <c r="AG108" i="8" s="1"/>
  <c r="AH112" i="8"/>
  <c r="AF112" i="8"/>
  <c r="AG112" i="8" s="1"/>
  <c r="AH116" i="8"/>
  <c r="AF116" i="8"/>
  <c r="AG116" i="8" s="1"/>
  <c r="BA118" i="8"/>
  <c r="AX118" i="8"/>
  <c r="AY118" i="8" s="1"/>
  <c r="AZ118" i="8" s="1"/>
  <c r="BA122" i="8"/>
  <c r="AX122" i="8"/>
  <c r="AY122" i="8" s="1"/>
  <c r="AZ122" i="8" s="1"/>
  <c r="BA124" i="8"/>
  <c r="AX124" i="8"/>
  <c r="AY124" i="8" s="1"/>
  <c r="AZ124" i="8" s="1"/>
  <c r="AQ143" i="8"/>
  <c r="AO143" i="8"/>
  <c r="AP143" i="8" s="1"/>
  <c r="BA140" i="8"/>
  <c r="AX140" i="8"/>
  <c r="AY140" i="8" s="1"/>
  <c r="AZ140" i="8" s="1"/>
  <c r="AQ151" i="8"/>
  <c r="AO151" i="8"/>
  <c r="AP151" i="8" s="1"/>
  <c r="AQ136" i="8"/>
  <c r="AX108" i="8"/>
  <c r="AY108" i="8" s="1"/>
  <c r="AZ108" i="8" s="1"/>
  <c r="AX110" i="8"/>
  <c r="AY110" i="8" s="1"/>
  <c r="AZ110" i="8" s="1"/>
  <c r="AX112" i="8"/>
  <c r="AY112" i="8" s="1"/>
  <c r="AZ112" i="8" s="1"/>
  <c r="AX114" i="8"/>
  <c r="AY114" i="8" s="1"/>
  <c r="AZ114" i="8" s="1"/>
  <c r="AX116" i="8"/>
  <c r="AY116" i="8" s="1"/>
  <c r="AZ116" i="8" s="1"/>
  <c r="AO127" i="8"/>
  <c r="AP127" i="8" s="1"/>
  <c r="BP128" i="8"/>
  <c r="BQ128" i="8" s="1"/>
  <c r="BR128" i="8" s="1"/>
  <c r="AX131" i="8"/>
  <c r="AY131" i="8" s="1"/>
  <c r="AZ131" i="8" s="1"/>
  <c r="AX135" i="8"/>
  <c r="AY135" i="8" s="1"/>
  <c r="AZ135" i="8" s="1"/>
  <c r="BP140" i="8"/>
  <c r="BQ140" i="8" s="1"/>
  <c r="BR140" i="8" s="1"/>
  <c r="AQ144" i="8"/>
  <c r="AO144" i="8"/>
  <c r="AP144" i="8" s="1"/>
  <c r="BA150" i="8"/>
  <c r="AQ149" i="8"/>
  <c r="AO149" i="8"/>
  <c r="AP149" i="8" s="1"/>
  <c r="BA141" i="8"/>
  <c r="AX144" i="8"/>
  <c r="AY144" i="8" s="1"/>
  <c r="AZ144" i="8" s="1"/>
  <c r="AO145" i="8"/>
  <c r="AP145" i="8" s="1"/>
  <c r="AQ142" i="8"/>
  <c r="AQ146" i="8"/>
  <c r="AO146" i="8"/>
  <c r="AP146" i="8" s="1"/>
  <c r="BA149" i="8"/>
  <c r="AX154" i="8"/>
  <c r="AY154" i="8" s="1"/>
  <c r="AZ154" i="8" s="1"/>
  <c r="AX155" i="8"/>
  <c r="AY155" i="8" s="1"/>
  <c r="AZ155" i="8" s="1"/>
  <c r="AX157" i="8"/>
  <c r="AY157" i="8" s="1"/>
  <c r="AZ157" i="8" s="1"/>
  <c r="AO158" i="8"/>
  <c r="AP158" i="8" s="1"/>
  <c r="AX161" i="8"/>
  <c r="AY161" i="8" s="1"/>
  <c r="AZ161" i="8" s="1"/>
  <c r="AX163" i="8"/>
  <c r="AY163" i="8" s="1"/>
  <c r="AZ163" i="8" s="1"/>
  <c r="AO166" i="8"/>
  <c r="AP166" i="8" s="1"/>
  <c r="BP167" i="8"/>
  <c r="BQ167" i="8" s="1"/>
  <c r="BR167" i="8" s="1"/>
  <c r="BA182" i="8"/>
  <c r="AX182" i="8"/>
  <c r="AY182" i="8" s="1"/>
  <c r="AZ182" i="8" s="1"/>
  <c r="AO160" i="8"/>
  <c r="AP160" i="8" s="1"/>
  <c r="BP160" i="8"/>
  <c r="BQ160" i="8" s="1"/>
  <c r="BR160" i="8" s="1"/>
  <c r="AX159" i="8"/>
  <c r="AY159" i="8" s="1"/>
  <c r="AZ159" i="8" s="1"/>
  <c r="AH175" i="8"/>
  <c r="AO161" i="8"/>
  <c r="AP161" i="8" s="1"/>
  <c r="AO163" i="8"/>
  <c r="AP163" i="8" s="1"/>
  <c r="AH171" i="8"/>
  <c r="AF171" i="8"/>
  <c r="AG171" i="8" s="1"/>
  <c r="BP183" i="8"/>
  <c r="BQ183" i="8" s="1"/>
  <c r="BR183" i="8" s="1"/>
  <c r="BA175" i="8"/>
  <c r="AX172" i="8"/>
  <c r="AY172" i="8" s="1"/>
  <c r="AZ172" i="8" s="1"/>
  <c r="AO183" i="8"/>
  <c r="AP183" i="8" s="1"/>
  <c r="AX183" i="8"/>
  <c r="AY183" i="8" s="1"/>
  <c r="AZ183" i="8" s="1"/>
  <c r="AO182" i="8"/>
  <c r="AP182" i="8" s="1"/>
  <c r="AQ184" i="8"/>
  <c r="X186" i="8"/>
  <c r="BP186" i="8"/>
  <c r="BQ186" i="8" s="1"/>
  <c r="BR186" i="8" s="1"/>
  <c r="AQ187" i="8"/>
  <c r="AQ188" i="8"/>
  <c r="BP188" i="8"/>
  <c r="BQ188" i="8" s="1"/>
  <c r="BR188" i="8" s="1"/>
  <c r="AQ189" i="8"/>
  <c r="BA190" i="8"/>
  <c r="BA191" i="8"/>
  <c r="BA192" i="8"/>
  <c r="BA193" i="8"/>
  <c r="BA194" i="8"/>
  <c r="AO196" i="8"/>
  <c r="AP196" i="8" s="1"/>
  <c r="X201" i="8"/>
  <c r="AX187" i="8"/>
  <c r="AY187" i="8" s="1"/>
  <c r="AZ187" i="8" s="1"/>
  <c r="AX188" i="8"/>
  <c r="AY188" i="8" s="1"/>
  <c r="AZ188" i="8" s="1"/>
  <c r="AX189" i="8"/>
  <c r="AY189" i="8" s="1"/>
  <c r="AZ189" i="8" s="1"/>
  <c r="BA199" i="8"/>
  <c r="AO198" i="8"/>
  <c r="AP198" i="8" s="1"/>
  <c r="BP200" i="8"/>
  <c r="BQ200" i="8" s="1"/>
  <c r="BR200" i="8" s="1"/>
  <c r="BP201" i="8"/>
  <c r="BQ201" i="8" s="1"/>
  <c r="BR201" i="8" s="1"/>
  <c r="AO197" i="8"/>
  <c r="AP197" i="8" s="1"/>
  <c r="AQ199" i="8"/>
  <c r="AO199" i="8"/>
  <c r="AP199" i="8" s="1"/>
  <c r="AX204" i="8"/>
  <c r="AY204" i="8" s="1"/>
  <c r="AZ204" i="8" s="1"/>
  <c r="X205" i="8"/>
  <c r="BP205" i="8"/>
  <c r="BQ205" i="8" s="1"/>
  <c r="BR205" i="8" s="1"/>
  <c r="AQ210" i="8"/>
  <c r="BP210" i="8"/>
  <c r="BQ210" i="8" s="1"/>
  <c r="BR210" i="8" s="1"/>
  <c r="AO213" i="8"/>
  <c r="AP213" i="8" s="1"/>
  <c r="AX214" i="8"/>
  <c r="AY214" i="8" s="1"/>
  <c r="AZ214" i="8" s="1"/>
  <c r="AO215" i="8"/>
  <c r="AP215" i="8" s="1"/>
  <c r="AX216" i="8"/>
  <c r="AY216" i="8" s="1"/>
  <c r="AZ216" i="8" s="1"/>
  <c r="AQ219" i="8"/>
  <c r="AQ221" i="8"/>
  <c r="BP221" i="8"/>
  <c r="BQ221" i="8" s="1"/>
  <c r="BR221" i="8" s="1"/>
  <c r="AQ223" i="8"/>
  <c r="BP223" i="8"/>
  <c r="BQ223" i="8" s="1"/>
  <c r="BR223" i="8" s="1"/>
  <c r="BA226" i="8"/>
  <c r="AX226" i="8"/>
  <c r="AY226" i="8" s="1"/>
  <c r="AZ226" i="8" s="1"/>
  <c r="BA206" i="8"/>
  <c r="AH209" i="8"/>
  <c r="BA211" i="8"/>
  <c r="BP217" i="8"/>
  <c r="BQ217" i="8" s="1"/>
  <c r="BR217" i="8" s="1"/>
  <c r="AH218" i="8"/>
  <c r="BA220" i="8"/>
  <c r="BA222" i="8"/>
  <c r="BA224" i="8"/>
  <c r="AX205" i="8"/>
  <c r="AY205" i="8" s="1"/>
  <c r="AZ205" i="8" s="1"/>
  <c r="BP206" i="8"/>
  <c r="BQ206" i="8" s="1"/>
  <c r="BR206" i="8" s="1"/>
  <c r="BP211" i="8"/>
  <c r="BQ211" i="8" s="1"/>
  <c r="BR211" i="8" s="1"/>
  <c r="AO204" i="8"/>
  <c r="AP204" i="8" s="1"/>
  <c r="AX213" i="8"/>
  <c r="AY213" i="8" s="1"/>
  <c r="AZ213" i="8" s="1"/>
  <c r="AO214" i="8"/>
  <c r="AP214" i="8" s="1"/>
  <c r="AX215" i="8"/>
  <c r="AY215" i="8" s="1"/>
  <c r="AZ215" i="8" s="1"/>
  <c r="AO216" i="8"/>
  <c r="AP216" i="8" s="1"/>
  <c r="AQ227" i="8"/>
  <c r="AO227" i="8"/>
  <c r="AP227" i="8" s="1"/>
  <c r="BA228" i="8"/>
  <c r="AX228" i="8"/>
  <c r="AY228" i="8" s="1"/>
  <c r="AZ228" i="8" s="1"/>
  <c r="X229" i="8"/>
  <c r="W229" i="8"/>
  <c r="BP231" i="8"/>
  <c r="BQ231" i="8" s="1"/>
  <c r="BR231" i="8" s="1"/>
  <c r="BP233" i="8"/>
  <c r="BQ233" i="8" s="1"/>
  <c r="BR233" i="8" s="1"/>
  <c r="BP238" i="8"/>
  <c r="BQ238" i="8" s="1"/>
  <c r="BR238" i="8" s="1"/>
  <c r="BP239" i="8"/>
  <c r="BQ239" i="8" s="1"/>
  <c r="BR239" i="8" s="1"/>
  <c r="BP241" i="8"/>
  <c r="BQ241" i="8" s="1"/>
  <c r="BR241" i="8" s="1"/>
  <c r="BP243" i="8"/>
  <c r="BQ243" i="8" s="1"/>
  <c r="BR243" i="8" s="1"/>
  <c r="BP244" i="8"/>
  <c r="BQ244" i="8" s="1"/>
  <c r="BR244" i="8" s="1"/>
  <c r="AX231" i="8"/>
  <c r="AY231" i="8" s="1"/>
  <c r="AZ231" i="8" s="1"/>
  <c r="AO232" i="8"/>
  <c r="AP232" i="8" s="1"/>
  <c r="AX233" i="8"/>
  <c r="AY233" i="8" s="1"/>
  <c r="AZ233" i="8" s="1"/>
  <c r="AO234" i="8"/>
  <c r="AP234" i="8" s="1"/>
  <c r="BP236" i="8"/>
  <c r="BQ236" i="8" s="1"/>
  <c r="BR236" i="8" s="1"/>
  <c r="AX239" i="8"/>
  <c r="AY239" i="8" s="1"/>
  <c r="AZ239" i="8" s="1"/>
  <c r="AO240" i="8"/>
  <c r="AP240" i="8" s="1"/>
  <c r="AX241" i="8"/>
  <c r="AY241" i="8" s="1"/>
  <c r="AZ241" i="8" s="1"/>
  <c r="AO229" i="8"/>
  <c r="AP229" i="8" s="1"/>
  <c r="AO230" i="8"/>
  <c r="AP230" i="8" s="1"/>
  <c r="BP234" i="8"/>
  <c r="BQ234" i="8" s="1"/>
  <c r="BR234" i="8" s="1"/>
  <c r="BP235" i="8"/>
  <c r="BQ235" i="8" s="1"/>
  <c r="BR235" i="8" s="1"/>
  <c r="AX238" i="8"/>
  <c r="AY238" i="8" s="1"/>
  <c r="AZ238" i="8" s="1"/>
  <c r="W246" i="8"/>
  <c r="AV560" i="7"/>
  <c r="AV167" i="7"/>
  <c r="AV555" i="7"/>
  <c r="AS634" i="7"/>
  <c r="AT634" i="7" s="1"/>
  <c r="AU634" i="7" s="1"/>
  <c r="AV424" i="7"/>
  <c r="AS458" i="7"/>
  <c r="AT458" i="7" s="1"/>
  <c r="AU458" i="7" s="1"/>
  <c r="AS137" i="7"/>
  <c r="AT137" i="7" s="1"/>
  <c r="AU137" i="7" s="1"/>
  <c r="AV681" i="7"/>
  <c r="AS130" i="7"/>
  <c r="AT130" i="7" s="1"/>
  <c r="AU130" i="7" s="1"/>
  <c r="AV175" i="7"/>
  <c r="AV357" i="7"/>
  <c r="AS92" i="7"/>
  <c r="AS757" i="7"/>
  <c r="AT757" i="7" s="1"/>
  <c r="AU757" i="7" s="1"/>
  <c r="AS254" i="7"/>
  <c r="AT254" i="7" s="1"/>
  <c r="AU254" i="7" s="1"/>
  <c r="AS737" i="7"/>
  <c r="AT737" i="7" s="1"/>
  <c r="AU737" i="7" s="1"/>
  <c r="AS46" i="7"/>
  <c r="AT46" i="7" s="1"/>
  <c r="AU46" i="7" s="1"/>
  <c r="AS176" i="7"/>
  <c r="AT176" i="7" s="1"/>
  <c r="AU176" i="7" s="1"/>
  <c r="AS183" i="7"/>
  <c r="AT183" i="7" s="1"/>
  <c r="AU183" i="7" s="1"/>
  <c r="AS217" i="7"/>
  <c r="AT217" i="7" s="1"/>
  <c r="AU217" i="7" s="1"/>
  <c r="AS474" i="7"/>
  <c r="AT474" i="7" s="1"/>
  <c r="AU474" i="7" s="1"/>
  <c r="AV557" i="7"/>
  <c r="AV874" i="7"/>
  <c r="AS134" i="7"/>
  <c r="AT134" i="7" s="1"/>
  <c r="AU134" i="7" s="1"/>
  <c r="AS271" i="7"/>
  <c r="AT271" i="7" s="1"/>
  <c r="AU271" i="7" s="1"/>
  <c r="AV743" i="7"/>
  <c r="AV884" i="7"/>
  <c r="AS64" i="7"/>
  <c r="AT64" i="7" s="1"/>
  <c r="AU64" i="7" s="1"/>
  <c r="AS70" i="7"/>
  <c r="AT70" i="7" s="1"/>
  <c r="AU70" i="7" s="1"/>
  <c r="AV173" i="7"/>
  <c r="AV355" i="7"/>
  <c r="AS636" i="7"/>
  <c r="AT636" i="7" s="1"/>
  <c r="AU636" i="7" s="1"/>
  <c r="AV770" i="7"/>
  <c r="AS430" i="7"/>
  <c r="AT430" i="7" s="1"/>
  <c r="AU430" i="7" s="1"/>
  <c r="AV709" i="7"/>
  <c r="AV8" i="7"/>
  <c r="AS71" i="7"/>
  <c r="AT71" i="7" s="1"/>
  <c r="AU71" i="7" s="1"/>
  <c r="AS192" i="7"/>
  <c r="AT192" i="7" s="1"/>
  <c r="AU192" i="7" s="1"/>
  <c r="AS207" i="7"/>
  <c r="AT207" i="7" s="1"/>
  <c r="AU207" i="7" s="1"/>
  <c r="AV269" i="7"/>
  <c r="AS340" i="7"/>
  <c r="AT340" i="7" s="1"/>
  <c r="AU340" i="7" s="1"/>
  <c r="AV689" i="7"/>
  <c r="AS696" i="7"/>
  <c r="AT696" i="7" s="1"/>
  <c r="AU696" i="7" s="1"/>
  <c r="AS870" i="7"/>
  <c r="AS50" i="7"/>
  <c r="AT50" i="7" s="1"/>
  <c r="AU50" i="7" s="1"/>
  <c r="AS168" i="7"/>
  <c r="AT168" i="7" s="1"/>
  <c r="AU168" i="7" s="1"/>
  <c r="AS174" i="7"/>
  <c r="AT174" i="7" s="1"/>
  <c r="AU174" i="7" s="1"/>
  <c r="AS202" i="7"/>
  <c r="AT202" i="7" s="1"/>
  <c r="AU202" i="7" s="1"/>
  <c r="AS221" i="7"/>
  <c r="AT221" i="7" s="1"/>
  <c r="AU221" i="7" s="1"/>
  <c r="AS264" i="7"/>
  <c r="AT264" i="7" s="1"/>
  <c r="AU264" i="7" s="1"/>
  <c r="AV347" i="7"/>
  <c r="AS431" i="7"/>
  <c r="AT431" i="7" s="1"/>
  <c r="AU431" i="7" s="1"/>
  <c r="AS461" i="7"/>
  <c r="AT461" i="7" s="1"/>
  <c r="AU461" i="7" s="1"/>
  <c r="AS556" i="7"/>
  <c r="AT556" i="7" s="1"/>
  <c r="AU556" i="7" s="1"/>
  <c r="AV637" i="7"/>
  <c r="AS704" i="7"/>
  <c r="AV738" i="7"/>
  <c r="AS341" i="7"/>
  <c r="AT341" i="7" s="1"/>
  <c r="AU341" i="7" s="1"/>
  <c r="AS354" i="7"/>
  <c r="AT354" i="7" s="1"/>
  <c r="AU354" i="7" s="1"/>
  <c r="AS358" i="7"/>
  <c r="AT358" i="7" s="1"/>
  <c r="AU358" i="7" s="1"/>
  <c r="AV562" i="7"/>
  <c r="AS686" i="7"/>
  <c r="AT686" i="7" s="1"/>
  <c r="AU686" i="7" s="1"/>
  <c r="AS745" i="7"/>
  <c r="AT745" i="7" s="1"/>
  <c r="AU745" i="7" s="1"/>
  <c r="AS886" i="7"/>
  <c r="AT886" i="7" s="1"/>
  <c r="AU886" i="7" s="1"/>
  <c r="AV73" i="7"/>
  <c r="AS81" i="7"/>
  <c r="AT81" i="7" s="1"/>
  <c r="AU81" i="7" s="1"/>
  <c r="AS89" i="7"/>
  <c r="AT89" i="7" s="1"/>
  <c r="AU89" i="7" s="1"/>
  <c r="AS209" i="7"/>
  <c r="AT209" i="7" s="1"/>
  <c r="AU209" i="7" s="1"/>
  <c r="AV450" i="7"/>
  <c r="AV477" i="7"/>
  <c r="AV880" i="7"/>
  <c r="AV42" i="7"/>
  <c r="AS143" i="7"/>
  <c r="AT143" i="7" s="1"/>
  <c r="AU143" i="7" s="1"/>
  <c r="AS205" i="7"/>
  <c r="AT205" i="7" s="1"/>
  <c r="AU205" i="7" s="1"/>
  <c r="AV261" i="7"/>
  <c r="AS338" i="7"/>
  <c r="AT338" i="7" s="1"/>
  <c r="AU338" i="7" s="1"/>
  <c r="AS350" i="7"/>
  <c r="AT350" i="7" s="1"/>
  <c r="AU350" i="7" s="1"/>
  <c r="AV478" i="7"/>
  <c r="AV554" i="7"/>
  <c r="AS729" i="7"/>
  <c r="AT729" i="7" s="1"/>
  <c r="AU729" i="7" s="1"/>
  <c r="AS255" i="7"/>
  <c r="AT255" i="7" s="1"/>
  <c r="AU255" i="7" s="1"/>
  <c r="AS268" i="7"/>
  <c r="AT268" i="7" s="1"/>
  <c r="AU268" i="7" s="1"/>
  <c r="AS272" i="7"/>
  <c r="AT272" i="7" s="1"/>
  <c r="AU272" i="7" s="1"/>
  <c r="AS459" i="7"/>
  <c r="AT459" i="7" s="1"/>
  <c r="AU459" i="7" s="1"/>
  <c r="AS688" i="7"/>
  <c r="AT688" i="7" s="1"/>
  <c r="AU688" i="7" s="1"/>
  <c r="AS747" i="7"/>
  <c r="AT747" i="7" s="1"/>
  <c r="AU747" i="7" s="1"/>
  <c r="AV755" i="7"/>
  <c r="AV75" i="7"/>
  <c r="AV85" i="7"/>
  <c r="AV211" i="7"/>
  <c r="AS470" i="7"/>
  <c r="AT470" i="7" s="1"/>
  <c r="AU470" i="7" s="1"/>
  <c r="AS475" i="7"/>
  <c r="AS548" i="7"/>
  <c r="AT548" i="7" s="1"/>
  <c r="AU548" i="7" s="1"/>
  <c r="AV765" i="7"/>
  <c r="AS6" i="7"/>
  <c r="AT6" i="7" s="1"/>
  <c r="AU6" i="7" s="1"/>
  <c r="AS43" i="7"/>
  <c r="AT43" i="7" s="1"/>
  <c r="AU43" i="7" s="1"/>
  <c r="AS51" i="7"/>
  <c r="AT51" i="7" s="1"/>
  <c r="AU51" i="7" s="1"/>
  <c r="AV69" i="7"/>
  <c r="AS76" i="7"/>
  <c r="AT76" i="7" s="1"/>
  <c r="AU76" i="7" s="1"/>
  <c r="AS83" i="7"/>
  <c r="AT83" i="7" s="1"/>
  <c r="AU83" i="7" s="1"/>
  <c r="AS86" i="7"/>
  <c r="AS93" i="7"/>
  <c r="AT93" i="7" s="1"/>
  <c r="AU93" i="7" s="1"/>
  <c r="AS135" i="7"/>
  <c r="AT135" i="7" s="1"/>
  <c r="AU135" i="7" s="1"/>
  <c r="AS172" i="7"/>
  <c r="AT172" i="7" s="1"/>
  <c r="AU172" i="7" s="1"/>
  <c r="AS180" i="7"/>
  <c r="AT180" i="7" s="1"/>
  <c r="AU180" i="7" s="1"/>
  <c r="AS218" i="7"/>
  <c r="AS256" i="7"/>
  <c r="AT256" i="7" s="1"/>
  <c r="AU256" i="7" s="1"/>
  <c r="AS270" i="7"/>
  <c r="AT270" i="7" s="1"/>
  <c r="AU270" i="7" s="1"/>
  <c r="AV339" i="7"/>
  <c r="AS342" i="7"/>
  <c r="AT342" i="7" s="1"/>
  <c r="AU342" i="7" s="1"/>
  <c r="AS356" i="7"/>
  <c r="AT356" i="7" s="1"/>
  <c r="AU356" i="7" s="1"/>
  <c r="AS359" i="7"/>
  <c r="AT359" i="7" s="1"/>
  <c r="AU359" i="7" s="1"/>
  <c r="AV460" i="7"/>
  <c r="AS471" i="7"/>
  <c r="AV549" i="7"/>
  <c r="AV635" i="7"/>
  <c r="AV640" i="7"/>
  <c r="AS644" i="7"/>
  <c r="AV692" i="7"/>
  <c r="AS702" i="7"/>
  <c r="AT702" i="7" s="1"/>
  <c r="AU702" i="7" s="1"/>
  <c r="AS706" i="7"/>
  <c r="AT706" i="7" s="1"/>
  <c r="AU706" i="7" s="1"/>
  <c r="AS754" i="7"/>
  <c r="AT754" i="7" s="1"/>
  <c r="AU754" i="7" s="1"/>
  <c r="AS763" i="7"/>
  <c r="AT763" i="7" s="1"/>
  <c r="AU763" i="7" s="1"/>
  <c r="AS66" i="7"/>
  <c r="AT66" i="7" s="1"/>
  <c r="AU66" i="7" s="1"/>
  <c r="AS189" i="7"/>
  <c r="AT189" i="7" s="1"/>
  <c r="AU189" i="7" s="1"/>
  <c r="AS198" i="7"/>
  <c r="AT198" i="7" s="1"/>
  <c r="AU198" i="7" s="1"/>
  <c r="AS210" i="7"/>
  <c r="AT210" i="7" s="1"/>
  <c r="AU210" i="7" s="1"/>
  <c r="AS262" i="7"/>
  <c r="AT262" i="7" s="1"/>
  <c r="AU262" i="7" s="1"/>
  <c r="AV274" i="7"/>
  <c r="AS348" i="7"/>
  <c r="AT348" i="7" s="1"/>
  <c r="AU348" i="7" s="1"/>
  <c r="AS422" i="7"/>
  <c r="AT422" i="7" s="1"/>
  <c r="AU422" i="7" s="1"/>
  <c r="AS425" i="7"/>
  <c r="AT425" i="7" s="1"/>
  <c r="AU425" i="7" s="1"/>
  <c r="AS451" i="7"/>
  <c r="AT451" i="7" s="1"/>
  <c r="AU451" i="7" s="1"/>
  <c r="AV563" i="7"/>
  <c r="AV632" i="7"/>
  <c r="AV697" i="7"/>
  <c r="AV730" i="7"/>
  <c r="AV735" i="7"/>
  <c r="AS739" i="7"/>
  <c r="AT739" i="7" s="1"/>
  <c r="AU739" i="7" s="1"/>
  <c r="AV748" i="7"/>
  <c r="AS767" i="7"/>
  <c r="AS881" i="7"/>
  <c r="AT881" i="7" s="1"/>
  <c r="AU881" i="7" s="1"/>
  <c r="AV397" i="7"/>
  <c r="AS877" i="7"/>
  <c r="AT877" i="7" s="1"/>
  <c r="AU877" i="7" s="1"/>
  <c r="AS41" i="7"/>
  <c r="AT41" i="7" s="1"/>
  <c r="AU41" i="7" s="1"/>
  <c r="AV44" i="7"/>
  <c r="AS84" i="7"/>
  <c r="AS90" i="7"/>
  <c r="AT90" i="7" s="1"/>
  <c r="AU90" i="7" s="1"/>
  <c r="AV181" i="7"/>
  <c r="AS184" i="7"/>
  <c r="AT184" i="7" s="1"/>
  <c r="AU184" i="7" s="1"/>
  <c r="AV190" i="7"/>
  <c r="AS193" i="7"/>
  <c r="AT193" i="7" s="1"/>
  <c r="AU193" i="7" s="1"/>
  <c r="AV200" i="7"/>
  <c r="AS203" i="7"/>
  <c r="AT203" i="7" s="1"/>
  <c r="AU203" i="7" s="1"/>
  <c r="AS215" i="7"/>
  <c r="AT215" i="7" s="1"/>
  <c r="AU215" i="7" s="1"/>
  <c r="AS219" i="7"/>
  <c r="AS263" i="7"/>
  <c r="AT263" i="7" s="1"/>
  <c r="AU263" i="7" s="1"/>
  <c r="AS349" i="7"/>
  <c r="AT349" i="7" s="1"/>
  <c r="AU349" i="7" s="1"/>
  <c r="AV360" i="7"/>
  <c r="AS423" i="7"/>
  <c r="AT423" i="7" s="1"/>
  <c r="AU423" i="7" s="1"/>
  <c r="AV452" i="7"/>
  <c r="AS564" i="7"/>
  <c r="AT564" i="7" s="1"/>
  <c r="AU564" i="7" s="1"/>
  <c r="AS642" i="7"/>
  <c r="AT642" i="7" s="1"/>
  <c r="AU642" i="7" s="1"/>
  <c r="AV645" i="7"/>
  <c r="AV684" i="7"/>
  <c r="AS694" i="7"/>
  <c r="AT694" i="7" s="1"/>
  <c r="AU694" i="7" s="1"/>
  <c r="AV707" i="7"/>
  <c r="AV712" i="7"/>
  <c r="AS731" i="7"/>
  <c r="AT731" i="7" s="1"/>
  <c r="AU731" i="7" s="1"/>
  <c r="AV740" i="7"/>
  <c r="AS895" i="7"/>
  <c r="AT895" i="7" s="1"/>
  <c r="AU895" i="7" s="1"/>
  <c r="AV878" i="7"/>
  <c r="BJ431" i="7"/>
  <c r="BK431" i="7" s="1"/>
  <c r="BL431" i="7" s="1"/>
  <c r="AV68" i="7"/>
  <c r="AS88" i="7"/>
  <c r="AT88" i="7" s="1"/>
  <c r="AU88" i="7" s="1"/>
  <c r="AS182" i="7"/>
  <c r="AT182" i="7" s="1"/>
  <c r="AU182" i="7" s="1"/>
  <c r="AS191" i="7"/>
  <c r="AT191" i="7" s="1"/>
  <c r="AU191" i="7" s="1"/>
  <c r="AS201" i="7"/>
  <c r="AT201" i="7" s="1"/>
  <c r="AU201" i="7" s="1"/>
  <c r="AS260" i="7"/>
  <c r="AT260" i="7" s="1"/>
  <c r="AU260" i="7" s="1"/>
  <c r="AS346" i="7"/>
  <c r="AT346" i="7" s="1"/>
  <c r="AU346" i="7" s="1"/>
  <c r="AS361" i="7"/>
  <c r="AT361" i="7" s="1"/>
  <c r="AU361" i="7" s="1"/>
  <c r="AV426" i="7"/>
  <c r="AV462" i="7"/>
  <c r="AV565" i="7"/>
  <c r="AS646" i="7"/>
  <c r="AT646" i="7" s="1"/>
  <c r="AU646" i="7" s="1"/>
  <c r="AV700" i="7"/>
  <c r="AS708" i="7"/>
  <c r="AT708" i="7" s="1"/>
  <c r="AU708" i="7" s="1"/>
  <c r="AV732" i="7"/>
  <c r="AV746" i="7"/>
  <c r="AV752" i="7"/>
  <c r="AS756" i="7"/>
  <c r="AT756" i="7" s="1"/>
  <c r="AU756" i="7" s="1"/>
  <c r="AV761" i="7"/>
  <c r="AV896" i="7"/>
  <c r="AS11" i="7"/>
  <c r="AS37" i="7"/>
  <c r="AT37" i="7" s="1"/>
  <c r="AU37" i="7" s="1"/>
  <c r="AS39" i="7"/>
  <c r="AT39" i="7" s="1"/>
  <c r="AU39" i="7" s="1"/>
  <c r="AV40" i="7"/>
  <c r="AV48" i="7"/>
  <c r="AV53" i="7"/>
  <c r="AV72" i="7"/>
  <c r="AS77" i="7"/>
  <c r="AT77" i="7" s="1"/>
  <c r="AU77" i="7" s="1"/>
  <c r="AV79" i="7"/>
  <c r="AV91" i="7"/>
  <c r="AS94" i="7"/>
  <c r="AT94" i="7" s="1"/>
  <c r="AU94" i="7" s="1"/>
  <c r="AV132" i="7"/>
  <c r="AS141" i="7"/>
  <c r="AT141" i="7" s="1"/>
  <c r="AU141" i="7" s="1"/>
  <c r="AV9" i="7"/>
  <c r="AV35" i="7"/>
  <c r="AV138" i="7"/>
  <c r="AV169" i="7"/>
  <c r="AS10" i="7"/>
  <c r="AT10" i="7" s="1"/>
  <c r="AU10" i="7" s="1"/>
  <c r="AS12" i="7"/>
  <c r="AS36" i="7"/>
  <c r="AT36" i="7" s="1"/>
  <c r="AU36" i="7" s="1"/>
  <c r="AS47" i="7"/>
  <c r="AT47" i="7" s="1"/>
  <c r="AU47" i="7" s="1"/>
  <c r="AV49" i="7"/>
  <c r="AS78" i="7"/>
  <c r="AT78" i="7" s="1"/>
  <c r="AU78" i="7" s="1"/>
  <c r="AV87" i="7"/>
  <c r="AS131" i="7"/>
  <c r="AT131" i="7" s="1"/>
  <c r="AU131" i="7" s="1"/>
  <c r="AV133" i="7"/>
  <c r="AV142" i="7"/>
  <c r="AS38" i="7"/>
  <c r="AV45" i="7"/>
  <c r="AS52" i="7"/>
  <c r="AT52" i="7" s="1"/>
  <c r="AU52" i="7" s="1"/>
  <c r="AS67" i="7"/>
  <c r="AT67" i="7" s="1"/>
  <c r="AU67" i="7" s="1"/>
  <c r="AV95" i="7"/>
  <c r="AS140" i="7"/>
  <c r="AT140" i="7" s="1"/>
  <c r="AU140" i="7" s="1"/>
  <c r="AV140" i="7"/>
  <c r="AS171" i="7"/>
  <c r="AT171" i="7" s="1"/>
  <c r="AU171" i="7" s="1"/>
  <c r="AV171" i="7"/>
  <c r="AS7" i="7"/>
  <c r="AV65" i="7"/>
  <c r="AS179" i="7"/>
  <c r="AT179" i="7" s="1"/>
  <c r="AU179" i="7" s="1"/>
  <c r="AV179" i="7"/>
  <c r="AS74" i="7"/>
  <c r="AT74" i="7" s="1"/>
  <c r="AU74" i="7" s="1"/>
  <c r="AS139" i="7"/>
  <c r="AT139" i="7" s="1"/>
  <c r="AU139" i="7" s="1"/>
  <c r="AS170" i="7"/>
  <c r="AT170" i="7" s="1"/>
  <c r="AU170" i="7" s="1"/>
  <c r="AS178" i="7"/>
  <c r="AT178" i="7" s="1"/>
  <c r="AU178" i="7" s="1"/>
  <c r="AS186" i="7"/>
  <c r="AT186" i="7" s="1"/>
  <c r="AU186" i="7" s="1"/>
  <c r="AV188" i="7"/>
  <c r="AS195" i="7"/>
  <c r="AT195" i="7" s="1"/>
  <c r="AU195" i="7" s="1"/>
  <c r="AV196" i="7"/>
  <c r="AV206" i="7"/>
  <c r="AS213" i="7"/>
  <c r="AT213" i="7" s="1"/>
  <c r="AU213" i="7" s="1"/>
  <c r="AV214" i="7"/>
  <c r="AV220" i="7"/>
  <c r="AS258" i="7"/>
  <c r="AT258" i="7" s="1"/>
  <c r="AU258" i="7" s="1"/>
  <c r="AV259" i="7"/>
  <c r="AS266" i="7"/>
  <c r="AT266" i="7" s="1"/>
  <c r="AU266" i="7" s="1"/>
  <c r="AV267" i="7"/>
  <c r="AS336" i="7"/>
  <c r="AT336" i="7" s="1"/>
  <c r="AU336" i="7" s="1"/>
  <c r="AV337" i="7"/>
  <c r="AS344" i="7"/>
  <c r="AT344" i="7" s="1"/>
  <c r="AU344" i="7" s="1"/>
  <c r="AV345" i="7"/>
  <c r="AS352" i="7"/>
  <c r="AT352" i="7" s="1"/>
  <c r="AU352" i="7" s="1"/>
  <c r="AV353" i="7"/>
  <c r="AV453" i="7"/>
  <c r="AS453" i="7"/>
  <c r="AT453" i="7" s="1"/>
  <c r="AU453" i="7" s="1"/>
  <c r="AV550" i="7"/>
  <c r="AS550" i="7"/>
  <c r="AT550" i="7" s="1"/>
  <c r="AU550" i="7" s="1"/>
  <c r="AV561" i="7"/>
  <c r="AS561" i="7"/>
  <c r="AT561" i="7" s="1"/>
  <c r="AU561" i="7" s="1"/>
  <c r="AV633" i="7"/>
  <c r="AS633" i="7"/>
  <c r="AT633" i="7" s="1"/>
  <c r="AU633" i="7" s="1"/>
  <c r="AV641" i="7"/>
  <c r="AS641" i="7"/>
  <c r="AT641" i="7" s="1"/>
  <c r="AU641" i="7" s="1"/>
  <c r="AV208" i="7"/>
  <c r="AV216" i="7"/>
  <c r="AV222" i="7"/>
  <c r="AS177" i="7"/>
  <c r="AT177" i="7" s="1"/>
  <c r="AU177" i="7" s="1"/>
  <c r="AS185" i="7"/>
  <c r="AT185" i="7" s="1"/>
  <c r="AU185" i="7" s="1"/>
  <c r="AS194" i="7"/>
  <c r="AT194" i="7" s="1"/>
  <c r="AU194" i="7" s="1"/>
  <c r="AS204" i="7"/>
  <c r="AT204" i="7" s="1"/>
  <c r="AU204" i="7" s="1"/>
  <c r="AS212" i="7"/>
  <c r="AT212" i="7" s="1"/>
  <c r="AU212" i="7" s="1"/>
  <c r="AS257" i="7"/>
  <c r="AT257" i="7" s="1"/>
  <c r="AU257" i="7" s="1"/>
  <c r="AS265" i="7"/>
  <c r="AT265" i="7" s="1"/>
  <c r="AU265" i="7" s="1"/>
  <c r="AS273" i="7"/>
  <c r="AT273" i="7" s="1"/>
  <c r="AU273" i="7" s="1"/>
  <c r="AS335" i="7"/>
  <c r="AT335" i="7" s="1"/>
  <c r="AU335" i="7" s="1"/>
  <c r="AS343" i="7"/>
  <c r="AT343" i="7" s="1"/>
  <c r="AU343" i="7" s="1"/>
  <c r="AS351" i="7"/>
  <c r="AT351" i="7" s="1"/>
  <c r="AU351" i="7" s="1"/>
  <c r="AV420" i="7"/>
  <c r="AS420" i="7"/>
  <c r="AT420" i="7" s="1"/>
  <c r="AU420" i="7" s="1"/>
  <c r="AS466" i="7"/>
  <c r="AV558" i="7"/>
  <c r="AS558" i="7"/>
  <c r="AT558" i="7" s="1"/>
  <c r="AU558" i="7" s="1"/>
  <c r="AV701" i="7"/>
  <c r="AS701" i="7"/>
  <c r="AT701" i="7" s="1"/>
  <c r="AU701" i="7" s="1"/>
  <c r="AV768" i="7"/>
  <c r="AS768" i="7"/>
  <c r="AT768" i="7" s="1"/>
  <c r="AU768" i="7" s="1"/>
  <c r="AV693" i="7"/>
  <c r="AS693" i="7"/>
  <c r="AT693" i="7" s="1"/>
  <c r="AU693" i="7" s="1"/>
  <c r="AV713" i="7"/>
  <c r="AS713" i="7"/>
  <c r="AT713" i="7" s="1"/>
  <c r="AU713" i="7" s="1"/>
  <c r="AV736" i="7"/>
  <c r="AS736" i="7"/>
  <c r="AT736" i="7" s="1"/>
  <c r="AU736" i="7" s="1"/>
  <c r="AV744" i="7"/>
  <c r="AS744" i="7"/>
  <c r="AT744" i="7" s="1"/>
  <c r="AU744" i="7" s="1"/>
  <c r="AV753" i="7"/>
  <c r="AS753" i="7"/>
  <c r="AT753" i="7" s="1"/>
  <c r="AU753" i="7" s="1"/>
  <c r="AV463" i="7"/>
  <c r="AS463" i="7"/>
  <c r="AT463" i="7" s="1"/>
  <c r="AU463" i="7" s="1"/>
  <c r="AS476" i="7"/>
  <c r="AT476" i="7" s="1"/>
  <c r="AU476" i="7" s="1"/>
  <c r="AV685" i="7"/>
  <c r="AS685" i="7"/>
  <c r="AT685" i="7" s="1"/>
  <c r="AU685" i="7" s="1"/>
  <c r="AV398" i="7"/>
  <c r="AS398" i="7"/>
  <c r="AT398" i="7" s="1"/>
  <c r="AU398" i="7" s="1"/>
  <c r="AV427" i="7"/>
  <c r="AS427" i="7"/>
  <c r="AT427" i="7" s="1"/>
  <c r="AU427" i="7" s="1"/>
  <c r="AS456" i="7"/>
  <c r="AS472" i="7"/>
  <c r="AV762" i="7"/>
  <c r="AS762" i="7"/>
  <c r="AT762" i="7" s="1"/>
  <c r="AU762" i="7" s="1"/>
  <c r="AV885" i="7"/>
  <c r="AS885" i="7"/>
  <c r="AT885" i="7" s="1"/>
  <c r="AU885" i="7" s="1"/>
  <c r="AV399" i="7"/>
  <c r="AS399" i="7"/>
  <c r="AT399" i="7" s="1"/>
  <c r="AU399" i="7" s="1"/>
  <c r="AS553" i="7"/>
  <c r="AT553" i="7" s="1"/>
  <c r="AU553" i="7" s="1"/>
  <c r="AV421" i="7"/>
  <c r="AS428" i="7"/>
  <c r="AT428" i="7" s="1"/>
  <c r="AU428" i="7" s="1"/>
  <c r="AV429" i="7"/>
  <c r="AS454" i="7"/>
  <c r="AT454" i="7" s="1"/>
  <c r="AU454" i="7" s="1"/>
  <c r="AV455" i="7"/>
  <c r="AV457" i="7"/>
  <c r="AS464" i="7"/>
  <c r="AT464" i="7" s="1"/>
  <c r="AU464" i="7" s="1"/>
  <c r="AV465" i="7"/>
  <c r="AS468" i="7"/>
  <c r="AT468" i="7" s="1"/>
  <c r="AU468" i="7" s="1"/>
  <c r="AV469" i="7"/>
  <c r="AV473" i="7"/>
  <c r="AS551" i="7"/>
  <c r="AT551" i="7" s="1"/>
  <c r="AU551" i="7" s="1"/>
  <c r="AV552" i="7"/>
  <c r="AS559" i="7"/>
  <c r="AT559" i="7" s="1"/>
  <c r="AU559" i="7" s="1"/>
  <c r="AS631" i="7"/>
  <c r="AT631" i="7" s="1"/>
  <c r="AU631" i="7" s="1"/>
  <c r="AS639" i="7"/>
  <c r="AT639" i="7" s="1"/>
  <c r="AU639" i="7" s="1"/>
  <c r="AS683" i="7"/>
  <c r="AT683" i="7" s="1"/>
  <c r="AU683" i="7" s="1"/>
  <c r="AS691" i="7"/>
  <c r="AT691" i="7" s="1"/>
  <c r="AU691" i="7" s="1"/>
  <c r="AS699" i="7"/>
  <c r="AT699" i="7" s="1"/>
  <c r="AU699" i="7" s="1"/>
  <c r="AS711" i="7"/>
  <c r="AT711" i="7" s="1"/>
  <c r="AU711" i="7" s="1"/>
  <c r="AS734" i="7"/>
  <c r="AT734" i="7" s="1"/>
  <c r="AU734" i="7" s="1"/>
  <c r="AS742" i="7"/>
  <c r="AT742" i="7" s="1"/>
  <c r="AU742" i="7" s="1"/>
  <c r="AS750" i="7"/>
  <c r="AT750" i="7" s="1"/>
  <c r="AU750" i="7" s="1"/>
  <c r="AS760" i="7"/>
  <c r="AT760" i="7" s="1"/>
  <c r="AU760" i="7" s="1"/>
  <c r="AS883" i="7"/>
  <c r="AT883" i="7" s="1"/>
  <c r="AU883" i="7" s="1"/>
  <c r="AS630" i="7"/>
  <c r="AT630" i="7" s="1"/>
  <c r="AU630" i="7" s="1"/>
  <c r="AS638" i="7"/>
  <c r="AT638" i="7" s="1"/>
  <c r="AU638" i="7" s="1"/>
  <c r="AS682" i="7"/>
  <c r="AT682" i="7" s="1"/>
  <c r="AU682" i="7" s="1"/>
  <c r="AS690" i="7"/>
  <c r="AT690" i="7" s="1"/>
  <c r="AU690" i="7" s="1"/>
  <c r="AS698" i="7"/>
  <c r="AT698" i="7" s="1"/>
  <c r="AU698" i="7" s="1"/>
  <c r="AS710" i="7"/>
  <c r="AT710" i="7" s="1"/>
  <c r="AU710" i="7" s="1"/>
  <c r="AS733" i="7"/>
  <c r="AT733" i="7" s="1"/>
  <c r="AU733" i="7" s="1"/>
  <c r="AS741" i="7"/>
  <c r="AT741" i="7" s="1"/>
  <c r="AU741" i="7" s="1"/>
  <c r="AS749" i="7"/>
  <c r="AT749" i="7" s="1"/>
  <c r="AU749" i="7" s="1"/>
  <c r="AS759" i="7"/>
  <c r="AT759" i="7" s="1"/>
  <c r="AU759" i="7" s="1"/>
  <c r="AS879" i="7"/>
  <c r="AT879" i="7" s="1"/>
  <c r="AU879" i="7" s="1"/>
  <c r="AS643" i="7"/>
  <c r="AT643" i="7" s="1"/>
  <c r="AU643" i="7" s="1"/>
  <c r="AS687" i="7"/>
  <c r="AT687" i="7" s="1"/>
  <c r="AU687" i="7" s="1"/>
  <c r="AS695" i="7"/>
  <c r="AT695" i="7" s="1"/>
  <c r="AU695" i="7" s="1"/>
  <c r="AS703" i="7"/>
  <c r="AT703" i="7" s="1"/>
  <c r="AU703" i="7" s="1"/>
  <c r="AS705" i="7"/>
  <c r="AS764" i="7"/>
  <c r="AT764" i="7" s="1"/>
  <c r="AU764" i="7" s="1"/>
  <c r="AS766" i="7"/>
  <c r="AS869" i="7"/>
  <c r="AT869" i="7" s="1"/>
  <c r="AU869" i="7" s="1"/>
  <c r="AS873" i="7"/>
  <c r="AT873" i="7" s="1"/>
  <c r="AU873" i="7" s="1"/>
  <c r="AS876" i="7"/>
  <c r="AT876" i="7" s="1"/>
  <c r="AU876" i="7" s="1"/>
  <c r="AS889" i="7"/>
  <c r="AT889" i="7" s="1"/>
  <c r="AU889" i="7" s="1"/>
  <c r="AS400" i="7"/>
  <c r="AS467" i="7"/>
  <c r="BJ697" i="7"/>
  <c r="BK697" i="7" s="1"/>
  <c r="BL697" i="7" s="1"/>
  <c r="BM874" i="7"/>
  <c r="BJ881" i="7"/>
  <c r="BK881" i="7" s="1"/>
  <c r="BL881" i="7" s="1"/>
  <c r="BM130" i="7"/>
  <c r="BM700" i="7"/>
  <c r="BJ707" i="7"/>
  <c r="BK707" i="7" s="1"/>
  <c r="BL707" i="7" s="1"/>
  <c r="BJ767" i="7"/>
  <c r="BM637" i="7"/>
  <c r="BJ688" i="7"/>
  <c r="BK688" i="7" s="1"/>
  <c r="BL688" i="7" s="1"/>
  <c r="BL880" i="7"/>
  <c r="BJ75" i="7"/>
  <c r="BJ462" i="7"/>
  <c r="BK462" i="7" s="1"/>
  <c r="BL462" i="7" s="1"/>
  <c r="BJ681" i="7"/>
  <c r="BK681" i="7" s="1"/>
  <c r="BL681" i="7" s="1"/>
  <c r="BM736" i="7"/>
  <c r="BM635" i="7"/>
  <c r="BJ754" i="7"/>
  <c r="BK754" i="7" s="1"/>
  <c r="BL754" i="7" s="1"/>
  <c r="BM7" i="7"/>
  <c r="BJ399" i="7"/>
  <c r="BK399" i="7" s="1"/>
  <c r="BL399" i="7" s="1"/>
  <c r="BM689" i="7"/>
  <c r="BM68" i="7"/>
  <c r="BM85" i="7"/>
  <c r="BJ81" i="7"/>
  <c r="BK81" i="7" s="1"/>
  <c r="BL81" i="7" s="1"/>
  <c r="BM632" i="7"/>
  <c r="BJ686" i="7"/>
  <c r="BK686" i="7" s="1"/>
  <c r="BL686" i="7" s="1"/>
  <c r="BJ874" i="7"/>
  <c r="BM258" i="7"/>
  <c r="BM264" i="7"/>
  <c r="BM424" i="7"/>
  <c r="BJ642" i="7"/>
  <c r="BK642" i="7" s="1"/>
  <c r="BL642" i="7" s="1"/>
  <c r="BM690" i="7"/>
  <c r="BJ696" i="7"/>
  <c r="BK696" i="7" s="1"/>
  <c r="BL696" i="7" s="1"/>
  <c r="BJ737" i="7"/>
  <c r="BK737" i="7" s="1"/>
  <c r="BL737" i="7" s="1"/>
  <c r="BM759" i="7"/>
  <c r="BJ766" i="7"/>
  <c r="BL870" i="7"/>
  <c r="BJ66" i="7"/>
  <c r="BK66" i="7" s="1"/>
  <c r="BL66" i="7" s="1"/>
  <c r="BJ177" i="7"/>
  <c r="BK177" i="7" s="1"/>
  <c r="BL177" i="7" s="1"/>
  <c r="BJ272" i="7"/>
  <c r="BK272" i="7" s="1"/>
  <c r="BL272" i="7" s="1"/>
  <c r="BJ358" i="7"/>
  <c r="BK358" i="7" s="1"/>
  <c r="BL358" i="7" s="1"/>
  <c r="BM766" i="7"/>
  <c r="BJ193" i="7"/>
  <c r="BK193" i="7" s="1"/>
  <c r="BL193" i="7" s="1"/>
  <c r="BM266" i="7"/>
  <c r="BJ353" i="7"/>
  <c r="BK353" i="7" s="1"/>
  <c r="BL353" i="7" s="1"/>
  <c r="BM692" i="7"/>
  <c r="BJ738" i="7"/>
  <c r="BK738" i="7" s="1"/>
  <c r="BL738" i="7" s="1"/>
  <c r="BJ880" i="7"/>
  <c r="BJ84" i="7"/>
  <c r="BJ211" i="7"/>
  <c r="BK211" i="7" s="1"/>
  <c r="BL211" i="7" s="1"/>
  <c r="BJ218" i="7"/>
  <c r="BM256" i="7"/>
  <c r="BM339" i="7"/>
  <c r="BJ427" i="7"/>
  <c r="BK427" i="7" s="1"/>
  <c r="BL427" i="7" s="1"/>
  <c r="BJ451" i="7"/>
  <c r="BK451" i="7" s="1"/>
  <c r="BL451" i="7" s="1"/>
  <c r="BJ471" i="7"/>
  <c r="BJ633" i="7"/>
  <c r="BK633" i="7" s="1"/>
  <c r="BL633" i="7" s="1"/>
  <c r="BM684" i="7"/>
  <c r="BJ646" i="7"/>
  <c r="BK646" i="7" s="1"/>
  <c r="BL646" i="7" s="1"/>
  <c r="BJ46" i="7"/>
  <c r="BK46" i="7" s="1"/>
  <c r="BL46" i="7" s="1"/>
  <c r="BL53" i="7"/>
  <c r="BJ257" i="7"/>
  <c r="BK257" i="7" s="1"/>
  <c r="BL257" i="7" s="1"/>
  <c r="BJ263" i="7"/>
  <c r="BK263" i="7" s="1"/>
  <c r="BL263" i="7" s="1"/>
  <c r="BL274" i="7"/>
  <c r="BM355" i="7"/>
  <c r="BM473" i="7"/>
  <c r="BJ86" i="7"/>
  <c r="BJ271" i="7"/>
  <c r="BK271" i="7" s="1"/>
  <c r="BL271" i="7" s="1"/>
  <c r="BM474" i="7"/>
  <c r="BM634" i="7"/>
  <c r="BM36" i="7"/>
  <c r="BJ47" i="7"/>
  <c r="BK47" i="7" s="1"/>
  <c r="BL47" i="7" s="1"/>
  <c r="BJ91" i="7"/>
  <c r="BJ169" i="7"/>
  <c r="BK169" i="7" s="1"/>
  <c r="BL169" i="7" s="1"/>
  <c r="BL219" i="7"/>
  <c r="BJ336" i="7"/>
  <c r="BK336" i="7" s="1"/>
  <c r="BL336" i="7" s="1"/>
  <c r="BJ340" i="7"/>
  <c r="BK340" i="7" s="1"/>
  <c r="BL340" i="7" s="1"/>
  <c r="BJ345" i="7"/>
  <c r="BK345" i="7" s="1"/>
  <c r="BL345" i="7" s="1"/>
  <c r="BM360" i="7"/>
  <c r="BJ425" i="7"/>
  <c r="BK425" i="7" s="1"/>
  <c r="BL425" i="7" s="1"/>
  <c r="BJ555" i="7"/>
  <c r="BK555" i="7" s="1"/>
  <c r="BL555" i="7" s="1"/>
  <c r="BJ682" i="7"/>
  <c r="BK682" i="7" s="1"/>
  <c r="BL682" i="7" s="1"/>
  <c r="BJ698" i="7"/>
  <c r="BK698" i="7" s="1"/>
  <c r="BL698" i="7" s="1"/>
  <c r="BJ739" i="7"/>
  <c r="BK739" i="7" s="1"/>
  <c r="BL739" i="7" s="1"/>
  <c r="BM744" i="7"/>
  <c r="BJ755" i="7"/>
  <c r="BK755" i="7" s="1"/>
  <c r="BL755" i="7" s="1"/>
  <c r="BJ138" i="7"/>
  <c r="BK138" i="7" s="1"/>
  <c r="BL138" i="7" s="1"/>
  <c r="BM452" i="7"/>
  <c r="BL475" i="7"/>
  <c r="BM549" i="7"/>
  <c r="BJ562" i="7"/>
  <c r="BK562" i="7" s="1"/>
  <c r="BL562" i="7" s="1"/>
  <c r="BJ631" i="7"/>
  <c r="BK631" i="7" s="1"/>
  <c r="BL631" i="7" s="1"/>
  <c r="BM645" i="7"/>
  <c r="BM687" i="7"/>
  <c r="BM695" i="7"/>
  <c r="BJ704" i="7"/>
  <c r="BJ708" i="7"/>
  <c r="BK708" i="7" s="1"/>
  <c r="BL708" i="7" s="1"/>
  <c r="BM548" i="7"/>
  <c r="BL7" i="7"/>
  <c r="BJ87" i="7"/>
  <c r="BK87" i="7" s="1"/>
  <c r="BL87" i="7" s="1"/>
  <c r="BJ95" i="7"/>
  <c r="BK95" i="7" s="1"/>
  <c r="BL95" i="7" s="1"/>
  <c r="BJ185" i="7"/>
  <c r="BK185" i="7" s="1"/>
  <c r="BL185" i="7" s="1"/>
  <c r="BJ220" i="7"/>
  <c r="BM337" i="7"/>
  <c r="BM361" i="7"/>
  <c r="BJ426" i="7"/>
  <c r="BK426" i="7" s="1"/>
  <c r="BL426" i="7" s="1"/>
  <c r="BJ752" i="7"/>
  <c r="BK752" i="7" s="1"/>
  <c r="BL752" i="7" s="1"/>
  <c r="BJ756" i="7"/>
  <c r="BK756" i="7" s="1"/>
  <c r="BL756" i="7" s="1"/>
  <c r="BJ886" i="7"/>
  <c r="BK886" i="7" s="1"/>
  <c r="BL886" i="7" s="1"/>
  <c r="BJ131" i="7"/>
  <c r="BK131" i="7" s="1"/>
  <c r="BL131" i="7" s="1"/>
  <c r="BJ255" i="7"/>
  <c r="BK255" i="7" s="1"/>
  <c r="BL255" i="7" s="1"/>
  <c r="BJ735" i="7"/>
  <c r="BK735" i="7" s="1"/>
  <c r="BL735" i="7" s="1"/>
  <c r="BJ346" i="7"/>
  <c r="BK346" i="7" s="1"/>
  <c r="BL346" i="7" s="1"/>
  <c r="BJ453" i="7"/>
  <c r="BK453" i="7" s="1"/>
  <c r="BL453" i="7" s="1"/>
  <c r="BJ476" i="7"/>
  <c r="BK476" i="7" s="1"/>
  <c r="BL476" i="7" s="1"/>
  <c r="BJ563" i="7"/>
  <c r="BK563" i="7" s="1"/>
  <c r="BL563" i="7" s="1"/>
  <c r="BJ265" i="7"/>
  <c r="BK265" i="7" s="1"/>
  <c r="BL265" i="7" s="1"/>
  <c r="BJ39" i="7"/>
  <c r="BK39" i="7" s="1"/>
  <c r="BL39" i="7" s="1"/>
  <c r="BJ50" i="7"/>
  <c r="BK50" i="7" s="1"/>
  <c r="BL50" i="7" s="1"/>
  <c r="BJ65" i="7"/>
  <c r="BK65" i="7" s="1"/>
  <c r="BL65" i="7" s="1"/>
  <c r="BJ85" i="7"/>
  <c r="BJ203" i="7"/>
  <c r="BK203" i="7" s="1"/>
  <c r="BL203" i="7" s="1"/>
  <c r="BJ217" i="7"/>
  <c r="BK217" i="7" s="1"/>
  <c r="BL217" i="7" s="1"/>
  <c r="BM338" i="7"/>
  <c r="BJ423" i="7"/>
  <c r="BK423" i="7" s="1"/>
  <c r="BL423" i="7" s="1"/>
  <c r="BJ706" i="7"/>
  <c r="BK706" i="7" s="1"/>
  <c r="BL706" i="7" s="1"/>
  <c r="BM710" i="7"/>
  <c r="BM741" i="7"/>
  <c r="BJ747" i="7"/>
  <c r="BK747" i="7" s="1"/>
  <c r="BL747" i="7" s="1"/>
  <c r="BM753" i="7"/>
  <c r="BL765" i="7"/>
  <c r="BJ876" i="7"/>
  <c r="BK876" i="7" s="1"/>
  <c r="BL876" i="7" s="1"/>
  <c r="BJ348" i="7"/>
  <c r="BK348" i="7" s="1"/>
  <c r="BL348" i="7" s="1"/>
  <c r="BM703" i="7"/>
  <c r="BJ43" i="7"/>
  <c r="BK43" i="7" s="1"/>
  <c r="BL43" i="7" s="1"/>
  <c r="BJ79" i="7"/>
  <c r="BK79" i="7" s="1"/>
  <c r="BL79" i="7" s="1"/>
  <c r="BJ92" i="7"/>
  <c r="BJ94" i="7"/>
  <c r="BK94" i="7" s="1"/>
  <c r="BL94" i="7" s="1"/>
  <c r="BJ135" i="7"/>
  <c r="BK135" i="7" s="1"/>
  <c r="BL135" i="7" s="1"/>
  <c r="BM139" i="7"/>
  <c r="BJ167" i="7"/>
  <c r="BK167" i="7" s="1"/>
  <c r="BL167" i="7" s="1"/>
  <c r="BM170" i="7"/>
  <c r="BJ175" i="7"/>
  <c r="BK175" i="7" s="1"/>
  <c r="BL175" i="7" s="1"/>
  <c r="BM178" i="7"/>
  <c r="BJ183" i="7"/>
  <c r="BK183" i="7" s="1"/>
  <c r="BL183" i="7" s="1"/>
  <c r="BM186" i="7"/>
  <c r="BJ191" i="7"/>
  <c r="BK191" i="7" s="1"/>
  <c r="BL191" i="7" s="1"/>
  <c r="BM194" i="7"/>
  <c r="BJ201" i="7"/>
  <c r="BK201" i="7" s="1"/>
  <c r="BL201" i="7" s="1"/>
  <c r="BM204" i="7"/>
  <c r="BJ209" i="7"/>
  <c r="BK209" i="7" s="1"/>
  <c r="BL209" i="7" s="1"/>
  <c r="BM212" i="7"/>
  <c r="BM267" i="7"/>
  <c r="BJ354" i="7"/>
  <c r="BK354" i="7" s="1"/>
  <c r="BL354" i="7" s="1"/>
  <c r="BM457" i="7"/>
  <c r="BM460" i="7"/>
  <c r="BM477" i="7"/>
  <c r="BJ554" i="7"/>
  <c r="BK554" i="7" s="1"/>
  <c r="BL554" i="7" s="1"/>
  <c r="BM557" i="7"/>
  <c r="BM640" i="7"/>
  <c r="BJ643" i="7"/>
  <c r="BK643" i="7" s="1"/>
  <c r="BL643" i="7" s="1"/>
  <c r="BJ702" i="7"/>
  <c r="BK702" i="7" s="1"/>
  <c r="BL702" i="7" s="1"/>
  <c r="BL705" i="7"/>
  <c r="BJ712" i="7"/>
  <c r="BK712" i="7" s="1"/>
  <c r="BL712" i="7" s="1"/>
  <c r="BM730" i="7"/>
  <c r="BJ746" i="7"/>
  <c r="BK746" i="7" s="1"/>
  <c r="BL746" i="7" s="1"/>
  <c r="BM749" i="7"/>
  <c r="BJ763" i="7"/>
  <c r="BK763" i="7" s="1"/>
  <c r="BL763" i="7" s="1"/>
  <c r="BJ768" i="7"/>
  <c r="BK768" i="7" s="1"/>
  <c r="BL768" i="7" s="1"/>
  <c r="BM870" i="7"/>
  <c r="BL92" i="7"/>
  <c r="BM428" i="7"/>
  <c r="BM705" i="7"/>
  <c r="BJ35" i="7"/>
  <c r="BK35" i="7" s="1"/>
  <c r="BL35" i="7" s="1"/>
  <c r="BM53" i="7"/>
  <c r="BM67" i="7"/>
  <c r="BM75" i="7"/>
  <c r="BJ137" i="7"/>
  <c r="BK137" i="7" s="1"/>
  <c r="BL137" i="7" s="1"/>
  <c r="BJ140" i="7"/>
  <c r="BK140" i="7" s="1"/>
  <c r="BL140" i="7" s="1"/>
  <c r="BJ168" i="7"/>
  <c r="BK168" i="7" s="1"/>
  <c r="BL168" i="7" s="1"/>
  <c r="BJ171" i="7"/>
  <c r="BK171" i="7" s="1"/>
  <c r="BL171" i="7" s="1"/>
  <c r="BJ176" i="7"/>
  <c r="BK176" i="7" s="1"/>
  <c r="BL176" i="7" s="1"/>
  <c r="BJ179" i="7"/>
  <c r="BK179" i="7" s="1"/>
  <c r="BL179" i="7" s="1"/>
  <c r="BJ184" i="7"/>
  <c r="BK184" i="7" s="1"/>
  <c r="BL184" i="7" s="1"/>
  <c r="BJ187" i="7"/>
  <c r="BK187" i="7" s="1"/>
  <c r="BL187" i="7" s="1"/>
  <c r="BJ192" i="7"/>
  <c r="BK192" i="7" s="1"/>
  <c r="BL192" i="7" s="1"/>
  <c r="BJ195" i="7"/>
  <c r="BK195" i="7" s="1"/>
  <c r="BL195" i="7" s="1"/>
  <c r="BJ202" i="7"/>
  <c r="BK202" i="7" s="1"/>
  <c r="BL202" i="7" s="1"/>
  <c r="BJ205" i="7"/>
  <c r="BK205" i="7" s="1"/>
  <c r="BL205" i="7" s="1"/>
  <c r="BJ210" i="7"/>
  <c r="BK210" i="7" s="1"/>
  <c r="BL210" i="7" s="1"/>
  <c r="BJ213" i="7"/>
  <c r="BK213" i="7" s="1"/>
  <c r="BL213" i="7" s="1"/>
  <c r="BJ273" i="7"/>
  <c r="BK273" i="7" s="1"/>
  <c r="BL273" i="7" s="1"/>
  <c r="BJ344" i="7"/>
  <c r="BK344" i="7" s="1"/>
  <c r="BL344" i="7" s="1"/>
  <c r="BM347" i="7"/>
  <c r="BJ359" i="7"/>
  <c r="BK359" i="7" s="1"/>
  <c r="BL359" i="7" s="1"/>
  <c r="BJ458" i="7"/>
  <c r="BK458" i="7" s="1"/>
  <c r="BL458" i="7" s="1"/>
  <c r="BM471" i="7"/>
  <c r="BM475" i="7"/>
  <c r="BJ478" i="7"/>
  <c r="BK478" i="7" s="1"/>
  <c r="BL478" i="7" s="1"/>
  <c r="BJ551" i="7"/>
  <c r="BK551" i="7" s="1"/>
  <c r="BL551" i="7" s="1"/>
  <c r="BM565" i="7"/>
  <c r="BJ641" i="7"/>
  <c r="BK641" i="7" s="1"/>
  <c r="BL641" i="7" s="1"/>
  <c r="BM713" i="7"/>
  <c r="BJ731" i="7"/>
  <c r="BK731" i="7" s="1"/>
  <c r="BL731" i="7" s="1"/>
  <c r="BJ743" i="7"/>
  <c r="BK743" i="7" s="1"/>
  <c r="BL743" i="7" s="1"/>
  <c r="BJ764" i="7"/>
  <c r="BK764" i="7" s="1"/>
  <c r="BL764" i="7" s="1"/>
  <c r="BM770" i="7"/>
  <c r="BM878" i="7"/>
  <c r="BM889" i="7"/>
  <c r="BJ352" i="7"/>
  <c r="BK352" i="7" s="1"/>
  <c r="BL352" i="7" s="1"/>
  <c r="BJ559" i="7"/>
  <c r="BK559" i="7" s="1"/>
  <c r="BL559" i="7" s="1"/>
  <c r="BJ729" i="7"/>
  <c r="BK729" i="7" s="1"/>
  <c r="BL729" i="7" s="1"/>
  <c r="BJ761" i="7"/>
  <c r="BK761" i="7" s="1"/>
  <c r="BL761" i="7" s="1"/>
  <c r="BJ869" i="7"/>
  <c r="BK869" i="7" s="1"/>
  <c r="BL869" i="7" s="1"/>
  <c r="BM884" i="7"/>
  <c r="BJ895" i="7"/>
  <c r="BK895" i="7" s="1"/>
  <c r="BL895" i="7" s="1"/>
  <c r="BJ37" i="7"/>
  <c r="BK37" i="7" s="1"/>
  <c r="BL37" i="7" s="1"/>
  <c r="BJ42" i="7"/>
  <c r="BK42" i="7" s="1"/>
  <c r="BL42" i="7" s="1"/>
  <c r="BM51" i="7"/>
  <c r="BJ69" i="7"/>
  <c r="BK69" i="7" s="1"/>
  <c r="BL69" i="7" s="1"/>
  <c r="BJ78" i="7"/>
  <c r="BK78" i="7" s="1"/>
  <c r="BL78" i="7" s="1"/>
  <c r="BJ259" i="7"/>
  <c r="BK259" i="7" s="1"/>
  <c r="BL259" i="7" s="1"/>
  <c r="BM274" i="7"/>
  <c r="BM459" i="7"/>
  <c r="BJ464" i="7"/>
  <c r="BK464" i="7" s="1"/>
  <c r="BL464" i="7" s="1"/>
  <c r="BM469" i="7"/>
  <c r="BJ553" i="7"/>
  <c r="BK553" i="7" s="1"/>
  <c r="BL553" i="7" s="1"/>
  <c r="BJ561" i="7"/>
  <c r="BK561" i="7" s="1"/>
  <c r="BL561" i="7" s="1"/>
  <c r="BJ639" i="7"/>
  <c r="BK639" i="7" s="1"/>
  <c r="BL639" i="7" s="1"/>
  <c r="BJ694" i="7"/>
  <c r="BK694" i="7" s="1"/>
  <c r="BL694" i="7" s="1"/>
  <c r="BM704" i="7"/>
  <c r="BM733" i="7"/>
  <c r="BJ745" i="7"/>
  <c r="BK745" i="7" s="1"/>
  <c r="BL745" i="7" s="1"/>
  <c r="BM762" i="7"/>
  <c r="BJ765" i="7"/>
  <c r="BL767" i="7"/>
  <c r="BL896" i="7"/>
  <c r="BL11" i="7"/>
  <c r="BM41" i="7"/>
  <c r="BM45" i="7"/>
  <c r="BM74" i="7"/>
  <c r="BM11" i="7"/>
  <c r="BM52" i="7"/>
  <c r="BJ133" i="7"/>
  <c r="BK133" i="7" s="1"/>
  <c r="BL133" i="7" s="1"/>
  <c r="BM133" i="7"/>
  <c r="BJ40" i="7"/>
  <c r="BK40" i="7" s="1"/>
  <c r="BL40" i="7" s="1"/>
  <c r="BJ44" i="7"/>
  <c r="BK44" i="7" s="1"/>
  <c r="BL44" i="7" s="1"/>
  <c r="BJ89" i="7"/>
  <c r="BK89" i="7" s="1"/>
  <c r="BL89" i="7" s="1"/>
  <c r="BM89" i="7"/>
  <c r="BJ12" i="7"/>
  <c r="BJ38" i="7"/>
  <c r="BM48" i="7"/>
  <c r="BM70" i="7"/>
  <c r="BM12" i="7"/>
  <c r="BL38" i="7"/>
  <c r="BM49" i="7"/>
  <c r="BJ49" i="7"/>
  <c r="BK49" i="7" s="1"/>
  <c r="BL49" i="7" s="1"/>
  <c r="BJ76" i="7"/>
  <c r="BK76" i="7" s="1"/>
  <c r="BL76" i="7" s="1"/>
  <c r="BM76" i="7"/>
  <c r="BM90" i="7"/>
  <c r="BJ90" i="7"/>
  <c r="BK90" i="7" s="1"/>
  <c r="BL90" i="7" s="1"/>
  <c r="BM64" i="7"/>
  <c r="BJ64" i="7"/>
  <c r="BK64" i="7" s="1"/>
  <c r="BL64" i="7" s="1"/>
  <c r="BM83" i="7"/>
  <c r="BJ83" i="7"/>
  <c r="BK83" i="7" s="1"/>
  <c r="BL83" i="7" s="1"/>
  <c r="BJ142" i="7"/>
  <c r="BK142" i="7" s="1"/>
  <c r="BL142" i="7" s="1"/>
  <c r="BM142" i="7"/>
  <c r="BM77" i="7"/>
  <c r="BJ77" i="7"/>
  <c r="BK77" i="7" s="1"/>
  <c r="BL77" i="7" s="1"/>
  <c r="BM72" i="7"/>
  <c r="BJ72" i="7"/>
  <c r="BK72" i="7" s="1"/>
  <c r="BL72" i="7" s="1"/>
  <c r="BM218" i="7"/>
  <c r="BM220" i="7"/>
  <c r="BM357" i="7"/>
  <c r="BM398" i="7"/>
  <c r="BJ398" i="7"/>
  <c r="BK398" i="7" s="1"/>
  <c r="BL398" i="7" s="1"/>
  <c r="BM420" i="7"/>
  <c r="BM558" i="7"/>
  <c r="BJ558" i="7"/>
  <c r="BK558" i="7" s="1"/>
  <c r="BL558" i="7" s="1"/>
  <c r="BJ636" i="7"/>
  <c r="BK636" i="7" s="1"/>
  <c r="BL636" i="7" s="1"/>
  <c r="BM636" i="7"/>
  <c r="BM711" i="7"/>
  <c r="BJ711" i="7"/>
  <c r="BK711" i="7" s="1"/>
  <c r="BL711" i="7" s="1"/>
  <c r="BM742" i="7"/>
  <c r="BJ742" i="7"/>
  <c r="BK742" i="7" s="1"/>
  <c r="BL742" i="7" s="1"/>
  <c r="BM873" i="7"/>
  <c r="BJ873" i="7"/>
  <c r="BK873" i="7" s="1"/>
  <c r="BL873" i="7" s="1"/>
  <c r="BM430" i="7"/>
  <c r="BJ430" i="7"/>
  <c r="BK430" i="7" s="1"/>
  <c r="BL430" i="7" s="1"/>
  <c r="BM550" i="7"/>
  <c r="BJ550" i="7"/>
  <c r="BK550" i="7" s="1"/>
  <c r="BL550" i="7" s="1"/>
  <c r="BJ683" i="7"/>
  <c r="BK683" i="7" s="1"/>
  <c r="BL683" i="7" s="1"/>
  <c r="BM683" i="7"/>
  <c r="BJ699" i="7"/>
  <c r="BK699" i="7" s="1"/>
  <c r="BL699" i="7" s="1"/>
  <c r="BM699" i="7"/>
  <c r="BJ132" i="7"/>
  <c r="BK132" i="7" s="1"/>
  <c r="BL132" i="7" s="1"/>
  <c r="BJ141" i="7"/>
  <c r="BK141" i="7" s="1"/>
  <c r="BL141" i="7" s="1"/>
  <c r="BJ172" i="7"/>
  <c r="BK172" i="7" s="1"/>
  <c r="BL172" i="7" s="1"/>
  <c r="BM173" i="7"/>
  <c r="BJ180" i="7"/>
  <c r="BK180" i="7" s="1"/>
  <c r="BL180" i="7" s="1"/>
  <c r="BM181" i="7"/>
  <c r="BJ188" i="7"/>
  <c r="BK188" i="7" s="1"/>
  <c r="BL188" i="7" s="1"/>
  <c r="BM189" i="7"/>
  <c r="BJ196" i="7"/>
  <c r="BK196" i="7" s="1"/>
  <c r="BL196" i="7" s="1"/>
  <c r="BM198" i="7"/>
  <c r="BJ206" i="7"/>
  <c r="BK206" i="7" s="1"/>
  <c r="BL206" i="7" s="1"/>
  <c r="BM207" i="7"/>
  <c r="BJ214" i="7"/>
  <c r="BK214" i="7" s="1"/>
  <c r="BL214" i="7" s="1"/>
  <c r="BM215" i="7"/>
  <c r="BJ219" i="7"/>
  <c r="BJ221" i="7"/>
  <c r="BK221" i="7" s="1"/>
  <c r="BL221" i="7" s="1"/>
  <c r="BM222" i="7"/>
  <c r="BJ260" i="7"/>
  <c r="BK260" i="7" s="1"/>
  <c r="BL260" i="7" s="1"/>
  <c r="BM261" i="7"/>
  <c r="BJ268" i="7"/>
  <c r="BK268" i="7" s="1"/>
  <c r="BL268" i="7" s="1"/>
  <c r="BM269" i="7"/>
  <c r="BJ341" i="7"/>
  <c r="BK341" i="7" s="1"/>
  <c r="BL341" i="7" s="1"/>
  <c r="BM342" i="7"/>
  <c r="BJ349" i="7"/>
  <c r="BK349" i="7" s="1"/>
  <c r="BL349" i="7" s="1"/>
  <c r="BM350" i="7"/>
  <c r="BJ466" i="7"/>
  <c r="BM466" i="7"/>
  <c r="BM693" i="7"/>
  <c r="BJ693" i="7"/>
  <c r="BK693" i="7" s="1"/>
  <c r="BL693" i="7" s="1"/>
  <c r="BM422" i="7"/>
  <c r="BJ422" i="7"/>
  <c r="BK422" i="7" s="1"/>
  <c r="BL422" i="7" s="1"/>
  <c r="BL466" i="7"/>
  <c r="BM470" i="7"/>
  <c r="BJ470" i="7"/>
  <c r="BK470" i="7" s="1"/>
  <c r="BL470" i="7" s="1"/>
  <c r="BM564" i="7"/>
  <c r="BJ709" i="7"/>
  <c r="BK709" i="7" s="1"/>
  <c r="BL709" i="7" s="1"/>
  <c r="BM709" i="7"/>
  <c r="BJ740" i="7"/>
  <c r="BK740" i="7" s="1"/>
  <c r="BL740" i="7" s="1"/>
  <c r="BM740" i="7"/>
  <c r="BM879" i="7"/>
  <c r="BJ879" i="7"/>
  <c r="BK879" i="7" s="1"/>
  <c r="BL879" i="7" s="1"/>
  <c r="BJ143" i="7"/>
  <c r="BK143" i="7" s="1"/>
  <c r="BL143" i="7" s="1"/>
  <c r="BJ174" i="7"/>
  <c r="BK174" i="7" s="1"/>
  <c r="BL174" i="7" s="1"/>
  <c r="BJ182" i="7"/>
  <c r="BK182" i="7" s="1"/>
  <c r="BL182" i="7" s="1"/>
  <c r="BJ190" i="7"/>
  <c r="BK190" i="7" s="1"/>
  <c r="BL190" i="7" s="1"/>
  <c r="BJ200" i="7"/>
  <c r="BK200" i="7" s="1"/>
  <c r="BL200" i="7" s="1"/>
  <c r="BJ208" i="7"/>
  <c r="BK208" i="7" s="1"/>
  <c r="BL208" i="7" s="1"/>
  <c r="BJ216" i="7"/>
  <c r="BK216" i="7" s="1"/>
  <c r="BL216" i="7" s="1"/>
  <c r="BJ254" i="7"/>
  <c r="BK254" i="7" s="1"/>
  <c r="BL254" i="7" s="1"/>
  <c r="BJ262" i="7"/>
  <c r="BK262" i="7" s="1"/>
  <c r="BL262" i="7" s="1"/>
  <c r="BJ270" i="7"/>
  <c r="BK270" i="7" s="1"/>
  <c r="BL270" i="7" s="1"/>
  <c r="BJ335" i="7"/>
  <c r="BK335" i="7" s="1"/>
  <c r="BL335" i="7" s="1"/>
  <c r="BJ343" i="7"/>
  <c r="BK343" i="7" s="1"/>
  <c r="BL343" i="7" s="1"/>
  <c r="BJ351" i="7"/>
  <c r="BK351" i="7" s="1"/>
  <c r="BL351" i="7" s="1"/>
  <c r="BJ356" i="7"/>
  <c r="BK356" i="7" s="1"/>
  <c r="BL356" i="7" s="1"/>
  <c r="BM454" i="7"/>
  <c r="BM463" i="7"/>
  <c r="BM467" i="7"/>
  <c r="BL467" i="7"/>
  <c r="BJ467" i="7"/>
  <c r="BM556" i="7"/>
  <c r="BJ644" i="7"/>
  <c r="BM644" i="7"/>
  <c r="BM734" i="7"/>
  <c r="BJ734" i="7"/>
  <c r="BK734" i="7" s="1"/>
  <c r="BL734" i="7" s="1"/>
  <c r="BM750" i="7"/>
  <c r="BJ750" i="7"/>
  <c r="BK750" i="7" s="1"/>
  <c r="BL750" i="7" s="1"/>
  <c r="BM400" i="7"/>
  <c r="BL400" i="7"/>
  <c r="BJ400" i="7"/>
  <c r="BM638" i="7"/>
  <c r="BJ638" i="7"/>
  <c r="BK638" i="7" s="1"/>
  <c r="BL638" i="7" s="1"/>
  <c r="BJ691" i="7"/>
  <c r="BK691" i="7" s="1"/>
  <c r="BL691" i="7" s="1"/>
  <c r="BM691" i="7"/>
  <c r="BM461" i="7"/>
  <c r="BJ461" i="7"/>
  <c r="BK461" i="7" s="1"/>
  <c r="BL461" i="7" s="1"/>
  <c r="BM560" i="7"/>
  <c r="BM685" i="7"/>
  <c r="BJ685" i="7"/>
  <c r="BK685" i="7" s="1"/>
  <c r="BL685" i="7" s="1"/>
  <c r="BM701" i="7"/>
  <c r="BJ701" i="7"/>
  <c r="BK701" i="7" s="1"/>
  <c r="BL701" i="7" s="1"/>
  <c r="BM885" i="7"/>
  <c r="BJ885" i="7"/>
  <c r="BK885" i="7" s="1"/>
  <c r="BL885" i="7" s="1"/>
  <c r="BM450" i="7"/>
  <c r="BM456" i="7"/>
  <c r="BJ456" i="7"/>
  <c r="BM468" i="7"/>
  <c r="BM552" i="7"/>
  <c r="BM630" i="7"/>
  <c r="BJ630" i="7"/>
  <c r="BK630" i="7" s="1"/>
  <c r="BL630" i="7" s="1"/>
  <c r="BJ732" i="7"/>
  <c r="BK732" i="7" s="1"/>
  <c r="BL732" i="7" s="1"/>
  <c r="BM732" i="7"/>
  <c r="BJ748" i="7"/>
  <c r="BK748" i="7" s="1"/>
  <c r="BL748" i="7" s="1"/>
  <c r="BM748" i="7"/>
  <c r="BM760" i="7"/>
  <c r="BJ760" i="7"/>
  <c r="BK760" i="7" s="1"/>
  <c r="BL760" i="7" s="1"/>
  <c r="BM757" i="7"/>
  <c r="BM877" i="7"/>
  <c r="BM883" i="7"/>
  <c r="BJ397" i="7"/>
  <c r="BK397" i="7" s="1"/>
  <c r="BL397" i="7" s="1"/>
  <c r="BJ421" i="7"/>
  <c r="BK421" i="7" s="1"/>
  <c r="BL421" i="7" s="1"/>
  <c r="BJ429" i="7"/>
  <c r="BK429" i="7" s="1"/>
  <c r="BL429" i="7" s="1"/>
  <c r="BJ455" i="7"/>
  <c r="BK455" i="7" s="1"/>
  <c r="BL455" i="7" s="1"/>
  <c r="BJ896" i="7"/>
  <c r="AM44" i="7"/>
  <c r="AM623" i="7"/>
  <c r="AM781" i="7"/>
  <c r="AM735" i="7"/>
  <c r="AE556" i="7"/>
  <c r="AK9" i="7"/>
  <c r="AL9" i="7" s="1"/>
  <c r="AK283" i="7"/>
  <c r="AL283" i="7" s="1"/>
  <c r="AK192" i="7"/>
  <c r="AL192" i="7" s="1"/>
  <c r="AK690" i="7"/>
  <c r="AL690" i="7" s="1"/>
  <c r="AK425" i="7"/>
  <c r="AL425" i="7" s="1"/>
  <c r="AM67" i="7"/>
  <c r="AK210" i="7"/>
  <c r="AL210" i="7" s="1"/>
  <c r="AM343" i="7"/>
  <c r="AM291" i="7"/>
  <c r="AK682" i="7"/>
  <c r="AL682" i="7" s="1"/>
  <c r="AB64" i="7"/>
  <c r="AC64" i="7" s="1"/>
  <c r="AD64" i="7" s="1"/>
  <c r="AE70" i="7"/>
  <c r="AM81" i="7"/>
  <c r="AM76" i="7"/>
  <c r="AK40" i="7"/>
  <c r="AL40" i="7" s="1"/>
  <c r="AK62" i="7"/>
  <c r="AL62" i="7" s="1"/>
  <c r="AK205" i="7"/>
  <c r="AL205" i="7" s="1"/>
  <c r="AM287" i="7"/>
  <c r="AM339" i="7"/>
  <c r="AB425" i="7"/>
  <c r="AC425" i="7" s="1"/>
  <c r="AD425" i="7" s="1"/>
  <c r="AM69" i="7"/>
  <c r="AK170" i="7"/>
  <c r="AL170" i="7" s="1"/>
  <c r="AK483" i="7"/>
  <c r="AL483" i="7" s="1"/>
  <c r="AM48" i="7"/>
  <c r="AK171" i="7"/>
  <c r="AL171" i="7" s="1"/>
  <c r="AK186" i="7"/>
  <c r="AL186" i="7" s="1"/>
  <c r="AM265" i="7"/>
  <c r="AM289" i="7"/>
  <c r="AM335" i="7"/>
  <c r="AM341" i="7"/>
  <c r="AE270" i="7"/>
  <c r="AK35" i="7"/>
  <c r="AL35" i="7" s="1"/>
  <c r="AM65" i="7"/>
  <c r="AK174" i="7"/>
  <c r="AL174" i="7" s="1"/>
  <c r="AK279" i="7"/>
  <c r="AL279" i="7" s="1"/>
  <c r="AM337" i="7"/>
  <c r="AK479" i="7"/>
  <c r="AL479" i="7" s="1"/>
  <c r="AK646" i="7"/>
  <c r="AL646" i="7" s="1"/>
  <c r="AM866" i="7"/>
  <c r="AM50" i="7"/>
  <c r="AK201" i="7"/>
  <c r="AL201" i="7" s="1"/>
  <c r="AK206" i="7"/>
  <c r="AL206" i="7" s="1"/>
  <c r="AK226" i="7"/>
  <c r="AL226" i="7" s="1"/>
  <c r="AK271" i="7"/>
  <c r="AL271" i="7" s="1"/>
  <c r="AM293" i="7"/>
  <c r="AK347" i="7"/>
  <c r="AL347" i="7" s="1"/>
  <c r="AK634" i="7"/>
  <c r="AL634" i="7" s="1"/>
  <c r="AM745" i="7"/>
  <c r="AM46" i="7"/>
  <c r="AK73" i="7"/>
  <c r="AL73" i="7" s="1"/>
  <c r="AK84" i="7"/>
  <c r="AL84" i="7" s="1"/>
  <c r="AK123" i="7"/>
  <c r="AL123" i="7" s="1"/>
  <c r="AM127" i="7"/>
  <c r="AK267" i="7"/>
  <c r="AL267" i="7" s="1"/>
  <c r="AK405" i="7"/>
  <c r="AL405" i="7" s="1"/>
  <c r="AK686" i="7"/>
  <c r="AL686" i="7" s="1"/>
  <c r="AM731" i="7"/>
  <c r="AM42" i="7"/>
  <c r="AM79" i="7"/>
  <c r="AK184" i="7"/>
  <c r="AL184" i="7" s="1"/>
  <c r="AK189" i="7"/>
  <c r="AL189" i="7" s="1"/>
  <c r="AK202" i="7"/>
  <c r="AL202" i="7" s="1"/>
  <c r="AK213" i="7"/>
  <c r="AL213" i="7" s="1"/>
  <c r="AM285" i="7"/>
  <c r="AK642" i="7"/>
  <c r="AL642" i="7" s="1"/>
  <c r="AM775" i="7"/>
  <c r="AM37" i="7"/>
  <c r="AM281" i="7"/>
  <c r="AK630" i="7"/>
  <c r="AL630" i="7" s="1"/>
  <c r="AK694" i="7"/>
  <c r="AL694" i="7" s="1"/>
  <c r="AM741" i="7"/>
  <c r="AM11" i="7"/>
  <c r="AK85" i="7"/>
  <c r="AL85" i="7" s="1"/>
  <c r="AK185" i="7"/>
  <c r="AL185" i="7" s="1"/>
  <c r="AK209" i="7"/>
  <c r="AL209" i="7" s="1"/>
  <c r="AK223" i="7"/>
  <c r="AL223" i="7" s="1"/>
  <c r="AM276" i="7"/>
  <c r="AM349" i="7"/>
  <c r="AK401" i="7"/>
  <c r="AL401" i="7" s="1"/>
  <c r="AM864" i="7"/>
  <c r="AK125" i="7"/>
  <c r="AL125" i="7" s="1"/>
  <c r="AM269" i="7"/>
  <c r="AM345" i="7"/>
  <c r="AM491" i="7"/>
  <c r="AK638" i="7"/>
  <c r="AL638" i="7" s="1"/>
  <c r="AM771" i="7"/>
  <c r="AK138" i="7"/>
  <c r="AL138" i="7" s="1"/>
  <c r="AK142" i="7"/>
  <c r="AL142" i="7" s="1"/>
  <c r="AK181" i="7"/>
  <c r="AL181" i="7" s="1"/>
  <c r="AK193" i="7"/>
  <c r="AL193" i="7" s="1"/>
  <c r="AK197" i="7"/>
  <c r="AL197" i="7" s="1"/>
  <c r="AK421" i="7"/>
  <c r="AL421" i="7" s="1"/>
  <c r="AM551" i="7"/>
  <c r="AM555" i="7"/>
  <c r="AM592" i="7"/>
  <c r="AM598" i="7"/>
  <c r="AM698" i="7"/>
  <c r="AM702" i="7"/>
  <c r="AK139" i="7"/>
  <c r="AL139" i="7" s="1"/>
  <c r="AK176" i="7"/>
  <c r="AL176" i="7" s="1"/>
  <c r="AK190" i="7"/>
  <c r="AL190" i="7" s="1"/>
  <c r="AK352" i="7"/>
  <c r="AL352" i="7" s="1"/>
  <c r="AK429" i="7"/>
  <c r="AL429" i="7" s="1"/>
  <c r="AK632" i="7"/>
  <c r="AL632" i="7" s="1"/>
  <c r="AK636" i="7"/>
  <c r="AL636" i="7" s="1"/>
  <c r="AK640" i="7"/>
  <c r="AL640" i="7" s="1"/>
  <c r="AK644" i="7"/>
  <c r="AL644" i="7" s="1"/>
  <c r="AK671" i="7"/>
  <c r="AL671" i="7" s="1"/>
  <c r="AK684" i="7"/>
  <c r="AL684" i="7" s="1"/>
  <c r="AK688" i="7"/>
  <c r="AL688" i="7" s="1"/>
  <c r="AK692" i="7"/>
  <c r="AL692" i="7" s="1"/>
  <c r="AM871" i="7"/>
  <c r="AK124" i="7"/>
  <c r="AL124" i="7" s="1"/>
  <c r="AM126" i="7"/>
  <c r="AK145" i="7"/>
  <c r="AL145" i="7" s="1"/>
  <c r="AK165" i="7"/>
  <c r="AL165" i="7" s="1"/>
  <c r="AK183" i="7"/>
  <c r="AL183" i="7" s="1"/>
  <c r="AK187" i="7"/>
  <c r="AL187" i="7" s="1"/>
  <c r="AK199" i="7"/>
  <c r="AL199" i="7" s="1"/>
  <c r="AK203" i="7"/>
  <c r="AL203" i="7" s="1"/>
  <c r="AK207" i="7"/>
  <c r="AL207" i="7" s="1"/>
  <c r="AK211" i="7"/>
  <c r="AL211" i="7" s="1"/>
  <c r="AK224" i="7"/>
  <c r="AL224" i="7" s="1"/>
  <c r="AM263" i="7"/>
  <c r="AK409" i="7"/>
  <c r="AL409" i="7" s="1"/>
  <c r="AK487" i="7"/>
  <c r="AL487" i="7" s="1"/>
  <c r="AK549" i="7"/>
  <c r="AL549" i="7" s="1"/>
  <c r="AK553" i="7"/>
  <c r="AL553" i="7" s="1"/>
  <c r="AK590" i="7"/>
  <c r="AL590" i="7" s="1"/>
  <c r="AK596" i="7"/>
  <c r="AL596" i="7" s="1"/>
  <c r="AK600" i="7"/>
  <c r="AL600" i="7" s="1"/>
  <c r="AK696" i="7"/>
  <c r="AL696" i="7" s="1"/>
  <c r="AK700" i="7"/>
  <c r="AL700" i="7" s="1"/>
  <c r="AK729" i="7"/>
  <c r="AL729" i="7" s="1"/>
  <c r="AK733" i="7"/>
  <c r="AL733" i="7" s="1"/>
  <c r="AK739" i="7"/>
  <c r="AL739" i="7" s="1"/>
  <c r="AK743" i="7"/>
  <c r="AL743" i="7" s="1"/>
  <c r="AK747" i="7"/>
  <c r="AL747" i="7" s="1"/>
  <c r="AK773" i="7"/>
  <c r="AL773" i="7" s="1"/>
  <c r="AM777" i="7"/>
  <c r="AK6" i="7"/>
  <c r="AL6" i="7" s="1"/>
  <c r="AK74" i="7"/>
  <c r="AL74" i="7" s="1"/>
  <c r="AK87" i="7"/>
  <c r="AL87" i="7" s="1"/>
  <c r="AK131" i="7"/>
  <c r="AL131" i="7" s="1"/>
  <c r="AK173" i="7"/>
  <c r="AL173" i="7" s="1"/>
  <c r="AK191" i="7"/>
  <c r="AL191" i="7" s="1"/>
  <c r="AK195" i="7"/>
  <c r="AL195" i="7" s="1"/>
  <c r="AK360" i="7"/>
  <c r="AL360" i="7" s="1"/>
  <c r="AK458" i="7"/>
  <c r="AL458" i="7" s="1"/>
  <c r="AK625" i="7"/>
  <c r="AL625" i="7" s="1"/>
  <c r="AK141" i="7"/>
  <c r="AL141" i="7" s="1"/>
  <c r="AK200" i="7"/>
  <c r="AL200" i="7" s="1"/>
  <c r="AK204" i="7"/>
  <c r="AL204" i="7" s="1"/>
  <c r="AK208" i="7"/>
  <c r="AL208" i="7" s="1"/>
  <c r="AK212" i="7"/>
  <c r="AL212" i="7" s="1"/>
  <c r="AK225" i="7"/>
  <c r="AL225" i="7" s="1"/>
  <c r="AM873" i="7"/>
  <c r="AB82" i="7"/>
  <c r="AC82" i="7" s="1"/>
  <c r="AD82" i="7" s="1"/>
  <c r="AE193" i="7"/>
  <c r="AE548" i="7"/>
  <c r="AM779" i="7"/>
  <c r="AK356" i="7"/>
  <c r="AL356" i="7" s="1"/>
  <c r="AK451" i="7"/>
  <c r="AL451" i="7" s="1"/>
  <c r="AM10" i="7"/>
  <c r="AM14" i="7"/>
  <c r="AM36" i="7"/>
  <c r="AM39" i="7"/>
  <c r="AM41" i="7"/>
  <c r="AM43" i="7"/>
  <c r="AM45" i="7"/>
  <c r="AM47" i="7"/>
  <c r="AM49" i="7"/>
  <c r="AM51" i="7"/>
  <c r="AM64" i="7"/>
  <c r="AM66" i="7"/>
  <c r="AM68" i="7"/>
  <c r="AM75" i="7"/>
  <c r="AK78" i="7"/>
  <c r="AL78" i="7" s="1"/>
  <c r="AK130" i="7"/>
  <c r="AL130" i="7" s="1"/>
  <c r="AK148" i="7"/>
  <c r="AL148" i="7" s="1"/>
  <c r="AK151" i="7"/>
  <c r="AL151" i="7" s="1"/>
  <c r="AK179" i="7"/>
  <c r="AL179" i="7" s="1"/>
  <c r="AK182" i="7"/>
  <c r="AL182" i="7" s="1"/>
  <c r="AK198" i="7"/>
  <c r="AL198" i="7" s="1"/>
  <c r="AK254" i="7"/>
  <c r="AL254" i="7" s="1"/>
  <c r="AM254" i="7"/>
  <c r="AK262" i="7"/>
  <c r="AL262" i="7" s="1"/>
  <c r="AM262" i="7"/>
  <c r="AK146" i="7"/>
  <c r="AL146" i="7" s="1"/>
  <c r="AK149" i="7"/>
  <c r="AL149" i="7" s="1"/>
  <c r="AK177" i="7"/>
  <c r="AL177" i="7" s="1"/>
  <c r="AK180" i="7"/>
  <c r="AL180" i="7" s="1"/>
  <c r="AK196" i="7"/>
  <c r="AL196" i="7" s="1"/>
  <c r="AK256" i="7"/>
  <c r="AL256" i="7" s="1"/>
  <c r="AM256" i="7"/>
  <c r="AK268" i="7"/>
  <c r="AL268" i="7" s="1"/>
  <c r="AM268" i="7"/>
  <c r="AK272" i="7"/>
  <c r="AL272" i="7" s="1"/>
  <c r="AM272" i="7"/>
  <c r="AK280" i="7"/>
  <c r="AL280" i="7" s="1"/>
  <c r="AM280" i="7"/>
  <c r="AK264" i="7"/>
  <c r="AL264" i="7" s="1"/>
  <c r="AM264" i="7"/>
  <c r="AK77" i="7"/>
  <c r="AL77" i="7" s="1"/>
  <c r="AK128" i="7"/>
  <c r="AL128" i="7" s="1"/>
  <c r="AK132" i="7"/>
  <c r="AL132" i="7" s="1"/>
  <c r="AK150" i="7"/>
  <c r="AL150" i="7" s="1"/>
  <c r="AK168" i="7"/>
  <c r="AL168" i="7" s="1"/>
  <c r="AK258" i="7"/>
  <c r="AL258" i="7" s="1"/>
  <c r="AM258" i="7"/>
  <c r="AK72" i="7"/>
  <c r="AL72" i="7" s="1"/>
  <c r="AK80" i="7"/>
  <c r="AL80" i="7" s="1"/>
  <c r="AK83" i="7"/>
  <c r="AL83" i="7" s="1"/>
  <c r="AK144" i="7"/>
  <c r="AL144" i="7" s="1"/>
  <c r="AK147" i="7"/>
  <c r="AL147" i="7" s="1"/>
  <c r="AK175" i="7"/>
  <c r="AL175" i="7" s="1"/>
  <c r="AK178" i="7"/>
  <c r="AL178" i="7" s="1"/>
  <c r="AK194" i="7"/>
  <c r="AL194" i="7" s="1"/>
  <c r="AK86" i="7"/>
  <c r="AL86" i="7" s="1"/>
  <c r="AK137" i="7"/>
  <c r="AL137" i="7" s="1"/>
  <c r="AK140" i="7"/>
  <c r="AL140" i="7" s="1"/>
  <c r="AK169" i="7"/>
  <c r="AL169" i="7" s="1"/>
  <c r="AK172" i="7"/>
  <c r="AL172" i="7" s="1"/>
  <c r="AK188" i="7"/>
  <c r="AL188" i="7" s="1"/>
  <c r="AK260" i="7"/>
  <c r="AL260" i="7" s="1"/>
  <c r="AM260" i="7"/>
  <c r="AK266" i="7"/>
  <c r="AL266" i="7" s="1"/>
  <c r="AM266" i="7"/>
  <c r="AK270" i="7"/>
  <c r="AL270" i="7" s="1"/>
  <c r="AM270" i="7"/>
  <c r="AK278" i="7"/>
  <c r="AL278" i="7" s="1"/>
  <c r="AM278" i="7"/>
  <c r="AM282" i="7"/>
  <c r="AM284" i="7"/>
  <c r="AM286" i="7"/>
  <c r="AM288" i="7"/>
  <c r="AM290" i="7"/>
  <c r="AM292" i="7"/>
  <c r="AM308" i="7"/>
  <c r="AM336" i="7"/>
  <c r="AM338" i="7"/>
  <c r="AM340" i="7"/>
  <c r="AM342" i="7"/>
  <c r="AM344" i="7"/>
  <c r="AM346" i="7"/>
  <c r="AM348" i="7"/>
  <c r="AM351" i="7"/>
  <c r="AK351" i="7"/>
  <c r="AL351" i="7" s="1"/>
  <c r="AM355" i="7"/>
  <c r="AK355" i="7"/>
  <c r="AL355" i="7" s="1"/>
  <c r="AM359" i="7"/>
  <c r="AK359" i="7"/>
  <c r="AL359" i="7" s="1"/>
  <c r="AM399" i="7"/>
  <c r="AK399" i="7"/>
  <c r="AL399" i="7" s="1"/>
  <c r="AM404" i="7"/>
  <c r="AK404" i="7"/>
  <c r="AL404" i="7" s="1"/>
  <c r="AM408" i="7"/>
  <c r="AK408" i="7"/>
  <c r="AL408" i="7" s="1"/>
  <c r="AM420" i="7"/>
  <c r="AK420" i="7"/>
  <c r="AL420" i="7" s="1"/>
  <c r="AM424" i="7"/>
  <c r="AK424" i="7"/>
  <c r="AL424" i="7" s="1"/>
  <c r="AM428" i="7"/>
  <c r="AK428" i="7"/>
  <c r="AL428" i="7" s="1"/>
  <c r="AM450" i="7"/>
  <c r="AK450" i="7"/>
  <c r="AL450" i="7" s="1"/>
  <c r="AM457" i="7"/>
  <c r="AK457" i="7"/>
  <c r="AL457" i="7" s="1"/>
  <c r="AM464" i="7"/>
  <c r="AK464" i="7"/>
  <c r="AL464" i="7" s="1"/>
  <c r="AM482" i="7"/>
  <c r="AK482" i="7"/>
  <c r="AL482" i="7" s="1"/>
  <c r="AM486" i="7"/>
  <c r="AK486" i="7"/>
  <c r="AL486" i="7" s="1"/>
  <c r="AM490" i="7"/>
  <c r="AK490" i="7"/>
  <c r="AL490" i="7" s="1"/>
  <c r="AK255" i="7"/>
  <c r="AL255" i="7" s="1"/>
  <c r="AK257" i="7"/>
  <c r="AL257" i="7" s="1"/>
  <c r="AK259" i="7"/>
  <c r="AL259" i="7" s="1"/>
  <c r="AK261" i="7"/>
  <c r="AL261" i="7" s="1"/>
  <c r="AM631" i="7"/>
  <c r="AK631" i="7"/>
  <c r="AL631" i="7" s="1"/>
  <c r="AM635" i="7"/>
  <c r="AK635" i="7"/>
  <c r="AL635" i="7" s="1"/>
  <c r="AM639" i="7"/>
  <c r="AK639" i="7"/>
  <c r="AL639" i="7" s="1"/>
  <c r="AM643" i="7"/>
  <c r="AK643" i="7"/>
  <c r="AL643" i="7" s="1"/>
  <c r="AM668" i="7"/>
  <c r="AK668" i="7"/>
  <c r="AL668" i="7" s="1"/>
  <c r="AM683" i="7"/>
  <c r="AK683" i="7"/>
  <c r="AL683" i="7" s="1"/>
  <c r="AM687" i="7"/>
  <c r="AK687" i="7"/>
  <c r="AL687" i="7" s="1"/>
  <c r="AM691" i="7"/>
  <c r="AK691" i="7"/>
  <c r="AL691" i="7" s="1"/>
  <c r="AM548" i="7"/>
  <c r="AK548" i="7"/>
  <c r="AL548" i="7" s="1"/>
  <c r="AM552" i="7"/>
  <c r="AK552" i="7"/>
  <c r="AL552" i="7" s="1"/>
  <c r="AM556" i="7"/>
  <c r="AK556" i="7"/>
  <c r="AL556" i="7" s="1"/>
  <c r="AM595" i="7"/>
  <c r="AK595" i="7"/>
  <c r="AL595" i="7" s="1"/>
  <c r="AM599" i="7"/>
  <c r="AK599" i="7"/>
  <c r="AL599" i="7" s="1"/>
  <c r="AM780" i="7"/>
  <c r="AK780" i="7"/>
  <c r="AL780" i="7" s="1"/>
  <c r="AM865" i="7"/>
  <c r="AK865" i="7"/>
  <c r="AL865" i="7" s="1"/>
  <c r="AM872" i="7"/>
  <c r="AK872" i="7"/>
  <c r="AL872" i="7" s="1"/>
  <c r="AM353" i="7"/>
  <c r="AK353" i="7"/>
  <c r="AL353" i="7" s="1"/>
  <c r="AM357" i="7"/>
  <c r="AK357" i="7"/>
  <c r="AL357" i="7" s="1"/>
  <c r="AM397" i="7"/>
  <c r="AK397" i="7"/>
  <c r="AL397" i="7" s="1"/>
  <c r="AM402" i="7"/>
  <c r="AK402" i="7"/>
  <c r="AL402" i="7" s="1"/>
  <c r="AM406" i="7"/>
  <c r="AK406" i="7"/>
  <c r="AL406" i="7" s="1"/>
  <c r="AM410" i="7"/>
  <c r="AK410" i="7"/>
  <c r="AL410" i="7" s="1"/>
  <c r="AM422" i="7"/>
  <c r="AK422" i="7"/>
  <c r="AL422" i="7" s="1"/>
  <c r="AM426" i="7"/>
  <c r="AK426" i="7"/>
  <c r="AL426" i="7" s="1"/>
  <c r="AM430" i="7"/>
  <c r="AK430" i="7"/>
  <c r="AL430" i="7" s="1"/>
  <c r="AM452" i="7"/>
  <c r="AK452" i="7"/>
  <c r="AL452" i="7" s="1"/>
  <c r="AM459" i="7"/>
  <c r="AK459" i="7"/>
  <c r="AL459" i="7" s="1"/>
  <c r="AM480" i="7"/>
  <c r="AK480" i="7"/>
  <c r="AL480" i="7" s="1"/>
  <c r="AM484" i="7"/>
  <c r="AK484" i="7"/>
  <c r="AL484" i="7" s="1"/>
  <c r="AM488" i="7"/>
  <c r="AK488" i="7"/>
  <c r="AL488" i="7" s="1"/>
  <c r="AM624" i="7"/>
  <c r="AK624" i="7"/>
  <c r="AL624" i="7" s="1"/>
  <c r="AK350" i="7"/>
  <c r="AL350" i="7" s="1"/>
  <c r="AK354" i="7"/>
  <c r="AL354" i="7" s="1"/>
  <c r="AK358" i="7"/>
  <c r="AL358" i="7" s="1"/>
  <c r="AK398" i="7"/>
  <c r="AL398" i="7" s="1"/>
  <c r="AK403" i="7"/>
  <c r="AL403" i="7" s="1"/>
  <c r="AK407" i="7"/>
  <c r="AL407" i="7" s="1"/>
  <c r="AK411" i="7"/>
  <c r="AL411" i="7" s="1"/>
  <c r="AK423" i="7"/>
  <c r="AL423" i="7" s="1"/>
  <c r="AK427" i="7"/>
  <c r="AL427" i="7" s="1"/>
  <c r="AK432" i="7"/>
  <c r="AL432" i="7" s="1"/>
  <c r="AK453" i="7"/>
  <c r="AL453" i="7" s="1"/>
  <c r="AK463" i="7"/>
  <c r="AL463" i="7" s="1"/>
  <c r="AK481" i="7"/>
  <c r="AL481" i="7" s="1"/>
  <c r="AK485" i="7"/>
  <c r="AL485" i="7" s="1"/>
  <c r="AK489" i="7"/>
  <c r="AL489" i="7" s="1"/>
  <c r="AM633" i="7"/>
  <c r="AK633" i="7"/>
  <c r="AL633" i="7" s="1"/>
  <c r="AM637" i="7"/>
  <c r="AK637" i="7"/>
  <c r="AL637" i="7" s="1"/>
  <c r="AM641" i="7"/>
  <c r="AK641" i="7"/>
  <c r="AL641" i="7" s="1"/>
  <c r="AM645" i="7"/>
  <c r="AK645" i="7"/>
  <c r="AL645" i="7" s="1"/>
  <c r="AM681" i="7"/>
  <c r="AK681" i="7"/>
  <c r="AL681" i="7" s="1"/>
  <c r="AM685" i="7"/>
  <c r="AK685" i="7"/>
  <c r="AL685" i="7" s="1"/>
  <c r="AM689" i="7"/>
  <c r="AK689" i="7"/>
  <c r="AL689" i="7" s="1"/>
  <c r="AM693" i="7"/>
  <c r="AK693" i="7"/>
  <c r="AL693" i="7" s="1"/>
  <c r="AM899" i="7"/>
  <c r="AK899" i="7"/>
  <c r="AL899" i="7" s="1"/>
  <c r="AM550" i="7"/>
  <c r="AK550" i="7"/>
  <c r="AL550" i="7" s="1"/>
  <c r="AM554" i="7"/>
  <c r="AK554" i="7"/>
  <c r="AL554" i="7" s="1"/>
  <c r="AM591" i="7"/>
  <c r="AK591" i="7"/>
  <c r="AL591" i="7" s="1"/>
  <c r="AM597" i="7"/>
  <c r="AK597" i="7"/>
  <c r="AL597" i="7" s="1"/>
  <c r="AM778" i="7"/>
  <c r="AK778" i="7"/>
  <c r="AL778" i="7" s="1"/>
  <c r="AM863" i="7"/>
  <c r="AK863" i="7"/>
  <c r="AL863" i="7" s="1"/>
  <c r="AM867" i="7"/>
  <c r="AK867" i="7"/>
  <c r="AL867" i="7" s="1"/>
  <c r="AK697" i="7"/>
  <c r="AL697" i="7" s="1"/>
  <c r="AK699" i="7"/>
  <c r="AL699" i="7" s="1"/>
  <c r="AK701" i="7"/>
  <c r="AL701" i="7" s="1"/>
  <c r="AK714" i="7"/>
  <c r="AL714" i="7" s="1"/>
  <c r="AK730" i="7"/>
  <c r="AL730" i="7" s="1"/>
  <c r="AK732" i="7"/>
  <c r="AL732" i="7" s="1"/>
  <c r="AK734" i="7"/>
  <c r="AL734" i="7" s="1"/>
  <c r="AK738" i="7"/>
  <c r="AL738" i="7" s="1"/>
  <c r="AK740" i="7"/>
  <c r="AL740" i="7" s="1"/>
  <c r="AK742" i="7"/>
  <c r="AL742" i="7" s="1"/>
  <c r="AK744" i="7"/>
  <c r="AL744" i="7" s="1"/>
  <c r="AK746" i="7"/>
  <c r="AL746" i="7" s="1"/>
  <c r="AK748" i="7"/>
  <c r="AL748" i="7" s="1"/>
  <c r="AK772" i="7"/>
  <c r="AL772" i="7" s="1"/>
  <c r="AK774" i="7"/>
  <c r="AL774" i="7" s="1"/>
  <c r="AE869" i="7"/>
  <c r="AB876" i="7"/>
  <c r="AC876" i="7" s="1"/>
  <c r="AD876" i="7" s="1"/>
  <c r="AE686" i="7"/>
  <c r="AB454" i="7"/>
  <c r="AC454" i="7" s="1"/>
  <c r="AD454" i="7" s="1"/>
  <c r="V411" i="7"/>
  <c r="AE256" i="7"/>
  <c r="AB633" i="7"/>
  <c r="AC633" i="7" s="1"/>
  <c r="AD633" i="7" s="1"/>
  <c r="T100" i="7"/>
  <c r="U100" i="7" s="1"/>
  <c r="V184" i="7"/>
  <c r="AE41" i="7"/>
  <c r="AE136" i="7"/>
  <c r="AE182" i="7"/>
  <c r="AB734" i="7"/>
  <c r="AC734" i="7" s="1"/>
  <c r="AD734" i="7" s="1"/>
  <c r="AB689" i="7"/>
  <c r="AC689" i="7" s="1"/>
  <c r="AD689" i="7" s="1"/>
  <c r="AB766" i="7"/>
  <c r="AC766" i="7" s="1"/>
  <c r="AD766" i="7" s="1"/>
  <c r="T110" i="7"/>
  <c r="U110" i="7" s="1"/>
  <c r="V189" i="7"/>
  <c r="AE636" i="7"/>
  <c r="AB685" i="7"/>
  <c r="AC685" i="7" s="1"/>
  <c r="AD685" i="7" s="1"/>
  <c r="AE6" i="7"/>
  <c r="AE426" i="7"/>
  <c r="AE471" i="7"/>
  <c r="AB703" i="7"/>
  <c r="AC703" i="7" s="1"/>
  <c r="AD703" i="7" s="1"/>
  <c r="AB740" i="7"/>
  <c r="AC740" i="7" s="1"/>
  <c r="AD740" i="7" s="1"/>
  <c r="AE879" i="7"/>
  <c r="AB893" i="7"/>
  <c r="AC893" i="7" s="1"/>
  <c r="AD893" i="7" s="1"/>
  <c r="AE94" i="7"/>
  <c r="AE178" i="7"/>
  <c r="AB184" i="7"/>
  <c r="AC184" i="7" s="1"/>
  <c r="AD184" i="7" s="1"/>
  <c r="AB339" i="7"/>
  <c r="AC339" i="7" s="1"/>
  <c r="AD339" i="7" s="1"/>
  <c r="AB354" i="7"/>
  <c r="AC354" i="7" s="1"/>
  <c r="AD354" i="7" s="1"/>
  <c r="AE361" i="7"/>
  <c r="AB693" i="7"/>
  <c r="AC693" i="7" s="1"/>
  <c r="AD693" i="7" s="1"/>
  <c r="AB699" i="7"/>
  <c r="AC699" i="7" s="1"/>
  <c r="AD699" i="7" s="1"/>
  <c r="AE757" i="7"/>
  <c r="AB764" i="7"/>
  <c r="AC764" i="7" s="1"/>
  <c r="AD764" i="7" s="1"/>
  <c r="AB894" i="7"/>
  <c r="AC894" i="7" s="1"/>
  <c r="AD894" i="7" s="1"/>
  <c r="V376" i="7"/>
  <c r="T1013" i="7"/>
  <c r="U1013" i="7" s="1"/>
  <c r="AB8" i="7"/>
  <c r="AC8" i="7" s="1"/>
  <c r="AD8" i="7" s="1"/>
  <c r="V418" i="7"/>
  <c r="T639" i="7"/>
  <c r="U639" i="7" s="1"/>
  <c r="AE199" i="7"/>
  <c r="AB462" i="7"/>
  <c r="AC462" i="7" s="1"/>
  <c r="AD462" i="7" s="1"/>
  <c r="AB468" i="7"/>
  <c r="AC468" i="7" s="1"/>
  <c r="AD468" i="7" s="1"/>
  <c r="AE694" i="7"/>
  <c r="AE78" i="7"/>
  <c r="AB92" i="7"/>
  <c r="AC92" i="7" s="1"/>
  <c r="AD92" i="7" s="1"/>
  <c r="AE175" i="7"/>
  <c r="AE262" i="7"/>
  <c r="AE463" i="7"/>
  <c r="AE550" i="7"/>
  <c r="AE702" i="7"/>
  <c r="AB878" i="7"/>
  <c r="AC878" i="7" s="1"/>
  <c r="AD878" i="7" s="1"/>
  <c r="AB884" i="7"/>
  <c r="AC884" i="7" s="1"/>
  <c r="AD884" i="7" s="1"/>
  <c r="T27" i="7"/>
  <c r="U27" i="7" s="1"/>
  <c r="T33" i="7"/>
  <c r="U33" i="7" s="1"/>
  <c r="T108" i="7"/>
  <c r="U108" i="7" s="1"/>
  <c r="T432" i="7"/>
  <c r="U432" i="7" s="1"/>
  <c r="V463" i="7"/>
  <c r="AE73" i="7"/>
  <c r="AB138" i="7"/>
  <c r="AC138" i="7" s="1"/>
  <c r="AD138" i="7" s="1"/>
  <c r="AE167" i="7"/>
  <c r="AB208" i="7"/>
  <c r="AC208" i="7" s="1"/>
  <c r="AD208" i="7" s="1"/>
  <c r="AE264" i="7"/>
  <c r="AE337" i="7"/>
  <c r="AE398" i="7"/>
  <c r="AE423" i="7"/>
  <c r="AB456" i="7"/>
  <c r="AC456" i="7" s="1"/>
  <c r="AD456" i="7" s="1"/>
  <c r="AB643" i="7"/>
  <c r="AC643" i="7" s="1"/>
  <c r="AD643" i="7" s="1"/>
  <c r="AB707" i="7"/>
  <c r="AC707" i="7" s="1"/>
  <c r="AD707" i="7" s="1"/>
  <c r="T51" i="7"/>
  <c r="U51" i="7" s="1"/>
  <c r="T65" i="7"/>
  <c r="U65" i="7" s="1"/>
  <c r="V102" i="7"/>
  <c r="V286" i="7"/>
  <c r="V677" i="7"/>
  <c r="AB185" i="7"/>
  <c r="AC185" i="7" s="1"/>
  <c r="AD185" i="7" s="1"/>
  <c r="AE202" i="7"/>
  <c r="AB452" i="7"/>
  <c r="AC452" i="7" s="1"/>
  <c r="AD452" i="7" s="1"/>
  <c r="AB10" i="7"/>
  <c r="AC10" i="7" s="1"/>
  <c r="AD10" i="7" s="1"/>
  <c r="AE46" i="7"/>
  <c r="AB74" i="7"/>
  <c r="AC74" i="7" s="1"/>
  <c r="AD74" i="7" s="1"/>
  <c r="AE86" i="7"/>
  <c r="AB91" i="7"/>
  <c r="AC91" i="7" s="1"/>
  <c r="AD91" i="7" s="1"/>
  <c r="AB168" i="7"/>
  <c r="AC168" i="7" s="1"/>
  <c r="AD168" i="7" s="1"/>
  <c r="AE209" i="7"/>
  <c r="AB255" i="7"/>
  <c r="AC255" i="7" s="1"/>
  <c r="AD255" i="7" s="1"/>
  <c r="AE399" i="7"/>
  <c r="AB424" i="7"/>
  <c r="AC424" i="7" s="1"/>
  <c r="AD424" i="7" s="1"/>
  <c r="AB470" i="7"/>
  <c r="AC470" i="7" s="1"/>
  <c r="AD470" i="7" s="1"/>
  <c r="AB555" i="7"/>
  <c r="AC555" i="7" s="1"/>
  <c r="AD555" i="7" s="1"/>
  <c r="AE708" i="7"/>
  <c r="AB736" i="7"/>
  <c r="AC736" i="7" s="1"/>
  <c r="AD736" i="7" s="1"/>
  <c r="AE749" i="7"/>
  <c r="AB732" i="7"/>
  <c r="AC732" i="7" s="1"/>
  <c r="AD732" i="7" s="1"/>
  <c r="AB744" i="7"/>
  <c r="AC744" i="7" s="1"/>
  <c r="AD744" i="7" s="1"/>
  <c r="AE885" i="7"/>
  <c r="T31" i="7"/>
  <c r="U31" i="7" s="1"/>
  <c r="AE88" i="7"/>
  <c r="AE170" i="7"/>
  <c r="AE348" i="7"/>
  <c r="AE431" i="7"/>
  <c r="AB478" i="7"/>
  <c r="AC478" i="7" s="1"/>
  <c r="AD478" i="7" s="1"/>
  <c r="AE564" i="7"/>
  <c r="T594" i="7"/>
  <c r="U594" i="7" s="1"/>
  <c r="AE65" i="7"/>
  <c r="AE83" i="7"/>
  <c r="AE194" i="7"/>
  <c r="AB200" i="7"/>
  <c r="AC200" i="7" s="1"/>
  <c r="AD200" i="7" s="1"/>
  <c r="AE257" i="7"/>
  <c r="AB263" i="7"/>
  <c r="AC263" i="7" s="1"/>
  <c r="AD263" i="7" s="1"/>
  <c r="AE397" i="7"/>
  <c r="AE455" i="7"/>
  <c r="AB472" i="7"/>
  <c r="AC472" i="7" s="1"/>
  <c r="AD472" i="7" s="1"/>
  <c r="AE642" i="7"/>
  <c r="AE886" i="7"/>
  <c r="T47" i="7"/>
  <c r="U47" i="7" s="1"/>
  <c r="T83" i="7"/>
  <c r="U83" i="7" s="1"/>
  <c r="T178" i="7"/>
  <c r="U178" i="7" s="1"/>
  <c r="T536" i="7"/>
  <c r="U536" i="7" s="1"/>
  <c r="V675" i="7"/>
  <c r="T681" i="7"/>
  <c r="U681" i="7" s="1"/>
  <c r="T873" i="7"/>
  <c r="U873" i="7" s="1"/>
  <c r="T1054" i="7"/>
  <c r="U1054" i="7" s="1"/>
  <c r="AB95" i="7"/>
  <c r="AC95" i="7" s="1"/>
  <c r="AD95" i="7" s="1"/>
  <c r="AE132" i="7"/>
  <c r="AB176" i="7"/>
  <c r="AC176" i="7" s="1"/>
  <c r="AD176" i="7" s="1"/>
  <c r="AE215" i="7"/>
  <c r="AE265" i="7"/>
  <c r="AB271" i="7"/>
  <c r="AC271" i="7" s="1"/>
  <c r="AD271" i="7" s="1"/>
  <c r="AE345" i="7"/>
  <c r="AB460" i="7"/>
  <c r="AC460" i="7" s="1"/>
  <c r="AD460" i="7" s="1"/>
  <c r="AB464" i="7"/>
  <c r="AC464" i="7" s="1"/>
  <c r="AD464" i="7" s="1"/>
  <c r="AB561" i="7"/>
  <c r="AC561" i="7" s="1"/>
  <c r="AD561" i="7" s="1"/>
  <c r="AB565" i="7"/>
  <c r="AC565" i="7" s="1"/>
  <c r="AD565" i="7" s="1"/>
  <c r="AB637" i="7"/>
  <c r="AC637" i="7" s="1"/>
  <c r="AD637" i="7" s="1"/>
  <c r="AB754" i="7"/>
  <c r="AC754" i="7" s="1"/>
  <c r="AD754" i="7" s="1"/>
  <c r="AB758" i="7"/>
  <c r="AC758" i="7" s="1"/>
  <c r="AD758" i="7" s="1"/>
  <c r="AE870" i="7"/>
  <c r="T555" i="7"/>
  <c r="U555" i="7" s="1"/>
  <c r="T670" i="7"/>
  <c r="U670" i="7" s="1"/>
  <c r="T676" i="7"/>
  <c r="U676" i="7" s="1"/>
  <c r="T845" i="7"/>
  <c r="U845" i="7" s="1"/>
  <c r="T1021" i="7"/>
  <c r="U1021" i="7" s="1"/>
  <c r="AB38" i="7"/>
  <c r="AC38" i="7" s="1"/>
  <c r="AD38" i="7" s="1"/>
  <c r="AB80" i="7"/>
  <c r="AC80" i="7" s="1"/>
  <c r="AD80" i="7" s="1"/>
  <c r="AB130" i="7"/>
  <c r="AC130" i="7" s="1"/>
  <c r="AD130" i="7" s="1"/>
  <c r="AB133" i="7"/>
  <c r="AC133" i="7" s="1"/>
  <c r="AD133" i="7" s="1"/>
  <c r="AE191" i="7"/>
  <c r="AB216" i="7"/>
  <c r="AC216" i="7" s="1"/>
  <c r="AD216" i="7" s="1"/>
  <c r="AB272" i="7"/>
  <c r="AC272" i="7" s="1"/>
  <c r="AD272" i="7" s="1"/>
  <c r="AE340" i="7"/>
  <c r="AB346" i="7"/>
  <c r="AC346" i="7" s="1"/>
  <c r="AD346" i="7" s="1"/>
  <c r="AB355" i="7"/>
  <c r="AC355" i="7" s="1"/>
  <c r="AD355" i="7" s="1"/>
  <c r="AE634" i="7"/>
  <c r="AB683" i="7"/>
  <c r="AC683" i="7" s="1"/>
  <c r="AD683" i="7" s="1"/>
  <c r="AB691" i="7"/>
  <c r="AC691" i="7" s="1"/>
  <c r="AD691" i="7" s="1"/>
  <c r="AB695" i="7"/>
  <c r="AC695" i="7" s="1"/>
  <c r="AD695" i="7" s="1"/>
  <c r="AE700" i="7"/>
  <c r="AB713" i="7"/>
  <c r="AC713" i="7" s="1"/>
  <c r="AD713" i="7" s="1"/>
  <c r="AE755" i="7"/>
  <c r="AE871" i="7"/>
  <c r="AB892" i="7"/>
  <c r="AC892" i="7" s="1"/>
  <c r="AD892" i="7" s="1"/>
  <c r="T77" i="7"/>
  <c r="U77" i="7" s="1"/>
  <c r="T49" i="7"/>
  <c r="U49" i="7" s="1"/>
  <c r="T85" i="7"/>
  <c r="U85" i="7" s="1"/>
  <c r="V106" i="7"/>
  <c r="V180" i="7"/>
  <c r="V380" i="7"/>
  <c r="T527" i="7"/>
  <c r="U527" i="7" s="1"/>
  <c r="T643" i="7"/>
  <c r="U643" i="7" s="1"/>
  <c r="T683" i="7"/>
  <c r="U683" i="7" s="1"/>
  <c r="AE11" i="7"/>
  <c r="AE47" i="7"/>
  <c r="AE52" i="7"/>
  <c r="AB66" i="7"/>
  <c r="AC66" i="7" s="1"/>
  <c r="AD66" i="7" s="1"/>
  <c r="AE75" i="7"/>
  <c r="AE89" i="7"/>
  <c r="AE93" i="7"/>
  <c r="AB169" i="7"/>
  <c r="AC169" i="7" s="1"/>
  <c r="AD169" i="7" s="1"/>
  <c r="AB173" i="7"/>
  <c r="AC173" i="7" s="1"/>
  <c r="AD173" i="7" s="1"/>
  <c r="AB177" i="7"/>
  <c r="AC177" i="7" s="1"/>
  <c r="AD177" i="7" s="1"/>
  <c r="AB201" i="7"/>
  <c r="AC201" i="7" s="1"/>
  <c r="AD201" i="7" s="1"/>
  <c r="AE465" i="7"/>
  <c r="AB553" i="7"/>
  <c r="AC553" i="7" s="1"/>
  <c r="AD553" i="7" s="1"/>
  <c r="AB557" i="7"/>
  <c r="AC557" i="7" s="1"/>
  <c r="AD557" i="7" s="1"/>
  <c r="AB563" i="7"/>
  <c r="AC563" i="7" s="1"/>
  <c r="AD563" i="7" s="1"/>
  <c r="AE630" i="7"/>
  <c r="AE644" i="7"/>
  <c r="AB687" i="7"/>
  <c r="AC687" i="7" s="1"/>
  <c r="AD687" i="7" s="1"/>
  <c r="AB705" i="7"/>
  <c r="AC705" i="7" s="1"/>
  <c r="AD705" i="7" s="1"/>
  <c r="AB709" i="7"/>
  <c r="AC709" i="7" s="1"/>
  <c r="AD709" i="7" s="1"/>
  <c r="AE741" i="7"/>
  <c r="AB746" i="7"/>
  <c r="AC746" i="7" s="1"/>
  <c r="AD746" i="7" s="1"/>
  <c r="AB750" i="7"/>
  <c r="AC750" i="7" s="1"/>
  <c r="AD750" i="7" s="1"/>
  <c r="AB770" i="7"/>
  <c r="AC770" i="7" s="1"/>
  <c r="AD770" i="7" s="1"/>
  <c r="AB880" i="7"/>
  <c r="AC880" i="7" s="1"/>
  <c r="AD880" i="7" s="1"/>
  <c r="AE887" i="7"/>
  <c r="T42" i="7"/>
  <c r="U42" i="7" s="1"/>
  <c r="T442" i="7"/>
  <c r="U442" i="7" s="1"/>
  <c r="AB72" i="7"/>
  <c r="AC72" i="7" s="1"/>
  <c r="AD72" i="7" s="1"/>
  <c r="AB137" i="7"/>
  <c r="AC137" i="7" s="1"/>
  <c r="AD137" i="7" s="1"/>
  <c r="AE186" i="7"/>
  <c r="AB192" i="7"/>
  <c r="AC192" i="7" s="1"/>
  <c r="AD192" i="7" s="1"/>
  <c r="AE207" i="7"/>
  <c r="AB217" i="7"/>
  <c r="AC217" i="7" s="1"/>
  <c r="AD217" i="7" s="1"/>
  <c r="AE254" i="7"/>
  <c r="AB347" i="7"/>
  <c r="AC347" i="7" s="1"/>
  <c r="AD347" i="7" s="1"/>
  <c r="AB476" i="7"/>
  <c r="AC476" i="7" s="1"/>
  <c r="AD476" i="7" s="1"/>
  <c r="AB549" i="7"/>
  <c r="AC549" i="7" s="1"/>
  <c r="AD549" i="7" s="1"/>
  <c r="AB635" i="7"/>
  <c r="AC635" i="7" s="1"/>
  <c r="AD635" i="7" s="1"/>
  <c r="AE684" i="7"/>
  <c r="AE692" i="7"/>
  <c r="AB701" i="7"/>
  <c r="AC701" i="7" s="1"/>
  <c r="AD701" i="7" s="1"/>
  <c r="AE733" i="7"/>
  <c r="AB756" i="7"/>
  <c r="AC756" i="7" s="1"/>
  <c r="AD756" i="7" s="1"/>
  <c r="AE765" i="7"/>
  <c r="AB872" i="7"/>
  <c r="AC872" i="7" s="1"/>
  <c r="AD872" i="7" s="1"/>
  <c r="AE877" i="7"/>
  <c r="AE895" i="7"/>
  <c r="T68" i="7"/>
  <c r="U68" i="7" s="1"/>
  <c r="T37" i="7"/>
  <c r="U37" i="7" s="1"/>
  <c r="T79" i="7"/>
  <c r="U79" i="7" s="1"/>
  <c r="V113" i="7"/>
  <c r="T195" i="7"/>
  <c r="U195" i="7" s="1"/>
  <c r="V352" i="7"/>
  <c r="T450" i="7"/>
  <c r="U450" i="7" s="1"/>
  <c r="T557" i="7"/>
  <c r="U557" i="7" s="1"/>
  <c r="T691" i="7"/>
  <c r="U691" i="7" s="1"/>
  <c r="AE39" i="7"/>
  <c r="AE44" i="7"/>
  <c r="AB48" i="7"/>
  <c r="AC48" i="7" s="1"/>
  <c r="AD48" i="7" s="1"/>
  <c r="AE67" i="7"/>
  <c r="AE81" i="7"/>
  <c r="AE183" i="7"/>
  <c r="AE273" i="7"/>
  <c r="AB338" i="7"/>
  <c r="AC338" i="7" s="1"/>
  <c r="AD338" i="7" s="1"/>
  <c r="AE353" i="7"/>
  <c r="AE356" i="7"/>
  <c r="AB641" i="7"/>
  <c r="AC641" i="7" s="1"/>
  <c r="AD641" i="7" s="1"/>
  <c r="AB645" i="7"/>
  <c r="AC645" i="7" s="1"/>
  <c r="AD645" i="7" s="1"/>
  <c r="AB697" i="7"/>
  <c r="AC697" i="7" s="1"/>
  <c r="AD697" i="7" s="1"/>
  <c r="AE710" i="7"/>
  <c r="AB730" i="7"/>
  <c r="AC730" i="7" s="1"/>
  <c r="AD730" i="7" s="1"/>
  <c r="AB738" i="7"/>
  <c r="AC738" i="7" s="1"/>
  <c r="AD738" i="7" s="1"/>
  <c r="AB742" i="7"/>
  <c r="AC742" i="7" s="1"/>
  <c r="AD742" i="7" s="1"/>
  <c r="AE747" i="7"/>
  <c r="AB762" i="7"/>
  <c r="AC762" i="7" s="1"/>
  <c r="AD762" i="7" s="1"/>
  <c r="T74" i="7"/>
  <c r="U74" i="7" s="1"/>
  <c r="T104" i="7"/>
  <c r="U104" i="7" s="1"/>
  <c r="T552" i="7"/>
  <c r="U552" i="7" s="1"/>
  <c r="T596" i="7"/>
  <c r="U596" i="7" s="1"/>
  <c r="V686" i="7"/>
  <c r="T857" i="7"/>
  <c r="U857" i="7" s="1"/>
  <c r="T1034" i="7"/>
  <c r="U1034" i="7" s="1"/>
  <c r="AE9" i="7"/>
  <c r="AE36" i="7"/>
  <c r="AB40" i="7"/>
  <c r="AC40" i="7" s="1"/>
  <c r="AD40" i="7" s="1"/>
  <c r="AE49" i="7"/>
  <c r="AB711" i="7"/>
  <c r="AC711" i="7" s="1"/>
  <c r="AD711" i="7" s="1"/>
  <c r="AE731" i="7"/>
  <c r="AE739" i="7"/>
  <c r="AB748" i="7"/>
  <c r="AC748" i="7" s="1"/>
  <c r="AD748" i="7" s="1"/>
  <c r="AE763" i="7"/>
  <c r="AE7" i="7"/>
  <c r="AE37" i="7"/>
  <c r="AE45" i="7"/>
  <c r="AE53" i="7"/>
  <c r="AE71" i="7"/>
  <c r="AE79" i="7"/>
  <c r="AE87" i="7"/>
  <c r="AE131" i="7"/>
  <c r="AE135" i="7"/>
  <c r="AB205" i="7"/>
  <c r="AC205" i="7" s="1"/>
  <c r="AD205" i="7" s="1"/>
  <c r="AE205" i="7"/>
  <c r="AE12" i="7"/>
  <c r="AE42" i="7"/>
  <c r="AE50" i="7"/>
  <c r="AE68" i="7"/>
  <c r="AE76" i="7"/>
  <c r="AE84" i="7"/>
  <c r="AE143" i="7"/>
  <c r="AB181" i="7"/>
  <c r="AC181" i="7" s="1"/>
  <c r="AD181" i="7" s="1"/>
  <c r="AB197" i="7"/>
  <c r="AC197" i="7" s="1"/>
  <c r="AD197" i="7" s="1"/>
  <c r="AE197" i="7"/>
  <c r="AB189" i="7"/>
  <c r="AC189" i="7" s="1"/>
  <c r="AD189" i="7" s="1"/>
  <c r="AE189" i="7"/>
  <c r="AB35" i="7"/>
  <c r="AC35" i="7" s="1"/>
  <c r="AD35" i="7" s="1"/>
  <c r="AB43" i="7"/>
  <c r="AC43" i="7" s="1"/>
  <c r="AD43" i="7" s="1"/>
  <c r="AB51" i="7"/>
  <c r="AC51" i="7" s="1"/>
  <c r="AD51" i="7" s="1"/>
  <c r="AB69" i="7"/>
  <c r="AC69" i="7" s="1"/>
  <c r="AD69" i="7" s="1"/>
  <c r="AB77" i="7"/>
  <c r="AC77" i="7" s="1"/>
  <c r="AD77" i="7" s="1"/>
  <c r="AB85" i="7"/>
  <c r="AC85" i="7" s="1"/>
  <c r="AD85" i="7" s="1"/>
  <c r="AE139" i="7"/>
  <c r="AB142" i="7"/>
  <c r="AC142" i="7" s="1"/>
  <c r="AD142" i="7" s="1"/>
  <c r="AE90" i="7"/>
  <c r="AE140" i="7"/>
  <c r="AB140" i="7"/>
  <c r="AC140" i="7" s="1"/>
  <c r="AD140" i="7" s="1"/>
  <c r="AE171" i="7"/>
  <c r="AB171" i="7"/>
  <c r="AC171" i="7" s="1"/>
  <c r="AD171" i="7" s="1"/>
  <c r="AE174" i="7"/>
  <c r="AB141" i="7"/>
  <c r="AC141" i="7" s="1"/>
  <c r="AD141" i="7" s="1"/>
  <c r="AB172" i="7"/>
  <c r="AC172" i="7" s="1"/>
  <c r="AD172" i="7" s="1"/>
  <c r="AB180" i="7"/>
  <c r="AC180" i="7" s="1"/>
  <c r="AD180" i="7" s="1"/>
  <c r="AB188" i="7"/>
  <c r="AC188" i="7" s="1"/>
  <c r="AD188" i="7" s="1"/>
  <c r="AB196" i="7"/>
  <c r="AC196" i="7" s="1"/>
  <c r="AD196" i="7" s="1"/>
  <c r="AB204" i="7"/>
  <c r="AC204" i="7" s="1"/>
  <c r="AD204" i="7" s="1"/>
  <c r="AB212" i="7"/>
  <c r="AC212" i="7" s="1"/>
  <c r="AD212" i="7" s="1"/>
  <c r="AE213" i="7"/>
  <c r="AB220" i="7"/>
  <c r="AC220" i="7" s="1"/>
  <c r="AD220" i="7" s="1"/>
  <c r="AE221" i="7"/>
  <c r="AB259" i="7"/>
  <c r="AC259" i="7" s="1"/>
  <c r="AD259" i="7" s="1"/>
  <c r="AE260" i="7"/>
  <c r="AB267" i="7"/>
  <c r="AC267" i="7" s="1"/>
  <c r="AD267" i="7" s="1"/>
  <c r="AE268" i="7"/>
  <c r="AB275" i="7"/>
  <c r="AC275" i="7" s="1"/>
  <c r="AD275" i="7" s="1"/>
  <c r="AE335" i="7"/>
  <c r="AB342" i="7"/>
  <c r="AC342" i="7" s="1"/>
  <c r="AD342" i="7" s="1"/>
  <c r="AE343" i="7"/>
  <c r="AB350" i="7"/>
  <c r="AC350" i="7" s="1"/>
  <c r="AD350" i="7" s="1"/>
  <c r="AE351" i="7"/>
  <c r="AB358" i="7"/>
  <c r="AC358" i="7" s="1"/>
  <c r="AD358" i="7" s="1"/>
  <c r="AE359" i="7"/>
  <c r="AB420" i="7"/>
  <c r="AC420" i="7" s="1"/>
  <c r="AD420" i="7" s="1"/>
  <c r="AE421" i="7"/>
  <c r="AB428" i="7"/>
  <c r="AC428" i="7" s="1"/>
  <c r="AD428" i="7" s="1"/>
  <c r="AE429" i="7"/>
  <c r="AE682" i="7"/>
  <c r="AB682" i="7"/>
  <c r="AC682" i="7" s="1"/>
  <c r="AD682" i="7" s="1"/>
  <c r="AE729" i="7"/>
  <c r="AB729" i="7"/>
  <c r="AC729" i="7" s="1"/>
  <c r="AD729" i="7" s="1"/>
  <c r="AE210" i="7"/>
  <c r="AE218" i="7"/>
  <c r="AE459" i="7"/>
  <c r="AB459" i="7"/>
  <c r="AC459" i="7" s="1"/>
  <c r="AD459" i="7" s="1"/>
  <c r="AE475" i="7"/>
  <c r="AB475" i="7"/>
  <c r="AC475" i="7" s="1"/>
  <c r="AD475" i="7" s="1"/>
  <c r="AE560" i="7"/>
  <c r="AB560" i="7"/>
  <c r="AC560" i="7" s="1"/>
  <c r="AD560" i="7" s="1"/>
  <c r="AB704" i="7"/>
  <c r="AC704" i="7" s="1"/>
  <c r="AD704" i="7" s="1"/>
  <c r="AE704" i="7"/>
  <c r="AB751" i="7"/>
  <c r="AC751" i="7" s="1"/>
  <c r="AD751" i="7" s="1"/>
  <c r="AE751" i="7"/>
  <c r="AB190" i="7"/>
  <c r="AC190" i="7" s="1"/>
  <c r="AD190" i="7" s="1"/>
  <c r="AB198" i="7"/>
  <c r="AC198" i="7" s="1"/>
  <c r="AD198" i="7" s="1"/>
  <c r="AB206" i="7"/>
  <c r="AC206" i="7" s="1"/>
  <c r="AD206" i="7" s="1"/>
  <c r="AB214" i="7"/>
  <c r="AC214" i="7" s="1"/>
  <c r="AD214" i="7" s="1"/>
  <c r="AB222" i="7"/>
  <c r="AC222" i="7" s="1"/>
  <c r="AD222" i="7" s="1"/>
  <c r="AB261" i="7"/>
  <c r="AC261" i="7" s="1"/>
  <c r="AD261" i="7" s="1"/>
  <c r="AB269" i="7"/>
  <c r="AC269" i="7" s="1"/>
  <c r="AD269" i="7" s="1"/>
  <c r="AB336" i="7"/>
  <c r="AC336" i="7" s="1"/>
  <c r="AD336" i="7" s="1"/>
  <c r="AB344" i="7"/>
  <c r="AC344" i="7" s="1"/>
  <c r="AD344" i="7" s="1"/>
  <c r="AB352" i="7"/>
  <c r="AC352" i="7" s="1"/>
  <c r="AD352" i="7" s="1"/>
  <c r="AB360" i="7"/>
  <c r="AC360" i="7" s="1"/>
  <c r="AD360" i="7" s="1"/>
  <c r="AB422" i="7"/>
  <c r="AC422" i="7" s="1"/>
  <c r="AD422" i="7" s="1"/>
  <c r="AB430" i="7"/>
  <c r="AC430" i="7" s="1"/>
  <c r="AD430" i="7" s="1"/>
  <c r="AE690" i="7"/>
  <c r="AB690" i="7"/>
  <c r="AC690" i="7" s="1"/>
  <c r="AD690" i="7" s="1"/>
  <c r="AE737" i="7"/>
  <c r="AB737" i="7"/>
  <c r="AC737" i="7" s="1"/>
  <c r="AD737" i="7" s="1"/>
  <c r="AB179" i="7"/>
  <c r="AC179" i="7" s="1"/>
  <c r="AD179" i="7" s="1"/>
  <c r="AB187" i="7"/>
  <c r="AC187" i="7" s="1"/>
  <c r="AD187" i="7" s="1"/>
  <c r="AB195" i="7"/>
  <c r="AC195" i="7" s="1"/>
  <c r="AD195" i="7" s="1"/>
  <c r="AB203" i="7"/>
  <c r="AC203" i="7" s="1"/>
  <c r="AD203" i="7" s="1"/>
  <c r="AB211" i="7"/>
  <c r="AC211" i="7" s="1"/>
  <c r="AD211" i="7" s="1"/>
  <c r="AB219" i="7"/>
  <c r="AC219" i="7" s="1"/>
  <c r="AD219" i="7" s="1"/>
  <c r="AB258" i="7"/>
  <c r="AC258" i="7" s="1"/>
  <c r="AD258" i="7" s="1"/>
  <c r="AB266" i="7"/>
  <c r="AC266" i="7" s="1"/>
  <c r="AD266" i="7" s="1"/>
  <c r="AB274" i="7"/>
  <c r="AC274" i="7" s="1"/>
  <c r="AD274" i="7" s="1"/>
  <c r="AB341" i="7"/>
  <c r="AC341" i="7" s="1"/>
  <c r="AD341" i="7" s="1"/>
  <c r="AB349" i="7"/>
  <c r="AC349" i="7" s="1"/>
  <c r="AD349" i="7" s="1"/>
  <c r="AB357" i="7"/>
  <c r="AC357" i="7" s="1"/>
  <c r="AD357" i="7" s="1"/>
  <c r="AB400" i="7"/>
  <c r="AC400" i="7" s="1"/>
  <c r="AD400" i="7" s="1"/>
  <c r="AB427" i="7"/>
  <c r="AC427" i="7" s="1"/>
  <c r="AD427" i="7" s="1"/>
  <c r="AE453" i="7"/>
  <c r="AE469" i="7"/>
  <c r="AE554" i="7"/>
  <c r="AB638" i="7"/>
  <c r="AC638" i="7" s="1"/>
  <c r="AD638" i="7" s="1"/>
  <c r="AE638" i="7"/>
  <c r="AB712" i="7"/>
  <c r="AC712" i="7" s="1"/>
  <c r="AD712" i="7" s="1"/>
  <c r="AE712" i="7"/>
  <c r="AB646" i="7"/>
  <c r="AC646" i="7" s="1"/>
  <c r="AD646" i="7" s="1"/>
  <c r="AE646" i="7"/>
  <c r="AE698" i="7"/>
  <c r="AB698" i="7"/>
  <c r="AC698" i="7" s="1"/>
  <c r="AD698" i="7" s="1"/>
  <c r="AE745" i="7"/>
  <c r="AB745" i="7"/>
  <c r="AC745" i="7" s="1"/>
  <c r="AD745" i="7" s="1"/>
  <c r="AE451" i="7"/>
  <c r="AB451" i="7"/>
  <c r="AC451" i="7" s="1"/>
  <c r="AD451" i="7" s="1"/>
  <c r="AE467" i="7"/>
  <c r="AB467" i="7"/>
  <c r="AC467" i="7" s="1"/>
  <c r="AD467" i="7" s="1"/>
  <c r="AE552" i="7"/>
  <c r="AB552" i="7"/>
  <c r="AC552" i="7" s="1"/>
  <c r="AD552" i="7" s="1"/>
  <c r="AE632" i="7"/>
  <c r="AB632" i="7"/>
  <c r="AC632" i="7" s="1"/>
  <c r="AD632" i="7" s="1"/>
  <c r="AB688" i="7"/>
  <c r="AC688" i="7" s="1"/>
  <c r="AD688" i="7" s="1"/>
  <c r="AE688" i="7"/>
  <c r="AB735" i="7"/>
  <c r="AC735" i="7" s="1"/>
  <c r="AD735" i="7" s="1"/>
  <c r="AE735" i="7"/>
  <c r="AE753" i="7"/>
  <c r="AB753" i="7"/>
  <c r="AC753" i="7" s="1"/>
  <c r="AD753" i="7" s="1"/>
  <c r="AE761" i="7"/>
  <c r="AB761" i="7"/>
  <c r="AC761" i="7" s="1"/>
  <c r="AD761" i="7" s="1"/>
  <c r="AE769" i="7"/>
  <c r="AB769" i="7"/>
  <c r="AC769" i="7" s="1"/>
  <c r="AD769" i="7" s="1"/>
  <c r="AE875" i="7"/>
  <c r="AB875" i="7"/>
  <c r="AC875" i="7" s="1"/>
  <c r="AD875" i="7" s="1"/>
  <c r="AE457" i="7"/>
  <c r="AE473" i="7"/>
  <c r="AE558" i="7"/>
  <c r="AE706" i="7"/>
  <c r="AB706" i="7"/>
  <c r="AC706" i="7" s="1"/>
  <c r="AD706" i="7" s="1"/>
  <c r="AE883" i="7"/>
  <c r="AB883" i="7"/>
  <c r="AC883" i="7" s="1"/>
  <c r="AD883" i="7" s="1"/>
  <c r="AE461" i="7"/>
  <c r="AE477" i="7"/>
  <c r="AE562" i="7"/>
  <c r="AE640" i="7"/>
  <c r="AB640" i="7"/>
  <c r="AC640" i="7" s="1"/>
  <c r="AD640" i="7" s="1"/>
  <c r="AB696" i="7"/>
  <c r="AC696" i="7" s="1"/>
  <c r="AD696" i="7" s="1"/>
  <c r="AE696" i="7"/>
  <c r="AB743" i="7"/>
  <c r="AC743" i="7" s="1"/>
  <c r="AD743" i="7" s="1"/>
  <c r="AE743" i="7"/>
  <c r="AE891" i="7"/>
  <c r="AB891" i="7"/>
  <c r="AC891" i="7" s="1"/>
  <c r="AD891" i="7" s="1"/>
  <c r="AE759" i="7"/>
  <c r="AE767" i="7"/>
  <c r="AE873" i="7"/>
  <c r="AE881" i="7"/>
  <c r="AB888" i="7"/>
  <c r="AC888" i="7" s="1"/>
  <c r="AD888" i="7" s="1"/>
  <c r="AE889" i="7"/>
  <c r="AB896" i="7"/>
  <c r="AC896" i="7" s="1"/>
  <c r="AD896" i="7" s="1"/>
  <c r="AE897" i="7"/>
  <c r="AB450" i="7"/>
  <c r="AC450" i="7" s="1"/>
  <c r="AD450" i="7" s="1"/>
  <c r="AB458" i="7"/>
  <c r="AC458" i="7" s="1"/>
  <c r="AD458" i="7" s="1"/>
  <c r="AB466" i="7"/>
  <c r="AC466" i="7" s="1"/>
  <c r="AD466" i="7" s="1"/>
  <c r="AB474" i="7"/>
  <c r="AC474" i="7" s="1"/>
  <c r="AD474" i="7" s="1"/>
  <c r="AB551" i="7"/>
  <c r="AC551" i="7" s="1"/>
  <c r="AD551" i="7" s="1"/>
  <c r="AB559" i="7"/>
  <c r="AC559" i="7" s="1"/>
  <c r="AD559" i="7" s="1"/>
  <c r="AB631" i="7"/>
  <c r="AC631" i="7" s="1"/>
  <c r="AD631" i="7" s="1"/>
  <c r="AB639" i="7"/>
  <c r="AC639" i="7" s="1"/>
  <c r="AD639" i="7" s="1"/>
  <c r="AB681" i="7"/>
  <c r="AC681" i="7" s="1"/>
  <c r="AD681" i="7" s="1"/>
  <c r="AB752" i="7"/>
  <c r="AC752" i="7" s="1"/>
  <c r="AD752" i="7" s="1"/>
  <c r="AB760" i="7"/>
  <c r="AC760" i="7" s="1"/>
  <c r="AD760" i="7" s="1"/>
  <c r="AB768" i="7"/>
  <c r="AC768" i="7" s="1"/>
  <c r="AD768" i="7" s="1"/>
  <c r="AB874" i="7"/>
  <c r="AC874" i="7" s="1"/>
  <c r="AD874" i="7" s="1"/>
  <c r="AB882" i="7"/>
  <c r="AC882" i="7" s="1"/>
  <c r="AD882" i="7" s="1"/>
  <c r="AB890" i="7"/>
  <c r="AC890" i="7" s="1"/>
  <c r="AD890" i="7" s="1"/>
  <c r="AB898" i="7"/>
  <c r="AC898" i="7" s="1"/>
  <c r="AD898" i="7" s="1"/>
  <c r="T59" i="7"/>
  <c r="U59" i="7" s="1"/>
  <c r="T71" i="7"/>
  <c r="U71" i="7" s="1"/>
  <c r="V98" i="7"/>
  <c r="V115" i="7"/>
  <c r="T186" i="7"/>
  <c r="U186" i="7" s="1"/>
  <c r="T193" i="7"/>
  <c r="U193" i="7" s="1"/>
  <c r="V242" i="7"/>
  <c r="V316" i="7"/>
  <c r="V359" i="7"/>
  <c r="V483" i="7"/>
  <c r="T488" i="7"/>
  <c r="U488" i="7" s="1"/>
  <c r="T529" i="7"/>
  <c r="U529" i="7" s="1"/>
  <c r="T549" i="7"/>
  <c r="U549" i="7" s="1"/>
  <c r="V631" i="7"/>
  <c r="T637" i="7"/>
  <c r="U637" i="7" s="1"/>
  <c r="T641" i="7"/>
  <c r="U641" i="7" s="1"/>
  <c r="V646" i="7"/>
  <c r="T685" i="7"/>
  <c r="U685" i="7" s="1"/>
  <c r="T689" i="7"/>
  <c r="U689" i="7" s="1"/>
  <c r="T924" i="7"/>
  <c r="U924" i="7" s="1"/>
  <c r="T22" i="7"/>
  <c r="U22" i="7" s="1"/>
  <c r="T41" i="7"/>
  <c r="U41" i="7" s="1"/>
  <c r="T50" i="7"/>
  <c r="U50" i="7" s="1"/>
  <c r="T66" i="7"/>
  <c r="U66" i="7" s="1"/>
  <c r="T78" i="7"/>
  <c r="U78" i="7" s="1"/>
  <c r="T84" i="7"/>
  <c r="U84" i="7" s="1"/>
  <c r="T103" i="7"/>
  <c r="U103" i="7" s="1"/>
  <c r="T176" i="7"/>
  <c r="U176" i="7" s="1"/>
  <c r="V324" i="7"/>
  <c r="V423" i="7"/>
  <c r="V441" i="7"/>
  <c r="V556" i="7"/>
  <c r="V593" i="7"/>
  <c r="T29" i="7"/>
  <c r="U29" i="7" s="1"/>
  <c r="T45" i="7"/>
  <c r="U45" i="7" s="1"/>
  <c r="T36" i="7"/>
  <c r="U36" i="7" s="1"/>
  <c r="T46" i="7"/>
  <c r="U46" i="7" s="1"/>
  <c r="T60" i="7"/>
  <c r="U60" i="7" s="1"/>
  <c r="T99" i="7"/>
  <c r="U99" i="7" s="1"/>
  <c r="V107" i="7"/>
  <c r="T116" i="7"/>
  <c r="U116" i="7" s="1"/>
  <c r="T201" i="7"/>
  <c r="U201" i="7" s="1"/>
  <c r="V267" i="7"/>
  <c r="V372" i="7"/>
  <c r="T446" i="7"/>
  <c r="U446" i="7" s="1"/>
  <c r="T459" i="7"/>
  <c r="U459" i="7" s="1"/>
  <c r="T484" i="7"/>
  <c r="U484" i="7" s="1"/>
  <c r="V525" i="7"/>
  <c r="T632" i="7"/>
  <c r="U632" i="7" s="1"/>
  <c r="V638" i="7"/>
  <c r="T668" i="7"/>
  <c r="U668" i="7" s="1"/>
  <c r="T672" i="7"/>
  <c r="U672" i="7" s="1"/>
  <c r="T853" i="7"/>
  <c r="U853" i="7" s="1"/>
  <c r="T1017" i="7"/>
  <c r="U1017" i="7" s="1"/>
  <c r="T1041" i="7"/>
  <c r="U1041" i="7" s="1"/>
  <c r="T920" i="7"/>
  <c r="U920" i="7" s="1"/>
  <c r="T841" i="7"/>
  <c r="U841" i="7" s="1"/>
  <c r="T861" i="7"/>
  <c r="U861" i="7" s="1"/>
  <c r="T1025" i="7"/>
  <c r="U1025" i="7" s="1"/>
  <c r="T32" i="7"/>
  <c r="U32" i="7" s="1"/>
  <c r="T43" i="7"/>
  <c r="U43" i="7" s="1"/>
  <c r="T64" i="7"/>
  <c r="U64" i="7" s="1"/>
  <c r="T76" i="7"/>
  <c r="U76" i="7" s="1"/>
  <c r="T82" i="7"/>
  <c r="U82" i="7" s="1"/>
  <c r="T87" i="7"/>
  <c r="U87" i="7" s="1"/>
  <c r="V105" i="7"/>
  <c r="T114" i="7"/>
  <c r="U114" i="7" s="1"/>
  <c r="T118" i="7"/>
  <c r="U118" i="7" s="1"/>
  <c r="T203" i="7"/>
  <c r="U203" i="7" s="1"/>
  <c r="V255" i="7"/>
  <c r="V368" i="7"/>
  <c r="T486" i="7"/>
  <c r="U486" i="7" s="1"/>
  <c r="V553" i="7"/>
  <c r="V595" i="7"/>
  <c r="T635" i="7"/>
  <c r="U635" i="7" s="1"/>
  <c r="V669" i="7"/>
  <c r="T674" i="7"/>
  <c r="U674" i="7" s="1"/>
  <c r="T687" i="7"/>
  <c r="U687" i="7" s="1"/>
  <c r="T28" i="7"/>
  <c r="U28" i="7" s="1"/>
  <c r="T39" i="7"/>
  <c r="U39" i="7" s="1"/>
  <c r="T58" i="7"/>
  <c r="U58" i="7" s="1"/>
  <c r="T69" i="7"/>
  <c r="U69" i="7" s="1"/>
  <c r="V346" i="7"/>
  <c r="T420" i="7"/>
  <c r="U420" i="7" s="1"/>
  <c r="T439" i="7"/>
  <c r="U439" i="7" s="1"/>
  <c r="T443" i="7"/>
  <c r="U443" i="7" s="1"/>
  <c r="T464" i="7"/>
  <c r="U464" i="7" s="1"/>
  <c r="V528" i="7"/>
  <c r="T630" i="7"/>
  <c r="U630" i="7" s="1"/>
  <c r="V640" i="7"/>
  <c r="T645" i="7"/>
  <c r="U645" i="7" s="1"/>
  <c r="T678" i="7"/>
  <c r="U678" i="7" s="1"/>
  <c r="V684" i="7"/>
  <c r="T916" i="7"/>
  <c r="U916" i="7" s="1"/>
  <c r="T111" i="7"/>
  <c r="U111" i="7" s="1"/>
  <c r="T119" i="7"/>
  <c r="U119" i="7" s="1"/>
  <c r="T172" i="7"/>
  <c r="U172" i="7" s="1"/>
  <c r="T191" i="7"/>
  <c r="U191" i="7" s="1"/>
  <c r="V263" i="7"/>
  <c r="V332" i="7"/>
  <c r="V350" i="7"/>
  <c r="V374" i="7"/>
  <c r="V385" i="7"/>
  <c r="V390" i="7"/>
  <c r="V406" i="7"/>
  <c r="T417" i="7"/>
  <c r="U417" i="7" s="1"/>
  <c r="T440" i="7"/>
  <c r="U440" i="7" s="1"/>
  <c r="V444" i="7"/>
  <c r="T447" i="7"/>
  <c r="U447" i="7" s="1"/>
  <c r="T451" i="7"/>
  <c r="U451" i="7" s="1"/>
  <c r="T487" i="7"/>
  <c r="U487" i="7" s="1"/>
  <c r="T550" i="7"/>
  <c r="U550" i="7" s="1"/>
  <c r="T636" i="7"/>
  <c r="U636" i="7" s="1"/>
  <c r="T644" i="7"/>
  <c r="U644" i="7" s="1"/>
  <c r="T673" i="7"/>
  <c r="U673" i="7" s="1"/>
  <c r="T682" i="7"/>
  <c r="U682" i="7" s="1"/>
  <c r="T690" i="7"/>
  <c r="U690" i="7" s="1"/>
  <c r="T847" i="7"/>
  <c r="U847" i="7" s="1"/>
  <c r="T871" i="7"/>
  <c r="U871" i="7" s="1"/>
  <c r="T927" i="7"/>
  <c r="U927" i="7" s="1"/>
  <c r="T1027" i="7"/>
  <c r="U1027" i="7" s="1"/>
  <c r="V395" i="7"/>
  <c r="T97" i="7"/>
  <c r="U97" i="7" s="1"/>
  <c r="T109" i="7"/>
  <c r="U109" i="7" s="1"/>
  <c r="T117" i="7"/>
  <c r="U117" i="7" s="1"/>
  <c r="T182" i="7"/>
  <c r="U182" i="7" s="1"/>
  <c r="T197" i="7"/>
  <c r="U197" i="7" s="1"/>
  <c r="V271" i="7"/>
  <c r="V320" i="7"/>
  <c r="V370" i="7"/>
  <c r="V392" i="7"/>
  <c r="T421" i="7"/>
  <c r="U421" i="7" s="1"/>
  <c r="T445" i="7"/>
  <c r="U445" i="7" s="1"/>
  <c r="T485" i="7"/>
  <c r="U485" i="7" s="1"/>
  <c r="T535" i="7"/>
  <c r="U535" i="7" s="1"/>
  <c r="T548" i="7"/>
  <c r="U548" i="7" s="1"/>
  <c r="T597" i="7"/>
  <c r="U597" i="7" s="1"/>
  <c r="T633" i="7"/>
  <c r="U633" i="7" s="1"/>
  <c r="T642" i="7"/>
  <c r="U642" i="7" s="1"/>
  <c r="T671" i="7"/>
  <c r="U671" i="7" s="1"/>
  <c r="T679" i="7"/>
  <c r="U679" i="7" s="1"/>
  <c r="T688" i="7"/>
  <c r="U688" i="7" s="1"/>
  <c r="T843" i="7"/>
  <c r="U843" i="7" s="1"/>
  <c r="T859" i="7"/>
  <c r="U859" i="7" s="1"/>
  <c r="T922" i="7"/>
  <c r="U922" i="7" s="1"/>
  <c r="T1023" i="7"/>
  <c r="U1023" i="7" s="1"/>
  <c r="T1043" i="7"/>
  <c r="U1043" i="7" s="1"/>
  <c r="T25" i="7"/>
  <c r="U25" i="7" s="1"/>
  <c r="T30" i="7"/>
  <c r="U30" i="7" s="1"/>
  <c r="T35" i="7"/>
  <c r="U35" i="7" s="1"/>
  <c r="T40" i="7"/>
  <c r="U40" i="7" s="1"/>
  <c r="T44" i="7"/>
  <c r="U44" i="7" s="1"/>
  <c r="T48" i="7"/>
  <c r="U48" i="7" s="1"/>
  <c r="T54" i="7"/>
  <c r="U54" i="7" s="1"/>
  <c r="T61" i="7"/>
  <c r="U61" i="7" s="1"/>
  <c r="T67" i="7"/>
  <c r="U67" i="7" s="1"/>
  <c r="T72" i="7"/>
  <c r="U72" i="7" s="1"/>
  <c r="T112" i="7"/>
  <c r="U112" i="7" s="1"/>
  <c r="V386" i="7"/>
  <c r="T849" i="7"/>
  <c r="U849" i="7" s="1"/>
  <c r="T1029" i="7"/>
  <c r="U1029" i="7" s="1"/>
  <c r="T101" i="7"/>
  <c r="U101" i="7" s="1"/>
  <c r="T174" i="7"/>
  <c r="U174" i="7" s="1"/>
  <c r="V238" i="7"/>
  <c r="V308" i="7"/>
  <c r="V366" i="7"/>
  <c r="V383" i="7"/>
  <c r="V410" i="7"/>
  <c r="T416" i="7"/>
  <c r="U416" i="7" s="1"/>
  <c r="T839" i="7"/>
  <c r="U839" i="7" s="1"/>
  <c r="T855" i="7"/>
  <c r="U855" i="7" s="1"/>
  <c r="T918" i="7"/>
  <c r="U918" i="7" s="1"/>
  <c r="T1019" i="7"/>
  <c r="U1019" i="7" s="1"/>
  <c r="T1036" i="7"/>
  <c r="U1036" i="7" s="1"/>
  <c r="T199" i="7"/>
  <c r="U199" i="7" s="1"/>
  <c r="V246" i="7"/>
  <c r="V354" i="7"/>
  <c r="V378" i="7"/>
  <c r="V394" i="7"/>
  <c r="V405" i="7"/>
  <c r="T692" i="7"/>
  <c r="U692" i="7" s="1"/>
  <c r="T851" i="7"/>
  <c r="U851" i="7" s="1"/>
  <c r="T914" i="7"/>
  <c r="U914" i="7" s="1"/>
  <c r="T1015" i="7"/>
  <c r="U1015" i="7" s="1"/>
  <c r="T1031" i="7"/>
  <c r="U1031" i="7" s="1"/>
  <c r="T9" i="7"/>
  <c r="U9" i="7" s="1"/>
  <c r="V241" i="7"/>
  <c r="T241" i="7"/>
  <c r="U241" i="7" s="1"/>
  <c r="V258" i="7"/>
  <c r="T258" i="7"/>
  <c r="U258" i="7" s="1"/>
  <c r="V281" i="7"/>
  <c r="T281" i="7"/>
  <c r="U281" i="7" s="1"/>
  <c r="V311" i="7"/>
  <c r="T311" i="7"/>
  <c r="U311" i="7" s="1"/>
  <c r="V327" i="7"/>
  <c r="T327" i="7"/>
  <c r="U327" i="7" s="1"/>
  <c r="T21" i="7"/>
  <c r="U21" i="7" s="1"/>
  <c r="T121" i="7"/>
  <c r="U121" i="7" s="1"/>
  <c r="T130" i="7"/>
  <c r="U130" i="7" s="1"/>
  <c r="T132" i="7"/>
  <c r="U132" i="7" s="1"/>
  <c r="T139" i="7"/>
  <c r="U139" i="7" s="1"/>
  <c r="T141" i="7"/>
  <c r="U141" i="7" s="1"/>
  <c r="T145" i="7"/>
  <c r="U145" i="7" s="1"/>
  <c r="T147" i="7"/>
  <c r="U147" i="7" s="1"/>
  <c r="T149" i="7"/>
  <c r="U149" i="7" s="1"/>
  <c r="T156" i="7"/>
  <c r="U156" i="7" s="1"/>
  <c r="T158" i="7"/>
  <c r="U158" i="7" s="1"/>
  <c r="T160" i="7"/>
  <c r="U160" i="7" s="1"/>
  <c r="T162" i="7"/>
  <c r="U162" i="7" s="1"/>
  <c r="T164" i="7"/>
  <c r="U164" i="7" s="1"/>
  <c r="T170" i="7"/>
  <c r="U170" i="7" s="1"/>
  <c r="T175" i="7"/>
  <c r="U175" i="7" s="1"/>
  <c r="T183" i="7"/>
  <c r="U183" i="7" s="1"/>
  <c r="T192" i="7"/>
  <c r="U192" i="7" s="1"/>
  <c r="T200" i="7"/>
  <c r="U200" i="7" s="1"/>
  <c r="T224" i="7"/>
  <c r="U224" i="7" s="1"/>
  <c r="T231" i="7"/>
  <c r="U231" i="7" s="1"/>
  <c r="V236" i="7"/>
  <c r="V247" i="7"/>
  <c r="T247" i="7"/>
  <c r="U247" i="7" s="1"/>
  <c r="V252" i="7"/>
  <c r="V264" i="7"/>
  <c r="T264" i="7"/>
  <c r="U264" i="7" s="1"/>
  <c r="V269" i="7"/>
  <c r="V287" i="7"/>
  <c r="T287" i="7"/>
  <c r="U287" i="7" s="1"/>
  <c r="V292" i="7"/>
  <c r="V317" i="7"/>
  <c r="T317" i="7"/>
  <c r="U317" i="7" s="1"/>
  <c r="V322" i="7"/>
  <c r="V333" i="7"/>
  <c r="T333" i="7"/>
  <c r="U333" i="7" s="1"/>
  <c r="T13" i="7"/>
  <c r="U13" i="7" s="1"/>
  <c r="V237" i="7"/>
  <c r="T237" i="7"/>
  <c r="U237" i="7" s="1"/>
  <c r="V254" i="7"/>
  <c r="T254" i="7"/>
  <c r="U254" i="7" s="1"/>
  <c r="V259" i="7"/>
  <c r="V270" i="7"/>
  <c r="T270" i="7"/>
  <c r="U270" i="7" s="1"/>
  <c r="V282" i="7"/>
  <c r="V293" i="7"/>
  <c r="T293" i="7"/>
  <c r="U293" i="7" s="1"/>
  <c r="V312" i="7"/>
  <c r="V323" i="7"/>
  <c r="T323" i="7"/>
  <c r="U323" i="7" s="1"/>
  <c r="V328" i="7"/>
  <c r="T173" i="7"/>
  <c r="U173" i="7" s="1"/>
  <c r="T181" i="7"/>
  <c r="U181" i="7" s="1"/>
  <c r="T190" i="7"/>
  <c r="U190" i="7" s="1"/>
  <c r="T198" i="7"/>
  <c r="U198" i="7" s="1"/>
  <c r="V225" i="7"/>
  <c r="V232" i="7"/>
  <c r="V243" i="7"/>
  <c r="T243" i="7"/>
  <c r="U243" i="7" s="1"/>
  <c r="V248" i="7"/>
  <c r="V260" i="7"/>
  <c r="T260" i="7"/>
  <c r="U260" i="7" s="1"/>
  <c r="V265" i="7"/>
  <c r="V283" i="7"/>
  <c r="T283" i="7"/>
  <c r="U283" i="7" s="1"/>
  <c r="V288" i="7"/>
  <c r="V313" i="7"/>
  <c r="T313" i="7"/>
  <c r="U313" i="7" s="1"/>
  <c r="V318" i="7"/>
  <c r="V329" i="7"/>
  <c r="T329" i="7"/>
  <c r="U329" i="7" s="1"/>
  <c r="V343" i="7"/>
  <c r="T6" i="7"/>
  <c r="U6" i="7" s="1"/>
  <c r="T14" i="7"/>
  <c r="U14" i="7" s="1"/>
  <c r="V233" i="7"/>
  <c r="T233" i="7"/>
  <c r="U233" i="7" s="1"/>
  <c r="V249" i="7"/>
  <c r="T249" i="7"/>
  <c r="U249" i="7" s="1"/>
  <c r="V266" i="7"/>
  <c r="T266" i="7"/>
  <c r="U266" i="7" s="1"/>
  <c r="V289" i="7"/>
  <c r="T289" i="7"/>
  <c r="U289" i="7" s="1"/>
  <c r="V319" i="7"/>
  <c r="T319" i="7"/>
  <c r="U319" i="7" s="1"/>
  <c r="T122" i="7"/>
  <c r="U122" i="7" s="1"/>
  <c r="T131" i="7"/>
  <c r="U131" i="7" s="1"/>
  <c r="T138" i="7"/>
  <c r="U138" i="7" s="1"/>
  <c r="T140" i="7"/>
  <c r="U140" i="7" s="1"/>
  <c r="T142" i="7"/>
  <c r="U142" i="7" s="1"/>
  <c r="T146" i="7"/>
  <c r="U146" i="7" s="1"/>
  <c r="T148" i="7"/>
  <c r="U148" i="7" s="1"/>
  <c r="T155" i="7"/>
  <c r="U155" i="7" s="1"/>
  <c r="T157" i="7"/>
  <c r="U157" i="7" s="1"/>
  <c r="T159" i="7"/>
  <c r="U159" i="7" s="1"/>
  <c r="T161" i="7"/>
  <c r="U161" i="7" s="1"/>
  <c r="T163" i="7"/>
  <c r="U163" i="7" s="1"/>
  <c r="T169" i="7"/>
  <c r="U169" i="7" s="1"/>
  <c r="T171" i="7"/>
  <c r="U171" i="7" s="1"/>
  <c r="T179" i="7"/>
  <c r="U179" i="7" s="1"/>
  <c r="T188" i="7"/>
  <c r="U188" i="7" s="1"/>
  <c r="T196" i="7"/>
  <c r="U196" i="7" s="1"/>
  <c r="T219" i="7"/>
  <c r="U219" i="7" s="1"/>
  <c r="T226" i="7"/>
  <c r="U226" i="7" s="1"/>
  <c r="V239" i="7"/>
  <c r="T239" i="7"/>
  <c r="U239" i="7" s="1"/>
  <c r="V244" i="7"/>
  <c r="V256" i="7"/>
  <c r="T256" i="7"/>
  <c r="U256" i="7" s="1"/>
  <c r="V261" i="7"/>
  <c r="V272" i="7"/>
  <c r="T272" i="7"/>
  <c r="U272" i="7" s="1"/>
  <c r="V284" i="7"/>
  <c r="V309" i="7"/>
  <c r="T309" i="7"/>
  <c r="U309" i="7" s="1"/>
  <c r="V314" i="7"/>
  <c r="V325" i="7"/>
  <c r="T325" i="7"/>
  <c r="U325" i="7" s="1"/>
  <c r="V330" i="7"/>
  <c r="T10" i="7"/>
  <c r="U10" i="7" s="1"/>
  <c r="V234" i="7"/>
  <c r="V245" i="7"/>
  <c r="T245" i="7"/>
  <c r="U245" i="7" s="1"/>
  <c r="V250" i="7"/>
  <c r="V262" i="7"/>
  <c r="T262" i="7"/>
  <c r="U262" i="7" s="1"/>
  <c r="V285" i="7"/>
  <c r="T285" i="7"/>
  <c r="U285" i="7" s="1"/>
  <c r="V290" i="7"/>
  <c r="V315" i="7"/>
  <c r="T315" i="7"/>
  <c r="U315" i="7" s="1"/>
  <c r="V331" i="7"/>
  <c r="T331" i="7"/>
  <c r="U331" i="7" s="1"/>
  <c r="T177" i="7"/>
  <c r="U177" i="7" s="1"/>
  <c r="T185" i="7"/>
  <c r="U185" i="7" s="1"/>
  <c r="T194" i="7"/>
  <c r="U194" i="7" s="1"/>
  <c r="T202" i="7"/>
  <c r="U202" i="7" s="1"/>
  <c r="V223" i="7"/>
  <c r="V227" i="7"/>
  <c r="V235" i="7"/>
  <c r="T235" i="7"/>
  <c r="U235" i="7" s="1"/>
  <c r="V240" i="7"/>
  <c r="V251" i="7"/>
  <c r="T251" i="7"/>
  <c r="U251" i="7" s="1"/>
  <c r="V257" i="7"/>
  <c r="V268" i="7"/>
  <c r="T268" i="7"/>
  <c r="U268" i="7" s="1"/>
  <c r="V278" i="7"/>
  <c r="V291" i="7"/>
  <c r="T291" i="7"/>
  <c r="U291" i="7" s="1"/>
  <c r="V310" i="7"/>
  <c r="V321" i="7"/>
  <c r="T321" i="7"/>
  <c r="U321" i="7" s="1"/>
  <c r="V326" i="7"/>
  <c r="V388" i="7"/>
  <c r="V402" i="7"/>
  <c r="V414" i="7"/>
  <c r="T344" i="7"/>
  <c r="U344" i="7" s="1"/>
  <c r="T349" i="7"/>
  <c r="U349" i="7" s="1"/>
  <c r="T351" i="7"/>
  <c r="U351" i="7" s="1"/>
  <c r="T353" i="7"/>
  <c r="U353" i="7" s="1"/>
  <c r="T355" i="7"/>
  <c r="U355" i="7" s="1"/>
  <c r="T360" i="7"/>
  <c r="U360" i="7" s="1"/>
  <c r="T367" i="7"/>
  <c r="U367" i="7" s="1"/>
  <c r="T369" i="7"/>
  <c r="U369" i="7" s="1"/>
  <c r="T371" i="7"/>
  <c r="U371" i="7" s="1"/>
  <c r="T373" i="7"/>
  <c r="U373" i="7" s="1"/>
  <c r="T375" i="7"/>
  <c r="U375" i="7" s="1"/>
  <c r="T377" i="7"/>
  <c r="U377" i="7" s="1"/>
  <c r="T379" i="7"/>
  <c r="U379" i="7" s="1"/>
  <c r="T381" i="7"/>
  <c r="U381" i="7" s="1"/>
  <c r="V389" i="7"/>
  <c r="V404" i="7"/>
  <c r="V384" i="7"/>
  <c r="V393" i="7"/>
  <c r="V409" i="7"/>
  <c r="V387" i="7"/>
  <c r="V401" i="7"/>
  <c r="V413" i="7"/>
  <c r="V541" i="7"/>
  <c r="T541" i="7"/>
  <c r="U541" i="7" s="1"/>
  <c r="T599" i="7"/>
  <c r="U599" i="7" s="1"/>
  <c r="V599" i="7"/>
  <c r="V616" i="7"/>
  <c r="T616" i="7"/>
  <c r="U616" i="7" s="1"/>
  <c r="T590" i="7"/>
  <c r="U590" i="7" s="1"/>
  <c r="T693" i="7"/>
  <c r="U693" i="7" s="1"/>
  <c r="T697" i="7"/>
  <c r="U697" i="7" s="1"/>
  <c r="T701" i="7"/>
  <c r="U701" i="7" s="1"/>
  <c r="T718" i="7"/>
  <c r="U718" i="7" s="1"/>
  <c r="T725" i="7"/>
  <c r="U725" i="7" s="1"/>
  <c r="T731" i="7"/>
  <c r="U731" i="7" s="1"/>
  <c r="T738" i="7"/>
  <c r="U738" i="7" s="1"/>
  <c r="T747" i="7"/>
  <c r="U747" i="7" s="1"/>
  <c r="T774" i="7"/>
  <c r="U774" i="7" s="1"/>
  <c r="T781" i="7"/>
  <c r="U781" i="7" s="1"/>
  <c r="T787" i="7"/>
  <c r="U787" i="7" s="1"/>
  <c r="T791" i="7"/>
  <c r="U791" i="7" s="1"/>
  <c r="T795" i="7"/>
  <c r="U795" i="7" s="1"/>
  <c r="T799" i="7"/>
  <c r="U799" i="7" s="1"/>
  <c r="T803" i="7"/>
  <c r="U803" i="7" s="1"/>
  <c r="T807" i="7"/>
  <c r="U807" i="7" s="1"/>
  <c r="T811" i="7"/>
  <c r="U811" i="7" s="1"/>
  <c r="T815" i="7"/>
  <c r="U815" i="7" s="1"/>
  <c r="T819" i="7"/>
  <c r="U819" i="7" s="1"/>
  <c r="T823" i="7"/>
  <c r="U823" i="7" s="1"/>
  <c r="T827" i="7"/>
  <c r="U827" i="7" s="1"/>
  <c r="T831" i="7"/>
  <c r="U831" i="7" s="1"/>
  <c r="T835" i="7"/>
  <c r="U835" i="7" s="1"/>
  <c r="T694" i="7"/>
  <c r="U694" i="7" s="1"/>
  <c r="V694" i="7"/>
  <c r="T698" i="7"/>
  <c r="U698" i="7" s="1"/>
  <c r="V698" i="7"/>
  <c r="T702" i="7"/>
  <c r="U702" i="7" s="1"/>
  <c r="V702" i="7"/>
  <c r="T720" i="7"/>
  <c r="U720" i="7" s="1"/>
  <c r="V720" i="7"/>
  <c r="T727" i="7"/>
  <c r="U727" i="7" s="1"/>
  <c r="V727" i="7"/>
  <c r="T732" i="7"/>
  <c r="U732" i="7" s="1"/>
  <c r="V732" i="7"/>
  <c r="T739" i="7"/>
  <c r="U739" i="7" s="1"/>
  <c r="V739" i="7"/>
  <c r="T748" i="7"/>
  <c r="U748" i="7" s="1"/>
  <c r="V748" i="7"/>
  <c r="T775" i="7"/>
  <c r="U775" i="7" s="1"/>
  <c r="V775" i="7"/>
  <c r="T784" i="7"/>
  <c r="U784" i="7" s="1"/>
  <c r="V784" i="7"/>
  <c r="T788" i="7"/>
  <c r="U788" i="7" s="1"/>
  <c r="V788" i="7"/>
  <c r="T792" i="7"/>
  <c r="U792" i="7" s="1"/>
  <c r="V792" i="7"/>
  <c r="T796" i="7"/>
  <c r="U796" i="7" s="1"/>
  <c r="V796" i="7"/>
  <c r="T800" i="7"/>
  <c r="U800" i="7" s="1"/>
  <c r="V800" i="7"/>
  <c r="T804" i="7"/>
  <c r="U804" i="7" s="1"/>
  <c r="V804" i="7"/>
  <c r="T808" i="7"/>
  <c r="U808" i="7" s="1"/>
  <c r="V808" i="7"/>
  <c r="T812" i="7"/>
  <c r="U812" i="7" s="1"/>
  <c r="V812" i="7"/>
  <c r="T816" i="7"/>
  <c r="U816" i="7" s="1"/>
  <c r="V816" i="7"/>
  <c r="T820" i="7"/>
  <c r="U820" i="7" s="1"/>
  <c r="V820" i="7"/>
  <c r="T824" i="7"/>
  <c r="U824" i="7" s="1"/>
  <c r="V824" i="7"/>
  <c r="T828" i="7"/>
  <c r="U828" i="7" s="1"/>
  <c r="V828" i="7"/>
  <c r="T832" i="7"/>
  <c r="U832" i="7" s="1"/>
  <c r="V832" i="7"/>
  <c r="T836" i="7"/>
  <c r="U836" i="7" s="1"/>
  <c r="V836" i="7"/>
  <c r="T840" i="7"/>
  <c r="U840" i="7" s="1"/>
  <c r="V840" i="7"/>
  <c r="T844" i="7"/>
  <c r="U844" i="7" s="1"/>
  <c r="V844" i="7"/>
  <c r="T848" i="7"/>
  <c r="U848" i="7" s="1"/>
  <c r="V848" i="7"/>
  <c r="T852" i="7"/>
  <c r="U852" i="7" s="1"/>
  <c r="V852" i="7"/>
  <c r="T856" i="7"/>
  <c r="U856" i="7" s="1"/>
  <c r="V856" i="7"/>
  <c r="T860" i="7"/>
  <c r="U860" i="7" s="1"/>
  <c r="V860" i="7"/>
  <c r="T872" i="7"/>
  <c r="U872" i="7" s="1"/>
  <c r="V872" i="7"/>
  <c r="T915" i="7"/>
  <c r="U915" i="7" s="1"/>
  <c r="V915" i="7"/>
  <c r="T919" i="7"/>
  <c r="U919" i="7" s="1"/>
  <c r="V919" i="7"/>
  <c r="T923" i="7"/>
  <c r="U923" i="7" s="1"/>
  <c r="V923" i="7"/>
  <c r="T929" i="7"/>
  <c r="U929" i="7" s="1"/>
  <c r="V929" i="7"/>
  <c r="T1016" i="7"/>
  <c r="U1016" i="7" s="1"/>
  <c r="V1016" i="7"/>
  <c r="T1020" i="7"/>
  <c r="U1020" i="7" s="1"/>
  <c r="V1020" i="7"/>
  <c r="T1024" i="7"/>
  <c r="U1024" i="7" s="1"/>
  <c r="V1024" i="7"/>
  <c r="V1067" i="7"/>
  <c r="T1067" i="7"/>
  <c r="U1067" i="7" s="1"/>
  <c r="T591" i="7"/>
  <c r="U591" i="7" s="1"/>
  <c r="T695" i="7"/>
  <c r="U695" i="7" s="1"/>
  <c r="T699" i="7"/>
  <c r="U699" i="7" s="1"/>
  <c r="T714" i="7"/>
  <c r="U714" i="7" s="1"/>
  <c r="T722" i="7"/>
  <c r="U722" i="7" s="1"/>
  <c r="T729" i="7"/>
  <c r="U729" i="7" s="1"/>
  <c r="T734" i="7"/>
  <c r="U734" i="7" s="1"/>
  <c r="T745" i="7"/>
  <c r="U745" i="7" s="1"/>
  <c r="T749" i="7"/>
  <c r="U749" i="7" s="1"/>
  <c r="T778" i="7"/>
  <c r="U778" i="7" s="1"/>
  <c r="T785" i="7"/>
  <c r="U785" i="7" s="1"/>
  <c r="T789" i="7"/>
  <c r="U789" i="7" s="1"/>
  <c r="T793" i="7"/>
  <c r="U793" i="7" s="1"/>
  <c r="T797" i="7"/>
  <c r="U797" i="7" s="1"/>
  <c r="T801" i="7"/>
  <c r="U801" i="7" s="1"/>
  <c r="T805" i="7"/>
  <c r="U805" i="7" s="1"/>
  <c r="T809" i="7"/>
  <c r="U809" i="7" s="1"/>
  <c r="T813" i="7"/>
  <c r="U813" i="7" s="1"/>
  <c r="T817" i="7"/>
  <c r="U817" i="7" s="1"/>
  <c r="T821" i="7"/>
  <c r="U821" i="7" s="1"/>
  <c r="T825" i="7"/>
  <c r="U825" i="7" s="1"/>
  <c r="T829" i="7"/>
  <c r="U829" i="7" s="1"/>
  <c r="T833" i="7"/>
  <c r="U833" i="7" s="1"/>
  <c r="T837" i="7"/>
  <c r="U837" i="7" s="1"/>
  <c r="T696" i="7"/>
  <c r="U696" i="7" s="1"/>
  <c r="V696" i="7"/>
  <c r="T700" i="7"/>
  <c r="U700" i="7" s="1"/>
  <c r="V700" i="7"/>
  <c r="T717" i="7"/>
  <c r="U717" i="7" s="1"/>
  <c r="V717" i="7"/>
  <c r="T723" i="7"/>
  <c r="U723" i="7" s="1"/>
  <c r="V723" i="7"/>
  <c r="T730" i="7"/>
  <c r="U730" i="7" s="1"/>
  <c r="V730" i="7"/>
  <c r="T735" i="7"/>
  <c r="U735" i="7" s="1"/>
  <c r="V735" i="7"/>
  <c r="T746" i="7"/>
  <c r="U746" i="7" s="1"/>
  <c r="V746" i="7"/>
  <c r="T773" i="7"/>
  <c r="U773" i="7" s="1"/>
  <c r="V773" i="7"/>
  <c r="T779" i="7"/>
  <c r="U779" i="7" s="1"/>
  <c r="V779" i="7"/>
  <c r="T786" i="7"/>
  <c r="U786" i="7" s="1"/>
  <c r="V786" i="7"/>
  <c r="T790" i="7"/>
  <c r="U790" i="7" s="1"/>
  <c r="V790" i="7"/>
  <c r="T794" i="7"/>
  <c r="U794" i="7" s="1"/>
  <c r="V794" i="7"/>
  <c r="T798" i="7"/>
  <c r="U798" i="7" s="1"/>
  <c r="V798" i="7"/>
  <c r="T802" i="7"/>
  <c r="U802" i="7" s="1"/>
  <c r="V802" i="7"/>
  <c r="T806" i="7"/>
  <c r="U806" i="7" s="1"/>
  <c r="V806" i="7"/>
  <c r="T810" i="7"/>
  <c r="U810" i="7" s="1"/>
  <c r="V810" i="7"/>
  <c r="T814" i="7"/>
  <c r="U814" i="7" s="1"/>
  <c r="V814" i="7"/>
  <c r="T818" i="7"/>
  <c r="U818" i="7" s="1"/>
  <c r="V818" i="7"/>
  <c r="T822" i="7"/>
  <c r="U822" i="7" s="1"/>
  <c r="V822" i="7"/>
  <c r="T826" i="7"/>
  <c r="U826" i="7" s="1"/>
  <c r="V826" i="7"/>
  <c r="T830" i="7"/>
  <c r="U830" i="7" s="1"/>
  <c r="V830" i="7"/>
  <c r="T834" i="7"/>
  <c r="U834" i="7" s="1"/>
  <c r="V834" i="7"/>
  <c r="T838" i="7"/>
  <c r="U838" i="7" s="1"/>
  <c r="V838" i="7"/>
  <c r="T842" i="7"/>
  <c r="U842" i="7" s="1"/>
  <c r="V842" i="7"/>
  <c r="T846" i="7"/>
  <c r="U846" i="7" s="1"/>
  <c r="V846" i="7"/>
  <c r="T850" i="7"/>
  <c r="U850" i="7" s="1"/>
  <c r="V850" i="7"/>
  <c r="T854" i="7"/>
  <c r="U854" i="7" s="1"/>
  <c r="V854" i="7"/>
  <c r="T858" i="7"/>
  <c r="U858" i="7" s="1"/>
  <c r="V858" i="7"/>
  <c r="T862" i="7"/>
  <c r="U862" i="7" s="1"/>
  <c r="V862" i="7"/>
  <c r="T913" i="7"/>
  <c r="U913" i="7" s="1"/>
  <c r="V913" i="7"/>
  <c r="T917" i="7"/>
  <c r="U917" i="7" s="1"/>
  <c r="V917" i="7"/>
  <c r="T921" i="7"/>
  <c r="U921" i="7" s="1"/>
  <c r="V921" i="7"/>
  <c r="T926" i="7"/>
  <c r="U926" i="7" s="1"/>
  <c r="V926" i="7"/>
  <c r="T1014" i="7"/>
  <c r="U1014" i="7" s="1"/>
  <c r="V1014" i="7"/>
  <c r="T1018" i="7"/>
  <c r="U1018" i="7" s="1"/>
  <c r="V1018" i="7"/>
  <c r="T1022" i="7"/>
  <c r="U1022" i="7" s="1"/>
  <c r="V1022" i="7"/>
  <c r="T1026" i="7"/>
  <c r="U1026" i="7" s="1"/>
  <c r="V1026" i="7"/>
  <c r="V1070" i="7"/>
  <c r="T1070" i="7"/>
  <c r="U1070" i="7" s="1"/>
  <c r="V1028" i="7"/>
  <c r="V1030" i="7"/>
  <c r="V1033" i="7"/>
  <c r="V1035" i="7"/>
  <c r="V1040" i="7"/>
  <c r="V1042" i="7"/>
  <c r="V1053" i="7"/>
  <c r="V1061" i="7"/>
  <c r="T1068" i="7"/>
  <c r="U1068" i="7" s="1"/>
  <c r="T1071" i="7"/>
  <c r="U1071" i="7" s="1"/>
  <c r="J6" i="7"/>
  <c r="K6" i="7" s="1"/>
  <c r="L6" i="7" s="1"/>
  <c r="M1011" i="7"/>
  <c r="M1010" i="7"/>
  <c r="M1009" i="7"/>
  <c r="M1008" i="7"/>
  <c r="M1007" i="7"/>
  <c r="M1006" i="7"/>
  <c r="M1005" i="7"/>
  <c r="M1004" i="7"/>
  <c r="M1003" i="7"/>
  <c r="M1002" i="7"/>
  <c r="M1001" i="7"/>
  <c r="M1000" i="7"/>
  <c r="M999" i="7"/>
  <c r="M998" i="7"/>
  <c r="M997" i="7"/>
  <c r="M996" i="7"/>
  <c r="M995" i="7"/>
  <c r="M994" i="7"/>
  <c r="M993" i="7"/>
  <c r="M992" i="7"/>
  <c r="M991" i="7"/>
  <c r="M990" i="7"/>
  <c r="M989" i="7"/>
  <c r="M988" i="7"/>
  <c r="M987" i="7"/>
  <c r="M986" i="7"/>
  <c r="M984" i="7"/>
  <c r="M983" i="7"/>
  <c r="M982" i="7"/>
  <c r="M981" i="7"/>
  <c r="M980" i="7"/>
  <c r="M979" i="7"/>
  <c r="M978" i="7"/>
  <c r="M977" i="7"/>
  <c r="M976" i="7"/>
  <c r="M974" i="7"/>
  <c r="M973" i="7"/>
  <c r="M972" i="7"/>
  <c r="M971" i="7"/>
  <c r="M970" i="7"/>
  <c r="M969" i="7"/>
  <c r="M968" i="7"/>
  <c r="M967" i="7"/>
  <c r="M966" i="7"/>
  <c r="M965" i="7"/>
  <c r="M964" i="7"/>
  <c r="M962" i="7"/>
  <c r="M960" i="7"/>
  <c r="M959" i="7"/>
  <c r="M958" i="7"/>
  <c r="M957" i="7"/>
  <c r="M956" i="7"/>
  <c r="M955" i="7"/>
  <c r="M954" i="7"/>
  <c r="M953" i="7"/>
  <c r="M952" i="7"/>
  <c r="M951" i="7"/>
  <c r="M950" i="7"/>
  <c r="M949" i="7"/>
  <c r="M948" i="7"/>
  <c r="M947" i="7"/>
  <c r="M946" i="7"/>
  <c r="M945" i="7"/>
  <c r="M944" i="7"/>
  <c r="M943" i="7"/>
  <c r="M942" i="7"/>
  <c r="M941" i="7"/>
  <c r="M940" i="7"/>
  <c r="M938" i="7"/>
  <c r="M937" i="7"/>
  <c r="M936" i="7"/>
  <c r="M935" i="7"/>
  <c r="M934" i="7"/>
  <c r="M912" i="7"/>
  <c r="M911" i="7"/>
  <c r="M910" i="7"/>
  <c r="M909" i="7"/>
  <c r="M907" i="7"/>
  <c r="M906" i="7"/>
  <c r="M905" i="7"/>
  <c r="M904" i="7"/>
  <c r="M903" i="7"/>
  <c r="M901" i="7"/>
  <c r="M900" i="7"/>
  <c r="M899" i="7"/>
  <c r="M898" i="7"/>
  <c r="M897" i="7"/>
  <c r="M873" i="7"/>
  <c r="M872" i="7"/>
  <c r="M871" i="7"/>
  <c r="M783" i="7"/>
  <c r="M782" i="7"/>
  <c r="M781" i="7"/>
  <c r="M780" i="7"/>
  <c r="M779" i="7"/>
  <c r="M778" i="7"/>
  <c r="M775" i="7"/>
  <c r="M774" i="7"/>
  <c r="M773" i="7"/>
  <c r="M772" i="7"/>
  <c r="M771" i="7"/>
  <c r="M749" i="7"/>
  <c r="M748" i="7"/>
  <c r="M747" i="7"/>
  <c r="M746" i="7"/>
  <c r="M745" i="7"/>
  <c r="M744" i="7"/>
  <c r="M743" i="7"/>
  <c r="M742" i="7"/>
  <c r="M741" i="7"/>
  <c r="M740" i="7"/>
  <c r="M739" i="7"/>
  <c r="M738" i="7"/>
  <c r="M735" i="7"/>
  <c r="M734" i="7"/>
  <c r="M733" i="7"/>
  <c r="M732" i="7"/>
  <c r="M731" i="7"/>
  <c r="M730" i="7"/>
  <c r="M729" i="7"/>
  <c r="M716" i="7"/>
  <c r="M715" i="7"/>
  <c r="M714" i="7"/>
  <c r="M703" i="7"/>
  <c r="M702" i="7"/>
  <c r="M701" i="7"/>
  <c r="M700" i="7"/>
  <c r="M699" i="7"/>
  <c r="M698" i="7"/>
  <c r="M697" i="7"/>
  <c r="M696" i="7"/>
  <c r="M695" i="7"/>
  <c r="M694" i="7"/>
  <c r="M693" i="7"/>
  <c r="M692" i="7"/>
  <c r="M691" i="7"/>
  <c r="M690" i="7"/>
  <c r="M689" i="7"/>
  <c r="M688" i="7"/>
  <c r="M687" i="7"/>
  <c r="M686" i="7"/>
  <c r="M685" i="7"/>
  <c r="M684" i="7"/>
  <c r="M683" i="7"/>
  <c r="M682" i="7"/>
  <c r="M681" i="7"/>
  <c r="M667" i="7"/>
  <c r="M666" i="7"/>
  <c r="M665" i="7"/>
  <c r="M664" i="7"/>
  <c r="M663" i="7"/>
  <c r="M662" i="7"/>
  <c r="M661" i="7"/>
  <c r="M660" i="7"/>
  <c r="M659" i="7"/>
  <c r="M658" i="7"/>
  <c r="M657" i="7"/>
  <c r="M656" i="7"/>
  <c r="M655" i="7"/>
  <c r="M654" i="7"/>
  <c r="M653" i="7"/>
  <c r="M652" i="7"/>
  <c r="M651" i="7"/>
  <c r="M650" i="7"/>
  <c r="M649" i="7"/>
  <c r="M648" i="7"/>
  <c r="M647" i="7"/>
  <c r="M589" i="7"/>
  <c r="M588" i="7"/>
  <c r="M587" i="7"/>
  <c r="M586" i="7"/>
  <c r="M585" i="7"/>
  <c r="M584" i="7"/>
  <c r="M583" i="7"/>
  <c r="M582" i="7"/>
  <c r="M581" i="7"/>
  <c r="M580" i="7"/>
  <c r="M579" i="7"/>
  <c r="M578" i="7"/>
  <c r="M577" i="7"/>
  <c r="M576" i="7"/>
  <c r="M575" i="7"/>
  <c r="M574" i="7"/>
  <c r="M573" i="7"/>
  <c r="M572" i="7"/>
  <c r="M571" i="7"/>
  <c r="M570" i="7"/>
  <c r="M569" i="7"/>
  <c r="M568" i="7"/>
  <c r="M567" i="7"/>
  <c r="M566" i="7"/>
  <c r="M555" i="7"/>
  <c r="M524" i="7"/>
  <c r="M523" i="7"/>
  <c r="M522" i="7"/>
  <c r="M521" i="7"/>
  <c r="M520" i="7"/>
  <c r="M519" i="7"/>
  <c r="M518" i="7"/>
  <c r="M517" i="7"/>
  <c r="M516" i="7"/>
  <c r="M515" i="7"/>
  <c r="M514" i="7"/>
  <c r="M513" i="7"/>
  <c r="M512" i="7"/>
  <c r="M511" i="7"/>
  <c r="M510" i="7"/>
  <c r="M509" i="7"/>
  <c r="M508" i="7"/>
  <c r="M507" i="7"/>
  <c r="M506" i="7"/>
  <c r="M505" i="7"/>
  <c r="M504" i="7"/>
  <c r="M503" i="7"/>
  <c r="M502" i="7"/>
  <c r="M501" i="7"/>
  <c r="M500" i="7"/>
  <c r="M499" i="7"/>
  <c r="M498" i="7"/>
  <c r="M497" i="7"/>
  <c r="M496" i="7"/>
  <c r="M495" i="7"/>
  <c r="M494" i="7"/>
  <c r="M493" i="7"/>
  <c r="M492" i="7"/>
  <c r="M491" i="7"/>
  <c r="M490" i="7"/>
  <c r="M489" i="7"/>
  <c r="M488" i="7"/>
  <c r="M487" i="7"/>
  <c r="M486" i="7"/>
  <c r="M485" i="7"/>
  <c r="M484" i="7"/>
  <c r="M483" i="7"/>
  <c r="M482" i="7"/>
  <c r="M481" i="7"/>
  <c r="M480" i="7"/>
  <c r="M479" i="7"/>
  <c r="M464" i="7"/>
  <c r="M463" i="7"/>
  <c r="M459" i="7"/>
  <c r="M458" i="7"/>
  <c r="M457" i="7"/>
  <c r="M453" i="7"/>
  <c r="M452" i="7"/>
  <c r="M451" i="7"/>
  <c r="M450" i="7"/>
  <c r="M438" i="7"/>
  <c r="M437" i="7"/>
  <c r="M436" i="7"/>
  <c r="M435" i="7"/>
  <c r="M434" i="7"/>
  <c r="M433" i="7"/>
  <c r="M432" i="7"/>
  <c r="M430" i="7"/>
  <c r="M429" i="7"/>
  <c r="M428" i="7"/>
  <c r="M427" i="7"/>
  <c r="M426" i="7"/>
  <c r="M425" i="7"/>
  <c r="M424" i="7"/>
  <c r="M423" i="7"/>
  <c r="M422" i="7"/>
  <c r="M421" i="7"/>
  <c r="M420" i="7"/>
  <c r="M412" i="7"/>
  <c r="M411" i="7"/>
  <c r="M410" i="7"/>
  <c r="M409" i="7"/>
  <c r="M408" i="7"/>
  <c r="M407" i="7"/>
  <c r="M406" i="7"/>
  <c r="M404" i="7"/>
  <c r="M403" i="7"/>
  <c r="M402" i="7"/>
  <c r="M401" i="7"/>
  <c r="M398" i="7"/>
  <c r="M397" i="7"/>
  <c r="M365" i="7"/>
  <c r="M364" i="7"/>
  <c r="M363" i="7"/>
  <c r="M362" i="7"/>
  <c r="M360" i="7"/>
  <c r="M359" i="7"/>
  <c r="M358" i="7"/>
  <c r="M357" i="7"/>
  <c r="M356" i="7"/>
  <c r="M355" i="7"/>
  <c r="M354" i="7"/>
  <c r="M353" i="7"/>
  <c r="M352" i="7"/>
  <c r="M351" i="7"/>
  <c r="M350" i="7"/>
  <c r="M349" i="7"/>
  <c r="M348" i="7"/>
  <c r="M347" i="7"/>
  <c r="M346" i="7"/>
  <c r="M345" i="7"/>
  <c r="M344" i="7"/>
  <c r="M343" i="7"/>
  <c r="M342" i="7"/>
  <c r="M341" i="7"/>
  <c r="M340" i="7"/>
  <c r="M339" i="7"/>
  <c r="M338" i="7"/>
  <c r="M337" i="7"/>
  <c r="M336" i="7"/>
  <c r="M335" i="7"/>
  <c r="M307" i="7"/>
  <c r="M306" i="7"/>
  <c r="M305" i="7"/>
  <c r="M304" i="7"/>
  <c r="M303" i="7"/>
  <c r="M301" i="7"/>
  <c r="M300" i="7"/>
  <c r="M299" i="7"/>
  <c r="M298" i="7"/>
  <c r="M296" i="7"/>
  <c r="M295" i="7"/>
  <c r="M294" i="7"/>
  <c r="M293" i="7"/>
  <c r="M292" i="7"/>
  <c r="M291" i="7"/>
  <c r="M290" i="7"/>
  <c r="M289" i="7"/>
  <c r="M288" i="7"/>
  <c r="M286" i="7"/>
  <c r="M285" i="7"/>
  <c r="M284" i="7"/>
  <c r="M283" i="7"/>
  <c r="M282" i="7"/>
  <c r="M281" i="7"/>
  <c r="M280" i="7"/>
  <c r="M279" i="7"/>
  <c r="M278" i="7"/>
  <c r="M277" i="7"/>
  <c r="M276" i="7"/>
  <c r="M272" i="7"/>
  <c r="M271" i="7"/>
  <c r="M270" i="7"/>
  <c r="M269" i="7"/>
  <c r="M268" i="7"/>
  <c r="M267" i="7"/>
  <c r="M266" i="7"/>
  <c r="M265" i="7"/>
  <c r="M264" i="7"/>
  <c r="M263" i="7"/>
  <c r="M262" i="7"/>
  <c r="M261" i="7"/>
  <c r="M260" i="7"/>
  <c r="M259" i="7"/>
  <c r="M258" i="7"/>
  <c r="M257" i="7"/>
  <c r="M256" i="7"/>
  <c r="M255" i="7"/>
  <c r="M254" i="7"/>
  <c r="M230" i="7"/>
  <c r="M229" i="7"/>
  <c r="M228" i="7"/>
  <c r="M227" i="7"/>
  <c r="M226" i="7"/>
  <c r="M225" i="7"/>
  <c r="M224" i="7"/>
  <c r="M223" i="7"/>
  <c r="M213" i="7"/>
  <c r="M212" i="7"/>
  <c r="M211" i="7"/>
  <c r="M210" i="7"/>
  <c r="M209" i="7"/>
  <c r="M208" i="7"/>
  <c r="M207" i="7"/>
  <c r="M205" i="7"/>
  <c r="M204" i="7"/>
  <c r="M203" i="7"/>
  <c r="M202" i="7"/>
  <c r="M201" i="7"/>
  <c r="M200" i="7"/>
  <c r="M199" i="7"/>
  <c r="M198" i="7"/>
  <c r="M197" i="7"/>
  <c r="M196" i="7"/>
  <c r="M195" i="7"/>
  <c r="M194" i="7"/>
  <c r="M193" i="7"/>
  <c r="M192" i="7"/>
  <c r="M191" i="7"/>
  <c r="M190" i="7"/>
  <c r="M189" i="7"/>
  <c r="M188" i="7"/>
  <c r="M187" i="7"/>
  <c r="M186" i="7"/>
  <c r="M185" i="7"/>
  <c r="M184" i="7"/>
  <c r="M183" i="7"/>
  <c r="M182" i="7"/>
  <c r="M181" i="7"/>
  <c r="M180" i="7"/>
  <c r="M179" i="7"/>
  <c r="M178" i="7"/>
  <c r="M177" i="7"/>
  <c r="M176" i="7"/>
  <c r="M175" i="7"/>
  <c r="M174" i="7"/>
  <c r="M173" i="7"/>
  <c r="M172" i="7"/>
  <c r="M171" i="7"/>
  <c r="M170" i="7"/>
  <c r="M169" i="7"/>
  <c r="M168" i="7"/>
  <c r="M167" i="7"/>
  <c r="M154" i="7"/>
  <c r="M153" i="7"/>
  <c r="M152" i="7"/>
  <c r="M151" i="7"/>
  <c r="M150" i="7"/>
  <c r="M149" i="7"/>
  <c r="M148" i="7"/>
  <c r="M147" i="7"/>
  <c r="M146" i="7"/>
  <c r="M145" i="7"/>
  <c r="M144" i="7"/>
  <c r="M140" i="7"/>
  <c r="M139" i="7"/>
  <c r="M138" i="7"/>
  <c r="M137" i="7"/>
  <c r="M132" i="7"/>
  <c r="M131" i="7"/>
  <c r="M130" i="7"/>
  <c r="M97" i="7"/>
  <c r="M96" i="7"/>
  <c r="M89" i="7"/>
  <c r="M88" i="7"/>
  <c r="M87" i="7"/>
  <c r="M86" i="7"/>
  <c r="M85" i="7"/>
  <c r="M84" i="7"/>
  <c r="M83" i="7"/>
  <c r="M82" i="7"/>
  <c r="M81" i="7"/>
  <c r="M80" i="7"/>
  <c r="M79" i="7"/>
  <c r="M78" i="7"/>
  <c r="M77" i="7"/>
  <c r="M76" i="7"/>
  <c r="M75" i="7"/>
  <c r="M74" i="7"/>
  <c r="M73" i="7"/>
  <c r="M72" i="7"/>
  <c r="M71" i="7"/>
  <c r="M69" i="7"/>
  <c r="M68" i="7"/>
  <c r="M67" i="7"/>
  <c r="M66" i="7"/>
  <c r="M65" i="7"/>
  <c r="M64" i="7"/>
  <c r="M53" i="7"/>
  <c r="M52" i="7"/>
  <c r="M51" i="7"/>
  <c r="M50" i="7"/>
  <c r="M49" i="7"/>
  <c r="M48" i="7"/>
  <c r="M47" i="7"/>
  <c r="M46" i="7"/>
  <c r="M45" i="7"/>
  <c r="M44" i="7"/>
  <c r="M43" i="7"/>
  <c r="M42" i="7"/>
  <c r="M41" i="7"/>
  <c r="M40" i="7"/>
  <c r="M39" i="7"/>
  <c r="M38" i="7"/>
  <c r="M37" i="7"/>
  <c r="M36" i="7"/>
  <c r="M35" i="7"/>
  <c r="M34" i="7"/>
  <c r="M20" i="7"/>
  <c r="M19" i="7"/>
  <c r="M18" i="7"/>
  <c r="M17" i="7"/>
  <c r="M16" i="7"/>
  <c r="M15" i="7"/>
  <c r="M14" i="7"/>
  <c r="M13" i="7"/>
  <c r="M10" i="7"/>
  <c r="M9" i="7"/>
  <c r="M8" i="7"/>
  <c r="M6" i="7"/>
  <c r="J1011" i="7"/>
  <c r="K1011" i="7" s="1"/>
  <c r="L1011" i="7" s="1"/>
  <c r="J1010" i="7"/>
  <c r="K1010" i="7" s="1"/>
  <c r="L1010" i="7" s="1"/>
  <c r="J1009" i="7"/>
  <c r="K1009" i="7" s="1"/>
  <c r="L1009" i="7" s="1"/>
  <c r="J1008" i="7"/>
  <c r="K1008" i="7" s="1"/>
  <c r="L1008" i="7" s="1"/>
  <c r="J1007" i="7"/>
  <c r="K1007" i="7" s="1"/>
  <c r="L1007" i="7" s="1"/>
  <c r="J1006" i="7"/>
  <c r="K1006" i="7" s="1"/>
  <c r="L1006" i="7" s="1"/>
  <c r="J1005" i="7"/>
  <c r="K1005" i="7" s="1"/>
  <c r="L1005" i="7" s="1"/>
  <c r="J1004" i="7"/>
  <c r="K1004" i="7" s="1"/>
  <c r="L1004" i="7" s="1"/>
  <c r="J1003" i="7"/>
  <c r="K1003" i="7" s="1"/>
  <c r="L1003" i="7" s="1"/>
  <c r="J1002" i="7"/>
  <c r="K1002" i="7" s="1"/>
  <c r="L1002" i="7" s="1"/>
  <c r="J1001" i="7"/>
  <c r="K1001" i="7" s="1"/>
  <c r="L1001" i="7" s="1"/>
  <c r="J1000" i="7"/>
  <c r="K1000" i="7" s="1"/>
  <c r="L1000" i="7" s="1"/>
  <c r="J999" i="7"/>
  <c r="K999" i="7" s="1"/>
  <c r="L999" i="7" s="1"/>
  <c r="J998" i="7"/>
  <c r="K998" i="7" s="1"/>
  <c r="L998" i="7" s="1"/>
  <c r="J997" i="7"/>
  <c r="K997" i="7" s="1"/>
  <c r="L997" i="7" s="1"/>
  <c r="J996" i="7"/>
  <c r="K996" i="7" s="1"/>
  <c r="L996" i="7" s="1"/>
  <c r="J995" i="7"/>
  <c r="K995" i="7" s="1"/>
  <c r="L995" i="7" s="1"/>
  <c r="J994" i="7"/>
  <c r="K994" i="7" s="1"/>
  <c r="L994" i="7" s="1"/>
  <c r="J993" i="7"/>
  <c r="K993" i="7" s="1"/>
  <c r="L993" i="7" s="1"/>
  <c r="J992" i="7"/>
  <c r="K992" i="7" s="1"/>
  <c r="L992" i="7" s="1"/>
  <c r="J991" i="7"/>
  <c r="K991" i="7" s="1"/>
  <c r="L991" i="7" s="1"/>
  <c r="J990" i="7"/>
  <c r="K990" i="7" s="1"/>
  <c r="L990" i="7" s="1"/>
  <c r="J989" i="7"/>
  <c r="K989" i="7" s="1"/>
  <c r="L989" i="7" s="1"/>
  <c r="J988" i="7"/>
  <c r="K988" i="7" s="1"/>
  <c r="L988" i="7" s="1"/>
  <c r="J987" i="7"/>
  <c r="K987" i="7" s="1"/>
  <c r="L987" i="7" s="1"/>
  <c r="J986" i="7"/>
  <c r="K986" i="7" s="1"/>
  <c r="L986" i="7" s="1"/>
  <c r="J985" i="7"/>
  <c r="K985" i="7" s="1"/>
  <c r="L985" i="7" s="1"/>
  <c r="J984" i="7"/>
  <c r="K984" i="7" s="1"/>
  <c r="L984" i="7" s="1"/>
  <c r="J983" i="7"/>
  <c r="K983" i="7" s="1"/>
  <c r="L983" i="7" s="1"/>
  <c r="J982" i="7"/>
  <c r="K982" i="7" s="1"/>
  <c r="L982" i="7" s="1"/>
  <c r="J981" i="7"/>
  <c r="K981" i="7" s="1"/>
  <c r="L981" i="7" s="1"/>
  <c r="J980" i="7"/>
  <c r="K980" i="7" s="1"/>
  <c r="L980" i="7" s="1"/>
  <c r="J979" i="7"/>
  <c r="K979" i="7" s="1"/>
  <c r="L979" i="7" s="1"/>
  <c r="J978" i="7"/>
  <c r="K978" i="7" s="1"/>
  <c r="L978" i="7" s="1"/>
  <c r="J977" i="7"/>
  <c r="K977" i="7" s="1"/>
  <c r="L977" i="7" s="1"/>
  <c r="J976" i="7"/>
  <c r="K976" i="7" s="1"/>
  <c r="L976" i="7" s="1"/>
  <c r="J975" i="7"/>
  <c r="K975" i="7" s="1"/>
  <c r="L975" i="7" s="1"/>
  <c r="J974" i="7"/>
  <c r="K974" i="7" s="1"/>
  <c r="L974" i="7" s="1"/>
  <c r="J973" i="7"/>
  <c r="K973" i="7" s="1"/>
  <c r="L973" i="7" s="1"/>
  <c r="J972" i="7"/>
  <c r="K972" i="7" s="1"/>
  <c r="L972" i="7" s="1"/>
  <c r="J971" i="7"/>
  <c r="K971" i="7" s="1"/>
  <c r="L971" i="7" s="1"/>
  <c r="J970" i="7"/>
  <c r="K970" i="7" s="1"/>
  <c r="L970" i="7" s="1"/>
  <c r="J969" i="7"/>
  <c r="K969" i="7" s="1"/>
  <c r="L969" i="7" s="1"/>
  <c r="J968" i="7"/>
  <c r="K968" i="7" s="1"/>
  <c r="L968" i="7" s="1"/>
  <c r="J967" i="7"/>
  <c r="K967" i="7" s="1"/>
  <c r="L967" i="7" s="1"/>
  <c r="J966" i="7"/>
  <c r="K966" i="7" s="1"/>
  <c r="L966" i="7" s="1"/>
  <c r="J965" i="7"/>
  <c r="K965" i="7" s="1"/>
  <c r="L965" i="7" s="1"/>
  <c r="J964" i="7"/>
  <c r="K964" i="7" s="1"/>
  <c r="L964" i="7" s="1"/>
  <c r="J963" i="7"/>
  <c r="K963" i="7" s="1"/>
  <c r="L963" i="7" s="1"/>
  <c r="J962" i="7"/>
  <c r="K962" i="7" s="1"/>
  <c r="L962" i="7" s="1"/>
  <c r="J961" i="7"/>
  <c r="K961" i="7" s="1"/>
  <c r="L961" i="7" s="1"/>
  <c r="J960" i="7"/>
  <c r="K960" i="7" s="1"/>
  <c r="L960" i="7" s="1"/>
  <c r="J959" i="7"/>
  <c r="K959" i="7" s="1"/>
  <c r="L959" i="7" s="1"/>
  <c r="J958" i="7"/>
  <c r="K958" i="7" s="1"/>
  <c r="L958" i="7" s="1"/>
  <c r="J957" i="7"/>
  <c r="K957" i="7" s="1"/>
  <c r="L957" i="7" s="1"/>
  <c r="J956" i="7"/>
  <c r="K956" i="7" s="1"/>
  <c r="L956" i="7" s="1"/>
  <c r="J955" i="7"/>
  <c r="K955" i="7" s="1"/>
  <c r="L955" i="7" s="1"/>
  <c r="J954" i="7"/>
  <c r="K954" i="7" s="1"/>
  <c r="L954" i="7" s="1"/>
  <c r="J953" i="7"/>
  <c r="K953" i="7" s="1"/>
  <c r="L953" i="7" s="1"/>
  <c r="J952" i="7"/>
  <c r="K952" i="7" s="1"/>
  <c r="L952" i="7" s="1"/>
  <c r="J951" i="7"/>
  <c r="K951" i="7" s="1"/>
  <c r="L951" i="7" s="1"/>
  <c r="J950" i="7"/>
  <c r="K950" i="7" s="1"/>
  <c r="L950" i="7" s="1"/>
  <c r="J949" i="7"/>
  <c r="K949" i="7" s="1"/>
  <c r="L949" i="7" s="1"/>
  <c r="J948" i="7"/>
  <c r="K948" i="7" s="1"/>
  <c r="L948" i="7" s="1"/>
  <c r="J947" i="7"/>
  <c r="K947" i="7" s="1"/>
  <c r="L947" i="7" s="1"/>
  <c r="J946" i="7"/>
  <c r="K946" i="7" s="1"/>
  <c r="L946" i="7" s="1"/>
  <c r="J945" i="7"/>
  <c r="K945" i="7" s="1"/>
  <c r="L945" i="7" s="1"/>
  <c r="J944" i="7"/>
  <c r="K944" i="7" s="1"/>
  <c r="L944" i="7" s="1"/>
  <c r="J943" i="7"/>
  <c r="K943" i="7" s="1"/>
  <c r="L943" i="7" s="1"/>
  <c r="J942" i="7"/>
  <c r="K942" i="7" s="1"/>
  <c r="L942" i="7" s="1"/>
  <c r="J941" i="7"/>
  <c r="K941" i="7" s="1"/>
  <c r="L941" i="7" s="1"/>
  <c r="J940" i="7"/>
  <c r="K940" i="7" s="1"/>
  <c r="L940" i="7" s="1"/>
  <c r="J939" i="7"/>
  <c r="K939" i="7" s="1"/>
  <c r="L939" i="7" s="1"/>
  <c r="J938" i="7"/>
  <c r="K938" i="7" s="1"/>
  <c r="L938" i="7" s="1"/>
  <c r="J937" i="7"/>
  <c r="K937" i="7" s="1"/>
  <c r="L937" i="7" s="1"/>
  <c r="J936" i="7"/>
  <c r="K936" i="7" s="1"/>
  <c r="L936" i="7" s="1"/>
  <c r="J935" i="7"/>
  <c r="K935" i="7" s="1"/>
  <c r="L935" i="7" s="1"/>
  <c r="J934" i="7"/>
  <c r="K934" i="7" s="1"/>
  <c r="L934" i="7" s="1"/>
  <c r="J912" i="7"/>
  <c r="K912" i="7" s="1"/>
  <c r="L912" i="7" s="1"/>
  <c r="J911" i="7"/>
  <c r="K911" i="7" s="1"/>
  <c r="L911" i="7" s="1"/>
  <c r="J910" i="7"/>
  <c r="K910" i="7" s="1"/>
  <c r="L910" i="7" s="1"/>
  <c r="J909" i="7"/>
  <c r="K909" i="7" s="1"/>
  <c r="L909" i="7" s="1"/>
  <c r="J908" i="7"/>
  <c r="K908" i="7" s="1"/>
  <c r="L908" i="7" s="1"/>
  <c r="J907" i="7"/>
  <c r="K907" i="7" s="1"/>
  <c r="L907" i="7" s="1"/>
  <c r="J906" i="7"/>
  <c r="K906" i="7" s="1"/>
  <c r="L906" i="7" s="1"/>
  <c r="J905" i="7"/>
  <c r="K905" i="7" s="1"/>
  <c r="L905" i="7" s="1"/>
  <c r="J904" i="7"/>
  <c r="K904" i="7" s="1"/>
  <c r="L904" i="7" s="1"/>
  <c r="J903" i="7"/>
  <c r="K903" i="7" s="1"/>
  <c r="L903" i="7" s="1"/>
  <c r="J902" i="7"/>
  <c r="K902" i="7" s="1"/>
  <c r="L902" i="7" s="1"/>
  <c r="J901" i="7"/>
  <c r="K901" i="7" s="1"/>
  <c r="L901" i="7" s="1"/>
  <c r="J900" i="7"/>
  <c r="K900" i="7" s="1"/>
  <c r="L900" i="7" s="1"/>
  <c r="J899" i="7"/>
  <c r="K899" i="7" s="1"/>
  <c r="L899" i="7" s="1"/>
  <c r="J898" i="7"/>
  <c r="K898" i="7" s="1"/>
  <c r="L898" i="7" s="1"/>
  <c r="J897" i="7"/>
  <c r="K897" i="7" s="1"/>
  <c r="L897" i="7" s="1"/>
  <c r="J873" i="7"/>
  <c r="K873" i="7" s="1"/>
  <c r="L873" i="7" s="1"/>
  <c r="J872" i="7"/>
  <c r="K872" i="7" s="1"/>
  <c r="L872" i="7" s="1"/>
  <c r="J871" i="7"/>
  <c r="K871" i="7" s="1"/>
  <c r="L871" i="7" s="1"/>
  <c r="J783" i="7"/>
  <c r="K783" i="7" s="1"/>
  <c r="L783" i="7" s="1"/>
  <c r="J782" i="7"/>
  <c r="K782" i="7" s="1"/>
  <c r="L782" i="7" s="1"/>
  <c r="J781" i="7"/>
  <c r="K781" i="7" s="1"/>
  <c r="L781" i="7" s="1"/>
  <c r="J780" i="7"/>
  <c r="K780" i="7" s="1"/>
  <c r="L780" i="7" s="1"/>
  <c r="J779" i="7"/>
  <c r="K779" i="7" s="1"/>
  <c r="L779" i="7" s="1"/>
  <c r="J778" i="7"/>
  <c r="K778" i="7" s="1"/>
  <c r="L778" i="7" s="1"/>
  <c r="J775" i="7"/>
  <c r="K775" i="7" s="1"/>
  <c r="L775" i="7" s="1"/>
  <c r="J774" i="7"/>
  <c r="K774" i="7" s="1"/>
  <c r="L774" i="7" s="1"/>
  <c r="J773" i="7"/>
  <c r="K773" i="7" s="1"/>
  <c r="L773" i="7" s="1"/>
  <c r="J772" i="7"/>
  <c r="K772" i="7" s="1"/>
  <c r="L772" i="7" s="1"/>
  <c r="J771" i="7"/>
  <c r="K771" i="7" s="1"/>
  <c r="L771" i="7" s="1"/>
  <c r="J749" i="7"/>
  <c r="K749" i="7" s="1"/>
  <c r="L749" i="7" s="1"/>
  <c r="J748" i="7"/>
  <c r="K748" i="7" s="1"/>
  <c r="L748" i="7" s="1"/>
  <c r="J747" i="7"/>
  <c r="K747" i="7" s="1"/>
  <c r="L747" i="7" s="1"/>
  <c r="J746" i="7"/>
  <c r="K746" i="7" s="1"/>
  <c r="L746" i="7" s="1"/>
  <c r="J745" i="7"/>
  <c r="K745" i="7" s="1"/>
  <c r="L745" i="7" s="1"/>
  <c r="J744" i="7"/>
  <c r="K744" i="7" s="1"/>
  <c r="L744" i="7" s="1"/>
  <c r="J743" i="7"/>
  <c r="K743" i="7" s="1"/>
  <c r="L743" i="7" s="1"/>
  <c r="J742" i="7"/>
  <c r="K742" i="7" s="1"/>
  <c r="L742" i="7" s="1"/>
  <c r="J741" i="7"/>
  <c r="K741" i="7" s="1"/>
  <c r="L741" i="7" s="1"/>
  <c r="J740" i="7"/>
  <c r="K740" i="7" s="1"/>
  <c r="L740" i="7" s="1"/>
  <c r="J739" i="7"/>
  <c r="K739" i="7" s="1"/>
  <c r="L739" i="7" s="1"/>
  <c r="J738" i="7"/>
  <c r="K738" i="7" s="1"/>
  <c r="L738" i="7" s="1"/>
  <c r="J735" i="7"/>
  <c r="K735" i="7" s="1"/>
  <c r="L735" i="7" s="1"/>
  <c r="J734" i="7"/>
  <c r="K734" i="7" s="1"/>
  <c r="L734" i="7" s="1"/>
  <c r="J733" i="7"/>
  <c r="K733" i="7" s="1"/>
  <c r="L733" i="7" s="1"/>
  <c r="J732" i="7"/>
  <c r="K732" i="7" s="1"/>
  <c r="L732" i="7" s="1"/>
  <c r="J731" i="7"/>
  <c r="K731" i="7" s="1"/>
  <c r="L731" i="7" s="1"/>
  <c r="J730" i="7"/>
  <c r="K730" i="7" s="1"/>
  <c r="L730" i="7" s="1"/>
  <c r="J729" i="7"/>
  <c r="K729" i="7" s="1"/>
  <c r="L729" i="7" s="1"/>
  <c r="J716" i="7"/>
  <c r="K716" i="7" s="1"/>
  <c r="L716" i="7" s="1"/>
  <c r="J715" i="7"/>
  <c r="K715" i="7" s="1"/>
  <c r="L715" i="7" s="1"/>
  <c r="J714" i="7"/>
  <c r="K714" i="7" s="1"/>
  <c r="L714" i="7" s="1"/>
  <c r="J703" i="7"/>
  <c r="K703" i="7" s="1"/>
  <c r="L703" i="7" s="1"/>
  <c r="J702" i="7"/>
  <c r="K702" i="7" s="1"/>
  <c r="L702" i="7" s="1"/>
  <c r="J701" i="7"/>
  <c r="K701" i="7" s="1"/>
  <c r="L701" i="7" s="1"/>
  <c r="J700" i="7"/>
  <c r="K700" i="7" s="1"/>
  <c r="L700" i="7" s="1"/>
  <c r="J699" i="7"/>
  <c r="K699" i="7" s="1"/>
  <c r="L699" i="7" s="1"/>
  <c r="J698" i="7"/>
  <c r="K698" i="7" s="1"/>
  <c r="L698" i="7" s="1"/>
  <c r="J697" i="7"/>
  <c r="K697" i="7" s="1"/>
  <c r="L697" i="7" s="1"/>
  <c r="J696" i="7"/>
  <c r="K696" i="7" s="1"/>
  <c r="L696" i="7" s="1"/>
  <c r="J695" i="7"/>
  <c r="K695" i="7" s="1"/>
  <c r="L695" i="7" s="1"/>
  <c r="J694" i="7"/>
  <c r="K694" i="7" s="1"/>
  <c r="L694" i="7" s="1"/>
  <c r="J693" i="7"/>
  <c r="K693" i="7" s="1"/>
  <c r="L693" i="7" s="1"/>
  <c r="J692" i="7"/>
  <c r="K692" i="7" s="1"/>
  <c r="L692" i="7" s="1"/>
  <c r="J691" i="7"/>
  <c r="K691" i="7" s="1"/>
  <c r="L691" i="7" s="1"/>
  <c r="J690" i="7"/>
  <c r="K690" i="7" s="1"/>
  <c r="L690" i="7" s="1"/>
  <c r="J689" i="7"/>
  <c r="K689" i="7" s="1"/>
  <c r="L689" i="7" s="1"/>
  <c r="J688" i="7"/>
  <c r="K688" i="7" s="1"/>
  <c r="L688" i="7" s="1"/>
  <c r="J687" i="7"/>
  <c r="K687" i="7" s="1"/>
  <c r="L687" i="7" s="1"/>
  <c r="J686" i="7"/>
  <c r="K686" i="7" s="1"/>
  <c r="L686" i="7" s="1"/>
  <c r="J685" i="7"/>
  <c r="K685" i="7" s="1"/>
  <c r="L685" i="7" s="1"/>
  <c r="J684" i="7"/>
  <c r="K684" i="7" s="1"/>
  <c r="L684" i="7" s="1"/>
  <c r="J683" i="7"/>
  <c r="K683" i="7" s="1"/>
  <c r="L683" i="7" s="1"/>
  <c r="J682" i="7"/>
  <c r="K682" i="7" s="1"/>
  <c r="L682" i="7" s="1"/>
  <c r="J681" i="7"/>
  <c r="K681" i="7" s="1"/>
  <c r="L681" i="7" s="1"/>
  <c r="J667" i="7"/>
  <c r="K667" i="7" s="1"/>
  <c r="L667" i="7" s="1"/>
  <c r="J666" i="7"/>
  <c r="K666" i="7" s="1"/>
  <c r="L666" i="7" s="1"/>
  <c r="J665" i="7"/>
  <c r="K665" i="7" s="1"/>
  <c r="L665" i="7" s="1"/>
  <c r="J664" i="7"/>
  <c r="K664" i="7" s="1"/>
  <c r="L664" i="7" s="1"/>
  <c r="J663" i="7"/>
  <c r="K663" i="7" s="1"/>
  <c r="L663" i="7" s="1"/>
  <c r="J662" i="7"/>
  <c r="K662" i="7" s="1"/>
  <c r="L662" i="7" s="1"/>
  <c r="J661" i="7"/>
  <c r="K661" i="7" s="1"/>
  <c r="L661" i="7" s="1"/>
  <c r="J660" i="7"/>
  <c r="K660" i="7" s="1"/>
  <c r="L660" i="7" s="1"/>
  <c r="J659" i="7"/>
  <c r="K659" i="7" s="1"/>
  <c r="L659" i="7" s="1"/>
  <c r="J658" i="7"/>
  <c r="K658" i="7" s="1"/>
  <c r="L658" i="7" s="1"/>
  <c r="J657" i="7"/>
  <c r="K657" i="7" s="1"/>
  <c r="L657" i="7" s="1"/>
  <c r="J656" i="7"/>
  <c r="K656" i="7" s="1"/>
  <c r="L656" i="7" s="1"/>
  <c r="J655" i="7"/>
  <c r="K655" i="7" s="1"/>
  <c r="L655" i="7" s="1"/>
  <c r="J654" i="7"/>
  <c r="K654" i="7" s="1"/>
  <c r="L654" i="7" s="1"/>
  <c r="J653" i="7"/>
  <c r="K653" i="7" s="1"/>
  <c r="L653" i="7" s="1"/>
  <c r="J652" i="7"/>
  <c r="K652" i="7" s="1"/>
  <c r="L652" i="7" s="1"/>
  <c r="J651" i="7"/>
  <c r="K651" i="7" s="1"/>
  <c r="L651" i="7" s="1"/>
  <c r="J650" i="7"/>
  <c r="K650" i="7" s="1"/>
  <c r="L650" i="7" s="1"/>
  <c r="J649" i="7"/>
  <c r="K649" i="7" s="1"/>
  <c r="L649" i="7" s="1"/>
  <c r="J648" i="7"/>
  <c r="K648" i="7" s="1"/>
  <c r="L648" i="7" s="1"/>
  <c r="J647" i="7"/>
  <c r="K647" i="7" s="1"/>
  <c r="L647" i="7" s="1"/>
  <c r="J589" i="7"/>
  <c r="K589" i="7" s="1"/>
  <c r="L589" i="7" s="1"/>
  <c r="J588" i="7"/>
  <c r="K588" i="7" s="1"/>
  <c r="L588" i="7" s="1"/>
  <c r="J587" i="7"/>
  <c r="K587" i="7" s="1"/>
  <c r="L587" i="7" s="1"/>
  <c r="J586" i="7"/>
  <c r="K586" i="7" s="1"/>
  <c r="L586" i="7" s="1"/>
  <c r="J585" i="7"/>
  <c r="K585" i="7" s="1"/>
  <c r="L585" i="7" s="1"/>
  <c r="J584" i="7"/>
  <c r="K584" i="7" s="1"/>
  <c r="L584" i="7" s="1"/>
  <c r="J583" i="7"/>
  <c r="K583" i="7" s="1"/>
  <c r="L583" i="7" s="1"/>
  <c r="J582" i="7"/>
  <c r="K582" i="7" s="1"/>
  <c r="L582" i="7" s="1"/>
  <c r="J581" i="7"/>
  <c r="K581" i="7" s="1"/>
  <c r="L581" i="7" s="1"/>
  <c r="J580" i="7"/>
  <c r="K580" i="7" s="1"/>
  <c r="L580" i="7" s="1"/>
  <c r="J579" i="7"/>
  <c r="K579" i="7" s="1"/>
  <c r="L579" i="7" s="1"/>
  <c r="J578" i="7"/>
  <c r="K578" i="7" s="1"/>
  <c r="L578" i="7" s="1"/>
  <c r="J577" i="7"/>
  <c r="K577" i="7" s="1"/>
  <c r="L577" i="7" s="1"/>
  <c r="J576" i="7"/>
  <c r="K576" i="7" s="1"/>
  <c r="L576" i="7" s="1"/>
  <c r="J575" i="7"/>
  <c r="K575" i="7" s="1"/>
  <c r="L575" i="7" s="1"/>
  <c r="J574" i="7"/>
  <c r="K574" i="7" s="1"/>
  <c r="L574" i="7" s="1"/>
  <c r="J573" i="7"/>
  <c r="K573" i="7" s="1"/>
  <c r="L573" i="7" s="1"/>
  <c r="J572" i="7"/>
  <c r="K572" i="7" s="1"/>
  <c r="L572" i="7" s="1"/>
  <c r="J571" i="7"/>
  <c r="K571" i="7" s="1"/>
  <c r="L571" i="7" s="1"/>
  <c r="J570" i="7"/>
  <c r="K570" i="7" s="1"/>
  <c r="L570" i="7" s="1"/>
  <c r="J569" i="7"/>
  <c r="K569" i="7" s="1"/>
  <c r="L569" i="7" s="1"/>
  <c r="J568" i="7"/>
  <c r="K568" i="7" s="1"/>
  <c r="L568" i="7" s="1"/>
  <c r="J567" i="7"/>
  <c r="K567" i="7" s="1"/>
  <c r="L567" i="7" s="1"/>
  <c r="J566" i="7"/>
  <c r="K566" i="7" s="1"/>
  <c r="L566" i="7" s="1"/>
  <c r="J555" i="7"/>
  <c r="K555" i="7" s="1"/>
  <c r="L555" i="7" s="1"/>
  <c r="J524" i="7"/>
  <c r="K524" i="7" s="1"/>
  <c r="L524" i="7" s="1"/>
  <c r="J523" i="7"/>
  <c r="K523" i="7" s="1"/>
  <c r="L523" i="7" s="1"/>
  <c r="J522" i="7"/>
  <c r="K522" i="7" s="1"/>
  <c r="L522" i="7" s="1"/>
  <c r="J521" i="7"/>
  <c r="K521" i="7" s="1"/>
  <c r="L521" i="7" s="1"/>
  <c r="J520" i="7"/>
  <c r="K520" i="7" s="1"/>
  <c r="L520" i="7" s="1"/>
  <c r="J519" i="7"/>
  <c r="K519" i="7" s="1"/>
  <c r="L519" i="7" s="1"/>
  <c r="J518" i="7"/>
  <c r="K518" i="7" s="1"/>
  <c r="L518" i="7" s="1"/>
  <c r="J517" i="7"/>
  <c r="K517" i="7" s="1"/>
  <c r="L517" i="7" s="1"/>
  <c r="J516" i="7"/>
  <c r="K516" i="7" s="1"/>
  <c r="L516" i="7" s="1"/>
  <c r="J515" i="7"/>
  <c r="K515" i="7" s="1"/>
  <c r="L515" i="7" s="1"/>
  <c r="J514" i="7"/>
  <c r="K514" i="7" s="1"/>
  <c r="L514" i="7" s="1"/>
  <c r="J513" i="7"/>
  <c r="K513" i="7" s="1"/>
  <c r="L513" i="7" s="1"/>
  <c r="J512" i="7"/>
  <c r="K512" i="7" s="1"/>
  <c r="L512" i="7" s="1"/>
  <c r="J511" i="7"/>
  <c r="K511" i="7" s="1"/>
  <c r="L511" i="7" s="1"/>
  <c r="J510" i="7"/>
  <c r="K510" i="7" s="1"/>
  <c r="L510" i="7" s="1"/>
  <c r="J509" i="7"/>
  <c r="K509" i="7" s="1"/>
  <c r="L509" i="7" s="1"/>
  <c r="J508" i="7"/>
  <c r="K508" i="7" s="1"/>
  <c r="L508" i="7" s="1"/>
  <c r="J507" i="7"/>
  <c r="K507" i="7" s="1"/>
  <c r="L507" i="7" s="1"/>
  <c r="J506" i="7"/>
  <c r="K506" i="7" s="1"/>
  <c r="L506" i="7" s="1"/>
  <c r="J505" i="7"/>
  <c r="K505" i="7" s="1"/>
  <c r="L505" i="7" s="1"/>
  <c r="J504" i="7"/>
  <c r="K504" i="7" s="1"/>
  <c r="L504" i="7" s="1"/>
  <c r="J503" i="7"/>
  <c r="K503" i="7" s="1"/>
  <c r="L503" i="7" s="1"/>
  <c r="J502" i="7"/>
  <c r="K502" i="7" s="1"/>
  <c r="L502" i="7" s="1"/>
  <c r="J501" i="7"/>
  <c r="K501" i="7" s="1"/>
  <c r="L501" i="7" s="1"/>
  <c r="J500" i="7"/>
  <c r="K500" i="7" s="1"/>
  <c r="L500" i="7" s="1"/>
  <c r="J499" i="7"/>
  <c r="K499" i="7" s="1"/>
  <c r="L499" i="7" s="1"/>
  <c r="J498" i="7"/>
  <c r="K498" i="7" s="1"/>
  <c r="L498" i="7" s="1"/>
  <c r="J497" i="7"/>
  <c r="K497" i="7" s="1"/>
  <c r="L497" i="7" s="1"/>
  <c r="J496" i="7"/>
  <c r="K496" i="7" s="1"/>
  <c r="L496" i="7" s="1"/>
  <c r="J495" i="7"/>
  <c r="K495" i="7" s="1"/>
  <c r="L495" i="7" s="1"/>
  <c r="J494" i="7"/>
  <c r="K494" i="7" s="1"/>
  <c r="L494" i="7" s="1"/>
  <c r="J493" i="7"/>
  <c r="K493" i="7" s="1"/>
  <c r="L493" i="7" s="1"/>
  <c r="J492" i="7"/>
  <c r="K492" i="7" s="1"/>
  <c r="L492" i="7" s="1"/>
  <c r="J491" i="7"/>
  <c r="K491" i="7" s="1"/>
  <c r="L491" i="7" s="1"/>
  <c r="J490" i="7"/>
  <c r="K490" i="7" s="1"/>
  <c r="L490" i="7" s="1"/>
  <c r="J489" i="7"/>
  <c r="K489" i="7" s="1"/>
  <c r="L489" i="7" s="1"/>
  <c r="J488" i="7"/>
  <c r="K488" i="7" s="1"/>
  <c r="L488" i="7" s="1"/>
  <c r="J487" i="7"/>
  <c r="K487" i="7" s="1"/>
  <c r="L487" i="7" s="1"/>
  <c r="J486" i="7"/>
  <c r="K486" i="7" s="1"/>
  <c r="L486" i="7" s="1"/>
  <c r="J485" i="7"/>
  <c r="K485" i="7" s="1"/>
  <c r="L485" i="7" s="1"/>
  <c r="J484" i="7"/>
  <c r="K484" i="7" s="1"/>
  <c r="L484" i="7" s="1"/>
  <c r="J483" i="7"/>
  <c r="K483" i="7" s="1"/>
  <c r="L483" i="7" s="1"/>
  <c r="J482" i="7"/>
  <c r="K482" i="7" s="1"/>
  <c r="L482" i="7" s="1"/>
  <c r="J481" i="7"/>
  <c r="K481" i="7" s="1"/>
  <c r="L481" i="7" s="1"/>
  <c r="J480" i="7"/>
  <c r="K480" i="7" s="1"/>
  <c r="L480" i="7" s="1"/>
  <c r="J479" i="7"/>
  <c r="K479" i="7" s="1"/>
  <c r="L479" i="7" s="1"/>
  <c r="J464" i="7"/>
  <c r="K464" i="7" s="1"/>
  <c r="L464" i="7" s="1"/>
  <c r="J463" i="7"/>
  <c r="K463" i="7" s="1"/>
  <c r="L463" i="7" s="1"/>
  <c r="J459" i="7"/>
  <c r="K459" i="7" s="1"/>
  <c r="L459" i="7" s="1"/>
  <c r="J458" i="7"/>
  <c r="K458" i="7" s="1"/>
  <c r="L458" i="7" s="1"/>
  <c r="J457" i="7"/>
  <c r="K457" i="7" s="1"/>
  <c r="L457" i="7" s="1"/>
  <c r="J453" i="7"/>
  <c r="K453" i="7" s="1"/>
  <c r="L453" i="7" s="1"/>
  <c r="J452" i="7"/>
  <c r="K452" i="7" s="1"/>
  <c r="L452" i="7" s="1"/>
  <c r="J451" i="7"/>
  <c r="K451" i="7" s="1"/>
  <c r="L451" i="7" s="1"/>
  <c r="J450" i="7"/>
  <c r="K450" i="7" s="1"/>
  <c r="L450" i="7" s="1"/>
  <c r="J438" i="7"/>
  <c r="K438" i="7" s="1"/>
  <c r="L438" i="7" s="1"/>
  <c r="J437" i="7"/>
  <c r="K437" i="7" s="1"/>
  <c r="L437" i="7" s="1"/>
  <c r="J436" i="7"/>
  <c r="K436" i="7" s="1"/>
  <c r="L436" i="7" s="1"/>
  <c r="J435" i="7"/>
  <c r="K435" i="7" s="1"/>
  <c r="L435" i="7" s="1"/>
  <c r="J434" i="7"/>
  <c r="K434" i="7" s="1"/>
  <c r="L434" i="7" s="1"/>
  <c r="J433" i="7"/>
  <c r="K433" i="7" s="1"/>
  <c r="L433" i="7" s="1"/>
  <c r="J432" i="7"/>
  <c r="K432" i="7" s="1"/>
  <c r="L432" i="7" s="1"/>
  <c r="J430" i="7"/>
  <c r="K430" i="7" s="1"/>
  <c r="L430" i="7" s="1"/>
  <c r="J429" i="7"/>
  <c r="K429" i="7" s="1"/>
  <c r="L429" i="7" s="1"/>
  <c r="J428" i="7"/>
  <c r="K428" i="7" s="1"/>
  <c r="L428" i="7" s="1"/>
  <c r="J427" i="7"/>
  <c r="K427" i="7" s="1"/>
  <c r="L427" i="7" s="1"/>
  <c r="J426" i="7"/>
  <c r="K426" i="7" s="1"/>
  <c r="L426" i="7" s="1"/>
  <c r="J425" i="7"/>
  <c r="K425" i="7" s="1"/>
  <c r="L425" i="7" s="1"/>
  <c r="J424" i="7"/>
  <c r="K424" i="7" s="1"/>
  <c r="L424" i="7" s="1"/>
  <c r="J423" i="7"/>
  <c r="K423" i="7" s="1"/>
  <c r="L423" i="7" s="1"/>
  <c r="J422" i="7"/>
  <c r="K422" i="7" s="1"/>
  <c r="L422" i="7" s="1"/>
  <c r="J421" i="7"/>
  <c r="K421" i="7" s="1"/>
  <c r="L421" i="7" s="1"/>
  <c r="J420" i="7"/>
  <c r="K420" i="7" s="1"/>
  <c r="L420" i="7" s="1"/>
  <c r="J412" i="7"/>
  <c r="K412" i="7" s="1"/>
  <c r="L412" i="7" s="1"/>
  <c r="J411" i="7"/>
  <c r="K411" i="7" s="1"/>
  <c r="L411" i="7" s="1"/>
  <c r="J410" i="7"/>
  <c r="K410" i="7" s="1"/>
  <c r="L410" i="7" s="1"/>
  <c r="J409" i="7"/>
  <c r="K409" i="7" s="1"/>
  <c r="L409" i="7" s="1"/>
  <c r="J408" i="7"/>
  <c r="K408" i="7" s="1"/>
  <c r="L408" i="7" s="1"/>
  <c r="J407" i="7"/>
  <c r="K407" i="7" s="1"/>
  <c r="L407" i="7" s="1"/>
  <c r="J406" i="7"/>
  <c r="K406" i="7" s="1"/>
  <c r="L406" i="7" s="1"/>
  <c r="J404" i="7"/>
  <c r="K404" i="7" s="1"/>
  <c r="L404" i="7" s="1"/>
  <c r="J403" i="7"/>
  <c r="K403" i="7" s="1"/>
  <c r="L403" i="7" s="1"/>
  <c r="J402" i="7"/>
  <c r="K402" i="7" s="1"/>
  <c r="L402" i="7" s="1"/>
  <c r="J401" i="7"/>
  <c r="K401" i="7" s="1"/>
  <c r="L401" i="7" s="1"/>
  <c r="J398" i="7"/>
  <c r="K398" i="7" s="1"/>
  <c r="L398" i="7" s="1"/>
  <c r="J397" i="7"/>
  <c r="K397" i="7" s="1"/>
  <c r="L397" i="7" s="1"/>
  <c r="J365" i="7"/>
  <c r="K365" i="7" s="1"/>
  <c r="L365" i="7" s="1"/>
  <c r="J364" i="7"/>
  <c r="K364" i="7" s="1"/>
  <c r="L364" i="7" s="1"/>
  <c r="J363" i="7"/>
  <c r="K363" i="7" s="1"/>
  <c r="L363" i="7" s="1"/>
  <c r="J362" i="7"/>
  <c r="K362" i="7" s="1"/>
  <c r="L362" i="7" s="1"/>
  <c r="J360" i="7"/>
  <c r="K360" i="7" s="1"/>
  <c r="L360" i="7" s="1"/>
  <c r="J359" i="7"/>
  <c r="K359" i="7" s="1"/>
  <c r="L359" i="7" s="1"/>
  <c r="J358" i="7"/>
  <c r="K358" i="7" s="1"/>
  <c r="L358" i="7" s="1"/>
  <c r="J357" i="7"/>
  <c r="K357" i="7" s="1"/>
  <c r="L357" i="7" s="1"/>
  <c r="J356" i="7"/>
  <c r="K356" i="7" s="1"/>
  <c r="L356" i="7" s="1"/>
  <c r="J355" i="7"/>
  <c r="K355" i="7" s="1"/>
  <c r="L355" i="7" s="1"/>
  <c r="J354" i="7"/>
  <c r="K354" i="7" s="1"/>
  <c r="L354" i="7" s="1"/>
  <c r="J353" i="7"/>
  <c r="K353" i="7" s="1"/>
  <c r="L353" i="7" s="1"/>
  <c r="J352" i="7"/>
  <c r="K352" i="7" s="1"/>
  <c r="L352" i="7" s="1"/>
  <c r="J351" i="7"/>
  <c r="K351" i="7" s="1"/>
  <c r="L351" i="7" s="1"/>
  <c r="J350" i="7"/>
  <c r="K350" i="7" s="1"/>
  <c r="L350" i="7" s="1"/>
  <c r="J349" i="7"/>
  <c r="K349" i="7" s="1"/>
  <c r="L349" i="7" s="1"/>
  <c r="J348" i="7"/>
  <c r="K348" i="7" s="1"/>
  <c r="L348" i="7" s="1"/>
  <c r="J347" i="7"/>
  <c r="K347" i="7" s="1"/>
  <c r="L347" i="7" s="1"/>
  <c r="J346" i="7"/>
  <c r="K346" i="7" s="1"/>
  <c r="L346" i="7" s="1"/>
  <c r="J345" i="7"/>
  <c r="K345" i="7" s="1"/>
  <c r="L345" i="7" s="1"/>
  <c r="J344" i="7"/>
  <c r="K344" i="7" s="1"/>
  <c r="L344" i="7" s="1"/>
  <c r="J343" i="7"/>
  <c r="K343" i="7" s="1"/>
  <c r="L343" i="7" s="1"/>
  <c r="J342" i="7"/>
  <c r="K342" i="7" s="1"/>
  <c r="L342" i="7" s="1"/>
  <c r="J341" i="7"/>
  <c r="K341" i="7" s="1"/>
  <c r="L341" i="7" s="1"/>
  <c r="J340" i="7"/>
  <c r="K340" i="7" s="1"/>
  <c r="L340" i="7" s="1"/>
  <c r="J339" i="7"/>
  <c r="K339" i="7" s="1"/>
  <c r="L339" i="7" s="1"/>
  <c r="J338" i="7"/>
  <c r="K338" i="7" s="1"/>
  <c r="L338" i="7" s="1"/>
  <c r="J337" i="7"/>
  <c r="K337" i="7" s="1"/>
  <c r="L337" i="7" s="1"/>
  <c r="J336" i="7"/>
  <c r="K336" i="7" s="1"/>
  <c r="L336" i="7" s="1"/>
  <c r="J335" i="7"/>
  <c r="K335" i="7" s="1"/>
  <c r="L335" i="7" s="1"/>
  <c r="J307" i="7"/>
  <c r="K307" i="7" s="1"/>
  <c r="L307" i="7" s="1"/>
  <c r="J306" i="7"/>
  <c r="K306" i="7" s="1"/>
  <c r="L306" i="7" s="1"/>
  <c r="J305" i="7"/>
  <c r="K305" i="7" s="1"/>
  <c r="L305" i="7" s="1"/>
  <c r="J304" i="7"/>
  <c r="K304" i="7" s="1"/>
  <c r="L304" i="7" s="1"/>
  <c r="J303" i="7"/>
  <c r="K303" i="7" s="1"/>
  <c r="L303" i="7" s="1"/>
  <c r="J301" i="7"/>
  <c r="K301" i="7" s="1"/>
  <c r="L301" i="7" s="1"/>
  <c r="J300" i="7"/>
  <c r="K300" i="7" s="1"/>
  <c r="L300" i="7" s="1"/>
  <c r="J299" i="7"/>
  <c r="K299" i="7" s="1"/>
  <c r="L299" i="7" s="1"/>
  <c r="J298" i="7"/>
  <c r="K298" i="7" s="1"/>
  <c r="L298" i="7" s="1"/>
  <c r="J297" i="7"/>
  <c r="K297" i="7" s="1"/>
  <c r="L297" i="7" s="1"/>
  <c r="J296" i="7"/>
  <c r="K296" i="7" s="1"/>
  <c r="L296" i="7" s="1"/>
  <c r="J295" i="7"/>
  <c r="K295" i="7" s="1"/>
  <c r="L295" i="7" s="1"/>
  <c r="J294" i="7"/>
  <c r="K294" i="7" s="1"/>
  <c r="L294" i="7" s="1"/>
  <c r="J293" i="7"/>
  <c r="K293" i="7" s="1"/>
  <c r="L293" i="7" s="1"/>
  <c r="J292" i="7"/>
  <c r="K292" i="7" s="1"/>
  <c r="L292" i="7" s="1"/>
  <c r="J291" i="7"/>
  <c r="K291" i="7" s="1"/>
  <c r="L291" i="7" s="1"/>
  <c r="J290" i="7"/>
  <c r="K290" i="7" s="1"/>
  <c r="L290" i="7" s="1"/>
  <c r="J289" i="7"/>
  <c r="K289" i="7" s="1"/>
  <c r="L289" i="7" s="1"/>
  <c r="J288" i="7"/>
  <c r="K288" i="7" s="1"/>
  <c r="L288" i="7" s="1"/>
  <c r="J286" i="7"/>
  <c r="K286" i="7" s="1"/>
  <c r="L286" i="7" s="1"/>
  <c r="J285" i="7"/>
  <c r="K285" i="7" s="1"/>
  <c r="L285" i="7" s="1"/>
  <c r="J284" i="7"/>
  <c r="K284" i="7" s="1"/>
  <c r="L284" i="7" s="1"/>
  <c r="J283" i="7"/>
  <c r="K283" i="7" s="1"/>
  <c r="L283" i="7" s="1"/>
  <c r="J282" i="7"/>
  <c r="K282" i="7" s="1"/>
  <c r="L282" i="7" s="1"/>
  <c r="J281" i="7"/>
  <c r="K281" i="7" s="1"/>
  <c r="L281" i="7" s="1"/>
  <c r="J280" i="7"/>
  <c r="K280" i="7" s="1"/>
  <c r="L280" i="7" s="1"/>
  <c r="J279" i="7"/>
  <c r="K279" i="7" s="1"/>
  <c r="L279" i="7" s="1"/>
  <c r="J278" i="7"/>
  <c r="K278" i="7" s="1"/>
  <c r="L278" i="7" s="1"/>
  <c r="J277" i="7"/>
  <c r="K277" i="7" s="1"/>
  <c r="L277" i="7" s="1"/>
  <c r="J276" i="7"/>
  <c r="K276" i="7" s="1"/>
  <c r="L276" i="7" s="1"/>
  <c r="J272" i="7"/>
  <c r="K272" i="7" s="1"/>
  <c r="L272" i="7" s="1"/>
  <c r="J271" i="7"/>
  <c r="K271" i="7" s="1"/>
  <c r="L271" i="7" s="1"/>
  <c r="J270" i="7"/>
  <c r="K270" i="7" s="1"/>
  <c r="L270" i="7" s="1"/>
  <c r="J269" i="7"/>
  <c r="K269" i="7" s="1"/>
  <c r="L269" i="7" s="1"/>
  <c r="J268" i="7"/>
  <c r="K268" i="7" s="1"/>
  <c r="L268" i="7" s="1"/>
  <c r="J267" i="7"/>
  <c r="K267" i="7" s="1"/>
  <c r="L267" i="7" s="1"/>
  <c r="J266" i="7"/>
  <c r="K266" i="7" s="1"/>
  <c r="L266" i="7" s="1"/>
  <c r="J265" i="7"/>
  <c r="K265" i="7" s="1"/>
  <c r="L265" i="7" s="1"/>
  <c r="J264" i="7"/>
  <c r="K264" i="7" s="1"/>
  <c r="L264" i="7" s="1"/>
  <c r="J263" i="7"/>
  <c r="K263" i="7" s="1"/>
  <c r="L263" i="7" s="1"/>
  <c r="J262" i="7"/>
  <c r="K262" i="7" s="1"/>
  <c r="L262" i="7" s="1"/>
  <c r="J261" i="7"/>
  <c r="K261" i="7" s="1"/>
  <c r="L261" i="7" s="1"/>
  <c r="J260" i="7"/>
  <c r="K260" i="7" s="1"/>
  <c r="L260" i="7" s="1"/>
  <c r="J259" i="7"/>
  <c r="K259" i="7" s="1"/>
  <c r="L259" i="7" s="1"/>
  <c r="J258" i="7"/>
  <c r="K258" i="7" s="1"/>
  <c r="L258" i="7" s="1"/>
  <c r="J257" i="7"/>
  <c r="K257" i="7" s="1"/>
  <c r="L257" i="7" s="1"/>
  <c r="J256" i="7"/>
  <c r="K256" i="7" s="1"/>
  <c r="L256" i="7" s="1"/>
  <c r="J255" i="7"/>
  <c r="K255" i="7" s="1"/>
  <c r="L255" i="7" s="1"/>
  <c r="J254" i="7"/>
  <c r="K254" i="7" s="1"/>
  <c r="L254" i="7" s="1"/>
  <c r="J230" i="7"/>
  <c r="K230" i="7" s="1"/>
  <c r="L230" i="7" s="1"/>
  <c r="J229" i="7"/>
  <c r="K229" i="7" s="1"/>
  <c r="L229" i="7" s="1"/>
  <c r="J228" i="7"/>
  <c r="K228" i="7" s="1"/>
  <c r="L228" i="7" s="1"/>
  <c r="J227" i="7"/>
  <c r="K227" i="7" s="1"/>
  <c r="L227" i="7" s="1"/>
  <c r="J226" i="7"/>
  <c r="K226" i="7" s="1"/>
  <c r="L226" i="7" s="1"/>
  <c r="J225" i="7"/>
  <c r="K225" i="7" s="1"/>
  <c r="L225" i="7" s="1"/>
  <c r="J224" i="7"/>
  <c r="K224" i="7" s="1"/>
  <c r="L224" i="7" s="1"/>
  <c r="J223" i="7"/>
  <c r="K223" i="7" s="1"/>
  <c r="L223" i="7" s="1"/>
  <c r="J213" i="7"/>
  <c r="K213" i="7" s="1"/>
  <c r="L213" i="7" s="1"/>
  <c r="J212" i="7"/>
  <c r="K212" i="7" s="1"/>
  <c r="L212" i="7" s="1"/>
  <c r="J211" i="7"/>
  <c r="K211" i="7" s="1"/>
  <c r="L211" i="7" s="1"/>
  <c r="J210" i="7"/>
  <c r="K210" i="7" s="1"/>
  <c r="L210" i="7" s="1"/>
  <c r="J209" i="7"/>
  <c r="K209" i="7" s="1"/>
  <c r="L209" i="7" s="1"/>
  <c r="J208" i="7"/>
  <c r="K208" i="7" s="1"/>
  <c r="L208" i="7" s="1"/>
  <c r="J207" i="7"/>
  <c r="K207" i="7" s="1"/>
  <c r="L207" i="7" s="1"/>
  <c r="J205" i="7"/>
  <c r="K205" i="7" s="1"/>
  <c r="L205" i="7" s="1"/>
  <c r="J204" i="7"/>
  <c r="K204" i="7" s="1"/>
  <c r="L204" i="7" s="1"/>
  <c r="J203" i="7"/>
  <c r="K203" i="7" s="1"/>
  <c r="L203" i="7" s="1"/>
  <c r="J202" i="7"/>
  <c r="K202" i="7" s="1"/>
  <c r="L202" i="7" s="1"/>
  <c r="J201" i="7"/>
  <c r="K201" i="7" s="1"/>
  <c r="L201" i="7" s="1"/>
  <c r="J200" i="7"/>
  <c r="K200" i="7" s="1"/>
  <c r="L200" i="7" s="1"/>
  <c r="J199" i="7"/>
  <c r="K199" i="7" s="1"/>
  <c r="L199" i="7" s="1"/>
  <c r="J198" i="7"/>
  <c r="K198" i="7" s="1"/>
  <c r="L198" i="7" s="1"/>
  <c r="J197" i="7"/>
  <c r="K197" i="7" s="1"/>
  <c r="L197" i="7" s="1"/>
  <c r="J196" i="7"/>
  <c r="K196" i="7" s="1"/>
  <c r="L196" i="7" s="1"/>
  <c r="J195" i="7"/>
  <c r="K195" i="7" s="1"/>
  <c r="L195" i="7" s="1"/>
  <c r="J194" i="7"/>
  <c r="K194" i="7" s="1"/>
  <c r="L194" i="7" s="1"/>
  <c r="J193" i="7"/>
  <c r="K193" i="7" s="1"/>
  <c r="L193" i="7" s="1"/>
  <c r="J192" i="7"/>
  <c r="K192" i="7" s="1"/>
  <c r="L192" i="7" s="1"/>
  <c r="J191" i="7"/>
  <c r="K191" i="7" s="1"/>
  <c r="L191" i="7" s="1"/>
  <c r="J190" i="7"/>
  <c r="K190" i="7" s="1"/>
  <c r="L190" i="7" s="1"/>
  <c r="J189" i="7"/>
  <c r="K189" i="7" s="1"/>
  <c r="L189" i="7" s="1"/>
  <c r="J188" i="7"/>
  <c r="K188" i="7" s="1"/>
  <c r="L188" i="7" s="1"/>
  <c r="J187" i="7"/>
  <c r="K187" i="7" s="1"/>
  <c r="L187" i="7" s="1"/>
  <c r="J186" i="7"/>
  <c r="K186" i="7" s="1"/>
  <c r="L186" i="7" s="1"/>
  <c r="J185" i="7"/>
  <c r="K185" i="7" s="1"/>
  <c r="L185" i="7" s="1"/>
  <c r="J184" i="7"/>
  <c r="K184" i="7" s="1"/>
  <c r="L184" i="7" s="1"/>
  <c r="J183" i="7"/>
  <c r="K183" i="7" s="1"/>
  <c r="L183" i="7" s="1"/>
  <c r="J182" i="7"/>
  <c r="K182" i="7" s="1"/>
  <c r="L182" i="7" s="1"/>
  <c r="J181" i="7"/>
  <c r="K181" i="7" s="1"/>
  <c r="L181" i="7" s="1"/>
  <c r="J180" i="7"/>
  <c r="K180" i="7" s="1"/>
  <c r="L180" i="7" s="1"/>
  <c r="J179" i="7"/>
  <c r="K179" i="7" s="1"/>
  <c r="L179" i="7" s="1"/>
  <c r="J178" i="7"/>
  <c r="K178" i="7" s="1"/>
  <c r="L178" i="7" s="1"/>
  <c r="J177" i="7"/>
  <c r="K177" i="7" s="1"/>
  <c r="L177" i="7" s="1"/>
  <c r="J176" i="7"/>
  <c r="K176" i="7" s="1"/>
  <c r="L176" i="7" s="1"/>
  <c r="J175" i="7"/>
  <c r="K175" i="7" s="1"/>
  <c r="L175" i="7" s="1"/>
  <c r="J174" i="7"/>
  <c r="K174" i="7" s="1"/>
  <c r="L174" i="7" s="1"/>
  <c r="J173" i="7"/>
  <c r="K173" i="7" s="1"/>
  <c r="L173" i="7" s="1"/>
  <c r="J172" i="7"/>
  <c r="K172" i="7" s="1"/>
  <c r="L172" i="7" s="1"/>
  <c r="J171" i="7"/>
  <c r="K171" i="7" s="1"/>
  <c r="L171" i="7" s="1"/>
  <c r="J170" i="7"/>
  <c r="K170" i="7" s="1"/>
  <c r="L170" i="7" s="1"/>
  <c r="J169" i="7"/>
  <c r="K169" i="7" s="1"/>
  <c r="L169" i="7" s="1"/>
  <c r="J168" i="7"/>
  <c r="K168" i="7" s="1"/>
  <c r="L168" i="7" s="1"/>
  <c r="J167" i="7"/>
  <c r="K167" i="7" s="1"/>
  <c r="L167" i="7" s="1"/>
  <c r="J154" i="7"/>
  <c r="K154" i="7" s="1"/>
  <c r="L154" i="7" s="1"/>
  <c r="J153" i="7"/>
  <c r="K153" i="7" s="1"/>
  <c r="L153" i="7" s="1"/>
  <c r="J152" i="7"/>
  <c r="K152" i="7" s="1"/>
  <c r="L152" i="7" s="1"/>
  <c r="J151" i="7"/>
  <c r="K151" i="7" s="1"/>
  <c r="L151" i="7" s="1"/>
  <c r="J150" i="7"/>
  <c r="K150" i="7" s="1"/>
  <c r="L150" i="7" s="1"/>
  <c r="J149" i="7"/>
  <c r="K149" i="7" s="1"/>
  <c r="L149" i="7" s="1"/>
  <c r="J148" i="7"/>
  <c r="K148" i="7" s="1"/>
  <c r="L148" i="7" s="1"/>
  <c r="J147" i="7"/>
  <c r="K147" i="7" s="1"/>
  <c r="L147" i="7" s="1"/>
  <c r="J146" i="7"/>
  <c r="K146" i="7" s="1"/>
  <c r="L146" i="7" s="1"/>
  <c r="J145" i="7"/>
  <c r="K145" i="7" s="1"/>
  <c r="L145" i="7" s="1"/>
  <c r="J144" i="7"/>
  <c r="K144" i="7" s="1"/>
  <c r="L144" i="7" s="1"/>
  <c r="J140" i="7"/>
  <c r="K140" i="7" s="1"/>
  <c r="L140" i="7" s="1"/>
  <c r="J139" i="7"/>
  <c r="K139" i="7" s="1"/>
  <c r="L139" i="7" s="1"/>
  <c r="J138" i="7"/>
  <c r="K138" i="7" s="1"/>
  <c r="L138" i="7" s="1"/>
  <c r="J137" i="7"/>
  <c r="K137" i="7" s="1"/>
  <c r="L137" i="7" s="1"/>
  <c r="J132" i="7"/>
  <c r="K132" i="7" s="1"/>
  <c r="L132" i="7" s="1"/>
  <c r="J131" i="7"/>
  <c r="K131" i="7" s="1"/>
  <c r="L131" i="7" s="1"/>
  <c r="J130" i="7"/>
  <c r="K130" i="7" s="1"/>
  <c r="L130" i="7" s="1"/>
  <c r="J97" i="7"/>
  <c r="K97" i="7" s="1"/>
  <c r="L97" i="7" s="1"/>
  <c r="J96" i="7"/>
  <c r="K96" i="7" s="1"/>
  <c r="L96" i="7" s="1"/>
  <c r="J89" i="7"/>
  <c r="K89" i="7" s="1"/>
  <c r="L89" i="7" s="1"/>
  <c r="J88" i="7"/>
  <c r="K88" i="7" s="1"/>
  <c r="L88" i="7" s="1"/>
  <c r="J87" i="7"/>
  <c r="K87" i="7" s="1"/>
  <c r="L87" i="7" s="1"/>
  <c r="J86" i="7"/>
  <c r="K86" i="7" s="1"/>
  <c r="L86" i="7" s="1"/>
  <c r="J85" i="7"/>
  <c r="K85" i="7" s="1"/>
  <c r="L85" i="7" s="1"/>
  <c r="J84" i="7"/>
  <c r="K84" i="7" s="1"/>
  <c r="L84" i="7" s="1"/>
  <c r="J83" i="7"/>
  <c r="K83" i="7" s="1"/>
  <c r="L83" i="7" s="1"/>
  <c r="J82" i="7"/>
  <c r="K82" i="7" s="1"/>
  <c r="L82" i="7" s="1"/>
  <c r="J81" i="7"/>
  <c r="K81" i="7" s="1"/>
  <c r="L81" i="7" s="1"/>
  <c r="J80" i="7"/>
  <c r="K80" i="7" s="1"/>
  <c r="L80" i="7" s="1"/>
  <c r="J79" i="7"/>
  <c r="K79" i="7" s="1"/>
  <c r="L79" i="7" s="1"/>
  <c r="J78" i="7"/>
  <c r="K78" i="7" s="1"/>
  <c r="L78" i="7" s="1"/>
  <c r="J77" i="7"/>
  <c r="K77" i="7" s="1"/>
  <c r="L77" i="7" s="1"/>
  <c r="J76" i="7"/>
  <c r="K76" i="7" s="1"/>
  <c r="L76" i="7" s="1"/>
  <c r="J75" i="7"/>
  <c r="K75" i="7" s="1"/>
  <c r="L75" i="7" s="1"/>
  <c r="J74" i="7"/>
  <c r="K74" i="7" s="1"/>
  <c r="L74" i="7" s="1"/>
  <c r="J73" i="7"/>
  <c r="K73" i="7" s="1"/>
  <c r="L73" i="7" s="1"/>
  <c r="J72" i="7"/>
  <c r="K72" i="7" s="1"/>
  <c r="L72" i="7" s="1"/>
  <c r="J71" i="7"/>
  <c r="K71" i="7" s="1"/>
  <c r="L71" i="7" s="1"/>
  <c r="J69" i="7"/>
  <c r="K69" i="7" s="1"/>
  <c r="L69" i="7" s="1"/>
  <c r="J68" i="7"/>
  <c r="K68" i="7" s="1"/>
  <c r="L68" i="7" s="1"/>
  <c r="J67" i="7"/>
  <c r="K67" i="7" s="1"/>
  <c r="L67" i="7" s="1"/>
  <c r="J66" i="7"/>
  <c r="K66" i="7" s="1"/>
  <c r="L66" i="7" s="1"/>
  <c r="J65" i="7"/>
  <c r="K65" i="7" s="1"/>
  <c r="L65" i="7" s="1"/>
  <c r="J64" i="7"/>
  <c r="K64" i="7" s="1"/>
  <c r="L64" i="7" s="1"/>
  <c r="J53" i="7"/>
  <c r="K53" i="7" s="1"/>
  <c r="L53" i="7" s="1"/>
  <c r="J52" i="7"/>
  <c r="K52" i="7" s="1"/>
  <c r="L52" i="7" s="1"/>
  <c r="J51" i="7"/>
  <c r="K51" i="7" s="1"/>
  <c r="L51" i="7" s="1"/>
  <c r="J50" i="7"/>
  <c r="K50" i="7" s="1"/>
  <c r="L50" i="7" s="1"/>
  <c r="J49" i="7"/>
  <c r="K49" i="7" s="1"/>
  <c r="L49" i="7" s="1"/>
  <c r="J48" i="7"/>
  <c r="K48" i="7" s="1"/>
  <c r="L48" i="7" s="1"/>
  <c r="J47" i="7"/>
  <c r="K47" i="7" s="1"/>
  <c r="L47" i="7" s="1"/>
  <c r="J46" i="7"/>
  <c r="K46" i="7" s="1"/>
  <c r="L46" i="7" s="1"/>
  <c r="J45" i="7"/>
  <c r="K45" i="7" s="1"/>
  <c r="L45" i="7" s="1"/>
  <c r="J44" i="7"/>
  <c r="K44" i="7" s="1"/>
  <c r="L44" i="7" s="1"/>
  <c r="J43" i="7"/>
  <c r="K43" i="7" s="1"/>
  <c r="L43" i="7" s="1"/>
  <c r="J42" i="7"/>
  <c r="K42" i="7" s="1"/>
  <c r="L42" i="7" s="1"/>
  <c r="J41" i="7"/>
  <c r="K41" i="7" s="1"/>
  <c r="L41" i="7" s="1"/>
  <c r="J40" i="7"/>
  <c r="K40" i="7" s="1"/>
  <c r="L40" i="7" s="1"/>
  <c r="J39" i="7"/>
  <c r="K39" i="7" s="1"/>
  <c r="L39" i="7" s="1"/>
  <c r="J38" i="7"/>
  <c r="K38" i="7" s="1"/>
  <c r="L38" i="7" s="1"/>
  <c r="J37" i="7"/>
  <c r="K37" i="7" s="1"/>
  <c r="L37" i="7" s="1"/>
  <c r="J36" i="7"/>
  <c r="K36" i="7" s="1"/>
  <c r="L36" i="7" s="1"/>
  <c r="J35" i="7"/>
  <c r="K35" i="7" s="1"/>
  <c r="L35" i="7" s="1"/>
  <c r="J20" i="7"/>
  <c r="K20" i="7" s="1"/>
  <c r="L20" i="7" s="1"/>
  <c r="J19" i="7"/>
  <c r="K19" i="7" s="1"/>
  <c r="L19" i="7" s="1"/>
  <c r="J18" i="7"/>
  <c r="K18" i="7" s="1"/>
  <c r="L18" i="7" s="1"/>
  <c r="J17" i="7"/>
  <c r="K17" i="7" s="1"/>
  <c r="L17" i="7" s="1"/>
  <c r="J16" i="7"/>
  <c r="K16" i="7" s="1"/>
  <c r="L16" i="7" s="1"/>
  <c r="J15" i="7"/>
  <c r="K15" i="7" s="1"/>
  <c r="L15" i="7" s="1"/>
  <c r="J14" i="7"/>
  <c r="K14" i="7" s="1"/>
  <c r="L14" i="7" s="1"/>
  <c r="J13" i="7"/>
  <c r="K13" i="7" s="1"/>
  <c r="L13" i="7" s="1"/>
  <c r="J10" i="7"/>
  <c r="K10" i="7" s="1"/>
  <c r="L10" i="7" s="1"/>
  <c r="J9" i="7"/>
  <c r="K9" i="7" s="1"/>
  <c r="L9" i="7" s="1"/>
  <c r="J8" i="7"/>
  <c r="K8" i="7" s="1"/>
  <c r="L8" i="7" s="1"/>
  <c r="BS187" i="8" l="1"/>
  <c r="BP187" i="8"/>
  <c r="BQ187" i="8" s="1"/>
  <c r="BR187" i="8" s="1"/>
  <c r="X173" i="8"/>
  <c r="X171" i="8"/>
  <c r="BP222" i="8"/>
  <c r="BQ222" i="8" s="1"/>
  <c r="BR222" i="8" s="1"/>
  <c r="BR199" i="8"/>
  <c r="BP199" i="8"/>
  <c r="BO224" i="8"/>
  <c r="BS224" i="8" s="1"/>
  <c r="N224" i="8" s="1"/>
  <c r="BP72" i="8"/>
  <c r="BQ72" i="8" s="1"/>
  <c r="BR72" i="8" s="1"/>
  <c r="BK219" i="8"/>
  <c r="BO219" i="8" s="1"/>
  <c r="BP219" i="8" s="1"/>
  <c r="BQ219" i="8" s="1"/>
  <c r="BR219" i="8" s="1"/>
  <c r="BS75" i="8"/>
  <c r="BP75" i="8"/>
  <c r="BQ75" i="8" s="1"/>
  <c r="BR75" i="8" s="1"/>
  <c r="V179" i="8"/>
  <c r="W179" i="8" s="1"/>
  <c r="BS196" i="8"/>
  <c r="BP196" i="8"/>
  <c r="BQ196" i="8" s="1"/>
  <c r="BR196" i="8" s="1"/>
  <c r="BS180" i="8"/>
  <c r="BP180" i="8"/>
  <c r="BQ180" i="8" s="1"/>
  <c r="BR180" i="8" s="1"/>
  <c r="BP6" i="8"/>
  <c r="BQ6" i="8" s="1"/>
  <c r="BR6" i="8" s="1"/>
  <c r="BS197" i="8"/>
  <c r="BP197" i="8"/>
  <c r="BQ197" i="8" s="1"/>
  <c r="BR197" i="8" s="1"/>
  <c r="BP179" i="8"/>
  <c r="BQ179" i="8" s="1"/>
  <c r="BR179" i="8" s="1"/>
  <c r="BO189" i="8"/>
  <c r="BP189" i="8" s="1"/>
  <c r="BQ189" i="8" s="1"/>
  <c r="BR189" i="8" s="1"/>
  <c r="BP16" i="8"/>
  <c r="BQ16" i="8" s="1"/>
  <c r="BR16" i="8" s="1"/>
  <c r="BS216" i="8"/>
  <c r="BP216" i="8"/>
  <c r="BQ216" i="8" s="1"/>
  <c r="BR216" i="8" s="1"/>
  <c r="BQ866" i="1"/>
  <c r="BT866" i="1" s="1"/>
  <c r="BQ865" i="1"/>
  <c r="BT865" i="1" s="1"/>
  <c r="BQ864" i="1"/>
  <c r="BT864" i="1" s="1"/>
  <c r="BQ863" i="1"/>
  <c r="BT863" i="1" s="1"/>
  <c r="BQ862" i="1"/>
  <c r="BT862" i="1" s="1"/>
  <c r="BP224" i="8" l="1"/>
  <c r="BQ224" i="8" s="1"/>
  <c r="BR224" i="8" s="1"/>
  <c r="BS189" i="8"/>
  <c r="BS219" i="8"/>
  <c r="BR863" i="1"/>
  <c r="BS863" i="1" s="1"/>
  <c r="BR865" i="1"/>
  <c r="BS865" i="1" s="1"/>
  <c r="BR862" i="1"/>
  <c r="BS862" i="1" s="1"/>
  <c r="BR864" i="1"/>
  <c r="BS864" i="1" s="1"/>
  <c r="BR866" i="1"/>
  <c r="BS866" i="1" s="1"/>
  <c r="BQ899" i="1" l="1"/>
  <c r="BR899" i="1" s="1"/>
  <c r="BS899" i="1" s="1"/>
  <c r="BQ898" i="1"/>
  <c r="BR898" i="1" s="1"/>
  <c r="BS898" i="1" s="1"/>
  <c r="BQ872" i="1"/>
  <c r="BT872" i="1" s="1"/>
  <c r="BQ871" i="1"/>
  <c r="BT871" i="1" s="1"/>
  <c r="BQ870" i="1"/>
  <c r="BT870" i="1" s="1"/>
  <c r="BQ747" i="1"/>
  <c r="BT747" i="1" s="1"/>
  <c r="BQ746" i="1"/>
  <c r="BT746" i="1" s="1"/>
  <c r="BQ745" i="1"/>
  <c r="BT745" i="1" s="1"/>
  <c r="BQ744" i="1"/>
  <c r="BT744" i="1" s="1"/>
  <c r="BQ743" i="1"/>
  <c r="BT743" i="1" s="1"/>
  <c r="BQ742" i="1"/>
  <c r="BT742" i="1" s="1"/>
  <c r="BQ741" i="1"/>
  <c r="BT741" i="1" s="1"/>
  <c r="BQ740" i="1"/>
  <c r="BT740" i="1" s="1"/>
  <c r="BQ739" i="1"/>
  <c r="BT739" i="1" s="1"/>
  <c r="BQ780" i="1"/>
  <c r="BT780" i="1" s="1"/>
  <c r="BQ779" i="1"/>
  <c r="BT779" i="1" s="1"/>
  <c r="BQ778" i="1"/>
  <c r="BT778" i="1" s="1"/>
  <c r="BQ777" i="1"/>
  <c r="BT777" i="1" s="1"/>
  <c r="BQ776" i="1"/>
  <c r="BT776" i="1" s="1"/>
  <c r="BQ775" i="1"/>
  <c r="BR775" i="1" s="1"/>
  <c r="BS775" i="1" s="1"/>
  <c r="BQ774" i="1"/>
  <c r="BT774" i="1" s="1"/>
  <c r="BQ773" i="1"/>
  <c r="BT773" i="1" s="1"/>
  <c r="BQ772" i="1"/>
  <c r="BT772" i="1" s="1"/>
  <c r="BQ771" i="1"/>
  <c r="BT771" i="1" s="1"/>
  <c r="BQ770" i="1"/>
  <c r="BT770" i="1" s="1"/>
  <c r="BQ738" i="1"/>
  <c r="BT738" i="1" s="1"/>
  <c r="BQ737" i="1"/>
  <c r="BT737" i="1" s="1"/>
  <c r="BQ734" i="1"/>
  <c r="BT734" i="1" s="1"/>
  <c r="BQ733" i="1"/>
  <c r="BT733" i="1" s="1"/>
  <c r="BQ732" i="1"/>
  <c r="BT732" i="1" s="1"/>
  <c r="BQ731" i="1"/>
  <c r="BT731" i="1" s="1"/>
  <c r="BQ730" i="1"/>
  <c r="BT730" i="1" s="1"/>
  <c r="BQ729" i="1"/>
  <c r="BT729" i="1" s="1"/>
  <c r="BQ728" i="1"/>
  <c r="BT728" i="1" s="1"/>
  <c r="BQ713" i="1"/>
  <c r="BT713" i="1" s="1"/>
  <c r="BQ701" i="1"/>
  <c r="BT701" i="1" s="1"/>
  <c r="BQ700" i="1"/>
  <c r="BT700" i="1" s="1"/>
  <c r="BQ699" i="1"/>
  <c r="BT699" i="1" s="1"/>
  <c r="BQ698" i="1"/>
  <c r="BT698" i="1" s="1"/>
  <c r="BQ697" i="1"/>
  <c r="BT697" i="1" s="1"/>
  <c r="BQ696" i="1"/>
  <c r="BT696" i="1" s="1"/>
  <c r="BQ695" i="1"/>
  <c r="BT695" i="1" s="1"/>
  <c r="BT694" i="1"/>
  <c r="BQ694" i="1"/>
  <c r="BR694" i="1" s="1"/>
  <c r="BS694" i="1" s="1"/>
  <c r="BQ693" i="1"/>
  <c r="BT693" i="1" s="1"/>
  <c r="BQ692" i="1"/>
  <c r="BT692" i="1" s="1"/>
  <c r="BQ691" i="1"/>
  <c r="BT691" i="1" s="1"/>
  <c r="BQ690" i="1"/>
  <c r="BT690" i="1" s="1"/>
  <c r="BQ689" i="1"/>
  <c r="BT689" i="1" s="1"/>
  <c r="BQ688" i="1"/>
  <c r="BT688" i="1" s="1"/>
  <c r="BQ687" i="1"/>
  <c r="BT687" i="1" s="1"/>
  <c r="BQ686" i="1"/>
  <c r="BT686" i="1" s="1"/>
  <c r="BQ685" i="1"/>
  <c r="BT685" i="1" s="1"/>
  <c r="BQ684" i="1"/>
  <c r="BT684" i="1" s="1"/>
  <c r="BQ683" i="1"/>
  <c r="BT683" i="1" s="1"/>
  <c r="BQ682" i="1"/>
  <c r="BT682" i="1" s="1"/>
  <c r="BQ681" i="1"/>
  <c r="BT681" i="1" s="1"/>
  <c r="BQ680" i="1"/>
  <c r="BT680" i="1" s="1"/>
  <c r="BQ670" i="1"/>
  <c r="BT670" i="1" s="1"/>
  <c r="BQ667" i="1"/>
  <c r="BT667" i="1" s="1"/>
  <c r="BQ645" i="1"/>
  <c r="BT645" i="1" s="1"/>
  <c r="BQ644" i="1"/>
  <c r="BT644" i="1" s="1"/>
  <c r="BQ643" i="1"/>
  <c r="BT643" i="1" s="1"/>
  <c r="BQ642" i="1"/>
  <c r="BT642" i="1" s="1"/>
  <c r="BQ641" i="1"/>
  <c r="BT641" i="1" s="1"/>
  <c r="BQ640" i="1"/>
  <c r="BT640" i="1" s="1"/>
  <c r="BQ639" i="1"/>
  <c r="BT639" i="1" s="1"/>
  <c r="BQ638" i="1"/>
  <c r="BT638" i="1" s="1"/>
  <c r="BQ637" i="1"/>
  <c r="BT637" i="1" s="1"/>
  <c r="BQ636" i="1"/>
  <c r="BT636" i="1" s="1"/>
  <c r="BQ635" i="1"/>
  <c r="BT635" i="1" s="1"/>
  <c r="BQ634" i="1"/>
  <c r="BT634" i="1" s="1"/>
  <c r="BQ633" i="1"/>
  <c r="BT633" i="1" s="1"/>
  <c r="BQ632" i="1"/>
  <c r="BT632" i="1" s="1"/>
  <c r="BQ631" i="1"/>
  <c r="BT631" i="1" s="1"/>
  <c r="BQ630" i="1"/>
  <c r="BT630" i="1" s="1"/>
  <c r="BQ629" i="1"/>
  <c r="BT629" i="1" s="1"/>
  <c r="BT627" i="1"/>
  <c r="BQ627" i="1"/>
  <c r="BR627" i="1" s="1"/>
  <c r="BS627" i="1" s="1"/>
  <c r="BT626" i="1"/>
  <c r="BQ626" i="1"/>
  <c r="BR626" i="1" s="1"/>
  <c r="BS626" i="1" s="1"/>
  <c r="BT625" i="1"/>
  <c r="BQ625" i="1"/>
  <c r="BR625" i="1" s="1"/>
  <c r="BS625" i="1" s="1"/>
  <c r="BQ624" i="1"/>
  <c r="BT624" i="1" s="1"/>
  <c r="BQ623" i="1"/>
  <c r="BT623" i="1" s="1"/>
  <c r="BQ622" i="1"/>
  <c r="BT622" i="1" s="1"/>
  <c r="BT608" i="1"/>
  <c r="BQ608" i="1"/>
  <c r="BR608" i="1" s="1"/>
  <c r="BS608" i="1" s="1"/>
  <c r="BQ599" i="1"/>
  <c r="BT599" i="1" s="1"/>
  <c r="BQ598" i="1"/>
  <c r="BT598" i="1" s="1"/>
  <c r="BQ597" i="1"/>
  <c r="BT597" i="1" s="1"/>
  <c r="BQ596" i="1"/>
  <c r="BT596" i="1" s="1"/>
  <c r="BQ595" i="1"/>
  <c r="BT595" i="1" s="1"/>
  <c r="BQ594" i="1"/>
  <c r="BT594" i="1" s="1"/>
  <c r="BQ591" i="1"/>
  <c r="BT591" i="1" s="1"/>
  <c r="BQ590" i="1"/>
  <c r="BT590" i="1" s="1"/>
  <c r="BQ589" i="1"/>
  <c r="BT589" i="1" s="1"/>
  <c r="BQ555" i="1"/>
  <c r="BT555" i="1" s="1"/>
  <c r="BQ554" i="1"/>
  <c r="BT554" i="1" s="1"/>
  <c r="BQ553" i="1"/>
  <c r="BT553" i="1" s="1"/>
  <c r="BQ552" i="1"/>
  <c r="BT552" i="1" s="1"/>
  <c r="BQ551" i="1"/>
  <c r="BT551" i="1" s="1"/>
  <c r="BQ550" i="1"/>
  <c r="BT550" i="1" s="1"/>
  <c r="BQ549" i="1"/>
  <c r="BT549" i="1" s="1"/>
  <c r="BQ548" i="1"/>
  <c r="BT548" i="1" s="1"/>
  <c r="BQ547" i="1"/>
  <c r="BT547" i="1" s="1"/>
  <c r="BT545" i="1"/>
  <c r="BQ545" i="1"/>
  <c r="BR545" i="1" s="1"/>
  <c r="BS545" i="1" s="1"/>
  <c r="BT544" i="1"/>
  <c r="BQ544" i="1"/>
  <c r="BR544" i="1" s="1"/>
  <c r="BS544" i="1" s="1"/>
  <c r="BT543" i="1"/>
  <c r="BQ543" i="1"/>
  <c r="BR543" i="1" s="1"/>
  <c r="BS543" i="1" s="1"/>
  <c r="BT542" i="1"/>
  <c r="BQ542" i="1"/>
  <c r="BR542" i="1" s="1"/>
  <c r="BS542" i="1" s="1"/>
  <c r="BT541" i="1"/>
  <c r="BQ541" i="1"/>
  <c r="BR541" i="1" s="1"/>
  <c r="BS541" i="1" s="1"/>
  <c r="BT524" i="1"/>
  <c r="BQ524" i="1"/>
  <c r="BR524" i="1" s="1"/>
  <c r="BS524" i="1" s="1"/>
  <c r="BQ463" i="1"/>
  <c r="BT463" i="1" s="1"/>
  <c r="BQ462" i="1"/>
  <c r="BT462" i="1" s="1"/>
  <c r="BQ490" i="1"/>
  <c r="BT490" i="1" s="1"/>
  <c r="BQ489" i="1"/>
  <c r="BT489" i="1" s="1"/>
  <c r="BQ488" i="1"/>
  <c r="BT488" i="1" s="1"/>
  <c r="BQ487" i="1"/>
  <c r="BT487" i="1" s="1"/>
  <c r="BQ486" i="1"/>
  <c r="BT486" i="1" s="1"/>
  <c r="BQ485" i="1"/>
  <c r="BT485" i="1" s="1"/>
  <c r="BQ484" i="1"/>
  <c r="BT484" i="1" s="1"/>
  <c r="BQ483" i="1"/>
  <c r="BT483" i="1" s="1"/>
  <c r="BQ482" i="1"/>
  <c r="BT482" i="1" s="1"/>
  <c r="BQ481" i="1"/>
  <c r="BT481" i="1" s="1"/>
  <c r="BQ480" i="1"/>
  <c r="BT480" i="1" s="1"/>
  <c r="BQ479" i="1"/>
  <c r="BT479" i="1" s="1"/>
  <c r="BQ478" i="1"/>
  <c r="BT478" i="1" s="1"/>
  <c r="BQ458" i="1"/>
  <c r="BT458" i="1" s="1"/>
  <c r="BQ457" i="1"/>
  <c r="BT457" i="1" s="1"/>
  <c r="BQ456" i="1"/>
  <c r="BT456" i="1" s="1"/>
  <c r="BQ452" i="1"/>
  <c r="BR452" i="1" s="1"/>
  <c r="BS452" i="1" s="1"/>
  <c r="BQ451" i="1"/>
  <c r="BR451" i="1" s="1"/>
  <c r="BS451" i="1" s="1"/>
  <c r="BQ450" i="1"/>
  <c r="BR450" i="1" s="1"/>
  <c r="BS450" i="1" s="1"/>
  <c r="BQ449" i="1"/>
  <c r="BR449" i="1" s="1"/>
  <c r="BS449" i="1" s="1"/>
  <c r="BQ431" i="1"/>
  <c r="BT431" i="1" s="1"/>
  <c r="BQ429" i="1"/>
  <c r="BT429" i="1" s="1"/>
  <c r="BQ428" i="1"/>
  <c r="BT428" i="1" s="1"/>
  <c r="BQ427" i="1"/>
  <c r="BT427" i="1" s="1"/>
  <c r="BQ426" i="1"/>
  <c r="BT426" i="1" s="1"/>
  <c r="BQ425" i="1"/>
  <c r="BT425" i="1" s="1"/>
  <c r="BQ424" i="1"/>
  <c r="BT424" i="1" s="1"/>
  <c r="BQ423" i="1"/>
  <c r="BT423" i="1" s="1"/>
  <c r="BQ422" i="1"/>
  <c r="BT422" i="1" s="1"/>
  <c r="BQ421" i="1"/>
  <c r="BT421" i="1" s="1"/>
  <c r="BQ420" i="1"/>
  <c r="BT420" i="1" s="1"/>
  <c r="BQ419" i="1"/>
  <c r="BT419" i="1" s="1"/>
  <c r="BQ410" i="1"/>
  <c r="BT410" i="1" s="1"/>
  <c r="BQ409" i="1"/>
  <c r="BT409" i="1" s="1"/>
  <c r="BQ408" i="1"/>
  <c r="BT408" i="1" s="1"/>
  <c r="BQ407" i="1"/>
  <c r="BT407" i="1" s="1"/>
  <c r="BQ406" i="1"/>
  <c r="BT406" i="1" s="1"/>
  <c r="BQ405" i="1"/>
  <c r="BT405" i="1" s="1"/>
  <c r="BQ398" i="1"/>
  <c r="BT398" i="1" s="1"/>
  <c r="BQ397" i="1"/>
  <c r="BT397" i="1" s="1"/>
  <c r="BQ396" i="1"/>
  <c r="BT396" i="1" s="1"/>
  <c r="BQ404" i="1"/>
  <c r="BT404" i="1" s="1"/>
  <c r="BQ403" i="1"/>
  <c r="BT403" i="1" s="1"/>
  <c r="BQ402" i="1"/>
  <c r="BT402" i="1" s="1"/>
  <c r="BQ401" i="1"/>
  <c r="BT401" i="1" s="1"/>
  <c r="BQ400" i="1"/>
  <c r="BT400" i="1" s="1"/>
  <c r="BQ359" i="1"/>
  <c r="BT359" i="1" s="1"/>
  <c r="BQ358" i="1"/>
  <c r="BT358" i="1" s="1"/>
  <c r="BQ357" i="1"/>
  <c r="BT357" i="1" s="1"/>
  <c r="BQ356" i="1"/>
  <c r="BT356" i="1" s="1"/>
  <c r="BQ355" i="1"/>
  <c r="BT355" i="1" s="1"/>
  <c r="BQ354" i="1"/>
  <c r="BT354" i="1" s="1"/>
  <c r="BQ353" i="1"/>
  <c r="BT353" i="1" s="1"/>
  <c r="BQ352" i="1"/>
  <c r="BT352" i="1" s="1"/>
  <c r="BQ351" i="1"/>
  <c r="BT351" i="1" s="1"/>
  <c r="BQ350" i="1"/>
  <c r="BT350" i="1" s="1"/>
  <c r="BQ349" i="1"/>
  <c r="BT349" i="1" s="1"/>
  <c r="BQ348" i="1"/>
  <c r="BT348" i="1" s="1"/>
  <c r="BQ347" i="1"/>
  <c r="BT347" i="1" s="1"/>
  <c r="BQ346" i="1"/>
  <c r="BT346" i="1" s="1"/>
  <c r="BQ345" i="1"/>
  <c r="BT345" i="1" s="1"/>
  <c r="BQ344" i="1"/>
  <c r="BT344" i="1" s="1"/>
  <c r="BQ343" i="1"/>
  <c r="BT343" i="1" s="1"/>
  <c r="BQ342" i="1"/>
  <c r="BT342" i="1" s="1"/>
  <c r="BQ341" i="1"/>
  <c r="BT341" i="1" s="1"/>
  <c r="BQ340" i="1"/>
  <c r="BT340" i="1" s="1"/>
  <c r="BQ339" i="1"/>
  <c r="BT339" i="1" s="1"/>
  <c r="BQ338" i="1"/>
  <c r="BT338" i="1" s="1"/>
  <c r="BQ337" i="1"/>
  <c r="BT337" i="1" s="1"/>
  <c r="BQ336" i="1"/>
  <c r="BT336" i="1" s="1"/>
  <c r="BQ335" i="1"/>
  <c r="BT335" i="1" s="1"/>
  <c r="BQ334" i="1"/>
  <c r="BT334" i="1" s="1"/>
  <c r="BQ292" i="1"/>
  <c r="BT292" i="1" s="1"/>
  <c r="BQ291" i="1"/>
  <c r="BT291" i="1" s="1"/>
  <c r="BQ290" i="1"/>
  <c r="BT290" i="1" s="1"/>
  <c r="BQ289" i="1"/>
  <c r="BT289" i="1" s="1"/>
  <c r="BQ288" i="1"/>
  <c r="BT288" i="1" s="1"/>
  <c r="BQ287" i="1"/>
  <c r="BT287" i="1" s="1"/>
  <c r="BQ286" i="1"/>
  <c r="BT286" i="1" s="1"/>
  <c r="BQ285" i="1"/>
  <c r="BT285" i="1" s="1"/>
  <c r="BQ284" i="1"/>
  <c r="BT284" i="1" s="1"/>
  <c r="BQ283" i="1"/>
  <c r="BT283" i="1" s="1"/>
  <c r="BQ282" i="1"/>
  <c r="BT282" i="1" s="1"/>
  <c r="BQ281" i="1"/>
  <c r="BT281" i="1" s="1"/>
  <c r="BQ280" i="1"/>
  <c r="BT280" i="1" s="1"/>
  <c r="BQ279" i="1"/>
  <c r="BT279" i="1" s="1"/>
  <c r="BQ278" i="1"/>
  <c r="BT278" i="1" s="1"/>
  <c r="BQ277" i="1"/>
  <c r="BT277" i="1" s="1"/>
  <c r="BQ275" i="1"/>
  <c r="BT275" i="1" s="1"/>
  <c r="BQ307" i="1"/>
  <c r="BT307" i="1" s="1"/>
  <c r="BQ271" i="1"/>
  <c r="BT271" i="1" s="1"/>
  <c r="BQ270" i="1"/>
  <c r="BT270" i="1" s="1"/>
  <c r="BQ269" i="1"/>
  <c r="BT269" i="1" s="1"/>
  <c r="BQ268" i="1"/>
  <c r="BT268" i="1" s="1"/>
  <c r="BQ267" i="1"/>
  <c r="BT267" i="1" s="1"/>
  <c r="BQ266" i="1"/>
  <c r="BT266" i="1" s="1"/>
  <c r="BQ265" i="1"/>
  <c r="BT265" i="1" s="1"/>
  <c r="BQ264" i="1"/>
  <c r="BT264" i="1" s="1"/>
  <c r="BQ263" i="1"/>
  <c r="BT263" i="1" s="1"/>
  <c r="BQ262" i="1"/>
  <c r="BT262" i="1" s="1"/>
  <c r="BQ261" i="1"/>
  <c r="BT261" i="1" s="1"/>
  <c r="BQ260" i="1"/>
  <c r="BT260" i="1" s="1"/>
  <c r="BQ259" i="1"/>
  <c r="BT259" i="1" s="1"/>
  <c r="BQ258" i="1"/>
  <c r="BT258" i="1" s="1"/>
  <c r="BQ257" i="1"/>
  <c r="BT257" i="1" s="1"/>
  <c r="BQ256" i="1"/>
  <c r="BT256" i="1" s="1"/>
  <c r="BQ255" i="1"/>
  <c r="BT255" i="1" s="1"/>
  <c r="BQ254" i="1"/>
  <c r="BT254" i="1" s="1"/>
  <c r="BQ253" i="1"/>
  <c r="BT253" i="1" s="1"/>
  <c r="BT252" i="1"/>
  <c r="BQ212" i="1"/>
  <c r="BT212" i="1" s="1"/>
  <c r="BQ211" i="1"/>
  <c r="BT211" i="1" s="1"/>
  <c r="BQ210" i="1"/>
  <c r="BT210" i="1" s="1"/>
  <c r="BQ209" i="1"/>
  <c r="BT209" i="1" s="1"/>
  <c r="BQ208" i="1"/>
  <c r="BT208" i="1" s="1"/>
  <c r="BQ207" i="1"/>
  <c r="BT207" i="1" s="1"/>
  <c r="BQ206" i="1"/>
  <c r="BT206" i="1" s="1"/>
  <c r="BQ205" i="1"/>
  <c r="BT205" i="1" s="1"/>
  <c r="BQ204" i="1"/>
  <c r="BT204" i="1" s="1"/>
  <c r="BQ203" i="1"/>
  <c r="BT203" i="1" s="1"/>
  <c r="BQ202" i="1"/>
  <c r="BT202" i="1" s="1"/>
  <c r="BQ201" i="1"/>
  <c r="BT201" i="1" s="1"/>
  <c r="BQ200" i="1"/>
  <c r="BT200" i="1" s="1"/>
  <c r="BQ199" i="1"/>
  <c r="BT199" i="1" s="1"/>
  <c r="BQ198" i="1"/>
  <c r="BT198" i="1" s="1"/>
  <c r="BQ197" i="1"/>
  <c r="BT197" i="1" s="1"/>
  <c r="BQ196" i="1"/>
  <c r="BT196" i="1" s="1"/>
  <c r="BQ195" i="1"/>
  <c r="BT195" i="1" s="1"/>
  <c r="BQ194" i="1"/>
  <c r="BT194" i="1" s="1"/>
  <c r="BQ193" i="1"/>
  <c r="BT193" i="1" s="1"/>
  <c r="BQ192" i="1"/>
  <c r="BT192" i="1" s="1"/>
  <c r="BQ191" i="1"/>
  <c r="BT191" i="1" s="1"/>
  <c r="BQ190" i="1"/>
  <c r="BT190" i="1" s="1"/>
  <c r="BQ189" i="1"/>
  <c r="BT189" i="1" s="1"/>
  <c r="BQ188" i="1"/>
  <c r="BT188" i="1" s="1"/>
  <c r="BQ187" i="1"/>
  <c r="BT187" i="1" s="1"/>
  <c r="BQ186" i="1"/>
  <c r="BT186" i="1" s="1"/>
  <c r="BQ185" i="1"/>
  <c r="BT185" i="1" s="1"/>
  <c r="BQ184" i="1"/>
  <c r="BT184" i="1" s="1"/>
  <c r="BQ183" i="1"/>
  <c r="BT183" i="1" s="1"/>
  <c r="BQ182" i="1"/>
  <c r="BT182" i="1" s="1"/>
  <c r="BQ181" i="1"/>
  <c r="BT181" i="1" s="1"/>
  <c r="BQ180" i="1"/>
  <c r="BT180" i="1" s="1"/>
  <c r="BQ225" i="1"/>
  <c r="BT225" i="1" s="1"/>
  <c r="BQ224" i="1"/>
  <c r="BR224" i="1" s="1"/>
  <c r="BS224" i="1" s="1"/>
  <c r="BQ223" i="1"/>
  <c r="BR223" i="1" s="1"/>
  <c r="BS223" i="1" s="1"/>
  <c r="BQ222" i="1"/>
  <c r="BR222" i="1" s="1"/>
  <c r="BS222" i="1" s="1"/>
  <c r="BQ179" i="1"/>
  <c r="BT179" i="1" s="1"/>
  <c r="BQ178" i="1"/>
  <c r="BT178" i="1" s="1"/>
  <c r="BQ177" i="1"/>
  <c r="BT177" i="1" s="1"/>
  <c r="BQ176" i="1"/>
  <c r="BT176" i="1" s="1"/>
  <c r="BQ175" i="1"/>
  <c r="BT175" i="1" s="1"/>
  <c r="BQ174" i="1"/>
  <c r="BT174" i="1" s="1"/>
  <c r="BQ173" i="1"/>
  <c r="BT173" i="1" s="1"/>
  <c r="BQ172" i="1"/>
  <c r="BT172" i="1" s="1"/>
  <c r="BQ171" i="1"/>
  <c r="BT171" i="1" s="1"/>
  <c r="BQ170" i="1"/>
  <c r="BT170" i="1" s="1"/>
  <c r="BQ169" i="1"/>
  <c r="BT169" i="1" s="1"/>
  <c r="BQ168" i="1"/>
  <c r="BT168" i="1" s="1"/>
  <c r="BQ167" i="1"/>
  <c r="BT167" i="1" s="1"/>
  <c r="BQ164" i="1"/>
  <c r="BT164" i="1" s="1"/>
  <c r="BQ141" i="1"/>
  <c r="BT141" i="1" s="1"/>
  <c r="BQ140" i="1"/>
  <c r="BT140" i="1" s="1"/>
  <c r="BQ150" i="1"/>
  <c r="BT150" i="1" s="1"/>
  <c r="BQ149" i="1"/>
  <c r="BT149" i="1" s="1"/>
  <c r="BQ139" i="1"/>
  <c r="BT139" i="1" s="1"/>
  <c r="BQ138" i="1"/>
  <c r="BT138" i="1" s="1"/>
  <c r="BQ137" i="1"/>
  <c r="BT137" i="1" s="1"/>
  <c r="BQ136" i="1"/>
  <c r="BT136" i="1" s="1"/>
  <c r="BQ148" i="1"/>
  <c r="BT148" i="1" s="1"/>
  <c r="BQ147" i="1"/>
  <c r="BT147" i="1" s="1"/>
  <c r="BQ146" i="1"/>
  <c r="BT146" i="1" s="1"/>
  <c r="BQ145" i="1"/>
  <c r="BT145" i="1" s="1"/>
  <c r="BQ144" i="1"/>
  <c r="BT144" i="1" s="1"/>
  <c r="BQ143" i="1"/>
  <c r="BT143" i="1" s="1"/>
  <c r="BQ131" i="1"/>
  <c r="BT131" i="1" s="1"/>
  <c r="BQ130" i="1"/>
  <c r="BT130" i="1" s="1"/>
  <c r="BQ129" i="1"/>
  <c r="BT129" i="1" s="1"/>
  <c r="BO127" i="1"/>
  <c r="BQ127" i="1" s="1"/>
  <c r="BT127" i="1" s="1"/>
  <c r="BQ126" i="1"/>
  <c r="BT126" i="1" s="1"/>
  <c r="BQ125" i="1"/>
  <c r="BT125" i="1" s="1"/>
  <c r="BQ124" i="1"/>
  <c r="BT124" i="1" s="1"/>
  <c r="BQ123" i="1"/>
  <c r="BT123" i="1" s="1"/>
  <c r="BQ122" i="1"/>
  <c r="BT122" i="1" s="1"/>
  <c r="BQ88" i="1"/>
  <c r="BR88" i="1" s="1"/>
  <c r="BS88" i="1" s="1"/>
  <c r="BQ86" i="1"/>
  <c r="BT86" i="1" s="1"/>
  <c r="BQ85" i="1"/>
  <c r="BT85" i="1" s="1"/>
  <c r="BQ84" i="1"/>
  <c r="BT84" i="1" s="1"/>
  <c r="BQ83" i="1"/>
  <c r="BT83" i="1" s="1"/>
  <c r="BQ82" i="1"/>
  <c r="BT82" i="1" s="1"/>
  <c r="BQ81" i="1"/>
  <c r="BR81" i="1" s="1"/>
  <c r="BS81" i="1" s="1"/>
  <c r="BQ80" i="1"/>
  <c r="BR80" i="1" s="1"/>
  <c r="BS80" i="1" s="1"/>
  <c r="BQ79" i="1"/>
  <c r="BR79" i="1" s="1"/>
  <c r="BS79" i="1" s="1"/>
  <c r="BQ78" i="1"/>
  <c r="BR78" i="1" s="1"/>
  <c r="BS78" i="1" s="1"/>
  <c r="BQ77" i="1"/>
  <c r="BR77" i="1" s="1"/>
  <c r="BS77" i="1" s="1"/>
  <c r="BQ76" i="1"/>
  <c r="BR76" i="1" s="1"/>
  <c r="BS76" i="1" s="1"/>
  <c r="BQ75" i="1"/>
  <c r="BT75" i="1" s="1"/>
  <c r="BQ74" i="1"/>
  <c r="BT74" i="1" s="1"/>
  <c r="BQ73" i="1"/>
  <c r="BT73" i="1" s="1"/>
  <c r="BQ72" i="1"/>
  <c r="BT72" i="1" s="1"/>
  <c r="BQ71" i="1"/>
  <c r="BT71" i="1" s="1"/>
  <c r="BQ68" i="1"/>
  <c r="BT68" i="1" s="1"/>
  <c r="BQ67" i="1"/>
  <c r="BT67" i="1" s="1"/>
  <c r="BQ66" i="1"/>
  <c r="BT66" i="1" s="1"/>
  <c r="BQ65" i="1"/>
  <c r="BT65" i="1" s="1"/>
  <c r="BQ64" i="1"/>
  <c r="BT64" i="1" s="1"/>
  <c r="BQ63" i="1"/>
  <c r="BT63" i="1" s="1"/>
  <c r="BQ61" i="1"/>
  <c r="BT61" i="1" s="1"/>
  <c r="BQ50" i="1"/>
  <c r="BT50" i="1" s="1"/>
  <c r="BQ49" i="1"/>
  <c r="BT49" i="1" s="1"/>
  <c r="BQ48" i="1"/>
  <c r="BT48" i="1" s="1"/>
  <c r="BQ47" i="1"/>
  <c r="BT47" i="1" s="1"/>
  <c r="BQ46" i="1"/>
  <c r="BT46" i="1" s="1"/>
  <c r="BQ45" i="1"/>
  <c r="BT45" i="1" s="1"/>
  <c r="BQ44" i="1"/>
  <c r="BT44" i="1" s="1"/>
  <c r="BQ43" i="1"/>
  <c r="BT43" i="1" s="1"/>
  <c r="BQ42" i="1"/>
  <c r="BT42" i="1" s="1"/>
  <c r="BQ41" i="1"/>
  <c r="BT41" i="1" s="1"/>
  <c r="BQ40" i="1"/>
  <c r="BT40" i="1" s="1"/>
  <c r="BQ39" i="1"/>
  <c r="BT39" i="1" s="1"/>
  <c r="BQ38" i="1"/>
  <c r="BT38" i="1" s="1"/>
  <c r="BQ36" i="1"/>
  <c r="BT36" i="1" s="1"/>
  <c r="BQ35" i="1"/>
  <c r="BT35" i="1" s="1"/>
  <c r="BQ34" i="1"/>
  <c r="BT34" i="1" s="1"/>
  <c r="BQ13" i="1"/>
  <c r="BT13" i="1" s="1"/>
  <c r="BQ10" i="1"/>
  <c r="BT10" i="1" s="1"/>
  <c r="BQ9" i="1"/>
  <c r="BT9" i="1" s="1"/>
  <c r="BQ8" i="1"/>
  <c r="BT8" i="1" s="1"/>
  <c r="BT7" i="1"/>
  <c r="BQ7" i="1"/>
  <c r="BR7" i="1" s="1"/>
  <c r="BS7" i="1" s="1"/>
  <c r="BQ5" i="1"/>
  <c r="BT5" i="1" s="1"/>
  <c r="BR728" i="1" l="1"/>
  <c r="BS728" i="1" s="1"/>
  <c r="BT449" i="1"/>
  <c r="BT898" i="1"/>
  <c r="BR870" i="1"/>
  <c r="BS870" i="1" s="1"/>
  <c r="BR871" i="1"/>
  <c r="BS871" i="1" s="1"/>
  <c r="BR872" i="1"/>
  <c r="BS872" i="1" s="1"/>
  <c r="BT80" i="1"/>
  <c r="BT451" i="1"/>
  <c r="BR745" i="1"/>
  <c r="BS745" i="1" s="1"/>
  <c r="BR746" i="1"/>
  <c r="BS746" i="1" s="1"/>
  <c r="BR747" i="1"/>
  <c r="BS747" i="1" s="1"/>
  <c r="BR744" i="1"/>
  <c r="BS744" i="1" s="1"/>
  <c r="BR739" i="1"/>
  <c r="BS739" i="1" s="1"/>
  <c r="BR740" i="1"/>
  <c r="BS740" i="1" s="1"/>
  <c r="BR741" i="1"/>
  <c r="BS741" i="1" s="1"/>
  <c r="BR742" i="1"/>
  <c r="BS742" i="1" s="1"/>
  <c r="BR743" i="1"/>
  <c r="BS743" i="1" s="1"/>
  <c r="BR780" i="1"/>
  <c r="BS780" i="1" s="1"/>
  <c r="BR776" i="1"/>
  <c r="BS776" i="1" s="1"/>
  <c r="BR777" i="1"/>
  <c r="BS777" i="1" s="1"/>
  <c r="BR778" i="1"/>
  <c r="BS778" i="1" s="1"/>
  <c r="BR779" i="1"/>
  <c r="BS779" i="1" s="1"/>
  <c r="BR772" i="1"/>
  <c r="BS772" i="1" s="1"/>
  <c r="BR773" i="1"/>
  <c r="BS773" i="1" s="1"/>
  <c r="BR774" i="1"/>
  <c r="BS774" i="1" s="1"/>
  <c r="BR771" i="1"/>
  <c r="BS771" i="1" s="1"/>
  <c r="BR770" i="1"/>
  <c r="BS770" i="1" s="1"/>
  <c r="BR737" i="1"/>
  <c r="BS737" i="1" s="1"/>
  <c r="BR738" i="1"/>
  <c r="BS738" i="1" s="1"/>
  <c r="BR733" i="1"/>
  <c r="BS733" i="1" s="1"/>
  <c r="BR734" i="1"/>
  <c r="BS734" i="1" s="1"/>
  <c r="BR732" i="1"/>
  <c r="BS732" i="1" s="1"/>
  <c r="BR729" i="1"/>
  <c r="BS729" i="1" s="1"/>
  <c r="BR731" i="1"/>
  <c r="BS731" i="1" s="1"/>
  <c r="BR730" i="1"/>
  <c r="BS730" i="1" s="1"/>
  <c r="BR713" i="1"/>
  <c r="BS713" i="1" s="1"/>
  <c r="BR701" i="1"/>
  <c r="BS701" i="1" s="1"/>
  <c r="BR693" i="1"/>
  <c r="BS693" i="1" s="1"/>
  <c r="BR695" i="1"/>
  <c r="BS695" i="1" s="1"/>
  <c r="BR696" i="1"/>
  <c r="BS696" i="1" s="1"/>
  <c r="BR697" i="1"/>
  <c r="BS697" i="1" s="1"/>
  <c r="BR698" i="1"/>
  <c r="BS698" i="1" s="1"/>
  <c r="BR699" i="1"/>
  <c r="BS699" i="1" s="1"/>
  <c r="BR700" i="1"/>
  <c r="BS700" i="1" s="1"/>
  <c r="BR681" i="1"/>
  <c r="BS681" i="1" s="1"/>
  <c r="BR684" i="1"/>
  <c r="BS684" i="1" s="1"/>
  <c r="BR686" i="1"/>
  <c r="BS686" i="1" s="1"/>
  <c r="BR687" i="1"/>
  <c r="BS687" i="1" s="1"/>
  <c r="BR688" i="1"/>
  <c r="BS688" i="1" s="1"/>
  <c r="BR689" i="1"/>
  <c r="BS689" i="1" s="1"/>
  <c r="BR692" i="1"/>
  <c r="BS692" i="1" s="1"/>
  <c r="BR683" i="1"/>
  <c r="BS683" i="1" s="1"/>
  <c r="BR690" i="1"/>
  <c r="BS690" i="1" s="1"/>
  <c r="BR680" i="1"/>
  <c r="BS680" i="1" s="1"/>
  <c r="BR682" i="1"/>
  <c r="BS682" i="1" s="1"/>
  <c r="BR685" i="1"/>
  <c r="BS685" i="1" s="1"/>
  <c r="BR691" i="1"/>
  <c r="BS691" i="1" s="1"/>
  <c r="BR670" i="1"/>
  <c r="BS670" i="1" s="1"/>
  <c r="BR667" i="1"/>
  <c r="BS667" i="1" s="1"/>
  <c r="BR644" i="1"/>
  <c r="BS644" i="1" s="1"/>
  <c r="BR645" i="1"/>
  <c r="BS645" i="1" s="1"/>
  <c r="BR631" i="1"/>
  <c r="BS631" i="1" s="1"/>
  <c r="BR632" i="1"/>
  <c r="BS632" i="1" s="1"/>
  <c r="BR633" i="1"/>
  <c r="BS633" i="1" s="1"/>
  <c r="BR634" i="1"/>
  <c r="BS634" i="1" s="1"/>
  <c r="BR635" i="1"/>
  <c r="BS635" i="1" s="1"/>
  <c r="BR636" i="1"/>
  <c r="BS636" i="1" s="1"/>
  <c r="BR637" i="1"/>
  <c r="BS637" i="1" s="1"/>
  <c r="BR638" i="1"/>
  <c r="BS638" i="1" s="1"/>
  <c r="BR639" i="1"/>
  <c r="BS639" i="1" s="1"/>
  <c r="BR640" i="1"/>
  <c r="BS640" i="1" s="1"/>
  <c r="BR641" i="1"/>
  <c r="BS641" i="1" s="1"/>
  <c r="BR642" i="1"/>
  <c r="BS642" i="1" s="1"/>
  <c r="BR643" i="1"/>
  <c r="BS643" i="1" s="1"/>
  <c r="BR630" i="1"/>
  <c r="BS630" i="1" s="1"/>
  <c r="BR629" i="1"/>
  <c r="BS629" i="1" s="1"/>
  <c r="BT76" i="1"/>
  <c r="BT224" i="1"/>
  <c r="BT450" i="1"/>
  <c r="BT452" i="1"/>
  <c r="BT222" i="1"/>
  <c r="BT223" i="1"/>
  <c r="BR624" i="1"/>
  <c r="BS624" i="1" s="1"/>
  <c r="BR623" i="1"/>
  <c r="BS623" i="1" s="1"/>
  <c r="BR622" i="1"/>
  <c r="BS622" i="1" s="1"/>
  <c r="BR598" i="1"/>
  <c r="BS598" i="1" s="1"/>
  <c r="BR599" i="1"/>
  <c r="BS599" i="1" s="1"/>
  <c r="BR596" i="1"/>
  <c r="BS596" i="1" s="1"/>
  <c r="BR597" i="1"/>
  <c r="BS597" i="1" s="1"/>
  <c r="BR594" i="1"/>
  <c r="BS594" i="1" s="1"/>
  <c r="BR595" i="1"/>
  <c r="BS595" i="1" s="1"/>
  <c r="BR591" i="1"/>
  <c r="BS591" i="1" s="1"/>
  <c r="BR589" i="1"/>
  <c r="BS589" i="1" s="1"/>
  <c r="BR590" i="1"/>
  <c r="BS590" i="1" s="1"/>
  <c r="BR550" i="1"/>
  <c r="BS550" i="1" s="1"/>
  <c r="BR551" i="1"/>
  <c r="BS551" i="1" s="1"/>
  <c r="BR552" i="1"/>
  <c r="BS552" i="1" s="1"/>
  <c r="BR553" i="1"/>
  <c r="BS553" i="1" s="1"/>
  <c r="BR554" i="1"/>
  <c r="BS554" i="1" s="1"/>
  <c r="BR555" i="1"/>
  <c r="BS555" i="1" s="1"/>
  <c r="BR548" i="1"/>
  <c r="BS548" i="1" s="1"/>
  <c r="BR549" i="1"/>
  <c r="BS549" i="1" s="1"/>
  <c r="BR547" i="1"/>
  <c r="BS547" i="1" s="1"/>
  <c r="BR462" i="1"/>
  <c r="BS462" i="1" s="1"/>
  <c r="BR463" i="1"/>
  <c r="BS463" i="1" s="1"/>
  <c r="BR487" i="1"/>
  <c r="BS487" i="1" s="1"/>
  <c r="BR488" i="1"/>
  <c r="BS488" i="1" s="1"/>
  <c r="BR489" i="1"/>
  <c r="BS489" i="1" s="1"/>
  <c r="BR490" i="1"/>
  <c r="BS490" i="1" s="1"/>
  <c r="BR486" i="1"/>
  <c r="BS486" i="1" s="1"/>
  <c r="BR485" i="1"/>
  <c r="BS485" i="1" s="1"/>
  <c r="BR478" i="1"/>
  <c r="BS478" i="1" s="1"/>
  <c r="BR479" i="1"/>
  <c r="BS479" i="1" s="1"/>
  <c r="BR480" i="1"/>
  <c r="BS480" i="1" s="1"/>
  <c r="BR481" i="1"/>
  <c r="BS481" i="1" s="1"/>
  <c r="BR482" i="1"/>
  <c r="BS482" i="1" s="1"/>
  <c r="BR483" i="1"/>
  <c r="BS483" i="1" s="1"/>
  <c r="BR484" i="1"/>
  <c r="BS484" i="1" s="1"/>
  <c r="BR458" i="1"/>
  <c r="BS458" i="1" s="1"/>
  <c r="BR456" i="1"/>
  <c r="BS456" i="1" s="1"/>
  <c r="BR457" i="1"/>
  <c r="BS457" i="1" s="1"/>
  <c r="BR431" i="1"/>
  <c r="BS431" i="1" s="1"/>
  <c r="BR427" i="1"/>
  <c r="BS427" i="1" s="1"/>
  <c r="BR428" i="1"/>
  <c r="BS428" i="1" s="1"/>
  <c r="BR429" i="1"/>
  <c r="BS429" i="1" s="1"/>
  <c r="BR421" i="1"/>
  <c r="BS421" i="1" s="1"/>
  <c r="BR422" i="1"/>
  <c r="BS422" i="1" s="1"/>
  <c r="BR423" i="1"/>
  <c r="BS423" i="1" s="1"/>
  <c r="BR424" i="1"/>
  <c r="BS424" i="1" s="1"/>
  <c r="BR425" i="1"/>
  <c r="BS425" i="1" s="1"/>
  <c r="BR426" i="1"/>
  <c r="BS426" i="1" s="1"/>
  <c r="BR420" i="1"/>
  <c r="BS420" i="1" s="1"/>
  <c r="BR419" i="1"/>
  <c r="BS419" i="1" s="1"/>
  <c r="BR405" i="1"/>
  <c r="BS405" i="1" s="1"/>
  <c r="BR406" i="1"/>
  <c r="BS406" i="1" s="1"/>
  <c r="BR407" i="1"/>
  <c r="BS407" i="1" s="1"/>
  <c r="BR408" i="1"/>
  <c r="BS408" i="1" s="1"/>
  <c r="BR409" i="1"/>
  <c r="BS409" i="1" s="1"/>
  <c r="BR410" i="1"/>
  <c r="BS410" i="1" s="1"/>
  <c r="BR398" i="1"/>
  <c r="BS398" i="1" s="1"/>
  <c r="BR396" i="1"/>
  <c r="BS396" i="1" s="1"/>
  <c r="BR397" i="1"/>
  <c r="BS397" i="1" s="1"/>
  <c r="BR400" i="1"/>
  <c r="BS400" i="1" s="1"/>
  <c r="BR401" i="1"/>
  <c r="BS401" i="1" s="1"/>
  <c r="BR402" i="1"/>
  <c r="BS402" i="1" s="1"/>
  <c r="BR403" i="1"/>
  <c r="BS403" i="1" s="1"/>
  <c r="BR404" i="1"/>
  <c r="BS404" i="1" s="1"/>
  <c r="BR357" i="1"/>
  <c r="BS357" i="1" s="1"/>
  <c r="BR358" i="1"/>
  <c r="BS358" i="1" s="1"/>
  <c r="BR359" i="1"/>
  <c r="BS359" i="1" s="1"/>
  <c r="BR345" i="1"/>
  <c r="BS345" i="1" s="1"/>
  <c r="BR346" i="1"/>
  <c r="BS346" i="1" s="1"/>
  <c r="BR347" i="1"/>
  <c r="BS347" i="1" s="1"/>
  <c r="BR348" i="1"/>
  <c r="BS348" i="1" s="1"/>
  <c r="BR349" i="1"/>
  <c r="BS349" i="1" s="1"/>
  <c r="BR350" i="1"/>
  <c r="BS350" i="1" s="1"/>
  <c r="BR351" i="1"/>
  <c r="BS351" i="1" s="1"/>
  <c r="BR352" i="1"/>
  <c r="BS352" i="1" s="1"/>
  <c r="BR353" i="1"/>
  <c r="BS353" i="1" s="1"/>
  <c r="BR354" i="1"/>
  <c r="BS354" i="1" s="1"/>
  <c r="BR355" i="1"/>
  <c r="BS355" i="1" s="1"/>
  <c r="BR356" i="1"/>
  <c r="BS356" i="1" s="1"/>
  <c r="BR334" i="1"/>
  <c r="BS334" i="1" s="1"/>
  <c r="BR335" i="1"/>
  <c r="BS335" i="1" s="1"/>
  <c r="BR336" i="1"/>
  <c r="BS336" i="1" s="1"/>
  <c r="BR337" i="1"/>
  <c r="BS337" i="1" s="1"/>
  <c r="BR338" i="1"/>
  <c r="BS338" i="1" s="1"/>
  <c r="BR339" i="1"/>
  <c r="BS339" i="1" s="1"/>
  <c r="BR340" i="1"/>
  <c r="BS340" i="1" s="1"/>
  <c r="BR341" i="1"/>
  <c r="BS341" i="1" s="1"/>
  <c r="BR342" i="1"/>
  <c r="BS342" i="1" s="1"/>
  <c r="BR343" i="1"/>
  <c r="BS343" i="1" s="1"/>
  <c r="BR344" i="1"/>
  <c r="BS344" i="1" s="1"/>
  <c r="BR290" i="1"/>
  <c r="BS290" i="1" s="1"/>
  <c r="BR291" i="1"/>
  <c r="BS291" i="1" s="1"/>
  <c r="BR292" i="1"/>
  <c r="BS292" i="1" s="1"/>
  <c r="BR287" i="1"/>
  <c r="BS287" i="1" s="1"/>
  <c r="BR289" i="1"/>
  <c r="BS289" i="1" s="1"/>
  <c r="BR288" i="1"/>
  <c r="BS288" i="1" s="1"/>
  <c r="BR282" i="1"/>
  <c r="BS282" i="1" s="1"/>
  <c r="BR283" i="1"/>
  <c r="BS283" i="1" s="1"/>
  <c r="BR284" i="1"/>
  <c r="BS284" i="1" s="1"/>
  <c r="BR285" i="1"/>
  <c r="BS285" i="1" s="1"/>
  <c r="BR286" i="1"/>
  <c r="BS286" i="1" s="1"/>
  <c r="BR280" i="1"/>
  <c r="BS280" i="1" s="1"/>
  <c r="BR281" i="1"/>
  <c r="BS281" i="1" s="1"/>
  <c r="BR279" i="1"/>
  <c r="BS279" i="1" s="1"/>
  <c r="BR278" i="1"/>
  <c r="BS278" i="1" s="1"/>
  <c r="BR277" i="1"/>
  <c r="BS277" i="1" s="1"/>
  <c r="BR275" i="1"/>
  <c r="BS275" i="1" s="1"/>
  <c r="BR307" i="1"/>
  <c r="BS307" i="1" s="1"/>
  <c r="BR268" i="1"/>
  <c r="BS268" i="1" s="1"/>
  <c r="BR269" i="1"/>
  <c r="BS269" i="1" s="1"/>
  <c r="BR270" i="1"/>
  <c r="BS270" i="1" s="1"/>
  <c r="BR267" i="1"/>
  <c r="BS267" i="1" s="1"/>
  <c r="BR271" i="1"/>
  <c r="BS271" i="1" s="1"/>
  <c r="BR266" i="1"/>
  <c r="BS266" i="1" s="1"/>
  <c r="BR264" i="1"/>
  <c r="BS264" i="1" s="1"/>
  <c r="BR265" i="1"/>
  <c r="BS265" i="1" s="1"/>
  <c r="BR262" i="1"/>
  <c r="BS262" i="1" s="1"/>
  <c r="BR263" i="1"/>
  <c r="BS263" i="1" s="1"/>
  <c r="BR261" i="1"/>
  <c r="BS261" i="1" s="1"/>
  <c r="BR260" i="1"/>
  <c r="BS260" i="1" s="1"/>
  <c r="BR257" i="1"/>
  <c r="BS257" i="1" s="1"/>
  <c r="BR258" i="1"/>
  <c r="BS258" i="1" s="1"/>
  <c r="BR259" i="1"/>
  <c r="BS259" i="1" s="1"/>
  <c r="BR256" i="1"/>
  <c r="BS256" i="1" s="1"/>
  <c r="BR253" i="1"/>
  <c r="BS253" i="1" s="1"/>
  <c r="BR254" i="1"/>
  <c r="BS254" i="1" s="1"/>
  <c r="BR255" i="1"/>
  <c r="BS255" i="1" s="1"/>
  <c r="BR204" i="1"/>
  <c r="BS204" i="1" s="1"/>
  <c r="BR205" i="1"/>
  <c r="BS205" i="1" s="1"/>
  <c r="BR206" i="1"/>
  <c r="BS206" i="1" s="1"/>
  <c r="BR207" i="1"/>
  <c r="BS207" i="1" s="1"/>
  <c r="BR208" i="1"/>
  <c r="BS208" i="1" s="1"/>
  <c r="BR209" i="1"/>
  <c r="BS209" i="1" s="1"/>
  <c r="BR210" i="1"/>
  <c r="BS210" i="1" s="1"/>
  <c r="BR211" i="1"/>
  <c r="BS211" i="1" s="1"/>
  <c r="BR212" i="1"/>
  <c r="BS212" i="1" s="1"/>
  <c r="BR203" i="1"/>
  <c r="BS203" i="1" s="1"/>
  <c r="BR190" i="1"/>
  <c r="BS190" i="1" s="1"/>
  <c r="BR192" i="1"/>
  <c r="BS192" i="1" s="1"/>
  <c r="BR195" i="1"/>
  <c r="BS195" i="1" s="1"/>
  <c r="BR197" i="1"/>
  <c r="BS197" i="1" s="1"/>
  <c r="BR201" i="1"/>
  <c r="BS201" i="1" s="1"/>
  <c r="BR191" i="1"/>
  <c r="BS191" i="1" s="1"/>
  <c r="BR193" i="1"/>
  <c r="BS193" i="1" s="1"/>
  <c r="BR194" i="1"/>
  <c r="BS194" i="1" s="1"/>
  <c r="BR196" i="1"/>
  <c r="BS196" i="1" s="1"/>
  <c r="BR198" i="1"/>
  <c r="BS198" i="1" s="1"/>
  <c r="BR199" i="1"/>
  <c r="BS199" i="1" s="1"/>
  <c r="BR200" i="1"/>
  <c r="BS200" i="1" s="1"/>
  <c r="BR202" i="1"/>
  <c r="BS202" i="1" s="1"/>
  <c r="BR180" i="1"/>
  <c r="BS180" i="1" s="1"/>
  <c r="BR181" i="1"/>
  <c r="BS181" i="1" s="1"/>
  <c r="BR182" i="1"/>
  <c r="BS182" i="1" s="1"/>
  <c r="BR183" i="1"/>
  <c r="BS183" i="1" s="1"/>
  <c r="BR184" i="1"/>
  <c r="BS184" i="1" s="1"/>
  <c r="BR185" i="1"/>
  <c r="BS185" i="1" s="1"/>
  <c r="BR186" i="1"/>
  <c r="BS186" i="1" s="1"/>
  <c r="BR187" i="1"/>
  <c r="BS187" i="1" s="1"/>
  <c r="BR188" i="1"/>
  <c r="BS188" i="1" s="1"/>
  <c r="BR189" i="1"/>
  <c r="BS189" i="1" s="1"/>
  <c r="BR225" i="1"/>
  <c r="BS225" i="1" s="1"/>
  <c r="BR168" i="1"/>
  <c r="BS168" i="1" s="1"/>
  <c r="BR170" i="1"/>
  <c r="BS170" i="1" s="1"/>
  <c r="BR172" i="1"/>
  <c r="BS172" i="1" s="1"/>
  <c r="BR174" i="1"/>
  <c r="BS174" i="1" s="1"/>
  <c r="BR176" i="1"/>
  <c r="BS176" i="1" s="1"/>
  <c r="BR177" i="1"/>
  <c r="BS177" i="1" s="1"/>
  <c r="BR178" i="1"/>
  <c r="BS178" i="1" s="1"/>
  <c r="BR167" i="1"/>
  <c r="BS167" i="1" s="1"/>
  <c r="BR169" i="1"/>
  <c r="BS169" i="1" s="1"/>
  <c r="BR171" i="1"/>
  <c r="BS171" i="1" s="1"/>
  <c r="BR173" i="1"/>
  <c r="BS173" i="1" s="1"/>
  <c r="BR175" i="1"/>
  <c r="BS175" i="1" s="1"/>
  <c r="BR179" i="1"/>
  <c r="BS179" i="1" s="1"/>
  <c r="BR164" i="1"/>
  <c r="BS164" i="1" s="1"/>
  <c r="BR141" i="1"/>
  <c r="BS141" i="1" s="1"/>
  <c r="BT78" i="1"/>
  <c r="BT77" i="1"/>
  <c r="BT79" i="1"/>
  <c r="BR140" i="1"/>
  <c r="BS140" i="1" s="1"/>
  <c r="BR150" i="1"/>
  <c r="BS150" i="1" s="1"/>
  <c r="BR149" i="1"/>
  <c r="BS149" i="1" s="1"/>
  <c r="BR136" i="1"/>
  <c r="BS136" i="1" s="1"/>
  <c r="BR137" i="1"/>
  <c r="BS137" i="1" s="1"/>
  <c r="BR138" i="1"/>
  <c r="BS138" i="1" s="1"/>
  <c r="BR139" i="1"/>
  <c r="BS139" i="1" s="1"/>
  <c r="BR147" i="1"/>
  <c r="BS147" i="1" s="1"/>
  <c r="BR148" i="1"/>
  <c r="BS148" i="1" s="1"/>
  <c r="BR143" i="1"/>
  <c r="BS143" i="1" s="1"/>
  <c r="BR144" i="1"/>
  <c r="BS144" i="1" s="1"/>
  <c r="BR145" i="1"/>
  <c r="BS145" i="1" s="1"/>
  <c r="BR146" i="1"/>
  <c r="BS146" i="1" s="1"/>
  <c r="BR129" i="1"/>
  <c r="BS129" i="1" s="1"/>
  <c r="BR130" i="1"/>
  <c r="BS130" i="1" s="1"/>
  <c r="BR131" i="1"/>
  <c r="BS131" i="1" s="1"/>
  <c r="BR126" i="1"/>
  <c r="BS126" i="1" s="1"/>
  <c r="BR127" i="1"/>
  <c r="BS127" i="1" s="1"/>
  <c r="BR125" i="1"/>
  <c r="BS125" i="1" s="1"/>
  <c r="BR124" i="1"/>
  <c r="BS124" i="1" s="1"/>
  <c r="BR123" i="1"/>
  <c r="BS123" i="1" s="1"/>
  <c r="BR122" i="1"/>
  <c r="BS122" i="1" s="1"/>
  <c r="BR82" i="1"/>
  <c r="BS82" i="1" s="1"/>
  <c r="BR83" i="1"/>
  <c r="BS83" i="1" s="1"/>
  <c r="BR84" i="1"/>
  <c r="BS84" i="1" s="1"/>
  <c r="BR85" i="1"/>
  <c r="BS85" i="1" s="1"/>
  <c r="BR86" i="1"/>
  <c r="BS86" i="1" s="1"/>
  <c r="BR71" i="1"/>
  <c r="BS71" i="1" s="1"/>
  <c r="BR72" i="1"/>
  <c r="BS72" i="1" s="1"/>
  <c r="BR73" i="1"/>
  <c r="BS73" i="1" s="1"/>
  <c r="BR74" i="1"/>
  <c r="BS74" i="1" s="1"/>
  <c r="BR75" i="1"/>
  <c r="BS75" i="1" s="1"/>
  <c r="BR68" i="1"/>
  <c r="BS68" i="1" s="1"/>
  <c r="BR64" i="1"/>
  <c r="BS64" i="1" s="1"/>
  <c r="BR67" i="1"/>
  <c r="BS67" i="1" s="1"/>
  <c r="BR63" i="1"/>
  <c r="BS63" i="1" s="1"/>
  <c r="BR65" i="1"/>
  <c r="BS65" i="1" s="1"/>
  <c r="BR66" i="1"/>
  <c r="BS66" i="1" s="1"/>
  <c r="BR61" i="1"/>
  <c r="BS61" i="1" s="1"/>
  <c r="BR48" i="1"/>
  <c r="BS48" i="1" s="1"/>
  <c r="BR49" i="1"/>
  <c r="BS49" i="1" s="1"/>
  <c r="BR50" i="1"/>
  <c r="BS50" i="1" s="1"/>
  <c r="BR42" i="1"/>
  <c r="BS42" i="1" s="1"/>
  <c r="BR43" i="1"/>
  <c r="BS43" i="1" s="1"/>
  <c r="BR44" i="1"/>
  <c r="BS44" i="1" s="1"/>
  <c r="BR45" i="1"/>
  <c r="BS45" i="1" s="1"/>
  <c r="BR46" i="1"/>
  <c r="BS46" i="1" s="1"/>
  <c r="BR47" i="1"/>
  <c r="BS47" i="1" s="1"/>
  <c r="BR39" i="1"/>
  <c r="BS39" i="1" s="1"/>
  <c r="BR40" i="1"/>
  <c r="BS40" i="1" s="1"/>
  <c r="BR38" i="1"/>
  <c r="BS38" i="1" s="1"/>
  <c r="BR41" i="1"/>
  <c r="BS41" i="1" s="1"/>
  <c r="BR34" i="1"/>
  <c r="BS34" i="1" s="1"/>
  <c r="BR36" i="1"/>
  <c r="BS36" i="1" s="1"/>
  <c r="BR35" i="1"/>
  <c r="BS35" i="1" s="1"/>
  <c r="BR13" i="1"/>
  <c r="BS13" i="1" s="1"/>
  <c r="BR8" i="1"/>
  <c r="BS8" i="1" s="1"/>
  <c r="BR10" i="1"/>
  <c r="BS10" i="1" s="1"/>
  <c r="BR9" i="1"/>
  <c r="BS9" i="1" s="1"/>
  <c r="BR5" i="1"/>
  <c r="BS5" i="1" s="1"/>
  <c r="BI1070" i="1" l="1"/>
  <c r="BL1070" i="1" s="1"/>
  <c r="BI1069" i="1"/>
  <c r="BL1069" i="1" s="1"/>
  <c r="BI1067" i="1"/>
  <c r="BL1067" i="1" s="1"/>
  <c r="BI1066" i="1"/>
  <c r="BL1066" i="1" s="1"/>
  <c r="BI1064" i="1"/>
  <c r="BJ1064" i="1" s="1"/>
  <c r="BK1064" i="1" s="1"/>
  <c r="BI1063" i="1"/>
  <c r="BJ1063" i="1" s="1"/>
  <c r="BK1063" i="1" s="1"/>
  <c r="BI1060" i="1"/>
  <c r="BJ1060" i="1" s="1"/>
  <c r="BK1060" i="1" s="1"/>
  <c r="BI928" i="1"/>
  <c r="BL928" i="1" s="1"/>
  <c r="BI926" i="1"/>
  <c r="BL926" i="1" s="1"/>
  <c r="BI925" i="1"/>
  <c r="BL925" i="1" s="1"/>
  <c r="BI923" i="1"/>
  <c r="BL923" i="1" s="1"/>
  <c r="BI922" i="1"/>
  <c r="BL922" i="1" s="1"/>
  <c r="BI921" i="1"/>
  <c r="BL921" i="1" s="1"/>
  <c r="BI920" i="1"/>
  <c r="BL920" i="1" s="1"/>
  <c r="BI919" i="1"/>
  <c r="BL919" i="1" s="1"/>
  <c r="BI918" i="1"/>
  <c r="BL918" i="1" s="1"/>
  <c r="BI917" i="1"/>
  <c r="BL917" i="1" s="1"/>
  <c r="BI916" i="1"/>
  <c r="BL916" i="1" s="1"/>
  <c r="BI915" i="1"/>
  <c r="BL915" i="1" s="1"/>
  <c r="BI914" i="1"/>
  <c r="BL914" i="1" s="1"/>
  <c r="BI913" i="1"/>
  <c r="BL913" i="1" s="1"/>
  <c r="BI912" i="1"/>
  <c r="BL912" i="1" s="1"/>
  <c r="BI872" i="1"/>
  <c r="BL872" i="1" s="1"/>
  <c r="BI871" i="1"/>
  <c r="BL871" i="1" s="1"/>
  <c r="BI870" i="1"/>
  <c r="BL870" i="1" s="1"/>
  <c r="BI1053" i="1"/>
  <c r="BL1053" i="1" s="1"/>
  <c r="BI1052" i="1"/>
  <c r="BL1052" i="1" s="1"/>
  <c r="BI1042" i="1"/>
  <c r="BL1042" i="1" s="1"/>
  <c r="BI1041" i="1"/>
  <c r="BL1041" i="1" s="1"/>
  <c r="BI1040" i="1"/>
  <c r="BL1040" i="1" s="1"/>
  <c r="BI1039" i="1"/>
  <c r="BL1039" i="1" s="1"/>
  <c r="BI1035" i="1"/>
  <c r="BL1035" i="1" s="1"/>
  <c r="BI1034" i="1"/>
  <c r="BL1034" i="1" s="1"/>
  <c r="BI1033" i="1"/>
  <c r="BL1033" i="1" s="1"/>
  <c r="BI1032" i="1"/>
  <c r="BL1032" i="1" s="1"/>
  <c r="BI1030" i="1"/>
  <c r="BL1030" i="1" s="1"/>
  <c r="BI1029" i="1"/>
  <c r="BL1029" i="1" s="1"/>
  <c r="BI1028" i="1"/>
  <c r="BL1028" i="1" s="1"/>
  <c r="BI1027" i="1"/>
  <c r="BL1027" i="1" s="1"/>
  <c r="BI1026" i="1"/>
  <c r="BL1026" i="1" s="1"/>
  <c r="BI1025" i="1"/>
  <c r="BL1025" i="1" s="1"/>
  <c r="BI1024" i="1"/>
  <c r="BL1024" i="1" s="1"/>
  <c r="BI1023" i="1"/>
  <c r="BL1023" i="1" s="1"/>
  <c r="BI1022" i="1"/>
  <c r="BL1022" i="1" s="1"/>
  <c r="BI1021" i="1"/>
  <c r="BL1021" i="1" s="1"/>
  <c r="BI1020" i="1"/>
  <c r="BL1020" i="1" s="1"/>
  <c r="BI1019" i="1"/>
  <c r="BL1019" i="1" s="1"/>
  <c r="BI1018" i="1"/>
  <c r="BL1018" i="1" s="1"/>
  <c r="BI1017" i="1"/>
  <c r="BL1017" i="1" s="1"/>
  <c r="BI1016" i="1"/>
  <c r="BL1016" i="1" s="1"/>
  <c r="BI1015" i="1"/>
  <c r="BL1015" i="1" s="1"/>
  <c r="BI1014" i="1"/>
  <c r="BL1014" i="1" s="1"/>
  <c r="BI1013" i="1"/>
  <c r="BL1013" i="1" s="1"/>
  <c r="BI1012" i="1"/>
  <c r="BL1012" i="1" s="1"/>
  <c r="BI861" i="1"/>
  <c r="BL861" i="1" s="1"/>
  <c r="BI860" i="1"/>
  <c r="BL860" i="1" s="1"/>
  <c r="BI859" i="1"/>
  <c r="BL859" i="1" s="1"/>
  <c r="BI858" i="1"/>
  <c r="BL858" i="1" s="1"/>
  <c r="BI857" i="1"/>
  <c r="BL857" i="1" s="1"/>
  <c r="BI856" i="1"/>
  <c r="BL856" i="1" s="1"/>
  <c r="BI855" i="1"/>
  <c r="BL855" i="1" s="1"/>
  <c r="BI854" i="1"/>
  <c r="BL854" i="1" s="1"/>
  <c r="BI853" i="1"/>
  <c r="BL853" i="1" s="1"/>
  <c r="BI852" i="1"/>
  <c r="BL852" i="1" s="1"/>
  <c r="BI851" i="1"/>
  <c r="BL851" i="1" s="1"/>
  <c r="BI850" i="1"/>
  <c r="BL850" i="1" s="1"/>
  <c r="BI849" i="1"/>
  <c r="BL849" i="1" s="1"/>
  <c r="BI848" i="1"/>
  <c r="BL848" i="1" s="1"/>
  <c r="BI847" i="1"/>
  <c r="BL847" i="1" s="1"/>
  <c r="BI846" i="1"/>
  <c r="BL846" i="1" s="1"/>
  <c r="BI845" i="1"/>
  <c r="BL845" i="1" s="1"/>
  <c r="BI844" i="1"/>
  <c r="BL844" i="1" s="1"/>
  <c r="BI843" i="1"/>
  <c r="BL843" i="1" s="1"/>
  <c r="BI842" i="1"/>
  <c r="BL842" i="1" s="1"/>
  <c r="BI841" i="1"/>
  <c r="BL841" i="1" s="1"/>
  <c r="BI840" i="1"/>
  <c r="BL840" i="1" s="1"/>
  <c r="BI839" i="1"/>
  <c r="BL839" i="1" s="1"/>
  <c r="BI838" i="1"/>
  <c r="BL838" i="1" s="1"/>
  <c r="BI837" i="1"/>
  <c r="BL837" i="1" s="1"/>
  <c r="BI836" i="1"/>
  <c r="BL836" i="1" s="1"/>
  <c r="BI835" i="1"/>
  <c r="BL835" i="1" s="1"/>
  <c r="BI834" i="1"/>
  <c r="BL834" i="1" s="1"/>
  <c r="BI833" i="1"/>
  <c r="BL833" i="1" s="1"/>
  <c r="BI832" i="1"/>
  <c r="BL832" i="1" s="1"/>
  <c r="BI831" i="1"/>
  <c r="BL831" i="1" s="1"/>
  <c r="BI830" i="1"/>
  <c r="BL830" i="1" s="1"/>
  <c r="BI829" i="1"/>
  <c r="BL829" i="1" s="1"/>
  <c r="BI828" i="1"/>
  <c r="BL828" i="1" s="1"/>
  <c r="BI827" i="1"/>
  <c r="BL827" i="1" s="1"/>
  <c r="BI826" i="1"/>
  <c r="BL826" i="1" s="1"/>
  <c r="BI825" i="1"/>
  <c r="BL825" i="1" s="1"/>
  <c r="BI824" i="1"/>
  <c r="BL824" i="1" s="1"/>
  <c r="BI823" i="1"/>
  <c r="BL823" i="1" s="1"/>
  <c r="BI822" i="1"/>
  <c r="BL822" i="1" s="1"/>
  <c r="BI821" i="1"/>
  <c r="BL821" i="1" s="1"/>
  <c r="BI820" i="1"/>
  <c r="BL820" i="1" s="1"/>
  <c r="BI819" i="1"/>
  <c r="BL819" i="1" s="1"/>
  <c r="BI818" i="1"/>
  <c r="BL818" i="1" s="1"/>
  <c r="BI817" i="1"/>
  <c r="BL817" i="1" s="1"/>
  <c r="BI816" i="1"/>
  <c r="BL816" i="1" s="1"/>
  <c r="BI815" i="1"/>
  <c r="BL815" i="1" s="1"/>
  <c r="BI814" i="1"/>
  <c r="BL814" i="1" s="1"/>
  <c r="BI813" i="1"/>
  <c r="BL813" i="1" s="1"/>
  <c r="BI812" i="1"/>
  <c r="BL812" i="1" s="1"/>
  <c r="BI811" i="1"/>
  <c r="BL811" i="1" s="1"/>
  <c r="BI810" i="1"/>
  <c r="BL810" i="1" s="1"/>
  <c r="BI809" i="1"/>
  <c r="BL809" i="1" s="1"/>
  <c r="BI808" i="1"/>
  <c r="BL808" i="1" s="1"/>
  <c r="BI807" i="1"/>
  <c r="BL807" i="1" s="1"/>
  <c r="BI806" i="1"/>
  <c r="BL806" i="1" s="1"/>
  <c r="BI805" i="1"/>
  <c r="BL805" i="1" s="1"/>
  <c r="BI804" i="1"/>
  <c r="BL804" i="1" s="1"/>
  <c r="BI803" i="1"/>
  <c r="BL803" i="1" s="1"/>
  <c r="BI802" i="1"/>
  <c r="BL802" i="1" s="1"/>
  <c r="BI801" i="1"/>
  <c r="BL801" i="1" s="1"/>
  <c r="BI800" i="1"/>
  <c r="BL800" i="1" s="1"/>
  <c r="BI799" i="1"/>
  <c r="BL799" i="1" s="1"/>
  <c r="BI798" i="1"/>
  <c r="BL798" i="1" s="1"/>
  <c r="BI797" i="1"/>
  <c r="BL797" i="1" s="1"/>
  <c r="BI796" i="1"/>
  <c r="BL796" i="1" s="1"/>
  <c r="BI795" i="1"/>
  <c r="BL795" i="1" s="1"/>
  <c r="BI794" i="1"/>
  <c r="BL794" i="1" s="1"/>
  <c r="BI793" i="1"/>
  <c r="BL793" i="1" s="1"/>
  <c r="BI792" i="1"/>
  <c r="BL792" i="1" s="1"/>
  <c r="BI791" i="1"/>
  <c r="BL791" i="1" s="1"/>
  <c r="BI790" i="1"/>
  <c r="BL790" i="1" s="1"/>
  <c r="BI789" i="1"/>
  <c r="BL789" i="1" s="1"/>
  <c r="BI788" i="1"/>
  <c r="BL788" i="1" s="1"/>
  <c r="BI787" i="1"/>
  <c r="BL787" i="1" s="1"/>
  <c r="BI786" i="1"/>
  <c r="BL786" i="1" s="1"/>
  <c r="BI778" i="1"/>
  <c r="BL778" i="1" s="1"/>
  <c r="BI777" i="1"/>
  <c r="BL777" i="1" s="1"/>
  <c r="BI774" i="1"/>
  <c r="BL774" i="1" s="1"/>
  <c r="BI773" i="1"/>
  <c r="BL773" i="1" s="1"/>
  <c r="BI772" i="1"/>
  <c r="BL772" i="1" s="1"/>
  <c r="BI785" i="1"/>
  <c r="BL785" i="1" s="1"/>
  <c r="BI784" i="1"/>
  <c r="BL784" i="1" s="1"/>
  <c r="BI783" i="1"/>
  <c r="BL783" i="1" s="1"/>
  <c r="BA748" i="1"/>
  <c r="BB748" i="1" s="1"/>
  <c r="AX748" i="1"/>
  <c r="BC748" i="1" s="1"/>
  <c r="BA747" i="1"/>
  <c r="BB747" i="1" s="1"/>
  <c r="AX747" i="1"/>
  <c r="AY747" i="1" s="1"/>
  <c r="AZ747" i="1" s="1"/>
  <c r="BA746" i="1"/>
  <c r="BB746" i="1" s="1"/>
  <c r="AX746" i="1"/>
  <c r="BC746" i="1" s="1"/>
  <c r="BA745" i="1"/>
  <c r="BB745" i="1" s="1"/>
  <c r="AX745" i="1"/>
  <c r="BC745" i="1" s="1"/>
  <c r="BA744" i="1"/>
  <c r="BB744" i="1" s="1"/>
  <c r="AX744" i="1"/>
  <c r="BC744" i="1" s="1"/>
  <c r="BI748" i="1"/>
  <c r="BL748" i="1" s="1"/>
  <c r="BI747" i="1"/>
  <c r="BL747" i="1" s="1"/>
  <c r="BI746" i="1"/>
  <c r="BL746" i="1" s="1"/>
  <c r="BI745" i="1"/>
  <c r="BL745" i="1" s="1"/>
  <c r="BI744" i="1"/>
  <c r="BL744" i="1" s="1"/>
  <c r="BI780" i="1"/>
  <c r="BL780" i="1" s="1"/>
  <c r="BI738" i="1"/>
  <c r="BL738" i="1" s="1"/>
  <c r="BI737" i="1"/>
  <c r="BL737" i="1" s="1"/>
  <c r="BI734" i="1"/>
  <c r="BL734" i="1" s="1"/>
  <c r="BI733" i="1"/>
  <c r="BL733" i="1" s="1"/>
  <c r="BI731" i="1"/>
  <c r="BL731" i="1" s="1"/>
  <c r="BI730" i="1"/>
  <c r="BL730" i="1" s="1"/>
  <c r="BI729" i="1"/>
  <c r="BL729" i="1" s="1"/>
  <c r="BI728" i="1"/>
  <c r="BL728" i="1" s="1"/>
  <c r="BI726" i="1"/>
  <c r="BL726" i="1" s="1"/>
  <c r="BI724" i="1"/>
  <c r="BL724" i="1" s="1"/>
  <c r="BI722" i="1"/>
  <c r="BL722" i="1" s="1"/>
  <c r="BI721" i="1"/>
  <c r="BL721" i="1" s="1"/>
  <c r="BI719" i="1"/>
  <c r="BL719" i="1" s="1"/>
  <c r="BI717" i="1"/>
  <c r="BL717" i="1" s="1"/>
  <c r="BI716" i="1"/>
  <c r="BL716" i="1" s="1"/>
  <c r="BI713" i="1"/>
  <c r="BL713" i="1" s="1"/>
  <c r="BI701" i="1"/>
  <c r="BL701" i="1" s="1"/>
  <c r="BI700" i="1"/>
  <c r="BL700" i="1" s="1"/>
  <c r="BI699" i="1"/>
  <c r="BL699" i="1" s="1"/>
  <c r="BI698" i="1"/>
  <c r="BL698" i="1" s="1"/>
  <c r="BI697" i="1"/>
  <c r="BL697" i="1" s="1"/>
  <c r="BI696" i="1"/>
  <c r="BL696" i="1" s="1"/>
  <c r="BI695" i="1"/>
  <c r="BL695" i="1" s="1"/>
  <c r="BI694" i="1"/>
  <c r="BL694" i="1" s="1"/>
  <c r="BI693" i="1"/>
  <c r="BL693" i="1" s="1"/>
  <c r="BI692" i="1"/>
  <c r="BL692" i="1" s="1"/>
  <c r="BI691" i="1"/>
  <c r="BL691" i="1" s="1"/>
  <c r="BI690" i="1"/>
  <c r="BL690" i="1" s="1"/>
  <c r="BI689" i="1"/>
  <c r="BL689" i="1" s="1"/>
  <c r="BI688" i="1"/>
  <c r="BL688" i="1" s="1"/>
  <c r="BI687" i="1"/>
  <c r="BL687" i="1" s="1"/>
  <c r="BI686" i="1"/>
  <c r="BL686" i="1" s="1"/>
  <c r="BI685" i="1"/>
  <c r="BL685" i="1" s="1"/>
  <c r="BI684" i="1"/>
  <c r="BL684" i="1" s="1"/>
  <c r="BI683" i="1"/>
  <c r="BL683" i="1" s="1"/>
  <c r="BI682" i="1"/>
  <c r="BL682" i="1" s="1"/>
  <c r="BI681" i="1"/>
  <c r="BL681" i="1" s="1"/>
  <c r="BI680" i="1"/>
  <c r="BL680" i="1" s="1"/>
  <c r="BI678" i="1"/>
  <c r="BL678" i="1" s="1"/>
  <c r="BI677" i="1"/>
  <c r="BL677" i="1" s="1"/>
  <c r="BI676" i="1"/>
  <c r="BL676" i="1" s="1"/>
  <c r="BI675" i="1"/>
  <c r="BL675" i="1" s="1"/>
  <c r="BI674" i="1"/>
  <c r="BL674" i="1" s="1"/>
  <c r="BI673" i="1"/>
  <c r="BL673" i="1" s="1"/>
  <c r="BI672" i="1"/>
  <c r="BL672" i="1" s="1"/>
  <c r="BI671" i="1"/>
  <c r="BL671" i="1" s="1"/>
  <c r="BI670" i="1"/>
  <c r="BL670" i="1" s="1"/>
  <c r="BI669" i="1"/>
  <c r="BL669" i="1" s="1"/>
  <c r="BI668" i="1"/>
  <c r="BL668" i="1" s="1"/>
  <c r="BI667" i="1"/>
  <c r="BL667" i="1" s="1"/>
  <c r="BI645" i="1"/>
  <c r="BL645" i="1" s="1"/>
  <c r="BI644" i="1"/>
  <c r="BL644" i="1" s="1"/>
  <c r="BI643" i="1"/>
  <c r="BL643" i="1" s="1"/>
  <c r="BI642" i="1"/>
  <c r="BL642" i="1" s="1"/>
  <c r="BI641" i="1"/>
  <c r="BL641" i="1" s="1"/>
  <c r="BI640" i="1"/>
  <c r="BL640" i="1" s="1"/>
  <c r="BI639" i="1"/>
  <c r="BL639" i="1" s="1"/>
  <c r="BI638" i="1"/>
  <c r="BL638" i="1" s="1"/>
  <c r="BI637" i="1"/>
  <c r="BL637" i="1" s="1"/>
  <c r="BI636" i="1"/>
  <c r="BL636" i="1" s="1"/>
  <c r="BI635" i="1"/>
  <c r="BL635" i="1" s="1"/>
  <c r="BI634" i="1"/>
  <c r="BL634" i="1" s="1"/>
  <c r="BI632" i="1"/>
  <c r="BL632" i="1" s="1"/>
  <c r="BI631" i="1"/>
  <c r="BL631" i="1" s="1"/>
  <c r="BI630" i="1"/>
  <c r="BL630" i="1" s="1"/>
  <c r="BI629" i="1"/>
  <c r="BL629" i="1" s="1"/>
  <c r="BI619" i="1"/>
  <c r="BJ619" i="1" s="1"/>
  <c r="BK619" i="1" s="1"/>
  <c r="BI615" i="1"/>
  <c r="BJ615" i="1" s="1"/>
  <c r="BK615" i="1" s="1"/>
  <c r="BI598" i="1"/>
  <c r="BJ598" i="1" s="1"/>
  <c r="BK598" i="1" s="1"/>
  <c r="BK597" i="1"/>
  <c r="BI596" i="1"/>
  <c r="BL596" i="1" s="1"/>
  <c r="BI595" i="1"/>
  <c r="BL595" i="1" s="1"/>
  <c r="BI594" i="1"/>
  <c r="BL594" i="1" s="1"/>
  <c r="BI593" i="1"/>
  <c r="BL593" i="1" s="1"/>
  <c r="BI592" i="1"/>
  <c r="BL592" i="1" s="1"/>
  <c r="BK591" i="1"/>
  <c r="BI590" i="1"/>
  <c r="BL590" i="1" s="1"/>
  <c r="BI589" i="1"/>
  <c r="BL589" i="1" s="1"/>
  <c r="BK558" i="1"/>
  <c r="BI556" i="1"/>
  <c r="BL556" i="1" s="1"/>
  <c r="BI555" i="1"/>
  <c r="BL555" i="1" s="1"/>
  <c r="BI554" i="1"/>
  <c r="BL554" i="1" s="1"/>
  <c r="BI552" i="1"/>
  <c r="BL552" i="1" s="1"/>
  <c r="BI551" i="1"/>
  <c r="BL551" i="1" s="1"/>
  <c r="BI549" i="1"/>
  <c r="BL549" i="1" s="1"/>
  <c r="BI548" i="1"/>
  <c r="BL548" i="1" s="1"/>
  <c r="BH547" i="1"/>
  <c r="BI547" i="1" s="1"/>
  <c r="BL547" i="1" s="1"/>
  <c r="BI540" i="1"/>
  <c r="BL540" i="1" s="1"/>
  <c r="BL536" i="1"/>
  <c r="BI535" i="1"/>
  <c r="BL535" i="1" s="1"/>
  <c r="BI534" i="1"/>
  <c r="BL534" i="1" s="1"/>
  <c r="BI528" i="1"/>
  <c r="BL528" i="1" s="1"/>
  <c r="BI527" i="1"/>
  <c r="BL527" i="1" s="1"/>
  <c r="BI526" i="1"/>
  <c r="BL526" i="1" s="1"/>
  <c r="BI524" i="1"/>
  <c r="BL524" i="1" s="1"/>
  <c r="BI487" i="1"/>
  <c r="BL487" i="1" s="1"/>
  <c r="BI486" i="1"/>
  <c r="BL486" i="1" s="1"/>
  <c r="BI485" i="1"/>
  <c r="BL485" i="1" s="1"/>
  <c r="BI484" i="1"/>
  <c r="BL484" i="1" s="1"/>
  <c r="BI483" i="1"/>
  <c r="BL483" i="1" s="1"/>
  <c r="BI482" i="1"/>
  <c r="BL482" i="1" s="1"/>
  <c r="BI463" i="1"/>
  <c r="BL463" i="1" s="1"/>
  <c r="BI462" i="1"/>
  <c r="BL462" i="1" s="1"/>
  <c r="BI458" i="1"/>
  <c r="BL458" i="1" s="1"/>
  <c r="BI450" i="1"/>
  <c r="BL450" i="1" s="1"/>
  <c r="BI449" i="1"/>
  <c r="BL449" i="1" s="1"/>
  <c r="BI447" i="1"/>
  <c r="BL447" i="1" s="1"/>
  <c r="BI446" i="1"/>
  <c r="BJ446" i="1" s="1"/>
  <c r="BK446" i="1" s="1"/>
  <c r="BI445" i="1"/>
  <c r="BJ445" i="1" s="1"/>
  <c r="BK445" i="1" s="1"/>
  <c r="BI444" i="1"/>
  <c r="BJ444" i="1" s="1"/>
  <c r="BK444" i="1" s="1"/>
  <c r="BI443" i="1"/>
  <c r="BJ443" i="1" s="1"/>
  <c r="BK443" i="1" s="1"/>
  <c r="BI442" i="1"/>
  <c r="BJ442" i="1" s="1"/>
  <c r="BK442" i="1" s="1"/>
  <c r="BI441" i="1"/>
  <c r="BJ441" i="1" s="1"/>
  <c r="BK441" i="1" s="1"/>
  <c r="BI440" i="1"/>
  <c r="BJ440" i="1" s="1"/>
  <c r="BK440" i="1" s="1"/>
  <c r="BI439" i="1"/>
  <c r="BJ439" i="1" s="1"/>
  <c r="BK439" i="1" s="1"/>
  <c r="BI438" i="1"/>
  <c r="BL438" i="1" s="1"/>
  <c r="BI431" i="1"/>
  <c r="BL431" i="1" s="1"/>
  <c r="BI422" i="1"/>
  <c r="BL422" i="1" s="1"/>
  <c r="BI420" i="1"/>
  <c r="BL420" i="1" s="1"/>
  <c r="BI419" i="1"/>
  <c r="BL419" i="1" s="1"/>
  <c r="BI417" i="1"/>
  <c r="BL417" i="1" s="1"/>
  <c r="BI416" i="1"/>
  <c r="BL416" i="1" s="1"/>
  <c r="BI415" i="1"/>
  <c r="BL415" i="1" s="1"/>
  <c r="BK414" i="1"/>
  <c r="BI413" i="1"/>
  <c r="BL413" i="1" s="1"/>
  <c r="BI412" i="1"/>
  <c r="BL412" i="1" s="1"/>
  <c r="BI410" i="1"/>
  <c r="BL410" i="1" s="1"/>
  <c r="BI409" i="1"/>
  <c r="BL409" i="1" s="1"/>
  <c r="BI408" i="1"/>
  <c r="BL408" i="1" s="1"/>
  <c r="BI405" i="1"/>
  <c r="BL405" i="1" s="1"/>
  <c r="BI404" i="1"/>
  <c r="BL404" i="1" s="1"/>
  <c r="BI403" i="1"/>
  <c r="BL403" i="1" s="1"/>
  <c r="BI401" i="1"/>
  <c r="BL401" i="1" s="1"/>
  <c r="BI400" i="1"/>
  <c r="BL400" i="1" s="1"/>
  <c r="BI394" i="1"/>
  <c r="BL394" i="1" s="1"/>
  <c r="BI393" i="1"/>
  <c r="BL393" i="1" s="1"/>
  <c r="BI392" i="1"/>
  <c r="BL392" i="1" s="1"/>
  <c r="BI391" i="1"/>
  <c r="BL391" i="1" s="1"/>
  <c r="BI389" i="1"/>
  <c r="BL389" i="1" s="1"/>
  <c r="BI388" i="1"/>
  <c r="BL388" i="1" s="1"/>
  <c r="BI387" i="1"/>
  <c r="BL387" i="1" s="1"/>
  <c r="BI386" i="1"/>
  <c r="BL386" i="1" s="1"/>
  <c r="BI385" i="1"/>
  <c r="BL385" i="1" s="1"/>
  <c r="BI384" i="1"/>
  <c r="BL384" i="1" s="1"/>
  <c r="BI383" i="1"/>
  <c r="BL383" i="1" s="1"/>
  <c r="BI382" i="1"/>
  <c r="BL382" i="1" s="1"/>
  <c r="BI380" i="1"/>
  <c r="BL380" i="1" s="1"/>
  <c r="BI379" i="1"/>
  <c r="BL379" i="1" s="1"/>
  <c r="BI378" i="1"/>
  <c r="BL378" i="1" s="1"/>
  <c r="BI377" i="1"/>
  <c r="BL377" i="1" s="1"/>
  <c r="BI376" i="1"/>
  <c r="BL376" i="1" s="1"/>
  <c r="BI375" i="1"/>
  <c r="BL375" i="1" s="1"/>
  <c r="BI374" i="1"/>
  <c r="BL374" i="1" s="1"/>
  <c r="BI373" i="1"/>
  <c r="BL373" i="1" s="1"/>
  <c r="BI372" i="1"/>
  <c r="BL372" i="1" s="1"/>
  <c r="BI371" i="1"/>
  <c r="BL371" i="1" s="1"/>
  <c r="BI370" i="1"/>
  <c r="BL370" i="1" s="1"/>
  <c r="BI369" i="1"/>
  <c r="BL369" i="1" s="1"/>
  <c r="BI368" i="1"/>
  <c r="BL368" i="1" s="1"/>
  <c r="BI367" i="1"/>
  <c r="BL367" i="1" s="1"/>
  <c r="BI366" i="1"/>
  <c r="BL366" i="1" s="1"/>
  <c r="BI365" i="1"/>
  <c r="BL365" i="1" s="1"/>
  <c r="BI359" i="1"/>
  <c r="BL359" i="1" s="1"/>
  <c r="BI358" i="1"/>
  <c r="BL358" i="1" s="1"/>
  <c r="BI354" i="1"/>
  <c r="BL354" i="1" s="1"/>
  <c r="BI353" i="1"/>
  <c r="BL353" i="1" s="1"/>
  <c r="BI352" i="1"/>
  <c r="BL352" i="1" s="1"/>
  <c r="BI351" i="1"/>
  <c r="BL351" i="1" s="1"/>
  <c r="BI350" i="1"/>
  <c r="BL350" i="1" s="1"/>
  <c r="BI349" i="1"/>
  <c r="BL349" i="1" s="1"/>
  <c r="BI348" i="1"/>
  <c r="BL348" i="1" s="1"/>
  <c r="BI345" i="1"/>
  <c r="BL345" i="1" s="1"/>
  <c r="BI332" i="1"/>
  <c r="BL332" i="1" s="1"/>
  <c r="BI331" i="1"/>
  <c r="BL331" i="1" s="1"/>
  <c r="BI330" i="1"/>
  <c r="BL330" i="1" s="1"/>
  <c r="BI329" i="1"/>
  <c r="BL329" i="1" s="1"/>
  <c r="BI328" i="1"/>
  <c r="BL328" i="1" s="1"/>
  <c r="BI327" i="1"/>
  <c r="BL327" i="1" s="1"/>
  <c r="BI326" i="1"/>
  <c r="BL326" i="1" s="1"/>
  <c r="BI325" i="1"/>
  <c r="BL325" i="1" s="1"/>
  <c r="BI324" i="1"/>
  <c r="BL324" i="1" s="1"/>
  <c r="BI323" i="1"/>
  <c r="BL323" i="1" s="1"/>
  <c r="BI322" i="1"/>
  <c r="BL322" i="1" s="1"/>
  <c r="BI321" i="1"/>
  <c r="BL321" i="1" s="1"/>
  <c r="BI320" i="1"/>
  <c r="BL320" i="1" s="1"/>
  <c r="BI319" i="1"/>
  <c r="BL319" i="1" s="1"/>
  <c r="BI318" i="1"/>
  <c r="BL318" i="1" s="1"/>
  <c r="BI317" i="1"/>
  <c r="BL317" i="1" s="1"/>
  <c r="BI316" i="1"/>
  <c r="BL316" i="1" s="1"/>
  <c r="BI315" i="1"/>
  <c r="BL315" i="1" s="1"/>
  <c r="BI314" i="1"/>
  <c r="BL314" i="1" s="1"/>
  <c r="BI313" i="1"/>
  <c r="BL313" i="1" s="1"/>
  <c r="BI312" i="1"/>
  <c r="BL312" i="1" s="1"/>
  <c r="BI311" i="1"/>
  <c r="BL311" i="1" s="1"/>
  <c r="BI310" i="1"/>
  <c r="BL310" i="1" s="1"/>
  <c r="BI343" i="1"/>
  <c r="BL343" i="1" s="1"/>
  <c r="BI342" i="1"/>
  <c r="BL342" i="1" s="1"/>
  <c r="BI271" i="1"/>
  <c r="BL271" i="1" s="1"/>
  <c r="BI270" i="1"/>
  <c r="BL270" i="1" s="1"/>
  <c r="BI269" i="1"/>
  <c r="BL269" i="1" s="1"/>
  <c r="BI268" i="1"/>
  <c r="BL268" i="1" s="1"/>
  <c r="BI267" i="1"/>
  <c r="BL267" i="1" s="1"/>
  <c r="BI261" i="1"/>
  <c r="BL261" i="1" s="1"/>
  <c r="BI262" i="1"/>
  <c r="BL262" i="1" s="1"/>
  <c r="BI309" i="1"/>
  <c r="BL309" i="1" s="1"/>
  <c r="BI308" i="1"/>
  <c r="BL308" i="1" s="1"/>
  <c r="BI307" i="1"/>
  <c r="BL307" i="1" s="1"/>
  <c r="BI292" i="1"/>
  <c r="BL292" i="1" s="1"/>
  <c r="BI291" i="1"/>
  <c r="BL291" i="1" s="1"/>
  <c r="BI290" i="1"/>
  <c r="BL290" i="1" s="1"/>
  <c r="BI266" i="1"/>
  <c r="BL266" i="1" s="1"/>
  <c r="BI289" i="1"/>
  <c r="BL289" i="1" s="1"/>
  <c r="BI288" i="1"/>
  <c r="BL288" i="1" s="1"/>
  <c r="BI287" i="1"/>
  <c r="BL287" i="1" s="1"/>
  <c r="BI265" i="1"/>
  <c r="BL265" i="1" s="1"/>
  <c r="BI264" i="1"/>
  <c r="BL264" i="1" s="1"/>
  <c r="BI286" i="1"/>
  <c r="BJ286" i="1" s="1"/>
  <c r="BK286" i="1" s="1"/>
  <c r="BI285" i="1"/>
  <c r="BL285" i="1" s="1"/>
  <c r="BI284" i="1"/>
  <c r="BL284" i="1" s="1"/>
  <c r="BI283" i="1"/>
  <c r="BL283" i="1" s="1"/>
  <c r="BI282" i="1"/>
  <c r="BL282" i="1" s="1"/>
  <c r="BI263" i="1"/>
  <c r="BL263" i="1" s="1"/>
  <c r="BI281" i="1"/>
  <c r="BL281" i="1" s="1"/>
  <c r="BI280" i="1"/>
  <c r="BL280" i="1" s="1"/>
  <c r="BI277" i="1"/>
  <c r="BL277" i="1" s="1"/>
  <c r="BI260" i="1"/>
  <c r="BL260" i="1" s="1"/>
  <c r="BI259" i="1"/>
  <c r="BL259" i="1" s="1"/>
  <c r="BI258" i="1"/>
  <c r="BL258" i="1" s="1"/>
  <c r="BI257" i="1"/>
  <c r="BJ257" i="1" s="1"/>
  <c r="BK257" i="1" s="1"/>
  <c r="BI256" i="1"/>
  <c r="BL256" i="1" s="1"/>
  <c r="BI255" i="1"/>
  <c r="BL255" i="1" s="1"/>
  <c r="BI254" i="1"/>
  <c r="BL254" i="1" s="1"/>
  <c r="BI253" i="1"/>
  <c r="BL253" i="1" s="1"/>
  <c r="BI198" i="1"/>
  <c r="BL198" i="1" s="1"/>
  <c r="BI197" i="1"/>
  <c r="BL197" i="1" s="1"/>
  <c r="BI251" i="1"/>
  <c r="BL251" i="1" s="1"/>
  <c r="BI250" i="1"/>
  <c r="BL250" i="1" s="1"/>
  <c r="BI249" i="1"/>
  <c r="BL249" i="1" s="1"/>
  <c r="BI248" i="1"/>
  <c r="BL248" i="1" s="1"/>
  <c r="BI247" i="1"/>
  <c r="BL247" i="1" s="1"/>
  <c r="BI246" i="1"/>
  <c r="BL246" i="1" s="1"/>
  <c r="BI245" i="1"/>
  <c r="BL245" i="1" s="1"/>
  <c r="BI244" i="1"/>
  <c r="BL244" i="1" s="1"/>
  <c r="BI243" i="1"/>
  <c r="BL243" i="1" s="1"/>
  <c r="BI242" i="1"/>
  <c r="BL242" i="1" s="1"/>
  <c r="BI241" i="1"/>
  <c r="BL241" i="1" s="1"/>
  <c r="BI240" i="1"/>
  <c r="BL240" i="1" s="1"/>
  <c r="BI239" i="1"/>
  <c r="BL239" i="1" s="1"/>
  <c r="BI238" i="1"/>
  <c r="BL238" i="1" s="1"/>
  <c r="BI237" i="1"/>
  <c r="BL237" i="1" s="1"/>
  <c r="BI236" i="1"/>
  <c r="BL236" i="1" s="1"/>
  <c r="BI235" i="1"/>
  <c r="BL235" i="1" s="1"/>
  <c r="BI234" i="1"/>
  <c r="BL234" i="1" s="1"/>
  <c r="BI233" i="1"/>
  <c r="BL233" i="1" s="1"/>
  <c r="BI232" i="1"/>
  <c r="BL232" i="1" s="1"/>
  <c r="BI231" i="1"/>
  <c r="BL231" i="1" s="1"/>
  <c r="BI230" i="1"/>
  <c r="BL230" i="1" s="1"/>
  <c r="BI225" i="1"/>
  <c r="BL225" i="1" s="1"/>
  <c r="BI224" i="1"/>
  <c r="BL224" i="1" s="1"/>
  <c r="BI223" i="1"/>
  <c r="BL223" i="1" s="1"/>
  <c r="BI222" i="1"/>
  <c r="BL222" i="1" s="1"/>
  <c r="BI226" i="1"/>
  <c r="BL226" i="1" s="1"/>
  <c r="BI218" i="1"/>
  <c r="BL218" i="1" s="1"/>
  <c r="BI202" i="1"/>
  <c r="BL202" i="1" s="1"/>
  <c r="BI201" i="1"/>
  <c r="BL201" i="1" s="1"/>
  <c r="BI200" i="1"/>
  <c r="BL200" i="1" s="1"/>
  <c r="BI199" i="1"/>
  <c r="BL199" i="1" s="1"/>
  <c r="BI196" i="1"/>
  <c r="BL196" i="1" s="1"/>
  <c r="BI195" i="1"/>
  <c r="BL195" i="1" s="1"/>
  <c r="BI194" i="1"/>
  <c r="BL194" i="1" s="1"/>
  <c r="BI193" i="1"/>
  <c r="BL193" i="1" s="1"/>
  <c r="BI192" i="1"/>
  <c r="BL192" i="1" s="1"/>
  <c r="BI191" i="1"/>
  <c r="BL191" i="1" s="1"/>
  <c r="BI190" i="1"/>
  <c r="BL190" i="1" s="1"/>
  <c r="BI189" i="1"/>
  <c r="BL189" i="1" s="1"/>
  <c r="BI188" i="1"/>
  <c r="BL188" i="1" s="1"/>
  <c r="BI187" i="1"/>
  <c r="BL187" i="1" s="1"/>
  <c r="BI185" i="1"/>
  <c r="BL185" i="1" s="1"/>
  <c r="BI184" i="1"/>
  <c r="BL184" i="1" s="1"/>
  <c r="BI183" i="1"/>
  <c r="BL183" i="1" s="1"/>
  <c r="BI182" i="1"/>
  <c r="BL182" i="1" s="1"/>
  <c r="BI181" i="1"/>
  <c r="BL181" i="1" s="1"/>
  <c r="BI180" i="1"/>
  <c r="BL180" i="1" s="1"/>
  <c r="BI179" i="1"/>
  <c r="BL179" i="1" s="1"/>
  <c r="BI178" i="1"/>
  <c r="BL178" i="1" s="1"/>
  <c r="BI177" i="1"/>
  <c r="BL177" i="1" s="1"/>
  <c r="BI176" i="1"/>
  <c r="BL176" i="1" s="1"/>
  <c r="BI175" i="1"/>
  <c r="BL175" i="1" s="1"/>
  <c r="BI174" i="1"/>
  <c r="BL174" i="1" s="1"/>
  <c r="BI173" i="1"/>
  <c r="BL173" i="1" s="1"/>
  <c r="BI172" i="1"/>
  <c r="BL172" i="1" s="1"/>
  <c r="BI171" i="1"/>
  <c r="BL171" i="1" s="1"/>
  <c r="BI170" i="1"/>
  <c r="BL170" i="1" s="1"/>
  <c r="BI169" i="1"/>
  <c r="BL169" i="1" s="1"/>
  <c r="BI168" i="1"/>
  <c r="BL168" i="1" s="1"/>
  <c r="BI163" i="1"/>
  <c r="BL163" i="1" s="1"/>
  <c r="BI162" i="1"/>
  <c r="BL162" i="1" s="1"/>
  <c r="BI161" i="1"/>
  <c r="BL161" i="1" s="1"/>
  <c r="BI160" i="1"/>
  <c r="BL160" i="1" s="1"/>
  <c r="BI159" i="1"/>
  <c r="BL159" i="1" s="1"/>
  <c r="BI158" i="1"/>
  <c r="BL158" i="1" s="1"/>
  <c r="BI157" i="1"/>
  <c r="BL157" i="1" s="1"/>
  <c r="BI156" i="1"/>
  <c r="BL156" i="1" s="1"/>
  <c r="BI155" i="1"/>
  <c r="BL155" i="1" s="1"/>
  <c r="BI154" i="1"/>
  <c r="BL154" i="1" s="1"/>
  <c r="BI141" i="1"/>
  <c r="BL141" i="1" s="1"/>
  <c r="BI140" i="1"/>
  <c r="BL140" i="1" s="1"/>
  <c r="BI139" i="1"/>
  <c r="BL139" i="1" s="1"/>
  <c r="BI138" i="1"/>
  <c r="BL138" i="1" s="1"/>
  <c r="BI137" i="1"/>
  <c r="BL137" i="1" s="1"/>
  <c r="BI148" i="1"/>
  <c r="BL148" i="1" s="1"/>
  <c r="BI147" i="1"/>
  <c r="BL147" i="1" s="1"/>
  <c r="BI146" i="1"/>
  <c r="BL146" i="1" s="1"/>
  <c r="BI145" i="1"/>
  <c r="BL145" i="1" s="1"/>
  <c r="BI144" i="1"/>
  <c r="BL144" i="1" s="1"/>
  <c r="BI131" i="1"/>
  <c r="BL131" i="1" s="1"/>
  <c r="BI130" i="1"/>
  <c r="BL130" i="1" s="1"/>
  <c r="BI129" i="1"/>
  <c r="BL129" i="1" s="1"/>
  <c r="BI121" i="1"/>
  <c r="BL121" i="1" s="1"/>
  <c r="BI120" i="1"/>
  <c r="BL120" i="1" s="1"/>
  <c r="BI119" i="1"/>
  <c r="BI118" i="1"/>
  <c r="BJ118" i="1" s="1"/>
  <c r="BK118" i="1" s="1"/>
  <c r="BI117" i="1"/>
  <c r="BL117" i="1" s="1"/>
  <c r="BI116" i="1"/>
  <c r="BL116" i="1" s="1"/>
  <c r="BI115" i="1"/>
  <c r="BL115" i="1" s="1"/>
  <c r="BI114" i="1"/>
  <c r="BL114" i="1" s="1"/>
  <c r="BI113" i="1"/>
  <c r="BL113" i="1" s="1"/>
  <c r="BI112" i="1"/>
  <c r="BL112" i="1" s="1"/>
  <c r="BI111" i="1"/>
  <c r="BL111" i="1" s="1"/>
  <c r="BI110" i="1"/>
  <c r="BL110" i="1" s="1"/>
  <c r="BI109" i="1"/>
  <c r="BL109" i="1" s="1"/>
  <c r="BI108" i="1"/>
  <c r="BL108" i="1" s="1"/>
  <c r="BI107" i="1"/>
  <c r="BL107" i="1" s="1"/>
  <c r="BI106" i="1"/>
  <c r="BL106" i="1" s="1"/>
  <c r="BI105" i="1"/>
  <c r="BL105" i="1" s="1"/>
  <c r="BI104" i="1"/>
  <c r="BL104" i="1" s="1"/>
  <c r="BI103" i="1"/>
  <c r="BL103" i="1" s="1"/>
  <c r="BI102" i="1"/>
  <c r="BL102" i="1" s="1"/>
  <c r="BI101" i="1"/>
  <c r="BL101" i="1" s="1"/>
  <c r="BI100" i="1"/>
  <c r="BL100" i="1" s="1"/>
  <c r="BI99" i="1"/>
  <c r="BL99" i="1" s="1"/>
  <c r="BI98" i="1"/>
  <c r="BL98" i="1" s="1"/>
  <c r="BI97" i="1"/>
  <c r="BL97" i="1" s="1"/>
  <c r="BI96" i="1"/>
  <c r="BL96" i="1" s="1"/>
  <c r="BI76" i="1"/>
  <c r="BL76" i="1" s="1"/>
  <c r="BI77" i="1"/>
  <c r="BL77" i="1" s="1"/>
  <c r="BI86" i="1"/>
  <c r="BL86" i="1" s="1"/>
  <c r="BI84" i="1"/>
  <c r="BL84" i="1" s="1"/>
  <c r="BI83" i="1"/>
  <c r="BL83" i="1" s="1"/>
  <c r="BI81" i="1"/>
  <c r="BL81" i="1" s="1"/>
  <c r="BI82" i="1"/>
  <c r="BL82" i="1" s="1"/>
  <c r="BI78" i="1"/>
  <c r="BL78" i="1" s="1"/>
  <c r="BI75" i="1"/>
  <c r="BL75" i="1" s="1"/>
  <c r="BI70" i="1"/>
  <c r="BL70" i="1" s="1"/>
  <c r="BI73" i="1"/>
  <c r="BL73" i="1" s="1"/>
  <c r="BI68" i="1"/>
  <c r="BL68" i="1" s="1"/>
  <c r="BI67" i="1"/>
  <c r="BL67" i="1" s="1"/>
  <c r="BI71" i="1"/>
  <c r="BL71" i="1" s="1"/>
  <c r="BI66" i="1"/>
  <c r="BL66" i="1" s="1"/>
  <c r="BI65" i="1"/>
  <c r="BL65" i="1" s="1"/>
  <c r="BI64" i="1"/>
  <c r="BL64" i="1" s="1"/>
  <c r="BI63" i="1"/>
  <c r="BL63" i="1" s="1"/>
  <c r="BI60" i="1"/>
  <c r="BL60" i="1" s="1"/>
  <c r="BI59" i="1"/>
  <c r="BL59" i="1" s="1"/>
  <c r="BI58" i="1"/>
  <c r="BL58" i="1" s="1"/>
  <c r="BI57" i="1"/>
  <c r="BL57" i="1" s="1"/>
  <c r="BI53" i="1"/>
  <c r="BL53" i="1" s="1"/>
  <c r="BI50" i="1"/>
  <c r="BL50" i="1" s="1"/>
  <c r="BI49" i="1"/>
  <c r="BL49" i="1" s="1"/>
  <c r="BI48" i="1"/>
  <c r="BL48" i="1" s="1"/>
  <c r="BI47" i="1"/>
  <c r="BL47" i="1" s="1"/>
  <c r="BI46" i="1"/>
  <c r="BL46" i="1" s="1"/>
  <c r="BI45" i="1"/>
  <c r="BL45" i="1" s="1"/>
  <c r="BI44" i="1"/>
  <c r="BL44" i="1" s="1"/>
  <c r="BI43" i="1"/>
  <c r="BL43" i="1" s="1"/>
  <c r="BI42" i="1"/>
  <c r="BL42" i="1" s="1"/>
  <c r="BI41" i="1"/>
  <c r="BL41" i="1" s="1"/>
  <c r="BI40" i="1"/>
  <c r="BL40" i="1" s="1"/>
  <c r="BI39" i="1"/>
  <c r="BL39" i="1" s="1"/>
  <c r="BI38" i="1"/>
  <c r="BL38" i="1" s="1"/>
  <c r="BI36" i="1"/>
  <c r="BL36" i="1" s="1"/>
  <c r="BI35" i="1"/>
  <c r="BL35" i="1" s="1"/>
  <c r="BI34" i="1"/>
  <c r="BL34" i="1" s="1"/>
  <c r="BI32" i="1"/>
  <c r="BL32" i="1" s="1"/>
  <c r="BI31" i="1"/>
  <c r="BL31" i="1" s="1"/>
  <c r="BI30" i="1"/>
  <c r="BL30" i="1" s="1"/>
  <c r="BI29" i="1"/>
  <c r="BL29" i="1" s="1"/>
  <c r="BI28" i="1"/>
  <c r="BL28" i="1" s="1"/>
  <c r="BI27" i="1"/>
  <c r="BL27" i="1" s="1"/>
  <c r="BI26" i="1"/>
  <c r="BL26" i="1" s="1"/>
  <c r="BI24" i="1"/>
  <c r="BL24" i="1" s="1"/>
  <c r="BI21" i="1"/>
  <c r="BL21" i="1" s="1"/>
  <c r="BI20" i="1"/>
  <c r="BL20" i="1" s="1"/>
  <c r="BI12" i="1"/>
  <c r="BL12" i="1" s="1"/>
  <c r="BI13" i="1"/>
  <c r="BL13" i="1" s="1"/>
  <c r="BI9" i="1"/>
  <c r="BL9" i="1" s="1"/>
  <c r="BI8" i="1"/>
  <c r="BL8" i="1" s="1"/>
  <c r="BI5" i="1"/>
  <c r="BL5" i="1" s="1"/>
  <c r="BL1060" i="1" l="1"/>
  <c r="BJ1066" i="1"/>
  <c r="BK1066" i="1" s="1"/>
  <c r="BJ1067" i="1"/>
  <c r="BK1067" i="1" s="1"/>
  <c r="BJ1069" i="1"/>
  <c r="BK1069" i="1" s="1"/>
  <c r="BJ1070" i="1"/>
  <c r="BK1070" i="1" s="1"/>
  <c r="BJ914" i="1"/>
  <c r="BK914" i="1" s="1"/>
  <c r="BJ915" i="1"/>
  <c r="BK915" i="1" s="1"/>
  <c r="BJ916" i="1"/>
  <c r="BK916" i="1" s="1"/>
  <c r="BJ917" i="1"/>
  <c r="BK917" i="1" s="1"/>
  <c r="BJ918" i="1"/>
  <c r="BK918" i="1" s="1"/>
  <c r="BJ919" i="1"/>
  <c r="BK919" i="1" s="1"/>
  <c r="BJ920" i="1"/>
  <c r="BK920" i="1" s="1"/>
  <c r="BJ921" i="1"/>
  <c r="BK921" i="1" s="1"/>
  <c r="BJ922" i="1"/>
  <c r="BK922" i="1" s="1"/>
  <c r="BJ923" i="1"/>
  <c r="BK923" i="1" s="1"/>
  <c r="BJ925" i="1"/>
  <c r="BK925" i="1" s="1"/>
  <c r="BJ926" i="1"/>
  <c r="BK926" i="1" s="1"/>
  <c r="BJ928" i="1"/>
  <c r="BK928" i="1" s="1"/>
  <c r="BJ912" i="1"/>
  <c r="BK912" i="1" s="1"/>
  <c r="BJ913" i="1"/>
  <c r="BK913" i="1" s="1"/>
  <c r="BJ870" i="1"/>
  <c r="BK870" i="1" s="1"/>
  <c r="BJ871" i="1"/>
  <c r="BK871" i="1" s="1"/>
  <c r="BJ872" i="1"/>
  <c r="BK872" i="1" s="1"/>
  <c r="BJ1039" i="1"/>
  <c r="BK1039" i="1" s="1"/>
  <c r="BJ1040" i="1"/>
  <c r="BK1040" i="1" s="1"/>
  <c r="BJ1041" i="1"/>
  <c r="BK1041" i="1" s="1"/>
  <c r="BJ1042" i="1"/>
  <c r="BK1042" i="1" s="1"/>
  <c r="BJ1052" i="1"/>
  <c r="BK1052" i="1" s="1"/>
  <c r="BJ1053" i="1"/>
  <c r="BK1053" i="1" s="1"/>
  <c r="BJ1032" i="1"/>
  <c r="BK1032" i="1" s="1"/>
  <c r="BJ1033" i="1"/>
  <c r="BK1033" i="1" s="1"/>
  <c r="BJ1034" i="1"/>
  <c r="BK1034" i="1" s="1"/>
  <c r="BJ1035" i="1"/>
  <c r="BK1035" i="1" s="1"/>
  <c r="BJ1012" i="1"/>
  <c r="BK1012" i="1" s="1"/>
  <c r="BJ1013" i="1"/>
  <c r="BK1013" i="1" s="1"/>
  <c r="BJ1014" i="1"/>
  <c r="BK1014" i="1" s="1"/>
  <c r="BJ1015" i="1"/>
  <c r="BK1015" i="1" s="1"/>
  <c r="BJ1016" i="1"/>
  <c r="BK1016" i="1" s="1"/>
  <c r="BJ1017" i="1"/>
  <c r="BK1017" i="1" s="1"/>
  <c r="BJ1018" i="1"/>
  <c r="BK1018" i="1" s="1"/>
  <c r="BJ1019" i="1"/>
  <c r="BK1019" i="1" s="1"/>
  <c r="BJ1020" i="1"/>
  <c r="BK1020" i="1" s="1"/>
  <c r="BJ1021" i="1"/>
  <c r="BK1021" i="1" s="1"/>
  <c r="BJ1022" i="1"/>
  <c r="BK1022" i="1" s="1"/>
  <c r="BJ1023" i="1"/>
  <c r="BK1023" i="1" s="1"/>
  <c r="BJ1024" i="1"/>
  <c r="BK1024" i="1" s="1"/>
  <c r="BJ1025" i="1"/>
  <c r="BK1025" i="1" s="1"/>
  <c r="BJ1026" i="1"/>
  <c r="BK1026" i="1" s="1"/>
  <c r="BJ1027" i="1"/>
  <c r="BK1027" i="1" s="1"/>
  <c r="BJ1028" i="1"/>
  <c r="BK1028" i="1" s="1"/>
  <c r="BJ1029" i="1"/>
  <c r="BK1029" i="1" s="1"/>
  <c r="BJ1030" i="1"/>
  <c r="BK1030" i="1" s="1"/>
  <c r="BJ793" i="1"/>
  <c r="BK793" i="1" s="1"/>
  <c r="BJ794" i="1"/>
  <c r="BK794" i="1" s="1"/>
  <c r="BJ795" i="1"/>
  <c r="BK795" i="1" s="1"/>
  <c r="BJ796" i="1"/>
  <c r="BK796" i="1" s="1"/>
  <c r="BJ797" i="1"/>
  <c r="BK797" i="1" s="1"/>
  <c r="BJ798" i="1"/>
  <c r="BK798" i="1" s="1"/>
  <c r="BJ799" i="1"/>
  <c r="BK799" i="1" s="1"/>
  <c r="BJ800" i="1"/>
  <c r="BK800" i="1" s="1"/>
  <c r="BJ801" i="1"/>
  <c r="BK801" i="1" s="1"/>
  <c r="BJ802" i="1"/>
  <c r="BK802" i="1" s="1"/>
  <c r="BJ803" i="1"/>
  <c r="BK803" i="1" s="1"/>
  <c r="BJ804" i="1"/>
  <c r="BK804" i="1" s="1"/>
  <c r="BJ805" i="1"/>
  <c r="BK805" i="1" s="1"/>
  <c r="BJ806" i="1"/>
  <c r="BK806" i="1" s="1"/>
  <c r="BJ807" i="1"/>
  <c r="BK807" i="1" s="1"/>
  <c r="BJ808" i="1"/>
  <c r="BK808" i="1" s="1"/>
  <c r="BJ809" i="1"/>
  <c r="BK809" i="1" s="1"/>
  <c r="BJ810" i="1"/>
  <c r="BK810" i="1" s="1"/>
  <c r="BJ811" i="1"/>
  <c r="BK811" i="1" s="1"/>
  <c r="BJ812" i="1"/>
  <c r="BK812" i="1" s="1"/>
  <c r="BJ813" i="1"/>
  <c r="BK813" i="1" s="1"/>
  <c r="BJ814" i="1"/>
  <c r="BK814" i="1" s="1"/>
  <c r="BJ815" i="1"/>
  <c r="BK815" i="1" s="1"/>
  <c r="BJ816" i="1"/>
  <c r="BK816" i="1" s="1"/>
  <c r="BJ817" i="1"/>
  <c r="BK817" i="1" s="1"/>
  <c r="BJ818" i="1"/>
  <c r="BK818" i="1" s="1"/>
  <c r="BJ819" i="1"/>
  <c r="BK819" i="1" s="1"/>
  <c r="BJ820" i="1"/>
  <c r="BK820" i="1" s="1"/>
  <c r="BJ821" i="1"/>
  <c r="BK821" i="1" s="1"/>
  <c r="BJ822" i="1"/>
  <c r="BK822" i="1" s="1"/>
  <c r="BJ823" i="1"/>
  <c r="BK823" i="1" s="1"/>
  <c r="BJ824" i="1"/>
  <c r="BK824" i="1" s="1"/>
  <c r="BJ825" i="1"/>
  <c r="BK825" i="1" s="1"/>
  <c r="BJ826" i="1"/>
  <c r="BK826" i="1" s="1"/>
  <c r="BJ827" i="1"/>
  <c r="BK827" i="1" s="1"/>
  <c r="BJ828" i="1"/>
  <c r="BK828" i="1" s="1"/>
  <c r="BJ829" i="1"/>
  <c r="BK829" i="1" s="1"/>
  <c r="BJ830" i="1"/>
  <c r="BK830" i="1" s="1"/>
  <c r="BJ831" i="1"/>
  <c r="BK831" i="1" s="1"/>
  <c r="BJ832" i="1"/>
  <c r="BK832" i="1" s="1"/>
  <c r="BJ833" i="1"/>
  <c r="BK833" i="1" s="1"/>
  <c r="BJ834" i="1"/>
  <c r="BK834" i="1" s="1"/>
  <c r="BJ835" i="1"/>
  <c r="BK835" i="1" s="1"/>
  <c r="BJ836" i="1"/>
  <c r="BK836" i="1" s="1"/>
  <c r="BJ837" i="1"/>
  <c r="BK837" i="1" s="1"/>
  <c r="BJ838" i="1"/>
  <c r="BK838" i="1" s="1"/>
  <c r="BJ839" i="1"/>
  <c r="BK839" i="1" s="1"/>
  <c r="BJ840" i="1"/>
  <c r="BK840" i="1" s="1"/>
  <c r="BJ841" i="1"/>
  <c r="BK841" i="1" s="1"/>
  <c r="BJ842" i="1"/>
  <c r="BK842" i="1" s="1"/>
  <c r="BJ843" i="1"/>
  <c r="BK843" i="1" s="1"/>
  <c r="BJ844" i="1"/>
  <c r="BK844" i="1" s="1"/>
  <c r="BJ845" i="1"/>
  <c r="BK845" i="1" s="1"/>
  <c r="BJ846" i="1"/>
  <c r="BK846" i="1" s="1"/>
  <c r="BJ847" i="1"/>
  <c r="BK847" i="1" s="1"/>
  <c r="BJ848" i="1"/>
  <c r="BK848" i="1" s="1"/>
  <c r="BJ849" i="1"/>
  <c r="BK849" i="1" s="1"/>
  <c r="BJ850" i="1"/>
  <c r="BK850" i="1" s="1"/>
  <c r="BJ851" i="1"/>
  <c r="BK851" i="1" s="1"/>
  <c r="BJ852" i="1"/>
  <c r="BK852" i="1" s="1"/>
  <c r="BJ853" i="1"/>
  <c r="BK853" i="1" s="1"/>
  <c r="BJ854" i="1"/>
  <c r="BK854" i="1" s="1"/>
  <c r="BJ855" i="1"/>
  <c r="BK855" i="1" s="1"/>
  <c r="BJ856" i="1"/>
  <c r="BK856" i="1" s="1"/>
  <c r="BJ857" i="1"/>
  <c r="BK857" i="1" s="1"/>
  <c r="BJ858" i="1"/>
  <c r="BK858" i="1" s="1"/>
  <c r="BJ859" i="1"/>
  <c r="BK859" i="1" s="1"/>
  <c r="BJ860" i="1"/>
  <c r="BK860" i="1" s="1"/>
  <c r="BJ861" i="1"/>
  <c r="BK861" i="1" s="1"/>
  <c r="BJ787" i="1"/>
  <c r="BK787" i="1" s="1"/>
  <c r="BJ788" i="1"/>
  <c r="BK788" i="1" s="1"/>
  <c r="BJ789" i="1"/>
  <c r="BK789" i="1" s="1"/>
  <c r="BJ790" i="1"/>
  <c r="BK790" i="1" s="1"/>
  <c r="BJ791" i="1"/>
  <c r="BK791" i="1" s="1"/>
  <c r="BJ792" i="1"/>
  <c r="BK792" i="1" s="1"/>
  <c r="BJ786" i="1"/>
  <c r="BK786" i="1" s="1"/>
  <c r="BJ777" i="1"/>
  <c r="BK777" i="1" s="1"/>
  <c r="BJ778" i="1"/>
  <c r="BK778" i="1" s="1"/>
  <c r="BJ772" i="1"/>
  <c r="BK772" i="1" s="1"/>
  <c r="BJ773" i="1"/>
  <c r="BK773" i="1" s="1"/>
  <c r="BJ774" i="1"/>
  <c r="BK774" i="1" s="1"/>
  <c r="BJ785" i="1"/>
  <c r="BK785" i="1" s="1"/>
  <c r="BJ784" i="1"/>
  <c r="BK784" i="1" s="1"/>
  <c r="BJ783" i="1"/>
  <c r="BK783" i="1" s="1"/>
  <c r="BC747" i="1"/>
  <c r="AY745" i="1"/>
  <c r="AZ745" i="1" s="1"/>
  <c r="AY744" i="1"/>
  <c r="AZ744" i="1" s="1"/>
  <c r="AY746" i="1"/>
  <c r="AZ746" i="1" s="1"/>
  <c r="AY748" i="1"/>
  <c r="AZ748" i="1" s="1"/>
  <c r="BJ744" i="1"/>
  <c r="BK744" i="1" s="1"/>
  <c r="BJ745" i="1"/>
  <c r="BK745" i="1" s="1"/>
  <c r="BJ746" i="1"/>
  <c r="BK746" i="1" s="1"/>
  <c r="BJ747" i="1"/>
  <c r="BK747" i="1" s="1"/>
  <c r="BJ748" i="1"/>
  <c r="BK748" i="1" s="1"/>
  <c r="BJ780" i="1"/>
  <c r="BK780" i="1" s="1"/>
  <c r="BJ737" i="1"/>
  <c r="BK737" i="1" s="1"/>
  <c r="BJ738" i="1"/>
  <c r="BK738" i="1" s="1"/>
  <c r="BJ733" i="1"/>
  <c r="BK733" i="1" s="1"/>
  <c r="BJ734" i="1"/>
  <c r="BK734" i="1" s="1"/>
  <c r="BJ729" i="1"/>
  <c r="BK729" i="1" s="1"/>
  <c r="BJ730" i="1"/>
  <c r="BK730" i="1" s="1"/>
  <c r="BJ731" i="1"/>
  <c r="BK731" i="1" s="1"/>
  <c r="BJ728" i="1"/>
  <c r="BK728" i="1" s="1"/>
  <c r="BJ716" i="1"/>
  <c r="BK716" i="1" s="1"/>
  <c r="BJ717" i="1"/>
  <c r="BK717" i="1" s="1"/>
  <c r="BJ719" i="1"/>
  <c r="BK719" i="1" s="1"/>
  <c r="BJ721" i="1"/>
  <c r="BK721" i="1" s="1"/>
  <c r="BJ722" i="1"/>
  <c r="BK722" i="1" s="1"/>
  <c r="BJ724" i="1"/>
  <c r="BK724" i="1" s="1"/>
  <c r="BJ726" i="1"/>
  <c r="BK726" i="1" s="1"/>
  <c r="BL598" i="1"/>
  <c r="BJ713" i="1"/>
  <c r="BK713" i="1" s="1"/>
  <c r="BJ701" i="1"/>
  <c r="BK701" i="1" s="1"/>
  <c r="BJ693" i="1"/>
  <c r="BK693" i="1" s="1"/>
  <c r="BJ695" i="1"/>
  <c r="BK695" i="1" s="1"/>
  <c r="BJ698" i="1"/>
  <c r="BK698" i="1" s="1"/>
  <c r="BJ700" i="1"/>
  <c r="BK700" i="1" s="1"/>
  <c r="BJ692" i="1"/>
  <c r="BK692" i="1" s="1"/>
  <c r="BJ694" i="1"/>
  <c r="BK694" i="1" s="1"/>
  <c r="BJ696" i="1"/>
  <c r="BK696" i="1" s="1"/>
  <c r="BJ697" i="1"/>
  <c r="BK697" i="1" s="1"/>
  <c r="BJ699" i="1"/>
  <c r="BK699" i="1" s="1"/>
  <c r="BJ680" i="1"/>
  <c r="BK680" i="1" s="1"/>
  <c r="BJ682" i="1"/>
  <c r="BK682" i="1" s="1"/>
  <c r="BJ684" i="1"/>
  <c r="BK684" i="1" s="1"/>
  <c r="BJ686" i="1"/>
  <c r="BK686" i="1" s="1"/>
  <c r="BJ688" i="1"/>
  <c r="BK688" i="1" s="1"/>
  <c r="BJ681" i="1"/>
  <c r="BK681" i="1" s="1"/>
  <c r="BJ683" i="1"/>
  <c r="BK683" i="1" s="1"/>
  <c r="BJ685" i="1"/>
  <c r="BK685" i="1" s="1"/>
  <c r="BJ687" i="1"/>
  <c r="BK687" i="1" s="1"/>
  <c r="BJ689" i="1"/>
  <c r="BK689" i="1" s="1"/>
  <c r="BJ690" i="1"/>
  <c r="BK690" i="1" s="1"/>
  <c r="BJ691" i="1"/>
  <c r="BK691" i="1" s="1"/>
  <c r="BJ671" i="1"/>
  <c r="BK671" i="1" s="1"/>
  <c r="BJ672" i="1"/>
  <c r="BK672" i="1" s="1"/>
  <c r="BJ673" i="1"/>
  <c r="BK673" i="1" s="1"/>
  <c r="BJ674" i="1"/>
  <c r="BK674" i="1" s="1"/>
  <c r="BJ675" i="1"/>
  <c r="BK675" i="1" s="1"/>
  <c r="BJ676" i="1"/>
  <c r="BK676" i="1" s="1"/>
  <c r="BJ677" i="1"/>
  <c r="BK677" i="1" s="1"/>
  <c r="BJ678" i="1"/>
  <c r="BK678" i="1" s="1"/>
  <c r="BL615" i="1"/>
  <c r="BJ527" i="1"/>
  <c r="BK527" i="1" s="1"/>
  <c r="BJ670" i="1"/>
  <c r="BK670" i="1" s="1"/>
  <c r="BJ669" i="1"/>
  <c r="BK669" i="1" s="1"/>
  <c r="BJ668" i="1"/>
  <c r="BK668" i="1" s="1"/>
  <c r="BJ667" i="1"/>
  <c r="BK667" i="1" s="1"/>
  <c r="BJ644" i="1"/>
  <c r="BK644" i="1" s="1"/>
  <c r="BJ645" i="1"/>
  <c r="BK645" i="1" s="1"/>
  <c r="BJ643" i="1"/>
  <c r="BK643" i="1" s="1"/>
  <c r="BJ634" i="1"/>
  <c r="BK634" i="1" s="1"/>
  <c r="BJ635" i="1"/>
  <c r="BK635" i="1" s="1"/>
  <c r="BJ636" i="1"/>
  <c r="BK636" i="1" s="1"/>
  <c r="BJ637" i="1"/>
  <c r="BK637" i="1" s="1"/>
  <c r="BJ638" i="1"/>
  <c r="BK638" i="1" s="1"/>
  <c r="BJ639" i="1"/>
  <c r="BK639" i="1" s="1"/>
  <c r="BJ640" i="1"/>
  <c r="BK640" i="1" s="1"/>
  <c r="BJ641" i="1"/>
  <c r="BK641" i="1" s="1"/>
  <c r="BJ642" i="1"/>
  <c r="BK642" i="1" s="1"/>
  <c r="BJ632" i="1"/>
  <c r="BK632" i="1" s="1"/>
  <c r="BJ631" i="1"/>
  <c r="BK631" i="1" s="1"/>
  <c r="BJ630" i="1"/>
  <c r="BK630" i="1" s="1"/>
  <c r="BJ629" i="1"/>
  <c r="BK629" i="1" s="1"/>
  <c r="BJ526" i="1"/>
  <c r="BK526" i="1" s="1"/>
  <c r="BJ528" i="1"/>
  <c r="BK528" i="1" s="1"/>
  <c r="BJ535" i="1"/>
  <c r="BK535" i="1" s="1"/>
  <c r="BJ596" i="1"/>
  <c r="BK596" i="1" s="1"/>
  <c r="BJ534" i="1"/>
  <c r="BK534" i="1" s="1"/>
  <c r="BJ595" i="1"/>
  <c r="BK595" i="1" s="1"/>
  <c r="BJ594" i="1"/>
  <c r="BK594" i="1" s="1"/>
  <c r="BJ593" i="1"/>
  <c r="BK593" i="1" s="1"/>
  <c r="BJ592" i="1"/>
  <c r="BK592" i="1" s="1"/>
  <c r="BJ589" i="1"/>
  <c r="BK589" i="1" s="1"/>
  <c r="BJ590" i="1"/>
  <c r="BK590" i="1" s="1"/>
  <c r="BJ556" i="1"/>
  <c r="BK556" i="1" s="1"/>
  <c r="BJ554" i="1"/>
  <c r="BK554" i="1" s="1"/>
  <c r="BJ555" i="1"/>
  <c r="BK555" i="1" s="1"/>
  <c r="BJ551" i="1"/>
  <c r="BK551" i="1" s="1"/>
  <c r="BJ552" i="1"/>
  <c r="BK552" i="1" s="1"/>
  <c r="BJ548" i="1"/>
  <c r="BK548" i="1" s="1"/>
  <c r="BJ549" i="1"/>
  <c r="BK549" i="1" s="1"/>
  <c r="BJ547" i="1"/>
  <c r="BK547" i="1" s="1"/>
  <c r="BJ540" i="1"/>
  <c r="BK540" i="1" s="1"/>
  <c r="BJ524" i="1"/>
  <c r="BK524" i="1" s="1"/>
  <c r="BJ487" i="1"/>
  <c r="BK487" i="1" s="1"/>
  <c r="BJ486" i="1"/>
  <c r="BK486" i="1" s="1"/>
  <c r="BJ482" i="1"/>
  <c r="BK482" i="1" s="1"/>
  <c r="BJ483" i="1"/>
  <c r="BK483" i="1" s="1"/>
  <c r="BJ484" i="1"/>
  <c r="BK484" i="1" s="1"/>
  <c r="BJ485" i="1"/>
  <c r="BK485" i="1" s="1"/>
  <c r="BJ462" i="1"/>
  <c r="BK462" i="1" s="1"/>
  <c r="BJ463" i="1"/>
  <c r="BK463" i="1" s="1"/>
  <c r="BJ458" i="1"/>
  <c r="BK458" i="1" s="1"/>
  <c r="BJ449" i="1"/>
  <c r="BK449" i="1" s="1"/>
  <c r="BJ450" i="1"/>
  <c r="BK450" i="1" s="1"/>
  <c r="BL439" i="1"/>
  <c r="BL440" i="1"/>
  <c r="BL441" i="1"/>
  <c r="BL442" i="1"/>
  <c r="BL443" i="1"/>
  <c r="BL444" i="1"/>
  <c r="BL445" i="1"/>
  <c r="BL446" i="1"/>
  <c r="BJ438" i="1"/>
  <c r="BK438" i="1" s="1"/>
  <c r="BJ431" i="1"/>
  <c r="BK431" i="1" s="1"/>
  <c r="BJ422" i="1"/>
  <c r="BK422" i="1" s="1"/>
  <c r="BJ420" i="1"/>
  <c r="BK420" i="1" s="1"/>
  <c r="BJ419" i="1"/>
  <c r="BK419" i="1" s="1"/>
  <c r="BJ415" i="1"/>
  <c r="BK415" i="1" s="1"/>
  <c r="BJ416" i="1"/>
  <c r="BK416" i="1" s="1"/>
  <c r="BJ417" i="1"/>
  <c r="BK417" i="1" s="1"/>
  <c r="BJ413" i="1"/>
  <c r="BK413" i="1" s="1"/>
  <c r="BJ412" i="1"/>
  <c r="BK412" i="1" s="1"/>
  <c r="BJ405" i="1"/>
  <c r="BK405" i="1" s="1"/>
  <c r="BJ408" i="1"/>
  <c r="BK408" i="1" s="1"/>
  <c r="BJ409" i="1"/>
  <c r="BK409" i="1" s="1"/>
  <c r="BJ410" i="1"/>
  <c r="BK410" i="1" s="1"/>
  <c r="BJ404" i="1"/>
  <c r="BK404" i="1" s="1"/>
  <c r="BJ403" i="1"/>
  <c r="BK403" i="1" s="1"/>
  <c r="BJ400" i="1"/>
  <c r="BK400" i="1" s="1"/>
  <c r="BJ401" i="1"/>
  <c r="BK401" i="1" s="1"/>
  <c r="BJ378" i="1"/>
  <c r="BK378" i="1" s="1"/>
  <c r="BJ379" i="1"/>
  <c r="BK379" i="1" s="1"/>
  <c r="BJ380" i="1"/>
  <c r="BK380" i="1" s="1"/>
  <c r="BJ382" i="1"/>
  <c r="BK382" i="1" s="1"/>
  <c r="BJ383" i="1"/>
  <c r="BK383" i="1" s="1"/>
  <c r="BJ384" i="1"/>
  <c r="BK384" i="1" s="1"/>
  <c r="BJ385" i="1"/>
  <c r="BK385" i="1" s="1"/>
  <c r="BJ386" i="1"/>
  <c r="BK386" i="1" s="1"/>
  <c r="BJ387" i="1"/>
  <c r="BK387" i="1" s="1"/>
  <c r="BJ388" i="1"/>
  <c r="BK388" i="1" s="1"/>
  <c r="BJ389" i="1"/>
  <c r="BK389" i="1" s="1"/>
  <c r="BJ391" i="1"/>
  <c r="BK391" i="1" s="1"/>
  <c r="BJ392" i="1"/>
  <c r="BK392" i="1" s="1"/>
  <c r="BJ393" i="1"/>
  <c r="BK393" i="1" s="1"/>
  <c r="BJ394" i="1"/>
  <c r="BK394" i="1" s="1"/>
  <c r="BJ375" i="1"/>
  <c r="BK375" i="1" s="1"/>
  <c r="BJ376" i="1"/>
  <c r="BK376" i="1" s="1"/>
  <c r="BJ377" i="1"/>
  <c r="BK377" i="1" s="1"/>
  <c r="BJ373" i="1"/>
  <c r="BK373" i="1" s="1"/>
  <c r="BJ374" i="1"/>
  <c r="BK374" i="1" s="1"/>
  <c r="BJ372" i="1"/>
  <c r="BK372" i="1" s="1"/>
  <c r="BJ365" i="1"/>
  <c r="BK365" i="1" s="1"/>
  <c r="BJ366" i="1"/>
  <c r="BK366" i="1" s="1"/>
  <c r="BJ367" i="1"/>
  <c r="BK367" i="1" s="1"/>
  <c r="BJ368" i="1"/>
  <c r="BK368" i="1" s="1"/>
  <c r="BJ369" i="1"/>
  <c r="BK369" i="1" s="1"/>
  <c r="BJ370" i="1"/>
  <c r="BK370" i="1" s="1"/>
  <c r="BJ371" i="1"/>
  <c r="BK371" i="1" s="1"/>
  <c r="BJ358" i="1"/>
  <c r="BK358" i="1" s="1"/>
  <c r="BJ359" i="1"/>
  <c r="BK359" i="1" s="1"/>
  <c r="BJ354" i="1"/>
  <c r="BK354" i="1" s="1"/>
  <c r="BJ353" i="1"/>
  <c r="BK353" i="1" s="1"/>
  <c r="BJ348" i="1"/>
  <c r="BK348" i="1" s="1"/>
  <c r="BJ349" i="1"/>
  <c r="BK349" i="1" s="1"/>
  <c r="BJ351" i="1"/>
  <c r="BK351" i="1" s="1"/>
  <c r="BJ350" i="1"/>
  <c r="BK350" i="1" s="1"/>
  <c r="BJ352" i="1"/>
  <c r="BK352" i="1" s="1"/>
  <c r="BJ345" i="1"/>
  <c r="BK345" i="1" s="1"/>
  <c r="BJ310" i="1"/>
  <c r="BK310" i="1" s="1"/>
  <c r="BJ311" i="1"/>
  <c r="BK311" i="1" s="1"/>
  <c r="BJ312" i="1"/>
  <c r="BK312" i="1" s="1"/>
  <c r="BJ313" i="1"/>
  <c r="BK313" i="1" s="1"/>
  <c r="BJ314" i="1"/>
  <c r="BK314" i="1" s="1"/>
  <c r="BJ315" i="1"/>
  <c r="BK315" i="1" s="1"/>
  <c r="BJ316" i="1"/>
  <c r="BK316" i="1" s="1"/>
  <c r="BJ317" i="1"/>
  <c r="BK317" i="1" s="1"/>
  <c r="BJ318" i="1"/>
  <c r="BK318" i="1" s="1"/>
  <c r="BJ319" i="1"/>
  <c r="BK319" i="1" s="1"/>
  <c r="BJ320" i="1"/>
  <c r="BK320" i="1" s="1"/>
  <c r="BJ321" i="1"/>
  <c r="BK321" i="1" s="1"/>
  <c r="BJ322" i="1"/>
  <c r="BK322" i="1" s="1"/>
  <c r="BJ323" i="1"/>
  <c r="BK323" i="1" s="1"/>
  <c r="BJ324" i="1"/>
  <c r="BK324" i="1" s="1"/>
  <c r="BJ325" i="1"/>
  <c r="BK325" i="1" s="1"/>
  <c r="BJ326" i="1"/>
  <c r="BK326" i="1" s="1"/>
  <c r="BJ327" i="1"/>
  <c r="BK327" i="1" s="1"/>
  <c r="BJ328" i="1"/>
  <c r="BK328" i="1" s="1"/>
  <c r="BJ329" i="1"/>
  <c r="BK329" i="1" s="1"/>
  <c r="BJ330" i="1"/>
  <c r="BK330" i="1" s="1"/>
  <c r="BJ331" i="1"/>
  <c r="BK331" i="1" s="1"/>
  <c r="BJ332" i="1"/>
  <c r="BK332" i="1" s="1"/>
  <c r="BL257" i="1"/>
  <c r="BJ343" i="1"/>
  <c r="BK343" i="1" s="1"/>
  <c r="BJ342" i="1"/>
  <c r="BK342" i="1" s="1"/>
  <c r="BJ258" i="1"/>
  <c r="BK258" i="1" s="1"/>
  <c r="BL286" i="1"/>
  <c r="BJ267" i="1"/>
  <c r="BK267" i="1" s="1"/>
  <c r="BJ268" i="1"/>
  <c r="BK268" i="1" s="1"/>
  <c r="BJ269" i="1"/>
  <c r="BK269" i="1" s="1"/>
  <c r="BJ270" i="1"/>
  <c r="BK270" i="1" s="1"/>
  <c r="BJ271" i="1"/>
  <c r="BK271" i="1" s="1"/>
  <c r="BJ261" i="1"/>
  <c r="BK261" i="1" s="1"/>
  <c r="BJ262" i="1"/>
  <c r="BK262" i="1" s="1"/>
  <c r="BJ308" i="1"/>
  <c r="BK308" i="1" s="1"/>
  <c r="BJ309" i="1"/>
  <c r="BK309" i="1" s="1"/>
  <c r="BJ307" i="1"/>
  <c r="BK307" i="1" s="1"/>
  <c r="BJ290" i="1"/>
  <c r="BK290" i="1" s="1"/>
  <c r="BJ291" i="1"/>
  <c r="BK291" i="1" s="1"/>
  <c r="BJ292" i="1"/>
  <c r="BK292" i="1" s="1"/>
  <c r="BJ266" i="1"/>
  <c r="BK266" i="1" s="1"/>
  <c r="BJ287" i="1"/>
  <c r="BK287" i="1" s="1"/>
  <c r="BJ288" i="1"/>
  <c r="BK288" i="1" s="1"/>
  <c r="BJ289" i="1"/>
  <c r="BK289" i="1" s="1"/>
  <c r="BJ264" i="1"/>
  <c r="BK264" i="1" s="1"/>
  <c r="BJ265" i="1"/>
  <c r="BK265" i="1" s="1"/>
  <c r="BJ282" i="1"/>
  <c r="BK282" i="1" s="1"/>
  <c r="BJ283" i="1"/>
  <c r="BK283" i="1" s="1"/>
  <c r="BJ284" i="1"/>
  <c r="BK284" i="1" s="1"/>
  <c r="BJ285" i="1"/>
  <c r="BK285" i="1" s="1"/>
  <c r="BJ263" i="1"/>
  <c r="BK263" i="1" s="1"/>
  <c r="BJ280" i="1"/>
  <c r="BK280" i="1" s="1"/>
  <c r="BJ281" i="1"/>
  <c r="BK281" i="1" s="1"/>
  <c r="BJ277" i="1"/>
  <c r="BK277" i="1" s="1"/>
  <c r="BJ260" i="1"/>
  <c r="BK260" i="1" s="1"/>
  <c r="BJ259" i="1"/>
  <c r="BK259" i="1" s="1"/>
  <c r="BJ253" i="1"/>
  <c r="BK253" i="1" s="1"/>
  <c r="BJ254" i="1"/>
  <c r="BK254" i="1" s="1"/>
  <c r="BJ255" i="1"/>
  <c r="BK255" i="1" s="1"/>
  <c r="BJ256" i="1"/>
  <c r="BK256" i="1" s="1"/>
  <c r="BJ198" i="1"/>
  <c r="BK198" i="1" s="1"/>
  <c r="BJ197" i="1"/>
  <c r="BK197" i="1" s="1"/>
  <c r="BJ248" i="1"/>
  <c r="BK248" i="1" s="1"/>
  <c r="BJ249" i="1"/>
  <c r="BK249" i="1" s="1"/>
  <c r="BJ250" i="1"/>
  <c r="BK250" i="1" s="1"/>
  <c r="BJ251" i="1"/>
  <c r="BK251" i="1" s="1"/>
  <c r="BJ230" i="1"/>
  <c r="BK230" i="1" s="1"/>
  <c r="BJ231" i="1"/>
  <c r="BK231" i="1" s="1"/>
  <c r="BJ232" i="1"/>
  <c r="BK232" i="1" s="1"/>
  <c r="BJ233" i="1"/>
  <c r="BK233" i="1" s="1"/>
  <c r="BJ234" i="1"/>
  <c r="BK234" i="1" s="1"/>
  <c r="BJ235" i="1"/>
  <c r="BK235" i="1" s="1"/>
  <c r="BJ236" i="1"/>
  <c r="BK236" i="1" s="1"/>
  <c r="BJ237" i="1"/>
  <c r="BK237" i="1" s="1"/>
  <c r="BJ238" i="1"/>
  <c r="BK238" i="1" s="1"/>
  <c r="BJ239" i="1"/>
  <c r="BK239" i="1" s="1"/>
  <c r="BJ240" i="1"/>
  <c r="BK240" i="1" s="1"/>
  <c r="BJ241" i="1"/>
  <c r="BK241" i="1" s="1"/>
  <c r="BJ242" i="1"/>
  <c r="BK242" i="1" s="1"/>
  <c r="BJ243" i="1"/>
  <c r="BK243" i="1" s="1"/>
  <c r="BJ244" i="1"/>
  <c r="BK244" i="1" s="1"/>
  <c r="BJ245" i="1"/>
  <c r="BK245" i="1" s="1"/>
  <c r="BJ246" i="1"/>
  <c r="BK246" i="1" s="1"/>
  <c r="BJ247" i="1"/>
  <c r="BK247" i="1" s="1"/>
  <c r="BJ223" i="1"/>
  <c r="BK223" i="1" s="1"/>
  <c r="BJ224" i="1"/>
  <c r="BK224" i="1" s="1"/>
  <c r="BJ225" i="1"/>
  <c r="BK225" i="1" s="1"/>
  <c r="BJ222" i="1"/>
  <c r="BK222" i="1" s="1"/>
  <c r="BJ226" i="1"/>
  <c r="BK226" i="1" s="1"/>
  <c r="BJ218" i="1"/>
  <c r="BK218" i="1" s="1"/>
  <c r="BJ199" i="1"/>
  <c r="BK199" i="1" s="1"/>
  <c r="BJ200" i="1"/>
  <c r="BK200" i="1" s="1"/>
  <c r="BJ201" i="1"/>
  <c r="BK201" i="1" s="1"/>
  <c r="BJ202" i="1"/>
  <c r="BK202" i="1" s="1"/>
  <c r="BJ187" i="1"/>
  <c r="BK187" i="1" s="1"/>
  <c r="BJ189" i="1"/>
  <c r="BK189" i="1" s="1"/>
  <c r="BJ191" i="1"/>
  <c r="BK191" i="1" s="1"/>
  <c r="BJ195" i="1"/>
  <c r="BK195" i="1" s="1"/>
  <c r="BJ188" i="1"/>
  <c r="BK188" i="1" s="1"/>
  <c r="BJ190" i="1"/>
  <c r="BK190" i="1" s="1"/>
  <c r="BJ192" i="1"/>
  <c r="BK192" i="1" s="1"/>
  <c r="BJ193" i="1"/>
  <c r="BK193" i="1" s="1"/>
  <c r="BJ194" i="1"/>
  <c r="BK194" i="1" s="1"/>
  <c r="BJ196" i="1"/>
  <c r="BK196" i="1" s="1"/>
  <c r="BJ180" i="1"/>
  <c r="BK180" i="1" s="1"/>
  <c r="BJ181" i="1"/>
  <c r="BK181" i="1" s="1"/>
  <c r="BJ182" i="1"/>
  <c r="BK182" i="1" s="1"/>
  <c r="BJ183" i="1"/>
  <c r="BK183" i="1" s="1"/>
  <c r="BJ184" i="1"/>
  <c r="BK184" i="1" s="1"/>
  <c r="BJ185" i="1"/>
  <c r="BK185" i="1" s="1"/>
  <c r="BJ178" i="1"/>
  <c r="BK178" i="1" s="1"/>
  <c r="BJ179" i="1"/>
  <c r="BK179" i="1" s="1"/>
  <c r="BJ168" i="1"/>
  <c r="BK168" i="1" s="1"/>
  <c r="BJ170" i="1"/>
  <c r="BK170" i="1" s="1"/>
  <c r="BJ172" i="1"/>
  <c r="BK172" i="1" s="1"/>
  <c r="BJ174" i="1"/>
  <c r="BK174" i="1" s="1"/>
  <c r="BJ176" i="1"/>
  <c r="BK176" i="1" s="1"/>
  <c r="BJ169" i="1"/>
  <c r="BK169" i="1" s="1"/>
  <c r="BJ171" i="1"/>
  <c r="BK171" i="1" s="1"/>
  <c r="BJ173" i="1"/>
  <c r="BK173" i="1" s="1"/>
  <c r="BJ175" i="1"/>
  <c r="BK175" i="1" s="1"/>
  <c r="BJ177" i="1"/>
  <c r="BK177" i="1" s="1"/>
  <c r="BL118" i="1"/>
  <c r="BJ158" i="1"/>
  <c r="BK158" i="1" s="1"/>
  <c r="BJ159" i="1"/>
  <c r="BK159" i="1" s="1"/>
  <c r="BJ160" i="1"/>
  <c r="BK160" i="1" s="1"/>
  <c r="BJ161" i="1"/>
  <c r="BK161" i="1" s="1"/>
  <c r="BJ162" i="1"/>
  <c r="BK162" i="1" s="1"/>
  <c r="BJ163" i="1"/>
  <c r="BK163" i="1" s="1"/>
  <c r="BJ157" i="1"/>
  <c r="BK157" i="1" s="1"/>
  <c r="BJ156" i="1"/>
  <c r="BK156" i="1" s="1"/>
  <c r="BJ155" i="1"/>
  <c r="BK155" i="1" s="1"/>
  <c r="BJ154" i="1"/>
  <c r="BK154" i="1" s="1"/>
  <c r="BJ141" i="1"/>
  <c r="BK141" i="1" s="1"/>
  <c r="BJ140" i="1"/>
  <c r="BK140" i="1" s="1"/>
  <c r="BJ139" i="1"/>
  <c r="BK139" i="1" s="1"/>
  <c r="BJ137" i="1"/>
  <c r="BK137" i="1" s="1"/>
  <c r="BJ138" i="1"/>
  <c r="BK138" i="1" s="1"/>
  <c r="BJ144" i="1"/>
  <c r="BK144" i="1" s="1"/>
  <c r="BJ145" i="1"/>
  <c r="BK145" i="1" s="1"/>
  <c r="BJ146" i="1"/>
  <c r="BK146" i="1" s="1"/>
  <c r="BJ147" i="1"/>
  <c r="BK147" i="1" s="1"/>
  <c r="BJ148" i="1"/>
  <c r="BK148" i="1" s="1"/>
  <c r="BJ129" i="1"/>
  <c r="BK129" i="1" s="1"/>
  <c r="BJ130" i="1"/>
  <c r="BK130" i="1" s="1"/>
  <c r="BJ131" i="1"/>
  <c r="BK131" i="1" s="1"/>
  <c r="BJ120" i="1"/>
  <c r="BK120" i="1" s="1"/>
  <c r="BJ121" i="1"/>
  <c r="BK121" i="1" s="1"/>
  <c r="BJ116" i="1"/>
  <c r="BK116" i="1" s="1"/>
  <c r="BJ117" i="1"/>
  <c r="BK117" i="1" s="1"/>
  <c r="BJ115" i="1"/>
  <c r="BK115" i="1" s="1"/>
  <c r="BJ114" i="1"/>
  <c r="BK114" i="1" s="1"/>
  <c r="BJ112" i="1"/>
  <c r="BK112" i="1" s="1"/>
  <c r="BJ113" i="1"/>
  <c r="BK113" i="1" s="1"/>
  <c r="BJ104" i="1"/>
  <c r="BK104" i="1" s="1"/>
  <c r="BJ105" i="1"/>
  <c r="BK105" i="1" s="1"/>
  <c r="BJ106" i="1"/>
  <c r="BK106" i="1" s="1"/>
  <c r="BJ107" i="1"/>
  <c r="BK107" i="1" s="1"/>
  <c r="BJ108" i="1"/>
  <c r="BK108" i="1" s="1"/>
  <c r="BJ109" i="1"/>
  <c r="BK109" i="1" s="1"/>
  <c r="BJ110" i="1"/>
  <c r="BK110" i="1" s="1"/>
  <c r="BJ111" i="1"/>
  <c r="BK111" i="1" s="1"/>
  <c r="BJ102" i="1"/>
  <c r="BK102" i="1" s="1"/>
  <c r="BJ103" i="1"/>
  <c r="BK103" i="1" s="1"/>
  <c r="BJ101" i="1"/>
  <c r="BK101" i="1" s="1"/>
  <c r="BJ100" i="1"/>
  <c r="BK100" i="1" s="1"/>
  <c r="BJ97" i="1"/>
  <c r="BK97" i="1" s="1"/>
  <c r="BJ98" i="1"/>
  <c r="BK98" i="1" s="1"/>
  <c r="BJ99" i="1"/>
  <c r="BK99" i="1" s="1"/>
  <c r="BJ96" i="1"/>
  <c r="BK96" i="1" s="1"/>
  <c r="BJ76" i="1"/>
  <c r="BK76" i="1" s="1"/>
  <c r="BJ77" i="1"/>
  <c r="BK77" i="1" s="1"/>
  <c r="BJ86" i="1"/>
  <c r="BK86" i="1" s="1"/>
  <c r="BJ84" i="1"/>
  <c r="BK84" i="1" s="1"/>
  <c r="BJ83" i="1"/>
  <c r="BK83" i="1" s="1"/>
  <c r="BJ81" i="1"/>
  <c r="BK81" i="1" s="1"/>
  <c r="BJ82" i="1"/>
  <c r="BK82" i="1" s="1"/>
  <c r="BJ78" i="1"/>
  <c r="BK78" i="1" s="1"/>
  <c r="BJ75" i="1"/>
  <c r="BK75" i="1" s="1"/>
  <c r="BJ70" i="1"/>
  <c r="BK70" i="1" s="1"/>
  <c r="BJ73" i="1"/>
  <c r="BK73" i="1" s="1"/>
  <c r="BJ67" i="1"/>
  <c r="BK67" i="1" s="1"/>
  <c r="BJ68" i="1"/>
  <c r="BK68" i="1" s="1"/>
  <c r="BJ71" i="1"/>
  <c r="BK71" i="1" s="1"/>
  <c r="BJ66" i="1"/>
  <c r="BK66" i="1" s="1"/>
  <c r="BJ65" i="1"/>
  <c r="BK65" i="1" s="1"/>
  <c r="BJ64" i="1"/>
  <c r="BK64" i="1" s="1"/>
  <c r="BJ63" i="1"/>
  <c r="BK63" i="1" s="1"/>
  <c r="BJ53" i="1"/>
  <c r="BK53" i="1" s="1"/>
  <c r="BJ57" i="1"/>
  <c r="BK57" i="1" s="1"/>
  <c r="BJ58" i="1"/>
  <c r="BK58" i="1" s="1"/>
  <c r="BJ59" i="1"/>
  <c r="BK59" i="1" s="1"/>
  <c r="BJ60" i="1"/>
  <c r="BK60" i="1" s="1"/>
  <c r="BJ49" i="1"/>
  <c r="BK49" i="1" s="1"/>
  <c r="BJ38" i="1"/>
  <c r="BK38" i="1" s="1"/>
  <c r="BJ39" i="1"/>
  <c r="BK39" i="1" s="1"/>
  <c r="BJ40" i="1"/>
  <c r="BK40" i="1" s="1"/>
  <c r="BJ41" i="1"/>
  <c r="BK41" i="1" s="1"/>
  <c r="BJ42" i="1"/>
  <c r="BK42" i="1" s="1"/>
  <c r="BJ43" i="1"/>
  <c r="BK43" i="1" s="1"/>
  <c r="BJ44" i="1"/>
  <c r="BK44" i="1" s="1"/>
  <c r="BJ45" i="1"/>
  <c r="BK45" i="1" s="1"/>
  <c r="BJ46" i="1"/>
  <c r="BK46" i="1" s="1"/>
  <c r="BJ47" i="1"/>
  <c r="BK47" i="1" s="1"/>
  <c r="BJ48" i="1"/>
  <c r="BK48" i="1" s="1"/>
  <c r="BJ50" i="1"/>
  <c r="BK50" i="1" s="1"/>
  <c r="BJ34" i="1"/>
  <c r="BK34" i="1" s="1"/>
  <c r="BJ35" i="1"/>
  <c r="BK35" i="1" s="1"/>
  <c r="BJ36" i="1"/>
  <c r="BK36" i="1" s="1"/>
  <c r="BJ24" i="1"/>
  <c r="BK24" i="1" s="1"/>
  <c r="BJ26" i="1"/>
  <c r="BK26" i="1" s="1"/>
  <c r="BJ27" i="1"/>
  <c r="BK27" i="1" s="1"/>
  <c r="BJ28" i="1"/>
  <c r="BK28" i="1" s="1"/>
  <c r="BJ29" i="1"/>
  <c r="BK29" i="1" s="1"/>
  <c r="BJ30" i="1"/>
  <c r="BK30" i="1" s="1"/>
  <c r="BJ31" i="1"/>
  <c r="BK31" i="1" s="1"/>
  <c r="BJ32" i="1"/>
  <c r="BK32" i="1" s="1"/>
  <c r="BJ20" i="1"/>
  <c r="BK20" i="1" s="1"/>
  <c r="BJ21" i="1"/>
  <c r="BK21" i="1" s="1"/>
  <c r="BJ12" i="1"/>
  <c r="BK12" i="1" s="1"/>
  <c r="BJ13" i="1"/>
  <c r="BK13" i="1" s="1"/>
  <c r="BJ8" i="1"/>
  <c r="BK8" i="1" s="1"/>
  <c r="BJ9" i="1"/>
  <c r="BK9" i="1" s="1"/>
  <c r="BJ5" i="1"/>
  <c r="BK5" i="1" s="1"/>
  <c r="BA1010" i="1" l="1"/>
  <c r="BB1010" i="1" s="1"/>
  <c r="AX1010" i="1"/>
  <c r="BC1010" i="1" s="1"/>
  <c r="BA1009" i="1"/>
  <c r="BB1009" i="1" s="1"/>
  <c r="AX1009" i="1"/>
  <c r="BC1009" i="1" s="1"/>
  <c r="BA1008" i="1"/>
  <c r="BB1008" i="1" s="1"/>
  <c r="AX1008" i="1"/>
  <c r="BC1008" i="1" s="1"/>
  <c r="BA1007" i="1"/>
  <c r="BB1007" i="1" s="1"/>
  <c r="AX1007" i="1"/>
  <c r="BC1007" i="1" s="1"/>
  <c r="BA1006" i="1"/>
  <c r="BB1006" i="1" s="1"/>
  <c r="AX1006" i="1"/>
  <c r="BC1006" i="1" s="1"/>
  <c r="BA1005" i="1"/>
  <c r="BB1005" i="1" s="1"/>
  <c r="AX1005" i="1"/>
  <c r="BC1005" i="1" s="1"/>
  <c r="BA1004" i="1"/>
  <c r="BB1004" i="1" s="1"/>
  <c r="AX1004" i="1"/>
  <c r="BC1004" i="1" s="1"/>
  <c r="BA1003" i="1"/>
  <c r="BB1003" i="1" s="1"/>
  <c r="AX1003" i="1"/>
  <c r="BC1003" i="1" s="1"/>
  <c r="BA1002" i="1"/>
  <c r="BB1002" i="1" s="1"/>
  <c r="AX1002" i="1"/>
  <c r="BC1002" i="1" s="1"/>
  <c r="BA1001" i="1"/>
  <c r="BB1001" i="1" s="1"/>
  <c r="AX1001" i="1"/>
  <c r="BC1001" i="1" s="1"/>
  <c r="BA1000" i="1"/>
  <c r="BB1000" i="1" s="1"/>
  <c r="AX1000" i="1"/>
  <c r="BC1000" i="1" s="1"/>
  <c r="BA999" i="1"/>
  <c r="BB999" i="1" s="1"/>
  <c r="AX999" i="1"/>
  <c r="BC999" i="1" s="1"/>
  <c r="BA998" i="1"/>
  <c r="BB998" i="1" s="1"/>
  <c r="AX998" i="1"/>
  <c r="BC998" i="1" s="1"/>
  <c r="BA997" i="1"/>
  <c r="BB997" i="1" s="1"/>
  <c r="AX997" i="1"/>
  <c r="BC997" i="1" s="1"/>
  <c r="BA996" i="1"/>
  <c r="BB996" i="1" s="1"/>
  <c r="AX996" i="1"/>
  <c r="BC996" i="1" s="1"/>
  <c r="BA995" i="1"/>
  <c r="BB995" i="1" s="1"/>
  <c r="AX995" i="1"/>
  <c r="BC995" i="1" s="1"/>
  <c r="BA994" i="1"/>
  <c r="BB994" i="1" s="1"/>
  <c r="AX994" i="1"/>
  <c r="BC994" i="1" s="1"/>
  <c r="BA993" i="1"/>
  <c r="BB993" i="1" s="1"/>
  <c r="AX993" i="1"/>
  <c r="BC993" i="1" s="1"/>
  <c r="BA992" i="1"/>
  <c r="BB992" i="1" s="1"/>
  <c r="AX992" i="1"/>
  <c r="BC992" i="1" s="1"/>
  <c r="BA991" i="1"/>
  <c r="BB991" i="1" s="1"/>
  <c r="AX991" i="1"/>
  <c r="BC991" i="1" s="1"/>
  <c r="BA990" i="1"/>
  <c r="BB990" i="1" s="1"/>
  <c r="AX990" i="1"/>
  <c r="BC990" i="1" s="1"/>
  <c r="BA989" i="1"/>
  <c r="BB989" i="1" s="1"/>
  <c r="AX989" i="1"/>
  <c r="BC989" i="1" s="1"/>
  <c r="BA988" i="1"/>
  <c r="BB988" i="1" s="1"/>
  <c r="AX988" i="1"/>
  <c r="BC988" i="1" s="1"/>
  <c r="BA987" i="1"/>
  <c r="BB987" i="1" s="1"/>
  <c r="AX987" i="1"/>
  <c r="BC987" i="1" s="1"/>
  <c r="BA986" i="1"/>
  <c r="BB986" i="1" s="1"/>
  <c r="AX986" i="1"/>
  <c r="BC986" i="1" s="1"/>
  <c r="BA985" i="1"/>
  <c r="BB985" i="1" s="1"/>
  <c r="AX985" i="1"/>
  <c r="BC985" i="1" s="1"/>
  <c r="BA984" i="1"/>
  <c r="BB984" i="1" s="1"/>
  <c r="AX984" i="1"/>
  <c r="AY984" i="1" s="1"/>
  <c r="AZ984" i="1" s="1"/>
  <c r="BA983" i="1"/>
  <c r="BB983" i="1" s="1"/>
  <c r="AX983" i="1"/>
  <c r="BC983" i="1" s="1"/>
  <c r="BA982" i="1"/>
  <c r="BB982" i="1" s="1"/>
  <c r="AX982" i="1"/>
  <c r="BC982" i="1" s="1"/>
  <c r="BA981" i="1"/>
  <c r="BB981" i="1" s="1"/>
  <c r="AX981" i="1"/>
  <c r="BC981" i="1" s="1"/>
  <c r="BA980" i="1"/>
  <c r="BB980" i="1" s="1"/>
  <c r="AX980" i="1"/>
  <c r="BC980" i="1" s="1"/>
  <c r="BA979" i="1"/>
  <c r="BB979" i="1" s="1"/>
  <c r="AX979" i="1"/>
  <c r="BC979" i="1" s="1"/>
  <c r="BA978" i="1"/>
  <c r="BB978" i="1" s="1"/>
  <c r="AX978" i="1"/>
  <c r="BC978" i="1" s="1"/>
  <c r="BA977" i="1"/>
  <c r="BB977" i="1" s="1"/>
  <c r="AX977" i="1"/>
  <c r="BC977" i="1" s="1"/>
  <c r="BA976" i="1"/>
  <c r="BB976" i="1" s="1"/>
  <c r="AX976" i="1"/>
  <c r="BC976" i="1" s="1"/>
  <c r="BA975" i="1"/>
  <c r="BB975" i="1" s="1"/>
  <c r="AX975" i="1"/>
  <c r="BC975" i="1" s="1"/>
  <c r="BA974" i="1"/>
  <c r="BB974" i="1" s="1"/>
  <c r="AX974" i="1"/>
  <c r="AY974" i="1" s="1"/>
  <c r="AZ974" i="1" s="1"/>
  <c r="BA973" i="1"/>
  <c r="BB973" i="1" s="1"/>
  <c r="AX973" i="1"/>
  <c r="BC973" i="1" s="1"/>
  <c r="BA972" i="1"/>
  <c r="BB972" i="1" s="1"/>
  <c r="AX972" i="1"/>
  <c r="BC972" i="1" s="1"/>
  <c r="BA971" i="1"/>
  <c r="BB971" i="1" s="1"/>
  <c r="AX971" i="1"/>
  <c r="BC971" i="1" s="1"/>
  <c r="BA970" i="1"/>
  <c r="BB970" i="1" s="1"/>
  <c r="AX970" i="1"/>
  <c r="BC970" i="1" s="1"/>
  <c r="BA969" i="1"/>
  <c r="BB969" i="1" s="1"/>
  <c r="AX969" i="1"/>
  <c r="BC969" i="1" s="1"/>
  <c r="BA968" i="1"/>
  <c r="BB968" i="1" s="1"/>
  <c r="AX968" i="1"/>
  <c r="BC968" i="1" s="1"/>
  <c r="BA967" i="1"/>
  <c r="BB967" i="1" s="1"/>
  <c r="AX967" i="1"/>
  <c r="BC967" i="1" s="1"/>
  <c r="BA966" i="1"/>
  <c r="BB966" i="1" s="1"/>
  <c r="AX966" i="1"/>
  <c r="BC966" i="1" s="1"/>
  <c r="BA965" i="1"/>
  <c r="BB965" i="1" s="1"/>
  <c r="AX965" i="1"/>
  <c r="BC965" i="1" s="1"/>
  <c r="BA964" i="1"/>
  <c r="BB964" i="1" s="1"/>
  <c r="AX964" i="1"/>
  <c r="BC964" i="1" s="1"/>
  <c r="BA963" i="1"/>
  <c r="BB963" i="1" s="1"/>
  <c r="AX963" i="1"/>
  <c r="BC963" i="1" s="1"/>
  <c r="BA962" i="1"/>
  <c r="BB962" i="1" s="1"/>
  <c r="AX962" i="1"/>
  <c r="AY962" i="1" s="1"/>
  <c r="AZ962" i="1" s="1"/>
  <c r="BA961" i="1"/>
  <c r="BB961" i="1" s="1"/>
  <c r="AX961" i="1"/>
  <c r="AY961" i="1" s="1"/>
  <c r="AZ961" i="1" s="1"/>
  <c r="BA960" i="1"/>
  <c r="BB960" i="1" s="1"/>
  <c r="AX960" i="1"/>
  <c r="AY960" i="1" s="1"/>
  <c r="AZ960" i="1" s="1"/>
  <c r="BA959" i="1"/>
  <c r="BB959" i="1" s="1"/>
  <c r="AX959" i="1"/>
  <c r="BC959" i="1" s="1"/>
  <c r="BA958" i="1"/>
  <c r="BB958" i="1" s="1"/>
  <c r="AX958" i="1"/>
  <c r="BC958" i="1" s="1"/>
  <c r="BA957" i="1"/>
  <c r="BB957" i="1" s="1"/>
  <c r="AX957" i="1"/>
  <c r="BC957" i="1" s="1"/>
  <c r="BA956" i="1"/>
  <c r="BB956" i="1" s="1"/>
  <c r="AX956" i="1"/>
  <c r="BC956" i="1" s="1"/>
  <c r="BA955" i="1"/>
  <c r="BB955" i="1" s="1"/>
  <c r="AX955" i="1"/>
  <c r="BC955" i="1" s="1"/>
  <c r="BA954" i="1"/>
  <c r="BB954" i="1" s="1"/>
  <c r="AX954" i="1"/>
  <c r="BC954" i="1" s="1"/>
  <c r="BA953" i="1"/>
  <c r="BB953" i="1" s="1"/>
  <c r="AX953" i="1"/>
  <c r="BC953" i="1" s="1"/>
  <c r="BA952" i="1"/>
  <c r="BB952" i="1" s="1"/>
  <c r="AX952" i="1"/>
  <c r="BC952" i="1" s="1"/>
  <c r="BA951" i="1"/>
  <c r="BB951" i="1" s="1"/>
  <c r="AX951" i="1"/>
  <c r="BC951" i="1" s="1"/>
  <c r="BA950" i="1"/>
  <c r="BB950" i="1" s="1"/>
  <c r="AX950" i="1"/>
  <c r="BC950" i="1" s="1"/>
  <c r="BA949" i="1"/>
  <c r="BB949" i="1" s="1"/>
  <c r="AX949" i="1"/>
  <c r="BC949" i="1" s="1"/>
  <c r="BA948" i="1"/>
  <c r="BB948" i="1" s="1"/>
  <c r="AX948" i="1"/>
  <c r="BC948" i="1" s="1"/>
  <c r="BA947" i="1"/>
  <c r="BB947" i="1" s="1"/>
  <c r="AX947" i="1"/>
  <c r="BC947" i="1" s="1"/>
  <c r="BA946" i="1"/>
  <c r="BB946" i="1" s="1"/>
  <c r="AX946" i="1"/>
  <c r="BC946" i="1" s="1"/>
  <c r="BA945" i="1"/>
  <c r="BB945" i="1" s="1"/>
  <c r="AX945" i="1"/>
  <c r="BC945" i="1" s="1"/>
  <c r="BA944" i="1"/>
  <c r="BB944" i="1" s="1"/>
  <c r="AX944" i="1"/>
  <c r="BC944" i="1" s="1"/>
  <c r="BA943" i="1"/>
  <c r="BB943" i="1" s="1"/>
  <c r="AX943" i="1"/>
  <c r="BC943" i="1" s="1"/>
  <c r="BA942" i="1"/>
  <c r="BB942" i="1" s="1"/>
  <c r="AX942" i="1"/>
  <c r="BC942" i="1" s="1"/>
  <c r="BA941" i="1"/>
  <c r="BB941" i="1" s="1"/>
  <c r="AX941" i="1"/>
  <c r="BA940" i="1"/>
  <c r="BB940" i="1" s="1"/>
  <c r="AX940" i="1"/>
  <c r="BC940" i="1" s="1"/>
  <c r="BA939" i="1"/>
  <c r="BB939" i="1" s="1"/>
  <c r="AX939" i="1"/>
  <c r="BA938" i="1"/>
  <c r="BB938" i="1" s="1"/>
  <c r="AX938" i="1"/>
  <c r="AY938" i="1" s="1"/>
  <c r="AZ938" i="1" s="1"/>
  <c r="BA937" i="1"/>
  <c r="BB937" i="1" s="1"/>
  <c r="AX937" i="1"/>
  <c r="BC937" i="1" s="1"/>
  <c r="BA936" i="1"/>
  <c r="BB936" i="1" s="1"/>
  <c r="AX936" i="1"/>
  <c r="BC936" i="1" s="1"/>
  <c r="BA935" i="1"/>
  <c r="BB935" i="1" s="1"/>
  <c r="AX935" i="1"/>
  <c r="BC935" i="1" s="1"/>
  <c r="BA934" i="1"/>
  <c r="BB934" i="1" s="1"/>
  <c r="AX934" i="1"/>
  <c r="BC934" i="1" s="1"/>
  <c r="BA933" i="1"/>
  <c r="BB933" i="1" s="1"/>
  <c r="AX933" i="1"/>
  <c r="BC933" i="1" s="1"/>
  <c r="BA911" i="1"/>
  <c r="BB911" i="1" s="1"/>
  <c r="AX911" i="1"/>
  <c r="BC911" i="1" s="1"/>
  <c r="BA910" i="1"/>
  <c r="BB910" i="1" s="1"/>
  <c r="AX910" i="1"/>
  <c r="BC910" i="1" s="1"/>
  <c r="BA909" i="1"/>
  <c r="BB909" i="1" s="1"/>
  <c r="AX909" i="1"/>
  <c r="BC909" i="1" s="1"/>
  <c r="BA908" i="1"/>
  <c r="BB908" i="1" s="1"/>
  <c r="AX908" i="1"/>
  <c r="BC908" i="1" s="1"/>
  <c r="BA907" i="1"/>
  <c r="BB907" i="1" s="1"/>
  <c r="AX907" i="1"/>
  <c r="AY907" i="1" s="1"/>
  <c r="AZ907" i="1" s="1"/>
  <c r="BA906" i="1"/>
  <c r="BB906" i="1" s="1"/>
  <c r="AX906" i="1"/>
  <c r="BC906" i="1" s="1"/>
  <c r="BA905" i="1"/>
  <c r="BB905" i="1" s="1"/>
  <c r="AX905" i="1"/>
  <c r="BC905" i="1" s="1"/>
  <c r="BA904" i="1"/>
  <c r="BB904" i="1" s="1"/>
  <c r="AX904" i="1"/>
  <c r="BC904" i="1" s="1"/>
  <c r="BA903" i="1"/>
  <c r="BB903" i="1" s="1"/>
  <c r="AX903" i="1"/>
  <c r="AY903" i="1" s="1"/>
  <c r="AZ903" i="1" s="1"/>
  <c r="BA902" i="1"/>
  <c r="BB902" i="1" s="1"/>
  <c r="AX902" i="1"/>
  <c r="BC902" i="1" s="1"/>
  <c r="BA901" i="1"/>
  <c r="BB901" i="1" s="1"/>
  <c r="AX901" i="1"/>
  <c r="AY901" i="1" s="1"/>
  <c r="AZ901" i="1" s="1"/>
  <c r="BA900" i="1"/>
  <c r="BB900" i="1" s="1"/>
  <c r="AX900" i="1"/>
  <c r="BC900" i="1" s="1"/>
  <c r="BA899" i="1"/>
  <c r="BB899" i="1" s="1"/>
  <c r="AX899" i="1"/>
  <c r="BC899" i="1" s="1"/>
  <c r="BA898" i="1"/>
  <c r="BB898" i="1" s="1"/>
  <c r="AX898" i="1"/>
  <c r="BC898" i="1" s="1"/>
  <c r="BA897" i="1"/>
  <c r="BB897" i="1" s="1"/>
  <c r="AX897" i="1"/>
  <c r="BC897" i="1" s="1"/>
  <c r="BA896" i="1"/>
  <c r="BB896" i="1" s="1"/>
  <c r="AX896" i="1"/>
  <c r="BC896" i="1" s="1"/>
  <c r="BA872" i="1"/>
  <c r="BB872" i="1" s="1"/>
  <c r="AX872" i="1"/>
  <c r="BC872" i="1" s="1"/>
  <c r="BA871" i="1"/>
  <c r="BB871" i="1" s="1"/>
  <c r="AX871" i="1"/>
  <c r="BC871" i="1" s="1"/>
  <c r="BA870" i="1"/>
  <c r="BB870" i="1" s="1"/>
  <c r="AX870" i="1"/>
  <c r="BC870" i="1" s="1"/>
  <c r="BA782" i="1"/>
  <c r="BB782" i="1" s="1"/>
  <c r="AX782" i="1"/>
  <c r="BC782" i="1" s="1"/>
  <c r="BA781" i="1"/>
  <c r="BB781" i="1" s="1"/>
  <c r="AX781" i="1"/>
  <c r="BC781" i="1" s="1"/>
  <c r="BA780" i="1"/>
  <c r="BB780" i="1" s="1"/>
  <c r="AX780" i="1"/>
  <c r="BC780" i="1" s="1"/>
  <c r="BA779" i="1"/>
  <c r="BB779" i="1" s="1"/>
  <c r="AX779" i="1"/>
  <c r="BC779" i="1" s="1"/>
  <c r="BA778" i="1"/>
  <c r="BB778" i="1" s="1"/>
  <c r="AX778" i="1"/>
  <c r="BC778" i="1" s="1"/>
  <c r="BA777" i="1"/>
  <c r="BB777" i="1" s="1"/>
  <c r="AX777" i="1"/>
  <c r="BC777" i="1" s="1"/>
  <c r="BA776" i="1"/>
  <c r="BB776" i="1" s="1"/>
  <c r="BA775" i="1"/>
  <c r="BB775" i="1" s="1"/>
  <c r="BA774" i="1"/>
  <c r="BB774" i="1" s="1"/>
  <c r="AX774" i="1"/>
  <c r="BC774" i="1" s="1"/>
  <c r="BA773" i="1"/>
  <c r="BB773" i="1" s="1"/>
  <c r="AX773" i="1"/>
  <c r="BC773" i="1" s="1"/>
  <c r="BA772" i="1"/>
  <c r="BB772" i="1" s="1"/>
  <c r="AX772" i="1"/>
  <c r="BC772" i="1" s="1"/>
  <c r="BA771" i="1"/>
  <c r="BB771" i="1" s="1"/>
  <c r="AX771" i="1"/>
  <c r="BC771" i="1" s="1"/>
  <c r="BA770" i="1"/>
  <c r="BB770" i="1" s="1"/>
  <c r="AX770" i="1"/>
  <c r="BC770" i="1" s="1"/>
  <c r="BA743" i="1"/>
  <c r="BB743" i="1" s="1"/>
  <c r="AX743" i="1"/>
  <c r="BC743" i="1" s="1"/>
  <c r="BA742" i="1"/>
  <c r="BB742" i="1" s="1"/>
  <c r="AX742" i="1"/>
  <c r="BC742" i="1" s="1"/>
  <c r="BA741" i="1"/>
  <c r="BB741" i="1" s="1"/>
  <c r="AX741" i="1"/>
  <c r="BC741" i="1" s="1"/>
  <c r="BA740" i="1"/>
  <c r="BB740" i="1" s="1"/>
  <c r="AX740" i="1"/>
  <c r="BC740" i="1" s="1"/>
  <c r="BA739" i="1"/>
  <c r="BB739" i="1" s="1"/>
  <c r="AX739" i="1"/>
  <c r="BC739" i="1" s="1"/>
  <c r="BA738" i="1"/>
  <c r="BB738" i="1" s="1"/>
  <c r="AX738" i="1"/>
  <c r="BC738" i="1" s="1"/>
  <c r="BA737" i="1"/>
  <c r="BB737" i="1" s="1"/>
  <c r="AX737" i="1"/>
  <c r="BC737" i="1" s="1"/>
  <c r="BA734" i="1"/>
  <c r="BB734" i="1" s="1"/>
  <c r="AX734" i="1"/>
  <c r="BC734" i="1" s="1"/>
  <c r="BA733" i="1"/>
  <c r="BB733" i="1" s="1"/>
  <c r="AX733" i="1"/>
  <c r="BC733" i="1" s="1"/>
  <c r="BA732" i="1"/>
  <c r="BB732" i="1" s="1"/>
  <c r="AX732" i="1"/>
  <c r="BC732" i="1" s="1"/>
  <c r="BA731" i="1"/>
  <c r="BB731" i="1" s="1"/>
  <c r="AX731" i="1"/>
  <c r="BC731" i="1" s="1"/>
  <c r="BA730" i="1"/>
  <c r="BB730" i="1" s="1"/>
  <c r="AX730" i="1"/>
  <c r="BC730" i="1" s="1"/>
  <c r="BA729" i="1"/>
  <c r="BB729" i="1" s="1"/>
  <c r="AX729" i="1"/>
  <c r="AY729" i="1" s="1"/>
  <c r="AZ729" i="1" s="1"/>
  <c r="BA728" i="1"/>
  <c r="BB728" i="1" s="1"/>
  <c r="AX728" i="1"/>
  <c r="BC728" i="1" s="1"/>
  <c r="BA715" i="1"/>
  <c r="BB715" i="1" s="1"/>
  <c r="AX715" i="1"/>
  <c r="BC715" i="1" s="1"/>
  <c r="BA714" i="1"/>
  <c r="BB714" i="1" s="1"/>
  <c r="AX714" i="1"/>
  <c r="BC714" i="1" s="1"/>
  <c r="BA713" i="1"/>
  <c r="BB713" i="1" s="1"/>
  <c r="AX713" i="1"/>
  <c r="BC713" i="1" s="1"/>
  <c r="BA702" i="1"/>
  <c r="BB702" i="1" s="1"/>
  <c r="AX702" i="1"/>
  <c r="BC702" i="1" s="1"/>
  <c r="AX680" i="1"/>
  <c r="AY680" i="1" s="1"/>
  <c r="AZ680" i="1" s="1"/>
  <c r="BA680" i="1"/>
  <c r="BB680" i="1" s="1"/>
  <c r="AX681" i="1"/>
  <c r="AY681" i="1" s="1"/>
  <c r="AZ681" i="1" s="1"/>
  <c r="BA681" i="1"/>
  <c r="BB681" i="1" s="1"/>
  <c r="AX682" i="1"/>
  <c r="BC682" i="1" s="1"/>
  <c r="BA682" i="1"/>
  <c r="BB682" i="1" s="1"/>
  <c r="AX683" i="1"/>
  <c r="AY683" i="1" s="1"/>
  <c r="AZ683" i="1" s="1"/>
  <c r="BA683" i="1"/>
  <c r="BB683" i="1" s="1"/>
  <c r="AX684" i="1"/>
  <c r="AY684" i="1" s="1"/>
  <c r="AZ684" i="1" s="1"/>
  <c r="BA684" i="1"/>
  <c r="BB684" i="1" s="1"/>
  <c r="AX685" i="1"/>
  <c r="AY685" i="1" s="1"/>
  <c r="AZ685" i="1" s="1"/>
  <c r="BA685" i="1"/>
  <c r="BB685" i="1" s="1"/>
  <c r="AX686" i="1"/>
  <c r="BC686" i="1" s="1"/>
  <c r="BA686" i="1"/>
  <c r="BB686" i="1" s="1"/>
  <c r="AX687" i="1"/>
  <c r="AY687" i="1" s="1"/>
  <c r="AZ687" i="1" s="1"/>
  <c r="BA687" i="1"/>
  <c r="BB687" i="1" s="1"/>
  <c r="AX688" i="1"/>
  <c r="AY688" i="1" s="1"/>
  <c r="AZ688" i="1" s="1"/>
  <c r="BA688" i="1"/>
  <c r="BB688" i="1" s="1"/>
  <c r="AX689" i="1"/>
  <c r="AY689" i="1" s="1"/>
  <c r="AZ689" i="1" s="1"/>
  <c r="BA689" i="1"/>
  <c r="BB689" i="1" s="1"/>
  <c r="AX690" i="1"/>
  <c r="BC690" i="1" s="1"/>
  <c r="BA690" i="1"/>
  <c r="BB690" i="1" s="1"/>
  <c r="AX691" i="1"/>
  <c r="AY691" i="1" s="1"/>
  <c r="AZ691" i="1" s="1"/>
  <c r="BA691" i="1"/>
  <c r="BB691" i="1" s="1"/>
  <c r="AX692" i="1"/>
  <c r="AY692" i="1" s="1"/>
  <c r="AZ692" i="1" s="1"/>
  <c r="BA692" i="1"/>
  <c r="BB692" i="1" s="1"/>
  <c r="AX693" i="1"/>
  <c r="AY693" i="1" s="1"/>
  <c r="AZ693" i="1" s="1"/>
  <c r="BA693" i="1"/>
  <c r="BB693" i="1" s="1"/>
  <c r="AX694" i="1"/>
  <c r="BC694" i="1" s="1"/>
  <c r="BA694" i="1"/>
  <c r="BB694" i="1" s="1"/>
  <c r="AX695" i="1"/>
  <c r="AY695" i="1" s="1"/>
  <c r="AZ695" i="1" s="1"/>
  <c r="BA695" i="1"/>
  <c r="BB695" i="1" s="1"/>
  <c r="AX696" i="1"/>
  <c r="AY696" i="1" s="1"/>
  <c r="AZ696" i="1" s="1"/>
  <c r="BA696" i="1"/>
  <c r="BB696" i="1" s="1"/>
  <c r="AX697" i="1"/>
  <c r="BC697" i="1" s="1"/>
  <c r="BA697" i="1"/>
  <c r="BB697" i="1" s="1"/>
  <c r="AX698" i="1"/>
  <c r="BC698" i="1" s="1"/>
  <c r="BA698" i="1"/>
  <c r="BB698" i="1" s="1"/>
  <c r="AX699" i="1"/>
  <c r="AY699" i="1" s="1"/>
  <c r="AZ699" i="1" s="1"/>
  <c r="BA699" i="1"/>
  <c r="BB699" i="1" s="1"/>
  <c r="AX700" i="1"/>
  <c r="BC700" i="1" s="1"/>
  <c r="BA700" i="1"/>
  <c r="BB700" i="1" s="1"/>
  <c r="AX701" i="1"/>
  <c r="AY701" i="1" s="1"/>
  <c r="AZ701" i="1" s="1"/>
  <c r="BA701" i="1"/>
  <c r="BB701" i="1" s="1"/>
  <c r="BA666" i="1"/>
  <c r="BB666" i="1" s="1"/>
  <c r="AX666" i="1"/>
  <c r="BC666" i="1" s="1"/>
  <c r="BA665" i="1"/>
  <c r="BB665" i="1" s="1"/>
  <c r="AX665" i="1"/>
  <c r="BC665" i="1" s="1"/>
  <c r="BA664" i="1"/>
  <c r="BB664" i="1" s="1"/>
  <c r="AX664" i="1"/>
  <c r="BC664" i="1" s="1"/>
  <c r="BA663" i="1"/>
  <c r="BB663" i="1" s="1"/>
  <c r="AX663" i="1"/>
  <c r="AY663" i="1" s="1"/>
  <c r="AZ663" i="1" s="1"/>
  <c r="BA662" i="1"/>
  <c r="BB662" i="1" s="1"/>
  <c r="AX662" i="1"/>
  <c r="BC662" i="1" s="1"/>
  <c r="BA661" i="1"/>
  <c r="BB661" i="1" s="1"/>
  <c r="AX661" i="1"/>
  <c r="BC661" i="1" s="1"/>
  <c r="BA660" i="1"/>
  <c r="BB660" i="1" s="1"/>
  <c r="AX660" i="1"/>
  <c r="BC660" i="1" s="1"/>
  <c r="BA659" i="1"/>
  <c r="BB659" i="1" s="1"/>
  <c r="AX659" i="1"/>
  <c r="BC659" i="1" s="1"/>
  <c r="BA658" i="1"/>
  <c r="BB658" i="1" s="1"/>
  <c r="AX658" i="1"/>
  <c r="BC658" i="1" s="1"/>
  <c r="BA657" i="1"/>
  <c r="BB657" i="1" s="1"/>
  <c r="AX657" i="1"/>
  <c r="BC657" i="1" s="1"/>
  <c r="BA656" i="1"/>
  <c r="BB656" i="1" s="1"/>
  <c r="AX656" i="1"/>
  <c r="BC656" i="1" s="1"/>
  <c r="BA655" i="1"/>
  <c r="BB655" i="1" s="1"/>
  <c r="AX655" i="1"/>
  <c r="BC655" i="1" s="1"/>
  <c r="BA654" i="1"/>
  <c r="BB654" i="1" s="1"/>
  <c r="AX654" i="1"/>
  <c r="BC654" i="1" s="1"/>
  <c r="BA653" i="1"/>
  <c r="BB653" i="1" s="1"/>
  <c r="AX653" i="1"/>
  <c r="BC653" i="1" s="1"/>
  <c r="BA652" i="1"/>
  <c r="BB652" i="1" s="1"/>
  <c r="AX652" i="1"/>
  <c r="BC652" i="1" s="1"/>
  <c r="BA651" i="1"/>
  <c r="BB651" i="1" s="1"/>
  <c r="AX651" i="1"/>
  <c r="BC651" i="1" s="1"/>
  <c r="BA650" i="1"/>
  <c r="BB650" i="1" s="1"/>
  <c r="AX650" i="1"/>
  <c r="BC650" i="1" s="1"/>
  <c r="BA649" i="1"/>
  <c r="BB649" i="1" s="1"/>
  <c r="AX649" i="1"/>
  <c r="BC649" i="1" s="1"/>
  <c r="BA648" i="1"/>
  <c r="BB648" i="1" s="1"/>
  <c r="AX648" i="1"/>
  <c r="BC648" i="1" s="1"/>
  <c r="BA647" i="1"/>
  <c r="BB647" i="1" s="1"/>
  <c r="AX647" i="1"/>
  <c r="BC647" i="1" s="1"/>
  <c r="BA646" i="1"/>
  <c r="BB646" i="1" s="1"/>
  <c r="AX646" i="1"/>
  <c r="BC646" i="1" s="1"/>
  <c r="BA588" i="1"/>
  <c r="BB588" i="1" s="1"/>
  <c r="AX588" i="1"/>
  <c r="BC588" i="1" s="1"/>
  <c r="BA587" i="1"/>
  <c r="BB587" i="1" s="1"/>
  <c r="AX587" i="1"/>
  <c r="BC587" i="1" s="1"/>
  <c r="BA586" i="1"/>
  <c r="BB586" i="1" s="1"/>
  <c r="AX586" i="1"/>
  <c r="BC586" i="1" s="1"/>
  <c r="BA585" i="1"/>
  <c r="BB585" i="1" s="1"/>
  <c r="AX585" i="1"/>
  <c r="BC585" i="1" s="1"/>
  <c r="BA584" i="1"/>
  <c r="BB584" i="1" s="1"/>
  <c r="AX584" i="1"/>
  <c r="BC584" i="1" s="1"/>
  <c r="BA583" i="1"/>
  <c r="BB583" i="1" s="1"/>
  <c r="AX583" i="1"/>
  <c r="BC583" i="1" s="1"/>
  <c r="BA582" i="1"/>
  <c r="BB582" i="1" s="1"/>
  <c r="AX582" i="1"/>
  <c r="BC582" i="1" s="1"/>
  <c r="BA581" i="1"/>
  <c r="BB581" i="1" s="1"/>
  <c r="AX581" i="1"/>
  <c r="BC581" i="1" s="1"/>
  <c r="BA580" i="1"/>
  <c r="BB580" i="1" s="1"/>
  <c r="AX580" i="1"/>
  <c r="BC580" i="1" s="1"/>
  <c r="BA579" i="1"/>
  <c r="BB579" i="1" s="1"/>
  <c r="AX579" i="1"/>
  <c r="BC579" i="1" s="1"/>
  <c r="BA578" i="1"/>
  <c r="BB578" i="1" s="1"/>
  <c r="AX578" i="1"/>
  <c r="BC578" i="1" s="1"/>
  <c r="BA577" i="1"/>
  <c r="BB577" i="1" s="1"/>
  <c r="AX577" i="1"/>
  <c r="BC577" i="1" s="1"/>
  <c r="BA576" i="1"/>
  <c r="BB576" i="1" s="1"/>
  <c r="AX576" i="1"/>
  <c r="BC576" i="1" s="1"/>
  <c r="BA575" i="1"/>
  <c r="BB575" i="1" s="1"/>
  <c r="AX575" i="1"/>
  <c r="BC575" i="1" s="1"/>
  <c r="BA574" i="1"/>
  <c r="BB574" i="1" s="1"/>
  <c r="AX574" i="1"/>
  <c r="BC574" i="1" s="1"/>
  <c r="BA573" i="1"/>
  <c r="BB573" i="1" s="1"/>
  <c r="AX573" i="1"/>
  <c r="BC573" i="1" s="1"/>
  <c r="BA572" i="1"/>
  <c r="BB572" i="1" s="1"/>
  <c r="AX572" i="1"/>
  <c r="BC572" i="1" s="1"/>
  <c r="BA571" i="1"/>
  <c r="BB571" i="1" s="1"/>
  <c r="AX571" i="1"/>
  <c r="BC571" i="1" s="1"/>
  <c r="BA570" i="1"/>
  <c r="BB570" i="1" s="1"/>
  <c r="AX570" i="1"/>
  <c r="BC570" i="1" s="1"/>
  <c r="BA569" i="1"/>
  <c r="BB569" i="1" s="1"/>
  <c r="AX569" i="1"/>
  <c r="BC569" i="1" s="1"/>
  <c r="BA568" i="1"/>
  <c r="BB568" i="1" s="1"/>
  <c r="AX568" i="1"/>
  <c r="BC568" i="1" s="1"/>
  <c r="BA567" i="1"/>
  <c r="BB567" i="1" s="1"/>
  <c r="AX567" i="1"/>
  <c r="BC567" i="1" s="1"/>
  <c r="BA566" i="1"/>
  <c r="BB566" i="1" s="1"/>
  <c r="AX566" i="1"/>
  <c r="BC566" i="1" s="1"/>
  <c r="BA565" i="1"/>
  <c r="BB565" i="1" s="1"/>
  <c r="AX565" i="1"/>
  <c r="BC565" i="1" s="1"/>
  <c r="BA554" i="1"/>
  <c r="BB554" i="1" s="1"/>
  <c r="AX554" i="1"/>
  <c r="BC554" i="1" s="1"/>
  <c r="BA523" i="1"/>
  <c r="BB523" i="1" s="1"/>
  <c r="AX523" i="1"/>
  <c r="BC523" i="1" s="1"/>
  <c r="BA522" i="1"/>
  <c r="BB522" i="1" s="1"/>
  <c r="AX522" i="1"/>
  <c r="BC522" i="1" s="1"/>
  <c r="BA521" i="1"/>
  <c r="BB521" i="1" s="1"/>
  <c r="AX521" i="1"/>
  <c r="BC521" i="1" s="1"/>
  <c r="BA520" i="1"/>
  <c r="BB520" i="1" s="1"/>
  <c r="AX520" i="1"/>
  <c r="BC520" i="1" s="1"/>
  <c r="BA519" i="1"/>
  <c r="BB519" i="1" s="1"/>
  <c r="AX519" i="1"/>
  <c r="BC519" i="1" s="1"/>
  <c r="BA518" i="1"/>
  <c r="BB518" i="1" s="1"/>
  <c r="AX518" i="1"/>
  <c r="BC518" i="1" s="1"/>
  <c r="BA517" i="1"/>
  <c r="BB517" i="1" s="1"/>
  <c r="AX517" i="1"/>
  <c r="BC517" i="1" s="1"/>
  <c r="BA516" i="1"/>
  <c r="BB516" i="1" s="1"/>
  <c r="AX516" i="1"/>
  <c r="BC516" i="1" s="1"/>
  <c r="BA515" i="1"/>
  <c r="BB515" i="1" s="1"/>
  <c r="AX515" i="1"/>
  <c r="BC515" i="1" s="1"/>
  <c r="BA514" i="1"/>
  <c r="BB514" i="1" s="1"/>
  <c r="AX514" i="1"/>
  <c r="BC514" i="1" s="1"/>
  <c r="BA513" i="1"/>
  <c r="BB513" i="1" s="1"/>
  <c r="AX513" i="1"/>
  <c r="BC513" i="1" s="1"/>
  <c r="BA512" i="1"/>
  <c r="BB512" i="1" s="1"/>
  <c r="AX512" i="1"/>
  <c r="BC512" i="1" s="1"/>
  <c r="BA511" i="1"/>
  <c r="BB511" i="1" s="1"/>
  <c r="AX511" i="1"/>
  <c r="BC511" i="1" s="1"/>
  <c r="BA510" i="1"/>
  <c r="BB510" i="1" s="1"/>
  <c r="AX510" i="1"/>
  <c r="AY510" i="1" s="1"/>
  <c r="AZ510" i="1" s="1"/>
  <c r="BA509" i="1"/>
  <c r="BB509" i="1" s="1"/>
  <c r="AX509" i="1"/>
  <c r="BC509" i="1" s="1"/>
  <c r="BA508" i="1"/>
  <c r="BB508" i="1" s="1"/>
  <c r="AX508" i="1"/>
  <c r="BC508" i="1" s="1"/>
  <c r="BA507" i="1"/>
  <c r="BB507" i="1" s="1"/>
  <c r="AX507" i="1"/>
  <c r="BC507" i="1" s="1"/>
  <c r="BA506" i="1"/>
  <c r="BB506" i="1" s="1"/>
  <c r="AX506" i="1"/>
  <c r="BC506" i="1" s="1"/>
  <c r="BA505" i="1"/>
  <c r="BB505" i="1" s="1"/>
  <c r="AX505" i="1"/>
  <c r="BC505" i="1" s="1"/>
  <c r="BA504" i="1"/>
  <c r="BB504" i="1" s="1"/>
  <c r="AX504" i="1"/>
  <c r="BC504" i="1" s="1"/>
  <c r="BA503" i="1"/>
  <c r="BB503" i="1" s="1"/>
  <c r="AX503" i="1"/>
  <c r="BC503" i="1" s="1"/>
  <c r="BA502" i="1"/>
  <c r="BB502" i="1" s="1"/>
  <c r="AX502" i="1"/>
  <c r="BC502" i="1" s="1"/>
  <c r="BA501" i="1"/>
  <c r="BB501" i="1" s="1"/>
  <c r="AX501" i="1"/>
  <c r="BC501" i="1" s="1"/>
  <c r="BA500" i="1"/>
  <c r="BB500" i="1" s="1"/>
  <c r="AX500" i="1"/>
  <c r="BC500" i="1" s="1"/>
  <c r="BA499" i="1"/>
  <c r="BB499" i="1" s="1"/>
  <c r="AX499" i="1"/>
  <c r="BC499" i="1" s="1"/>
  <c r="BA498" i="1"/>
  <c r="BB498" i="1" s="1"/>
  <c r="AX498" i="1"/>
  <c r="AY498" i="1" s="1"/>
  <c r="AZ498" i="1" s="1"/>
  <c r="BA497" i="1"/>
  <c r="BB497" i="1" s="1"/>
  <c r="AX497" i="1"/>
  <c r="BC497" i="1" s="1"/>
  <c r="BA496" i="1"/>
  <c r="BB496" i="1" s="1"/>
  <c r="AX496" i="1"/>
  <c r="BC496" i="1" s="1"/>
  <c r="BA495" i="1"/>
  <c r="BB495" i="1" s="1"/>
  <c r="AX495" i="1"/>
  <c r="BC495" i="1" s="1"/>
  <c r="BA494" i="1"/>
  <c r="BB494" i="1" s="1"/>
  <c r="AX494" i="1"/>
  <c r="BC494" i="1" s="1"/>
  <c r="BA493" i="1"/>
  <c r="BB493" i="1" s="1"/>
  <c r="AX493" i="1"/>
  <c r="BC493" i="1" s="1"/>
  <c r="BA492" i="1"/>
  <c r="BB492" i="1" s="1"/>
  <c r="AX492" i="1"/>
  <c r="BC492" i="1" s="1"/>
  <c r="BA491" i="1"/>
  <c r="BB491" i="1" s="1"/>
  <c r="AX491" i="1"/>
  <c r="BC491" i="1" s="1"/>
  <c r="BA490" i="1"/>
  <c r="BB490" i="1" s="1"/>
  <c r="AX490" i="1"/>
  <c r="BC490" i="1" s="1"/>
  <c r="BA489" i="1"/>
  <c r="BB489" i="1" s="1"/>
  <c r="AX489" i="1"/>
  <c r="BC489" i="1" s="1"/>
  <c r="BA488" i="1"/>
  <c r="BB488" i="1" s="1"/>
  <c r="AX488" i="1"/>
  <c r="BC488" i="1" s="1"/>
  <c r="BA487" i="1"/>
  <c r="BB487" i="1" s="1"/>
  <c r="AX487" i="1"/>
  <c r="BC487" i="1" s="1"/>
  <c r="BA486" i="1"/>
  <c r="BB486" i="1" s="1"/>
  <c r="AX486" i="1"/>
  <c r="BC486" i="1" s="1"/>
  <c r="BA485" i="1"/>
  <c r="BB485" i="1" s="1"/>
  <c r="AX485" i="1"/>
  <c r="BC485" i="1" s="1"/>
  <c r="BA484" i="1"/>
  <c r="BB484" i="1" s="1"/>
  <c r="AX484" i="1"/>
  <c r="BC484" i="1" s="1"/>
  <c r="BA483" i="1"/>
  <c r="BB483" i="1" s="1"/>
  <c r="AX483" i="1"/>
  <c r="BC483" i="1" s="1"/>
  <c r="BA482" i="1"/>
  <c r="BB482" i="1" s="1"/>
  <c r="AX482" i="1"/>
  <c r="BC482" i="1" s="1"/>
  <c r="BA481" i="1"/>
  <c r="BB481" i="1" s="1"/>
  <c r="AX481" i="1"/>
  <c r="BC481" i="1" s="1"/>
  <c r="BA480" i="1"/>
  <c r="BB480" i="1" s="1"/>
  <c r="AX480" i="1"/>
  <c r="BC480" i="1" s="1"/>
  <c r="BA479" i="1"/>
  <c r="BB479" i="1" s="1"/>
  <c r="AX479" i="1"/>
  <c r="BC479" i="1" s="1"/>
  <c r="BA478" i="1"/>
  <c r="BB478" i="1" s="1"/>
  <c r="AX478" i="1"/>
  <c r="BC478" i="1" s="1"/>
  <c r="BA463" i="1"/>
  <c r="BB463" i="1" s="1"/>
  <c r="AX463" i="1"/>
  <c r="BC463" i="1" s="1"/>
  <c r="BA462" i="1"/>
  <c r="BB462" i="1" s="1"/>
  <c r="AX462" i="1"/>
  <c r="BC462" i="1" s="1"/>
  <c r="BA458" i="1"/>
  <c r="BB458" i="1" s="1"/>
  <c r="AX458" i="1"/>
  <c r="BC458" i="1" s="1"/>
  <c r="BA457" i="1"/>
  <c r="BB457" i="1" s="1"/>
  <c r="AX457" i="1"/>
  <c r="BC457" i="1" s="1"/>
  <c r="BA456" i="1"/>
  <c r="BB456" i="1" s="1"/>
  <c r="AX456" i="1"/>
  <c r="BC456" i="1" s="1"/>
  <c r="BA452" i="1"/>
  <c r="BB452" i="1" s="1"/>
  <c r="AX452" i="1"/>
  <c r="BC452" i="1" s="1"/>
  <c r="BA451" i="1"/>
  <c r="BB451" i="1" s="1"/>
  <c r="AX451" i="1"/>
  <c r="BC451" i="1" s="1"/>
  <c r="BA450" i="1"/>
  <c r="BB450" i="1" s="1"/>
  <c r="AX450" i="1"/>
  <c r="BC450" i="1" s="1"/>
  <c r="BA449" i="1"/>
  <c r="BB449" i="1" s="1"/>
  <c r="AX449" i="1"/>
  <c r="BC449" i="1" s="1"/>
  <c r="BA437" i="1"/>
  <c r="BB437" i="1" s="1"/>
  <c r="AX437" i="1"/>
  <c r="BC437" i="1" s="1"/>
  <c r="BA436" i="1"/>
  <c r="BB436" i="1" s="1"/>
  <c r="AX436" i="1"/>
  <c r="BC436" i="1" s="1"/>
  <c r="BA435" i="1"/>
  <c r="BB435" i="1" s="1"/>
  <c r="AX435" i="1"/>
  <c r="BC435" i="1" s="1"/>
  <c r="BA434" i="1"/>
  <c r="BB434" i="1" s="1"/>
  <c r="AX434" i="1"/>
  <c r="BC434" i="1" s="1"/>
  <c r="BA433" i="1"/>
  <c r="BB433" i="1" s="1"/>
  <c r="AX433" i="1"/>
  <c r="BC433" i="1" s="1"/>
  <c r="BA432" i="1"/>
  <c r="BB432" i="1" s="1"/>
  <c r="AX432" i="1"/>
  <c r="BC432" i="1" s="1"/>
  <c r="BA431" i="1"/>
  <c r="BB431" i="1" s="1"/>
  <c r="AX431" i="1"/>
  <c r="BC431" i="1" s="1"/>
  <c r="BA429" i="1"/>
  <c r="BB429" i="1" s="1"/>
  <c r="AX429" i="1"/>
  <c r="BC429" i="1" s="1"/>
  <c r="BA428" i="1"/>
  <c r="BB428" i="1" s="1"/>
  <c r="AX428" i="1"/>
  <c r="BC428" i="1" s="1"/>
  <c r="BA427" i="1"/>
  <c r="BB427" i="1" s="1"/>
  <c r="AX427" i="1"/>
  <c r="BC427" i="1" s="1"/>
  <c r="BA426" i="1"/>
  <c r="BB426" i="1" s="1"/>
  <c r="AX426" i="1"/>
  <c r="BC426" i="1" s="1"/>
  <c r="BA425" i="1"/>
  <c r="BB425" i="1" s="1"/>
  <c r="AX425" i="1"/>
  <c r="BC425" i="1" s="1"/>
  <c r="BA424" i="1"/>
  <c r="BB424" i="1" s="1"/>
  <c r="AX424" i="1"/>
  <c r="BC424" i="1" s="1"/>
  <c r="BA423" i="1"/>
  <c r="BB423" i="1" s="1"/>
  <c r="AX423" i="1"/>
  <c r="BC423" i="1" s="1"/>
  <c r="BA422" i="1"/>
  <c r="BB422" i="1" s="1"/>
  <c r="AX422" i="1"/>
  <c r="BC422" i="1" s="1"/>
  <c r="BA421" i="1"/>
  <c r="BB421" i="1" s="1"/>
  <c r="AX421" i="1"/>
  <c r="BC421" i="1" s="1"/>
  <c r="BA420" i="1"/>
  <c r="BB420" i="1" s="1"/>
  <c r="AX420" i="1"/>
  <c r="BC420" i="1" s="1"/>
  <c r="BA419" i="1"/>
  <c r="BB419" i="1" s="1"/>
  <c r="AX419" i="1"/>
  <c r="BC419" i="1" s="1"/>
  <c r="BA411" i="1"/>
  <c r="BB411" i="1" s="1"/>
  <c r="AX411" i="1"/>
  <c r="BC411" i="1" s="1"/>
  <c r="BA410" i="1"/>
  <c r="BB410" i="1" s="1"/>
  <c r="AX410" i="1"/>
  <c r="AY410" i="1" s="1"/>
  <c r="AZ410" i="1" s="1"/>
  <c r="BA409" i="1"/>
  <c r="BB409" i="1" s="1"/>
  <c r="AX409" i="1"/>
  <c r="BC409" i="1" s="1"/>
  <c r="BA408" i="1"/>
  <c r="BB408" i="1" s="1"/>
  <c r="AX408" i="1"/>
  <c r="BC408" i="1" s="1"/>
  <c r="BA407" i="1"/>
  <c r="BB407" i="1" s="1"/>
  <c r="AX407" i="1"/>
  <c r="BC407" i="1" s="1"/>
  <c r="BA406" i="1"/>
  <c r="BB406" i="1" s="1"/>
  <c r="AX406" i="1"/>
  <c r="BC406" i="1" s="1"/>
  <c r="BA405" i="1"/>
  <c r="BB405" i="1" s="1"/>
  <c r="AX405" i="1"/>
  <c r="BC405" i="1" s="1"/>
  <c r="BA404" i="1"/>
  <c r="BB404" i="1" s="1"/>
  <c r="BA403" i="1"/>
  <c r="BB403" i="1" s="1"/>
  <c r="AX403" i="1"/>
  <c r="BC403" i="1" s="1"/>
  <c r="BA402" i="1"/>
  <c r="BB402" i="1" s="1"/>
  <c r="AX402" i="1"/>
  <c r="BC402" i="1" s="1"/>
  <c r="BA401" i="1"/>
  <c r="BB401" i="1" s="1"/>
  <c r="AX401" i="1"/>
  <c r="BC401" i="1" s="1"/>
  <c r="BA400" i="1"/>
  <c r="BB400" i="1" s="1"/>
  <c r="AX400" i="1"/>
  <c r="BC400" i="1" s="1"/>
  <c r="BA397" i="1"/>
  <c r="BB397" i="1" s="1"/>
  <c r="AX397" i="1"/>
  <c r="BC397" i="1" s="1"/>
  <c r="BA396" i="1"/>
  <c r="BB396" i="1" s="1"/>
  <c r="AX396" i="1"/>
  <c r="BC396" i="1" s="1"/>
  <c r="BA364" i="1"/>
  <c r="BB364" i="1" s="1"/>
  <c r="AX364" i="1"/>
  <c r="BC364" i="1" s="1"/>
  <c r="BA363" i="1"/>
  <c r="BB363" i="1" s="1"/>
  <c r="AX363" i="1"/>
  <c r="BC363" i="1" s="1"/>
  <c r="BA362" i="1"/>
  <c r="BB362" i="1" s="1"/>
  <c r="AX362" i="1"/>
  <c r="BC362" i="1" s="1"/>
  <c r="BA361" i="1"/>
  <c r="BB361" i="1" s="1"/>
  <c r="AX361" i="1"/>
  <c r="BC361" i="1" s="1"/>
  <c r="BA359" i="1"/>
  <c r="BB359" i="1" s="1"/>
  <c r="AX359" i="1"/>
  <c r="BC359" i="1" s="1"/>
  <c r="BA358" i="1"/>
  <c r="BB358" i="1" s="1"/>
  <c r="AX358" i="1"/>
  <c r="BC358" i="1" s="1"/>
  <c r="BA357" i="1"/>
  <c r="BB357" i="1" s="1"/>
  <c r="AX357" i="1"/>
  <c r="BC357" i="1" s="1"/>
  <c r="BA356" i="1"/>
  <c r="BB356" i="1" s="1"/>
  <c r="AX356" i="1"/>
  <c r="BC356" i="1" s="1"/>
  <c r="BA355" i="1"/>
  <c r="BB355" i="1" s="1"/>
  <c r="AX355" i="1"/>
  <c r="BC355" i="1" s="1"/>
  <c r="BA354" i="1"/>
  <c r="BB354" i="1" s="1"/>
  <c r="AX354" i="1"/>
  <c r="BC354" i="1" s="1"/>
  <c r="BA353" i="1"/>
  <c r="BB353" i="1" s="1"/>
  <c r="AX353" i="1"/>
  <c r="BC353" i="1" s="1"/>
  <c r="BA352" i="1"/>
  <c r="BB352" i="1" s="1"/>
  <c r="AX352" i="1"/>
  <c r="BC352" i="1" s="1"/>
  <c r="BA351" i="1"/>
  <c r="BB351" i="1" s="1"/>
  <c r="AX351" i="1"/>
  <c r="BC351" i="1" s="1"/>
  <c r="BA350" i="1"/>
  <c r="BB350" i="1" s="1"/>
  <c r="AX350" i="1"/>
  <c r="BC350" i="1" s="1"/>
  <c r="BA349" i="1"/>
  <c r="BB349" i="1" s="1"/>
  <c r="AX349" i="1"/>
  <c r="BC349" i="1" s="1"/>
  <c r="BA348" i="1"/>
  <c r="BB348" i="1" s="1"/>
  <c r="AX348" i="1"/>
  <c r="BC348" i="1" s="1"/>
  <c r="BA347" i="1"/>
  <c r="BB347" i="1" s="1"/>
  <c r="AX347" i="1"/>
  <c r="BC347" i="1" s="1"/>
  <c r="BA346" i="1"/>
  <c r="BB346" i="1" s="1"/>
  <c r="AX346" i="1"/>
  <c r="BC346" i="1" s="1"/>
  <c r="BA345" i="1"/>
  <c r="BB345" i="1" s="1"/>
  <c r="AX345" i="1"/>
  <c r="BC345" i="1" s="1"/>
  <c r="BA344" i="1"/>
  <c r="BB344" i="1" s="1"/>
  <c r="AX344" i="1"/>
  <c r="AY344" i="1" s="1"/>
  <c r="AZ344" i="1" s="1"/>
  <c r="BA343" i="1"/>
  <c r="BB343" i="1" s="1"/>
  <c r="AX343" i="1"/>
  <c r="BC343" i="1" s="1"/>
  <c r="BA342" i="1"/>
  <c r="BB342" i="1" s="1"/>
  <c r="AX342" i="1"/>
  <c r="BC342" i="1" s="1"/>
  <c r="BA341" i="1"/>
  <c r="BB341" i="1" s="1"/>
  <c r="AX341" i="1"/>
  <c r="BC341" i="1" s="1"/>
  <c r="BA340" i="1"/>
  <c r="BB340" i="1" s="1"/>
  <c r="AX340" i="1"/>
  <c r="BC340" i="1" s="1"/>
  <c r="BA339" i="1"/>
  <c r="BB339" i="1" s="1"/>
  <c r="AX339" i="1"/>
  <c r="BC339" i="1" s="1"/>
  <c r="BA338" i="1"/>
  <c r="BB338" i="1" s="1"/>
  <c r="AX338" i="1"/>
  <c r="BC338" i="1" s="1"/>
  <c r="BA337" i="1"/>
  <c r="BB337" i="1" s="1"/>
  <c r="AX337" i="1"/>
  <c r="BC337" i="1" s="1"/>
  <c r="BA336" i="1"/>
  <c r="BB336" i="1" s="1"/>
  <c r="AX336" i="1"/>
  <c r="BC336" i="1" s="1"/>
  <c r="BA335" i="1"/>
  <c r="BB335" i="1" s="1"/>
  <c r="AX335" i="1"/>
  <c r="BC335" i="1" s="1"/>
  <c r="BA334" i="1"/>
  <c r="BB334" i="1" s="1"/>
  <c r="AX334" i="1"/>
  <c r="AY334" i="1" s="1"/>
  <c r="AZ334" i="1" s="1"/>
  <c r="BA306" i="1"/>
  <c r="BB306" i="1" s="1"/>
  <c r="AX306" i="1"/>
  <c r="BC306" i="1" s="1"/>
  <c r="BA305" i="1"/>
  <c r="BB305" i="1" s="1"/>
  <c r="AX305" i="1"/>
  <c r="BC305" i="1" s="1"/>
  <c r="BA304" i="1"/>
  <c r="BB304" i="1" s="1"/>
  <c r="AX304" i="1"/>
  <c r="BC304" i="1" s="1"/>
  <c r="BA303" i="1"/>
  <c r="BB303" i="1" s="1"/>
  <c r="AX303" i="1"/>
  <c r="BC303" i="1" s="1"/>
  <c r="BA302" i="1"/>
  <c r="BB302" i="1" s="1"/>
  <c r="AX302" i="1"/>
  <c r="BC302" i="1" s="1"/>
  <c r="BA301" i="1"/>
  <c r="BB301" i="1" s="1"/>
  <c r="BA300" i="1"/>
  <c r="BB300" i="1" s="1"/>
  <c r="AX300" i="1"/>
  <c r="BC300" i="1" s="1"/>
  <c r="BA299" i="1"/>
  <c r="BB299" i="1" s="1"/>
  <c r="AX299" i="1"/>
  <c r="BC299" i="1" s="1"/>
  <c r="BA298" i="1"/>
  <c r="BB298" i="1" s="1"/>
  <c r="AX298" i="1"/>
  <c r="BC298" i="1" s="1"/>
  <c r="BA297" i="1"/>
  <c r="BB297" i="1" s="1"/>
  <c r="AX297" i="1"/>
  <c r="BC297" i="1" s="1"/>
  <c r="BA296" i="1"/>
  <c r="BB296" i="1" s="1"/>
  <c r="AX296" i="1"/>
  <c r="AY296" i="1" s="1"/>
  <c r="AZ296" i="1" s="1"/>
  <c r="BA295" i="1"/>
  <c r="BB295" i="1" s="1"/>
  <c r="AX295" i="1"/>
  <c r="BC295" i="1" s="1"/>
  <c r="BA294" i="1"/>
  <c r="BB294" i="1" s="1"/>
  <c r="AX294" i="1"/>
  <c r="BC294" i="1" s="1"/>
  <c r="BA293" i="1"/>
  <c r="BB293" i="1" s="1"/>
  <c r="AX293" i="1"/>
  <c r="BC293" i="1" s="1"/>
  <c r="BA292" i="1"/>
  <c r="BB292" i="1" s="1"/>
  <c r="AX292" i="1"/>
  <c r="BC292" i="1" s="1"/>
  <c r="BA291" i="1"/>
  <c r="BB291" i="1" s="1"/>
  <c r="AX291" i="1"/>
  <c r="BC291" i="1" s="1"/>
  <c r="BA290" i="1"/>
  <c r="BB290" i="1" s="1"/>
  <c r="AX290" i="1"/>
  <c r="BC290" i="1" s="1"/>
  <c r="BA289" i="1"/>
  <c r="BB289" i="1" s="1"/>
  <c r="AX289" i="1"/>
  <c r="BC289" i="1" s="1"/>
  <c r="BA288" i="1"/>
  <c r="BB288" i="1" s="1"/>
  <c r="AX288" i="1"/>
  <c r="AY288" i="1" s="1"/>
  <c r="AZ288" i="1" s="1"/>
  <c r="BA287" i="1"/>
  <c r="BB287" i="1" s="1"/>
  <c r="AX287" i="1"/>
  <c r="BC287" i="1" s="1"/>
  <c r="BA286" i="1"/>
  <c r="BB286" i="1" s="1"/>
  <c r="BA285" i="1"/>
  <c r="BB285" i="1" s="1"/>
  <c r="AX285" i="1"/>
  <c r="BC285" i="1" s="1"/>
  <c r="BA284" i="1"/>
  <c r="BB284" i="1" s="1"/>
  <c r="AX284" i="1"/>
  <c r="AY284" i="1" s="1"/>
  <c r="AZ284" i="1" s="1"/>
  <c r="BA283" i="1"/>
  <c r="BB283" i="1" s="1"/>
  <c r="AX283" i="1"/>
  <c r="BC283" i="1" s="1"/>
  <c r="BA282" i="1"/>
  <c r="BB282" i="1" s="1"/>
  <c r="AX282" i="1"/>
  <c r="AY282" i="1" s="1"/>
  <c r="AZ282" i="1" s="1"/>
  <c r="BA281" i="1"/>
  <c r="BB281" i="1" s="1"/>
  <c r="AX281" i="1"/>
  <c r="BC281" i="1" s="1"/>
  <c r="BA280" i="1"/>
  <c r="BB280" i="1" s="1"/>
  <c r="AX280" i="1"/>
  <c r="BC280" i="1" s="1"/>
  <c r="BA279" i="1"/>
  <c r="BB279" i="1" s="1"/>
  <c r="AX279" i="1"/>
  <c r="BC279" i="1" s="1"/>
  <c r="BA278" i="1"/>
  <c r="BB278" i="1" s="1"/>
  <c r="AX278" i="1"/>
  <c r="BC278" i="1" s="1"/>
  <c r="BA277" i="1"/>
  <c r="BB277" i="1" s="1"/>
  <c r="AX277" i="1"/>
  <c r="BC277" i="1" s="1"/>
  <c r="BA276" i="1"/>
  <c r="BB276" i="1" s="1"/>
  <c r="AX276" i="1"/>
  <c r="BC276" i="1" s="1"/>
  <c r="BA275" i="1"/>
  <c r="BB275" i="1" s="1"/>
  <c r="AX275" i="1"/>
  <c r="BC275" i="1" s="1"/>
  <c r="BA271" i="1"/>
  <c r="BB271" i="1" s="1"/>
  <c r="AX271" i="1"/>
  <c r="BC271" i="1" s="1"/>
  <c r="BA270" i="1"/>
  <c r="BB270" i="1" s="1"/>
  <c r="AX270" i="1"/>
  <c r="BC270" i="1" s="1"/>
  <c r="BA269" i="1"/>
  <c r="BB269" i="1" s="1"/>
  <c r="AX269" i="1"/>
  <c r="BC269" i="1" s="1"/>
  <c r="BA268" i="1"/>
  <c r="BB268" i="1" s="1"/>
  <c r="AX268" i="1"/>
  <c r="AY268" i="1" s="1"/>
  <c r="AZ268" i="1" s="1"/>
  <c r="BA267" i="1"/>
  <c r="BB267" i="1" s="1"/>
  <c r="AX267" i="1"/>
  <c r="BC267" i="1" s="1"/>
  <c r="BA266" i="1"/>
  <c r="BB266" i="1" s="1"/>
  <c r="AX266" i="1"/>
  <c r="BC266" i="1" s="1"/>
  <c r="BA265" i="1"/>
  <c r="BB265" i="1" s="1"/>
  <c r="AX265" i="1"/>
  <c r="BC265" i="1" s="1"/>
  <c r="BA264" i="1"/>
  <c r="BB264" i="1" s="1"/>
  <c r="AX264" i="1"/>
  <c r="AY264" i="1" s="1"/>
  <c r="AZ264" i="1" s="1"/>
  <c r="BA263" i="1"/>
  <c r="BB263" i="1" s="1"/>
  <c r="AX263" i="1"/>
  <c r="BC263" i="1" s="1"/>
  <c r="BA262" i="1"/>
  <c r="BB262" i="1" s="1"/>
  <c r="AX262" i="1"/>
  <c r="BC262" i="1" s="1"/>
  <c r="BA261" i="1"/>
  <c r="BB261" i="1" s="1"/>
  <c r="AX261" i="1"/>
  <c r="BC261" i="1" s="1"/>
  <c r="BA260" i="1"/>
  <c r="BB260" i="1" s="1"/>
  <c r="AX260" i="1"/>
  <c r="BC260" i="1" s="1"/>
  <c r="BA259" i="1"/>
  <c r="BB259" i="1" s="1"/>
  <c r="AX259" i="1"/>
  <c r="BC259" i="1" s="1"/>
  <c r="BA258" i="1"/>
  <c r="BB258" i="1" s="1"/>
  <c r="AX258" i="1"/>
  <c r="AY258" i="1" s="1"/>
  <c r="AZ258" i="1" s="1"/>
  <c r="BA257" i="1"/>
  <c r="BB257" i="1" s="1"/>
  <c r="AX257" i="1"/>
  <c r="BC257" i="1" s="1"/>
  <c r="BA256" i="1"/>
  <c r="BB256" i="1" s="1"/>
  <c r="AX256" i="1"/>
  <c r="BC256" i="1" s="1"/>
  <c r="BA255" i="1"/>
  <c r="BB255" i="1" s="1"/>
  <c r="AX255" i="1"/>
  <c r="BC255" i="1" s="1"/>
  <c r="BA254" i="1"/>
  <c r="BB254" i="1" s="1"/>
  <c r="AX254" i="1"/>
  <c r="BC254" i="1" s="1"/>
  <c r="BA253" i="1"/>
  <c r="BB253" i="1" s="1"/>
  <c r="AX253" i="1"/>
  <c r="BC253" i="1" s="1"/>
  <c r="BA229" i="1"/>
  <c r="BB229" i="1" s="1"/>
  <c r="AX229" i="1"/>
  <c r="BC229" i="1" s="1"/>
  <c r="BA228" i="1"/>
  <c r="BB228" i="1" s="1"/>
  <c r="AX228" i="1"/>
  <c r="AY228" i="1" s="1"/>
  <c r="AZ228" i="1" s="1"/>
  <c r="BA227" i="1"/>
  <c r="BB227" i="1" s="1"/>
  <c r="AX227" i="1"/>
  <c r="BC227" i="1" s="1"/>
  <c r="BA226" i="1"/>
  <c r="BB226" i="1" s="1"/>
  <c r="AX226" i="1"/>
  <c r="BC226" i="1" s="1"/>
  <c r="BA225" i="1"/>
  <c r="BB225" i="1" s="1"/>
  <c r="AX225" i="1"/>
  <c r="BC225" i="1" s="1"/>
  <c r="BA224" i="1"/>
  <c r="BB224" i="1" s="1"/>
  <c r="AX224" i="1"/>
  <c r="BC224" i="1" s="1"/>
  <c r="BA223" i="1"/>
  <c r="BB223" i="1" s="1"/>
  <c r="AX223" i="1"/>
  <c r="BC223" i="1" s="1"/>
  <c r="BA222" i="1"/>
  <c r="BB222" i="1" s="1"/>
  <c r="AX222" i="1"/>
  <c r="BC222" i="1" s="1"/>
  <c r="BA212" i="1"/>
  <c r="BB212" i="1" s="1"/>
  <c r="AX212" i="1"/>
  <c r="AY212" i="1" s="1"/>
  <c r="AZ212" i="1" s="1"/>
  <c r="BA211" i="1"/>
  <c r="BB211" i="1" s="1"/>
  <c r="AX211" i="1"/>
  <c r="BC211" i="1" s="1"/>
  <c r="BA210" i="1"/>
  <c r="BB210" i="1" s="1"/>
  <c r="AX210" i="1"/>
  <c r="BC210" i="1" s="1"/>
  <c r="BA209" i="1"/>
  <c r="BB209" i="1" s="1"/>
  <c r="AX209" i="1"/>
  <c r="BC209" i="1" s="1"/>
  <c r="BA208" i="1"/>
  <c r="BB208" i="1" s="1"/>
  <c r="AX208" i="1"/>
  <c r="AY208" i="1" s="1"/>
  <c r="AZ208" i="1" s="1"/>
  <c r="BA207" i="1"/>
  <c r="BB207" i="1" s="1"/>
  <c r="AX207" i="1"/>
  <c r="BC207" i="1" s="1"/>
  <c r="BA206" i="1"/>
  <c r="BB206" i="1" s="1"/>
  <c r="AX206" i="1"/>
  <c r="BC206" i="1" s="1"/>
  <c r="BA204" i="1"/>
  <c r="BB204" i="1" s="1"/>
  <c r="AX204" i="1"/>
  <c r="BC204" i="1" s="1"/>
  <c r="BA203" i="1"/>
  <c r="BB203" i="1" s="1"/>
  <c r="AX203" i="1"/>
  <c r="BC203" i="1" s="1"/>
  <c r="BA202" i="1"/>
  <c r="BB202" i="1" s="1"/>
  <c r="AX202" i="1"/>
  <c r="AY202" i="1" s="1"/>
  <c r="AZ202" i="1" s="1"/>
  <c r="BA201" i="1"/>
  <c r="BB201" i="1" s="1"/>
  <c r="AX201" i="1"/>
  <c r="BC201" i="1" s="1"/>
  <c r="BA200" i="1"/>
  <c r="BB200" i="1" s="1"/>
  <c r="AX200" i="1"/>
  <c r="AY200" i="1" s="1"/>
  <c r="AZ200" i="1" s="1"/>
  <c r="BA199" i="1"/>
  <c r="BB199" i="1" s="1"/>
  <c r="AX199" i="1"/>
  <c r="BC199" i="1" s="1"/>
  <c r="BA198" i="1"/>
  <c r="BB198" i="1" s="1"/>
  <c r="AX198" i="1"/>
  <c r="BC198" i="1" s="1"/>
  <c r="BA197" i="1"/>
  <c r="BB197" i="1" s="1"/>
  <c r="AX197" i="1"/>
  <c r="BC197" i="1" s="1"/>
  <c r="BA196" i="1"/>
  <c r="BB196" i="1" s="1"/>
  <c r="AX196" i="1"/>
  <c r="BC196" i="1" s="1"/>
  <c r="BA195" i="1"/>
  <c r="BB195" i="1" s="1"/>
  <c r="AX195" i="1"/>
  <c r="BC195" i="1" s="1"/>
  <c r="BA194" i="1"/>
  <c r="BB194" i="1" s="1"/>
  <c r="AX194" i="1"/>
  <c r="BC194" i="1" s="1"/>
  <c r="BA193" i="1"/>
  <c r="BB193" i="1" s="1"/>
  <c r="AX193" i="1"/>
  <c r="BC193" i="1" s="1"/>
  <c r="BA192" i="1"/>
  <c r="BB192" i="1" s="1"/>
  <c r="AX192" i="1"/>
  <c r="BC192" i="1" s="1"/>
  <c r="BA191" i="1"/>
  <c r="BB191" i="1" s="1"/>
  <c r="AX191" i="1"/>
  <c r="BC191" i="1" s="1"/>
  <c r="BA190" i="1"/>
  <c r="BB190" i="1" s="1"/>
  <c r="AX190" i="1"/>
  <c r="BC190" i="1" s="1"/>
  <c r="BA189" i="1"/>
  <c r="BB189" i="1" s="1"/>
  <c r="AX189" i="1"/>
  <c r="BC189" i="1" s="1"/>
  <c r="BA188" i="1"/>
  <c r="BB188" i="1" s="1"/>
  <c r="AX188" i="1"/>
  <c r="BC188" i="1" s="1"/>
  <c r="BA187" i="1"/>
  <c r="BB187" i="1" s="1"/>
  <c r="AX187" i="1"/>
  <c r="BC187" i="1" s="1"/>
  <c r="BA186" i="1"/>
  <c r="BB186" i="1" s="1"/>
  <c r="AX186" i="1"/>
  <c r="BC186" i="1" s="1"/>
  <c r="BA185" i="1"/>
  <c r="BB185" i="1" s="1"/>
  <c r="AX185" i="1"/>
  <c r="BC185" i="1" s="1"/>
  <c r="BA184" i="1"/>
  <c r="BB184" i="1" s="1"/>
  <c r="AX184" i="1"/>
  <c r="BC184" i="1" s="1"/>
  <c r="BA183" i="1"/>
  <c r="BB183" i="1" s="1"/>
  <c r="AX183" i="1"/>
  <c r="BC183" i="1" s="1"/>
  <c r="BA182" i="1"/>
  <c r="BB182" i="1" s="1"/>
  <c r="AX182" i="1"/>
  <c r="BC182" i="1" s="1"/>
  <c r="BA181" i="1"/>
  <c r="BB181" i="1" s="1"/>
  <c r="AX181" i="1"/>
  <c r="BC181" i="1" s="1"/>
  <c r="BA180" i="1"/>
  <c r="BB180" i="1" s="1"/>
  <c r="AX180" i="1"/>
  <c r="BC180" i="1" s="1"/>
  <c r="BA179" i="1"/>
  <c r="BB179" i="1" s="1"/>
  <c r="AX179" i="1"/>
  <c r="BC179" i="1" s="1"/>
  <c r="BA178" i="1"/>
  <c r="BB178" i="1" s="1"/>
  <c r="AX178" i="1"/>
  <c r="BC178" i="1" s="1"/>
  <c r="BA177" i="1"/>
  <c r="BB177" i="1" s="1"/>
  <c r="AX177" i="1"/>
  <c r="BC177" i="1" s="1"/>
  <c r="BA176" i="1"/>
  <c r="BB176" i="1" s="1"/>
  <c r="AX176" i="1"/>
  <c r="BC176" i="1" s="1"/>
  <c r="BA175" i="1"/>
  <c r="BB175" i="1" s="1"/>
  <c r="AX175" i="1"/>
  <c r="BC175" i="1" s="1"/>
  <c r="BA174" i="1"/>
  <c r="BB174" i="1" s="1"/>
  <c r="AX174" i="1"/>
  <c r="BC174" i="1" s="1"/>
  <c r="BA173" i="1"/>
  <c r="BB173" i="1" s="1"/>
  <c r="AX173" i="1"/>
  <c r="BC173" i="1" s="1"/>
  <c r="BA172" i="1"/>
  <c r="BB172" i="1" s="1"/>
  <c r="AX172" i="1"/>
  <c r="BC172" i="1" s="1"/>
  <c r="BA171" i="1"/>
  <c r="BB171" i="1" s="1"/>
  <c r="AX171" i="1"/>
  <c r="BC171" i="1" s="1"/>
  <c r="BA170" i="1"/>
  <c r="BB170" i="1" s="1"/>
  <c r="AX170" i="1"/>
  <c r="BC170" i="1" s="1"/>
  <c r="BA169" i="1"/>
  <c r="BB169" i="1" s="1"/>
  <c r="AX169" i="1"/>
  <c r="BC169" i="1" s="1"/>
  <c r="BA168" i="1"/>
  <c r="BB168" i="1" s="1"/>
  <c r="AX168" i="1"/>
  <c r="BC168" i="1" s="1"/>
  <c r="BA167" i="1"/>
  <c r="BB167" i="1" s="1"/>
  <c r="AX167" i="1"/>
  <c r="BC167" i="1" s="1"/>
  <c r="BA166" i="1"/>
  <c r="BB166" i="1" s="1"/>
  <c r="AX166" i="1"/>
  <c r="BC166" i="1" s="1"/>
  <c r="BA153" i="1"/>
  <c r="BB153" i="1" s="1"/>
  <c r="AX153" i="1"/>
  <c r="BC153" i="1" s="1"/>
  <c r="BA152" i="1"/>
  <c r="BB152" i="1" s="1"/>
  <c r="AX152" i="1"/>
  <c r="BC152" i="1" s="1"/>
  <c r="BA151" i="1"/>
  <c r="BB151" i="1" s="1"/>
  <c r="AX151" i="1"/>
  <c r="BC151" i="1" s="1"/>
  <c r="BA150" i="1"/>
  <c r="BB150" i="1" s="1"/>
  <c r="AX150" i="1"/>
  <c r="BC150" i="1" s="1"/>
  <c r="BA149" i="1"/>
  <c r="BB149" i="1" s="1"/>
  <c r="AX149" i="1"/>
  <c r="BC149" i="1" s="1"/>
  <c r="BA148" i="1"/>
  <c r="BB148" i="1" s="1"/>
  <c r="AX148" i="1"/>
  <c r="BC148" i="1" s="1"/>
  <c r="BA147" i="1"/>
  <c r="BB147" i="1" s="1"/>
  <c r="AX147" i="1"/>
  <c r="AY147" i="1" s="1"/>
  <c r="AZ147" i="1" s="1"/>
  <c r="BA146" i="1"/>
  <c r="BB146" i="1" s="1"/>
  <c r="AX146" i="1"/>
  <c r="BC146" i="1" s="1"/>
  <c r="BA145" i="1"/>
  <c r="BB145" i="1" s="1"/>
  <c r="AX145" i="1"/>
  <c r="BC145" i="1" s="1"/>
  <c r="BA144" i="1"/>
  <c r="BB144" i="1" s="1"/>
  <c r="AX144" i="1"/>
  <c r="BC144" i="1" s="1"/>
  <c r="BA143" i="1"/>
  <c r="BB143" i="1" s="1"/>
  <c r="AX143" i="1"/>
  <c r="BC143" i="1" s="1"/>
  <c r="BA139" i="1"/>
  <c r="BB139" i="1" s="1"/>
  <c r="AX139" i="1"/>
  <c r="BC139" i="1" s="1"/>
  <c r="BA138" i="1"/>
  <c r="BB138" i="1" s="1"/>
  <c r="AX138" i="1"/>
  <c r="BC138" i="1" s="1"/>
  <c r="BA137" i="1"/>
  <c r="BB137" i="1" s="1"/>
  <c r="AX137" i="1"/>
  <c r="BC137" i="1" s="1"/>
  <c r="BA136" i="1"/>
  <c r="BB136" i="1" s="1"/>
  <c r="AX136" i="1"/>
  <c r="BC136" i="1" s="1"/>
  <c r="BC681" i="1" l="1"/>
  <c r="BC689" i="1"/>
  <c r="AY905" i="1"/>
  <c r="AZ905" i="1" s="1"/>
  <c r="BC684" i="1"/>
  <c r="BC692" i="1"/>
  <c r="BC685" i="1"/>
  <c r="BC693" i="1"/>
  <c r="BC680" i="1"/>
  <c r="BC688" i="1"/>
  <c r="AY697" i="1"/>
  <c r="AZ697" i="1" s="1"/>
  <c r="BC696" i="1"/>
  <c r="AY682" i="1"/>
  <c r="AZ682" i="1" s="1"/>
  <c r="BC903" i="1"/>
  <c r="AY700" i="1"/>
  <c r="AZ700" i="1" s="1"/>
  <c r="AY698" i="1"/>
  <c r="AZ698" i="1" s="1"/>
  <c r="AY694" i="1"/>
  <c r="AZ694" i="1" s="1"/>
  <c r="AY690" i="1"/>
  <c r="AZ690" i="1" s="1"/>
  <c r="AY686" i="1"/>
  <c r="AZ686" i="1" s="1"/>
  <c r="BC961" i="1"/>
  <c r="AY933" i="1"/>
  <c r="AZ933" i="1" s="1"/>
  <c r="AY934" i="1"/>
  <c r="AZ934" i="1" s="1"/>
  <c r="AY935" i="1"/>
  <c r="AZ935" i="1" s="1"/>
  <c r="AY936" i="1"/>
  <c r="AZ936" i="1" s="1"/>
  <c r="AY937" i="1"/>
  <c r="AZ937" i="1" s="1"/>
  <c r="AY975" i="1"/>
  <c r="AZ975" i="1" s="1"/>
  <c r="AY976" i="1"/>
  <c r="AZ976" i="1" s="1"/>
  <c r="AY977" i="1"/>
  <c r="AZ977" i="1" s="1"/>
  <c r="AY978" i="1"/>
  <c r="AZ978" i="1" s="1"/>
  <c r="AY979" i="1"/>
  <c r="AZ979" i="1" s="1"/>
  <c r="AY980" i="1"/>
  <c r="AZ980" i="1" s="1"/>
  <c r="AY981" i="1"/>
  <c r="AZ981" i="1" s="1"/>
  <c r="AY982" i="1"/>
  <c r="AZ982" i="1" s="1"/>
  <c r="AY983" i="1"/>
  <c r="AZ983" i="1" s="1"/>
  <c r="BC941" i="1"/>
  <c r="AY941" i="1"/>
  <c r="AZ941" i="1" s="1"/>
  <c r="BC939" i="1"/>
  <c r="AY939" i="1"/>
  <c r="AZ939" i="1" s="1"/>
  <c r="AY943" i="1"/>
  <c r="AZ943" i="1" s="1"/>
  <c r="AY945" i="1"/>
  <c r="AZ945" i="1" s="1"/>
  <c r="AY947" i="1"/>
  <c r="AZ947" i="1" s="1"/>
  <c r="AY949" i="1"/>
  <c r="AZ949" i="1" s="1"/>
  <c r="AY951" i="1"/>
  <c r="AZ951" i="1" s="1"/>
  <c r="AY953" i="1"/>
  <c r="AZ953" i="1" s="1"/>
  <c r="AY955" i="1"/>
  <c r="AZ955" i="1" s="1"/>
  <c r="AY957" i="1"/>
  <c r="AZ957" i="1" s="1"/>
  <c r="AY959" i="1"/>
  <c r="AZ959" i="1" s="1"/>
  <c r="AY964" i="1"/>
  <c r="AZ964" i="1" s="1"/>
  <c r="AY966" i="1"/>
  <c r="AZ966" i="1" s="1"/>
  <c r="AY968" i="1"/>
  <c r="AZ968" i="1" s="1"/>
  <c r="AY970" i="1"/>
  <c r="AZ970" i="1" s="1"/>
  <c r="AY972" i="1"/>
  <c r="AZ972" i="1" s="1"/>
  <c r="AY985" i="1"/>
  <c r="AZ985" i="1" s="1"/>
  <c r="AY987" i="1"/>
  <c r="AZ987" i="1" s="1"/>
  <c r="AY989" i="1"/>
  <c r="AZ989" i="1" s="1"/>
  <c r="AY991" i="1"/>
  <c r="AZ991" i="1" s="1"/>
  <c r="AY993" i="1"/>
  <c r="AZ993" i="1" s="1"/>
  <c r="AY995" i="1"/>
  <c r="AZ995" i="1" s="1"/>
  <c r="AY997" i="1"/>
  <c r="AZ997" i="1" s="1"/>
  <c r="AY999" i="1"/>
  <c r="AZ999" i="1" s="1"/>
  <c r="AY1001" i="1"/>
  <c r="AZ1001" i="1" s="1"/>
  <c r="AY1003" i="1"/>
  <c r="AZ1003" i="1" s="1"/>
  <c r="AY1005" i="1"/>
  <c r="AZ1005" i="1" s="1"/>
  <c r="AY1007" i="1"/>
  <c r="AZ1007" i="1" s="1"/>
  <c r="AY1009" i="1"/>
  <c r="AZ1009" i="1" s="1"/>
  <c r="AY940" i="1"/>
  <c r="AZ940" i="1" s="1"/>
  <c r="AY942" i="1"/>
  <c r="AZ942" i="1" s="1"/>
  <c r="AY944" i="1"/>
  <c r="AZ944" i="1" s="1"/>
  <c r="AY946" i="1"/>
  <c r="AZ946" i="1" s="1"/>
  <c r="AY948" i="1"/>
  <c r="AZ948" i="1" s="1"/>
  <c r="AY950" i="1"/>
  <c r="AZ950" i="1" s="1"/>
  <c r="AY952" i="1"/>
  <c r="AZ952" i="1" s="1"/>
  <c r="AY954" i="1"/>
  <c r="AZ954" i="1" s="1"/>
  <c r="AY956" i="1"/>
  <c r="AZ956" i="1" s="1"/>
  <c r="AY958" i="1"/>
  <c r="AZ958" i="1" s="1"/>
  <c r="AY963" i="1"/>
  <c r="AZ963" i="1" s="1"/>
  <c r="AY965" i="1"/>
  <c r="AZ965" i="1" s="1"/>
  <c r="AY967" i="1"/>
  <c r="AZ967" i="1" s="1"/>
  <c r="AY969" i="1"/>
  <c r="AZ969" i="1" s="1"/>
  <c r="AY971" i="1"/>
  <c r="AZ971" i="1" s="1"/>
  <c r="AY973" i="1"/>
  <c r="AZ973" i="1" s="1"/>
  <c r="AY986" i="1"/>
  <c r="AZ986" i="1" s="1"/>
  <c r="AY988" i="1"/>
  <c r="AZ988" i="1" s="1"/>
  <c r="AY990" i="1"/>
  <c r="AZ990" i="1" s="1"/>
  <c r="AY992" i="1"/>
  <c r="AZ992" i="1" s="1"/>
  <c r="AY994" i="1"/>
  <c r="AZ994" i="1" s="1"/>
  <c r="AY996" i="1"/>
  <c r="AZ996" i="1" s="1"/>
  <c r="AY998" i="1"/>
  <c r="AZ998" i="1" s="1"/>
  <c r="AY1000" i="1"/>
  <c r="AZ1000" i="1" s="1"/>
  <c r="AY1002" i="1"/>
  <c r="AZ1002" i="1" s="1"/>
  <c r="AY1004" i="1"/>
  <c r="AZ1004" i="1" s="1"/>
  <c r="AY1006" i="1"/>
  <c r="AZ1006" i="1" s="1"/>
  <c r="AY1008" i="1"/>
  <c r="AZ1008" i="1" s="1"/>
  <c r="AY1010" i="1"/>
  <c r="AZ1010" i="1" s="1"/>
  <c r="AY908" i="1"/>
  <c r="AZ908" i="1" s="1"/>
  <c r="AY910" i="1"/>
  <c r="AZ910" i="1" s="1"/>
  <c r="AY902" i="1"/>
  <c r="AZ902" i="1" s="1"/>
  <c r="AY904" i="1"/>
  <c r="AZ904" i="1" s="1"/>
  <c r="AY906" i="1"/>
  <c r="AZ906" i="1" s="1"/>
  <c r="AY900" i="1"/>
  <c r="AZ900" i="1" s="1"/>
  <c r="AY909" i="1"/>
  <c r="AZ909" i="1" s="1"/>
  <c r="AY911" i="1"/>
  <c r="AZ911" i="1" s="1"/>
  <c r="AY898" i="1"/>
  <c r="AZ898" i="1" s="1"/>
  <c r="AY899" i="1"/>
  <c r="AZ899" i="1" s="1"/>
  <c r="AY896" i="1"/>
  <c r="AZ896" i="1" s="1"/>
  <c r="AY897" i="1"/>
  <c r="AZ897" i="1" s="1"/>
  <c r="AY871" i="1"/>
  <c r="AZ871" i="1" s="1"/>
  <c r="AY870" i="1"/>
  <c r="AZ870" i="1" s="1"/>
  <c r="AY872" i="1"/>
  <c r="AZ872" i="1" s="1"/>
  <c r="AY780" i="1"/>
  <c r="AZ780" i="1" s="1"/>
  <c r="AY781" i="1"/>
  <c r="AZ781" i="1" s="1"/>
  <c r="AY782" i="1"/>
  <c r="AZ782" i="1" s="1"/>
  <c r="AY778" i="1"/>
  <c r="AZ778" i="1" s="1"/>
  <c r="AY777" i="1"/>
  <c r="AZ777" i="1" s="1"/>
  <c r="AY779" i="1"/>
  <c r="AZ779" i="1" s="1"/>
  <c r="AY773" i="1"/>
  <c r="AZ773" i="1" s="1"/>
  <c r="AY772" i="1"/>
  <c r="AZ772" i="1" s="1"/>
  <c r="AY774" i="1"/>
  <c r="AZ774" i="1" s="1"/>
  <c r="AY771" i="1"/>
  <c r="AZ771" i="1" s="1"/>
  <c r="AY770" i="1"/>
  <c r="AZ770" i="1" s="1"/>
  <c r="AY742" i="1"/>
  <c r="AZ742" i="1" s="1"/>
  <c r="AY741" i="1"/>
  <c r="AZ741" i="1" s="1"/>
  <c r="AY743" i="1"/>
  <c r="AZ743" i="1" s="1"/>
  <c r="AY739" i="1"/>
  <c r="AZ739" i="1" s="1"/>
  <c r="AY740" i="1"/>
  <c r="AZ740" i="1" s="1"/>
  <c r="AY737" i="1"/>
  <c r="AZ737" i="1" s="1"/>
  <c r="AY738" i="1"/>
  <c r="AZ738" i="1" s="1"/>
  <c r="AY733" i="1"/>
  <c r="AZ733" i="1" s="1"/>
  <c r="AY734" i="1"/>
  <c r="AZ734" i="1" s="1"/>
  <c r="AY731" i="1"/>
  <c r="AZ731" i="1" s="1"/>
  <c r="AY732" i="1"/>
  <c r="AZ732" i="1" s="1"/>
  <c r="BC729" i="1"/>
  <c r="AY730" i="1"/>
  <c r="AZ730" i="1" s="1"/>
  <c r="AY728" i="1"/>
  <c r="AZ728" i="1" s="1"/>
  <c r="AY714" i="1"/>
  <c r="AZ714" i="1" s="1"/>
  <c r="AY715" i="1"/>
  <c r="AZ715" i="1" s="1"/>
  <c r="AY713" i="1"/>
  <c r="AZ713" i="1" s="1"/>
  <c r="AY702" i="1"/>
  <c r="AZ702" i="1" s="1"/>
  <c r="BC683" i="1"/>
  <c r="BC687" i="1"/>
  <c r="BC691" i="1"/>
  <c r="BC695" i="1"/>
  <c r="BC699" i="1"/>
  <c r="BC701" i="1"/>
  <c r="AY647" i="1"/>
  <c r="AZ647" i="1" s="1"/>
  <c r="AY649" i="1"/>
  <c r="AZ649" i="1" s="1"/>
  <c r="AY651" i="1"/>
  <c r="AZ651" i="1" s="1"/>
  <c r="AY653" i="1"/>
  <c r="AZ653" i="1" s="1"/>
  <c r="AY655" i="1"/>
  <c r="AZ655" i="1" s="1"/>
  <c r="AY657" i="1"/>
  <c r="AZ657" i="1" s="1"/>
  <c r="AY659" i="1"/>
  <c r="AZ659" i="1" s="1"/>
  <c r="BC663" i="1"/>
  <c r="AY665" i="1"/>
  <c r="AZ665" i="1" s="1"/>
  <c r="AY661" i="1"/>
  <c r="AZ661" i="1" s="1"/>
  <c r="AY646" i="1"/>
  <c r="AZ646" i="1" s="1"/>
  <c r="AY648" i="1"/>
  <c r="AZ648" i="1" s="1"/>
  <c r="AY650" i="1"/>
  <c r="AZ650" i="1" s="1"/>
  <c r="AY652" i="1"/>
  <c r="AZ652" i="1" s="1"/>
  <c r="AY654" i="1"/>
  <c r="AZ654" i="1" s="1"/>
  <c r="AY656" i="1"/>
  <c r="AZ656" i="1" s="1"/>
  <c r="AY658" i="1"/>
  <c r="AZ658" i="1" s="1"/>
  <c r="AY660" i="1"/>
  <c r="AZ660" i="1" s="1"/>
  <c r="AY662" i="1"/>
  <c r="AZ662" i="1" s="1"/>
  <c r="AY664" i="1"/>
  <c r="AZ664" i="1" s="1"/>
  <c r="AY666" i="1"/>
  <c r="AZ666" i="1" s="1"/>
  <c r="AY486" i="1"/>
  <c r="AZ486" i="1" s="1"/>
  <c r="AY575" i="1"/>
  <c r="AZ575" i="1" s="1"/>
  <c r="AY577" i="1"/>
  <c r="AZ577" i="1" s="1"/>
  <c r="AY579" i="1"/>
  <c r="AZ579" i="1" s="1"/>
  <c r="AY581" i="1"/>
  <c r="AZ581" i="1" s="1"/>
  <c r="AY583" i="1"/>
  <c r="AZ583" i="1" s="1"/>
  <c r="AY585" i="1"/>
  <c r="AZ585" i="1" s="1"/>
  <c r="AY587" i="1"/>
  <c r="AZ587" i="1" s="1"/>
  <c r="AY576" i="1"/>
  <c r="AZ576" i="1" s="1"/>
  <c r="AY578" i="1"/>
  <c r="AZ578" i="1" s="1"/>
  <c r="AY580" i="1"/>
  <c r="AZ580" i="1" s="1"/>
  <c r="AY582" i="1"/>
  <c r="AZ582" i="1" s="1"/>
  <c r="AY584" i="1"/>
  <c r="AZ584" i="1" s="1"/>
  <c r="AY586" i="1"/>
  <c r="AZ586" i="1" s="1"/>
  <c r="AY588" i="1"/>
  <c r="AZ588" i="1" s="1"/>
  <c r="AY565" i="1"/>
  <c r="AZ565" i="1" s="1"/>
  <c r="AY567" i="1"/>
  <c r="AZ567" i="1" s="1"/>
  <c r="AY569" i="1"/>
  <c r="AZ569" i="1" s="1"/>
  <c r="AY571" i="1"/>
  <c r="AZ571" i="1" s="1"/>
  <c r="AY573" i="1"/>
  <c r="AZ573" i="1" s="1"/>
  <c r="AY566" i="1"/>
  <c r="AZ566" i="1" s="1"/>
  <c r="AY568" i="1"/>
  <c r="AZ568" i="1" s="1"/>
  <c r="AY570" i="1"/>
  <c r="AZ570" i="1" s="1"/>
  <c r="AY572" i="1"/>
  <c r="AZ572" i="1" s="1"/>
  <c r="AY574" i="1"/>
  <c r="AZ574" i="1" s="1"/>
  <c r="AY554" i="1"/>
  <c r="AZ554" i="1" s="1"/>
  <c r="AY492" i="1"/>
  <c r="AZ492" i="1" s="1"/>
  <c r="BC498" i="1"/>
  <c r="AY500" i="1"/>
  <c r="AZ500" i="1" s="1"/>
  <c r="AY502" i="1"/>
  <c r="AZ502" i="1" s="1"/>
  <c r="AY504" i="1"/>
  <c r="AZ504" i="1" s="1"/>
  <c r="AY506" i="1"/>
  <c r="AZ506" i="1" s="1"/>
  <c r="AY508" i="1"/>
  <c r="AZ508" i="1" s="1"/>
  <c r="BC510" i="1"/>
  <c r="AY512" i="1"/>
  <c r="AZ512" i="1" s="1"/>
  <c r="AY514" i="1"/>
  <c r="AZ514" i="1" s="1"/>
  <c r="AY516" i="1"/>
  <c r="AZ516" i="1" s="1"/>
  <c r="AY518" i="1"/>
  <c r="AZ518" i="1" s="1"/>
  <c r="AY520" i="1"/>
  <c r="AZ520" i="1" s="1"/>
  <c r="AY522" i="1"/>
  <c r="AZ522" i="1" s="1"/>
  <c r="AY494" i="1"/>
  <c r="AZ494" i="1" s="1"/>
  <c r="AY496" i="1"/>
  <c r="AZ496" i="1" s="1"/>
  <c r="AY491" i="1"/>
  <c r="AZ491" i="1" s="1"/>
  <c r="AY493" i="1"/>
  <c r="AZ493" i="1" s="1"/>
  <c r="AY495" i="1"/>
  <c r="AZ495" i="1" s="1"/>
  <c r="AY497" i="1"/>
  <c r="AZ497" i="1" s="1"/>
  <c r="AY499" i="1"/>
  <c r="AZ499" i="1" s="1"/>
  <c r="AY501" i="1"/>
  <c r="AZ501" i="1" s="1"/>
  <c r="AY503" i="1"/>
  <c r="AZ503" i="1" s="1"/>
  <c r="AY505" i="1"/>
  <c r="AZ505" i="1" s="1"/>
  <c r="AY507" i="1"/>
  <c r="AZ507" i="1" s="1"/>
  <c r="AY509" i="1"/>
  <c r="AZ509" i="1" s="1"/>
  <c r="AY511" i="1"/>
  <c r="AZ511" i="1" s="1"/>
  <c r="AY513" i="1"/>
  <c r="AZ513" i="1" s="1"/>
  <c r="AY515" i="1"/>
  <c r="AZ515" i="1" s="1"/>
  <c r="AY517" i="1"/>
  <c r="AZ517" i="1" s="1"/>
  <c r="AY519" i="1"/>
  <c r="AZ519" i="1" s="1"/>
  <c r="AY521" i="1"/>
  <c r="AZ521" i="1" s="1"/>
  <c r="AY523" i="1"/>
  <c r="AZ523" i="1" s="1"/>
  <c r="AY490" i="1"/>
  <c r="AZ490" i="1" s="1"/>
  <c r="AY488" i="1"/>
  <c r="AZ488" i="1" s="1"/>
  <c r="AY487" i="1"/>
  <c r="AZ487" i="1" s="1"/>
  <c r="AY489" i="1"/>
  <c r="AZ489" i="1" s="1"/>
  <c r="AY478" i="1"/>
  <c r="AZ478" i="1" s="1"/>
  <c r="AY480" i="1"/>
  <c r="AZ480" i="1" s="1"/>
  <c r="AY482" i="1"/>
  <c r="AZ482" i="1" s="1"/>
  <c r="AY484" i="1"/>
  <c r="AZ484" i="1" s="1"/>
  <c r="AY479" i="1"/>
  <c r="AZ479" i="1" s="1"/>
  <c r="AY481" i="1"/>
  <c r="AZ481" i="1" s="1"/>
  <c r="AY483" i="1"/>
  <c r="AZ483" i="1" s="1"/>
  <c r="AY485" i="1"/>
  <c r="AZ485" i="1" s="1"/>
  <c r="AY463" i="1"/>
  <c r="AZ463" i="1" s="1"/>
  <c r="AY462" i="1"/>
  <c r="AZ462" i="1" s="1"/>
  <c r="AY458" i="1"/>
  <c r="AZ458" i="1" s="1"/>
  <c r="AY456" i="1"/>
  <c r="AZ456" i="1" s="1"/>
  <c r="AY457" i="1"/>
  <c r="AZ457" i="1" s="1"/>
  <c r="AY449" i="1"/>
  <c r="AZ449" i="1" s="1"/>
  <c r="AY451" i="1"/>
  <c r="AZ451" i="1" s="1"/>
  <c r="AY450" i="1"/>
  <c r="AZ450" i="1" s="1"/>
  <c r="AY452" i="1"/>
  <c r="AZ452" i="1" s="1"/>
  <c r="AY432" i="1"/>
  <c r="AZ432" i="1" s="1"/>
  <c r="AY434" i="1"/>
  <c r="AZ434" i="1" s="1"/>
  <c r="AY436" i="1"/>
  <c r="AZ436" i="1" s="1"/>
  <c r="AY433" i="1"/>
  <c r="AZ433" i="1" s="1"/>
  <c r="AY435" i="1"/>
  <c r="AZ435" i="1" s="1"/>
  <c r="AY437" i="1"/>
  <c r="AZ437" i="1" s="1"/>
  <c r="AY431" i="1"/>
  <c r="AZ431" i="1" s="1"/>
  <c r="AY429" i="1"/>
  <c r="AZ429" i="1" s="1"/>
  <c r="AY421" i="1"/>
  <c r="AZ421" i="1" s="1"/>
  <c r="AY423" i="1"/>
  <c r="AZ423" i="1" s="1"/>
  <c r="AY425" i="1"/>
  <c r="AZ425" i="1" s="1"/>
  <c r="AY427" i="1"/>
  <c r="AZ427" i="1" s="1"/>
  <c r="AY422" i="1"/>
  <c r="AZ422" i="1" s="1"/>
  <c r="AY424" i="1"/>
  <c r="AZ424" i="1" s="1"/>
  <c r="AY426" i="1"/>
  <c r="AZ426" i="1" s="1"/>
  <c r="AY428" i="1"/>
  <c r="AZ428" i="1" s="1"/>
  <c r="AY420" i="1"/>
  <c r="AZ420" i="1" s="1"/>
  <c r="AY419" i="1"/>
  <c r="AZ419" i="1" s="1"/>
  <c r="BC410" i="1"/>
  <c r="AY406" i="1"/>
  <c r="AZ406" i="1" s="1"/>
  <c r="AY408" i="1"/>
  <c r="AZ408" i="1" s="1"/>
  <c r="AY405" i="1"/>
  <c r="AZ405" i="1" s="1"/>
  <c r="AY407" i="1"/>
  <c r="AZ407" i="1" s="1"/>
  <c r="AY409" i="1"/>
  <c r="AZ409" i="1" s="1"/>
  <c r="AY411" i="1"/>
  <c r="AZ411" i="1" s="1"/>
  <c r="AY401" i="1"/>
  <c r="AZ401" i="1" s="1"/>
  <c r="AY403" i="1"/>
  <c r="AZ403" i="1" s="1"/>
  <c r="AY400" i="1"/>
  <c r="AZ400" i="1" s="1"/>
  <c r="AY402" i="1"/>
  <c r="AZ402" i="1" s="1"/>
  <c r="AY397" i="1"/>
  <c r="AZ397" i="1" s="1"/>
  <c r="AY396" i="1"/>
  <c r="AZ396" i="1" s="1"/>
  <c r="AY363" i="1"/>
  <c r="AZ363" i="1" s="1"/>
  <c r="AY361" i="1"/>
  <c r="AZ361" i="1" s="1"/>
  <c r="AY362" i="1"/>
  <c r="AZ362" i="1" s="1"/>
  <c r="AY364" i="1"/>
  <c r="AZ364" i="1" s="1"/>
  <c r="AY358" i="1"/>
  <c r="AZ358" i="1" s="1"/>
  <c r="AY359" i="1"/>
  <c r="AZ359" i="1" s="1"/>
  <c r="AY346" i="1"/>
  <c r="AZ346" i="1" s="1"/>
  <c r="AY348" i="1"/>
  <c r="AZ348" i="1" s="1"/>
  <c r="AY350" i="1"/>
  <c r="AZ350" i="1" s="1"/>
  <c r="AY352" i="1"/>
  <c r="AZ352" i="1" s="1"/>
  <c r="AY354" i="1"/>
  <c r="AZ354" i="1" s="1"/>
  <c r="AY356" i="1"/>
  <c r="AZ356" i="1" s="1"/>
  <c r="AY347" i="1"/>
  <c r="AZ347" i="1" s="1"/>
  <c r="AY349" i="1"/>
  <c r="AZ349" i="1" s="1"/>
  <c r="AY351" i="1"/>
  <c r="AZ351" i="1" s="1"/>
  <c r="AY353" i="1"/>
  <c r="AZ353" i="1" s="1"/>
  <c r="AY355" i="1"/>
  <c r="AZ355" i="1" s="1"/>
  <c r="AY357" i="1"/>
  <c r="AZ357" i="1" s="1"/>
  <c r="BC334" i="1"/>
  <c r="AY336" i="1"/>
  <c r="AZ336" i="1" s="1"/>
  <c r="AY338" i="1"/>
  <c r="AZ338" i="1" s="1"/>
  <c r="AY340" i="1"/>
  <c r="AZ340" i="1" s="1"/>
  <c r="AY342" i="1"/>
  <c r="AZ342" i="1" s="1"/>
  <c r="BC344" i="1"/>
  <c r="AY335" i="1"/>
  <c r="AZ335" i="1" s="1"/>
  <c r="AY337" i="1"/>
  <c r="AZ337" i="1" s="1"/>
  <c r="AY339" i="1"/>
  <c r="AZ339" i="1" s="1"/>
  <c r="AY341" i="1"/>
  <c r="AZ341" i="1" s="1"/>
  <c r="AY343" i="1"/>
  <c r="AZ343" i="1" s="1"/>
  <c r="AY345" i="1"/>
  <c r="AZ345" i="1" s="1"/>
  <c r="BC284" i="1"/>
  <c r="BC282" i="1"/>
  <c r="AY291" i="1"/>
  <c r="AZ291" i="1" s="1"/>
  <c r="AY294" i="1"/>
  <c r="AZ294" i="1" s="1"/>
  <c r="AY297" i="1"/>
  <c r="AZ297" i="1" s="1"/>
  <c r="AY299" i="1"/>
  <c r="AZ299" i="1" s="1"/>
  <c r="AY303" i="1"/>
  <c r="AZ303" i="1" s="1"/>
  <c r="AY305" i="1"/>
  <c r="AZ305" i="1" s="1"/>
  <c r="AY290" i="1"/>
  <c r="AZ290" i="1" s="1"/>
  <c r="AY292" i="1"/>
  <c r="AZ292" i="1" s="1"/>
  <c r="AY293" i="1"/>
  <c r="AZ293" i="1" s="1"/>
  <c r="AY295" i="1"/>
  <c r="AZ295" i="1" s="1"/>
  <c r="AY298" i="1"/>
  <c r="AZ298" i="1" s="1"/>
  <c r="AY300" i="1"/>
  <c r="AZ300" i="1" s="1"/>
  <c r="AY302" i="1"/>
  <c r="AZ302" i="1" s="1"/>
  <c r="AY304" i="1"/>
  <c r="AZ304" i="1" s="1"/>
  <c r="AY306" i="1"/>
  <c r="AZ306" i="1" s="1"/>
  <c r="BC288" i="1"/>
  <c r="AY287" i="1"/>
  <c r="AZ287" i="1" s="1"/>
  <c r="AY289" i="1"/>
  <c r="AZ289" i="1" s="1"/>
  <c r="AY283" i="1"/>
  <c r="AZ283" i="1" s="1"/>
  <c r="AY285" i="1"/>
  <c r="AZ285" i="1" s="1"/>
  <c r="AY280" i="1"/>
  <c r="AZ280" i="1" s="1"/>
  <c r="AY281" i="1"/>
  <c r="AZ281" i="1" s="1"/>
  <c r="AY278" i="1"/>
  <c r="AZ278" i="1" s="1"/>
  <c r="AY279" i="1"/>
  <c r="AZ279" i="1" s="1"/>
  <c r="AY277" i="1"/>
  <c r="AZ277" i="1" s="1"/>
  <c r="AY276" i="1"/>
  <c r="AZ276" i="1" s="1"/>
  <c r="AY275" i="1"/>
  <c r="AZ275" i="1" s="1"/>
  <c r="BC268" i="1"/>
  <c r="AY270" i="1"/>
  <c r="AZ270" i="1" s="1"/>
  <c r="AY267" i="1"/>
  <c r="AZ267" i="1" s="1"/>
  <c r="AY269" i="1"/>
  <c r="AZ269" i="1" s="1"/>
  <c r="AY271" i="1"/>
  <c r="AZ271" i="1" s="1"/>
  <c r="AY206" i="1"/>
  <c r="AZ206" i="1" s="1"/>
  <c r="AY263" i="1"/>
  <c r="AZ263" i="1" s="1"/>
  <c r="AY204" i="1"/>
  <c r="AZ204" i="1" s="1"/>
  <c r="AY196" i="1"/>
  <c r="AZ196" i="1" s="1"/>
  <c r="BC212" i="1"/>
  <c r="AY198" i="1"/>
  <c r="AZ198" i="1" s="1"/>
  <c r="BC208" i="1"/>
  <c r="AY210" i="1"/>
  <c r="AZ210" i="1" s="1"/>
  <c r="BC264" i="1"/>
  <c r="AY266" i="1"/>
  <c r="AZ266" i="1" s="1"/>
  <c r="AY265" i="1"/>
  <c r="AZ265" i="1" s="1"/>
  <c r="AY262" i="1"/>
  <c r="AZ262" i="1" s="1"/>
  <c r="AY261" i="1"/>
  <c r="AZ261" i="1" s="1"/>
  <c r="AY260" i="1"/>
  <c r="AZ260" i="1" s="1"/>
  <c r="BC258" i="1"/>
  <c r="AY257" i="1"/>
  <c r="AZ257" i="1" s="1"/>
  <c r="AY259" i="1"/>
  <c r="AZ259" i="1" s="1"/>
  <c r="AY256" i="1"/>
  <c r="AZ256" i="1" s="1"/>
  <c r="AY254" i="1"/>
  <c r="AZ254" i="1" s="1"/>
  <c r="AY253" i="1"/>
  <c r="AZ253" i="1" s="1"/>
  <c r="AY255" i="1"/>
  <c r="AZ255" i="1" s="1"/>
  <c r="BC202" i="1"/>
  <c r="BC200" i="1"/>
  <c r="BC228" i="1"/>
  <c r="AY227" i="1"/>
  <c r="AZ227" i="1" s="1"/>
  <c r="AY229" i="1"/>
  <c r="AZ229" i="1" s="1"/>
  <c r="AY226" i="1"/>
  <c r="AZ226" i="1" s="1"/>
  <c r="AY222" i="1"/>
  <c r="AZ222" i="1" s="1"/>
  <c r="AY224" i="1"/>
  <c r="AZ224" i="1" s="1"/>
  <c r="AY223" i="1"/>
  <c r="AZ223" i="1" s="1"/>
  <c r="AY225" i="1"/>
  <c r="AZ225" i="1" s="1"/>
  <c r="AY207" i="1"/>
  <c r="AZ207" i="1" s="1"/>
  <c r="AY209" i="1"/>
  <c r="AZ209" i="1" s="1"/>
  <c r="AY211" i="1"/>
  <c r="AZ211" i="1" s="1"/>
  <c r="AY195" i="1"/>
  <c r="AZ195" i="1" s="1"/>
  <c r="AY197" i="1"/>
  <c r="AZ197" i="1" s="1"/>
  <c r="AY199" i="1"/>
  <c r="AZ199" i="1" s="1"/>
  <c r="AY201" i="1"/>
  <c r="AZ201" i="1" s="1"/>
  <c r="AY203" i="1"/>
  <c r="AZ203" i="1" s="1"/>
  <c r="AY181" i="1"/>
  <c r="AZ181" i="1" s="1"/>
  <c r="AY183" i="1"/>
  <c r="AZ183" i="1" s="1"/>
  <c r="AY185" i="1"/>
  <c r="AZ185" i="1" s="1"/>
  <c r="AY187" i="1"/>
  <c r="AZ187" i="1" s="1"/>
  <c r="AY189" i="1"/>
  <c r="AZ189" i="1" s="1"/>
  <c r="AY191" i="1"/>
  <c r="AZ191" i="1" s="1"/>
  <c r="AY193" i="1"/>
  <c r="AZ193" i="1" s="1"/>
  <c r="AY180" i="1"/>
  <c r="AZ180" i="1" s="1"/>
  <c r="AY182" i="1"/>
  <c r="AZ182" i="1" s="1"/>
  <c r="AY184" i="1"/>
  <c r="AZ184" i="1" s="1"/>
  <c r="AY186" i="1"/>
  <c r="AZ186" i="1" s="1"/>
  <c r="AY188" i="1"/>
  <c r="AZ188" i="1" s="1"/>
  <c r="AY190" i="1"/>
  <c r="AZ190" i="1" s="1"/>
  <c r="AY192" i="1"/>
  <c r="AZ192" i="1" s="1"/>
  <c r="AY194" i="1"/>
  <c r="AZ194" i="1" s="1"/>
  <c r="AY166" i="1"/>
  <c r="AZ166" i="1" s="1"/>
  <c r="AY168" i="1"/>
  <c r="AZ168" i="1" s="1"/>
  <c r="AY170" i="1"/>
  <c r="AZ170" i="1" s="1"/>
  <c r="AY172" i="1"/>
  <c r="AZ172" i="1" s="1"/>
  <c r="AY174" i="1"/>
  <c r="AZ174" i="1" s="1"/>
  <c r="AY176" i="1"/>
  <c r="AZ176" i="1" s="1"/>
  <c r="AY178" i="1"/>
  <c r="AZ178" i="1" s="1"/>
  <c r="AY167" i="1"/>
  <c r="AZ167" i="1" s="1"/>
  <c r="AY169" i="1"/>
  <c r="AZ169" i="1" s="1"/>
  <c r="AY171" i="1"/>
  <c r="AZ171" i="1" s="1"/>
  <c r="AY173" i="1"/>
  <c r="AZ173" i="1" s="1"/>
  <c r="AY175" i="1"/>
  <c r="AZ175" i="1" s="1"/>
  <c r="AY177" i="1"/>
  <c r="AZ177" i="1" s="1"/>
  <c r="AY179" i="1"/>
  <c r="AZ179" i="1" s="1"/>
  <c r="AY150" i="1"/>
  <c r="AZ150" i="1" s="1"/>
  <c r="AY152" i="1"/>
  <c r="AZ152" i="1" s="1"/>
  <c r="AY149" i="1"/>
  <c r="AZ149" i="1" s="1"/>
  <c r="AY151" i="1"/>
  <c r="AZ151" i="1" s="1"/>
  <c r="AY153" i="1"/>
  <c r="AZ153" i="1" s="1"/>
  <c r="AY143" i="1"/>
  <c r="AZ143" i="1" s="1"/>
  <c r="BC147" i="1"/>
  <c r="AY145" i="1"/>
  <c r="AZ145" i="1" s="1"/>
  <c r="AY144" i="1"/>
  <c r="AZ144" i="1" s="1"/>
  <c r="AY146" i="1"/>
  <c r="AZ146" i="1" s="1"/>
  <c r="AY148" i="1"/>
  <c r="AZ148" i="1" s="1"/>
  <c r="AY139" i="1"/>
  <c r="AZ139" i="1" s="1"/>
  <c r="AY137" i="1"/>
  <c r="AZ137" i="1" s="1"/>
  <c r="AY138" i="1"/>
  <c r="AZ138" i="1" s="1"/>
  <c r="AY136" i="1"/>
  <c r="AZ136" i="1" s="1"/>
  <c r="BA131" i="1" l="1"/>
  <c r="BB131" i="1" s="1"/>
  <c r="AX131" i="1"/>
  <c r="BC131" i="1" s="1"/>
  <c r="BA130" i="1"/>
  <c r="BB130" i="1" s="1"/>
  <c r="AX130" i="1"/>
  <c r="BC130" i="1" s="1"/>
  <c r="BA129" i="1"/>
  <c r="BB129" i="1" s="1"/>
  <c r="AX129" i="1"/>
  <c r="BC129" i="1" s="1"/>
  <c r="BA96" i="1"/>
  <c r="BB96" i="1" s="1"/>
  <c r="AX96" i="1"/>
  <c r="BC96" i="1" s="1"/>
  <c r="BA95" i="1"/>
  <c r="BB95" i="1" s="1"/>
  <c r="AX95" i="1"/>
  <c r="BC95" i="1" s="1"/>
  <c r="BA88" i="1"/>
  <c r="BB88" i="1" s="1"/>
  <c r="AX88" i="1"/>
  <c r="AY88" i="1" s="1"/>
  <c r="AZ88" i="1" s="1"/>
  <c r="BA87" i="1"/>
  <c r="BB87" i="1" s="1"/>
  <c r="AX87" i="1"/>
  <c r="BC87" i="1" s="1"/>
  <c r="BA86" i="1"/>
  <c r="BB86" i="1" s="1"/>
  <c r="AX86" i="1"/>
  <c r="AY86" i="1" s="1"/>
  <c r="AZ86" i="1" s="1"/>
  <c r="BA85" i="1"/>
  <c r="BB85" i="1" s="1"/>
  <c r="AX85" i="1"/>
  <c r="BC85" i="1" s="1"/>
  <c r="BA84" i="1"/>
  <c r="BB84" i="1" s="1"/>
  <c r="AX84" i="1"/>
  <c r="AY84" i="1" s="1"/>
  <c r="AZ84" i="1" s="1"/>
  <c r="BA83" i="1"/>
  <c r="BB83" i="1" s="1"/>
  <c r="AX83" i="1"/>
  <c r="BC83" i="1" s="1"/>
  <c r="BA82" i="1"/>
  <c r="BB82" i="1" s="1"/>
  <c r="AX82" i="1"/>
  <c r="AY82" i="1" s="1"/>
  <c r="AZ82" i="1" s="1"/>
  <c r="BA81" i="1"/>
  <c r="BB81" i="1" s="1"/>
  <c r="AX81" i="1"/>
  <c r="BC81" i="1" s="1"/>
  <c r="BA80" i="1"/>
  <c r="BB80" i="1" s="1"/>
  <c r="AX80" i="1"/>
  <c r="BC80" i="1" s="1"/>
  <c r="BA79" i="1"/>
  <c r="BB79" i="1" s="1"/>
  <c r="AX79" i="1"/>
  <c r="BC79" i="1" s="1"/>
  <c r="BA78" i="1"/>
  <c r="BB78" i="1" s="1"/>
  <c r="AX78" i="1"/>
  <c r="BC78" i="1" s="1"/>
  <c r="BA77" i="1"/>
  <c r="BB77" i="1" s="1"/>
  <c r="AX77" i="1"/>
  <c r="BC77" i="1" s="1"/>
  <c r="BA76" i="1"/>
  <c r="BB76" i="1" s="1"/>
  <c r="AX76" i="1"/>
  <c r="AY76" i="1" s="1"/>
  <c r="AZ76" i="1" s="1"/>
  <c r="BA75" i="1"/>
  <c r="BB75" i="1" s="1"/>
  <c r="AX75" i="1"/>
  <c r="BC75" i="1" s="1"/>
  <c r="BA74" i="1"/>
  <c r="BB74" i="1" s="1"/>
  <c r="AX74" i="1"/>
  <c r="BC74" i="1" s="1"/>
  <c r="BA73" i="1"/>
  <c r="BB73" i="1" s="1"/>
  <c r="AX73" i="1"/>
  <c r="BC73" i="1" s="1"/>
  <c r="BA72" i="1"/>
  <c r="BB72" i="1" s="1"/>
  <c r="AX72" i="1"/>
  <c r="BC72" i="1" s="1"/>
  <c r="BA71" i="1"/>
  <c r="BB71" i="1" s="1"/>
  <c r="AX71" i="1"/>
  <c r="BC71" i="1" s="1"/>
  <c r="BA70" i="1"/>
  <c r="BB70" i="1" s="1"/>
  <c r="AX70" i="1"/>
  <c r="BC70" i="1" s="1"/>
  <c r="V70" i="1"/>
  <c r="W70" i="1" s="1"/>
  <c r="X70" i="1" s="1"/>
  <c r="V71" i="1"/>
  <c r="W71" i="1" s="1"/>
  <c r="X71" i="1" s="1"/>
  <c r="V72" i="1"/>
  <c r="W72" i="1" s="1"/>
  <c r="X72" i="1" s="1"/>
  <c r="V73" i="1"/>
  <c r="W73" i="1" s="1"/>
  <c r="X73" i="1" s="1"/>
  <c r="V74" i="1"/>
  <c r="W74" i="1" s="1"/>
  <c r="V75" i="1"/>
  <c r="W75" i="1" s="1"/>
  <c r="X75" i="1" s="1"/>
  <c r="BA68" i="1"/>
  <c r="BB68" i="1" s="1"/>
  <c r="AX68" i="1"/>
  <c r="BC68" i="1" s="1"/>
  <c r="BA67" i="1"/>
  <c r="BB67" i="1" s="1"/>
  <c r="AX67" i="1"/>
  <c r="BC67" i="1" s="1"/>
  <c r="BA66" i="1"/>
  <c r="BB66" i="1" s="1"/>
  <c r="AX66" i="1"/>
  <c r="BC66" i="1" s="1"/>
  <c r="BA65" i="1"/>
  <c r="BB65" i="1" s="1"/>
  <c r="AX65" i="1"/>
  <c r="BC65" i="1" s="1"/>
  <c r="BA64" i="1"/>
  <c r="BB64" i="1" s="1"/>
  <c r="AX64" i="1"/>
  <c r="BC64" i="1" s="1"/>
  <c r="BA63" i="1"/>
  <c r="BB63" i="1" s="1"/>
  <c r="AX63" i="1"/>
  <c r="BC63" i="1" s="1"/>
  <c r="BA52" i="1"/>
  <c r="BB52" i="1" s="1"/>
  <c r="AX52" i="1"/>
  <c r="BC52" i="1" s="1"/>
  <c r="BA51" i="1"/>
  <c r="BB51" i="1" s="1"/>
  <c r="AX51" i="1"/>
  <c r="BC51" i="1" s="1"/>
  <c r="BA50" i="1"/>
  <c r="BB50" i="1" s="1"/>
  <c r="AX50" i="1"/>
  <c r="BC50" i="1" s="1"/>
  <c r="BA49" i="1"/>
  <c r="BB49" i="1" s="1"/>
  <c r="AX49" i="1"/>
  <c r="BC49" i="1" s="1"/>
  <c r="BA48" i="1"/>
  <c r="BB48" i="1" s="1"/>
  <c r="AX48" i="1"/>
  <c r="BC48" i="1" s="1"/>
  <c r="BA47" i="1"/>
  <c r="BB47" i="1" s="1"/>
  <c r="AX47" i="1"/>
  <c r="BC47" i="1" s="1"/>
  <c r="BA46" i="1"/>
  <c r="BB46" i="1" s="1"/>
  <c r="AX46" i="1"/>
  <c r="BC46" i="1" s="1"/>
  <c r="BA45" i="1"/>
  <c r="BB45" i="1" s="1"/>
  <c r="AX45" i="1"/>
  <c r="BC45" i="1" s="1"/>
  <c r="BA44" i="1"/>
  <c r="BB44" i="1" s="1"/>
  <c r="AX44" i="1"/>
  <c r="BC44" i="1" s="1"/>
  <c r="BA43" i="1"/>
  <c r="BB43" i="1" s="1"/>
  <c r="AX43" i="1"/>
  <c r="BC43" i="1" s="1"/>
  <c r="BA42" i="1"/>
  <c r="BB42" i="1" s="1"/>
  <c r="AX42" i="1"/>
  <c r="BC42" i="1" s="1"/>
  <c r="BA41" i="1"/>
  <c r="BB41" i="1" s="1"/>
  <c r="AX41" i="1"/>
  <c r="BC41" i="1" s="1"/>
  <c r="BA40" i="1"/>
  <c r="BB40" i="1" s="1"/>
  <c r="AX40" i="1"/>
  <c r="BC40" i="1" s="1"/>
  <c r="BA39" i="1"/>
  <c r="BB39" i="1" s="1"/>
  <c r="AX39" i="1"/>
  <c r="BC39" i="1" s="1"/>
  <c r="BA38" i="1"/>
  <c r="BB38" i="1" s="1"/>
  <c r="AX38" i="1"/>
  <c r="BC38" i="1" s="1"/>
  <c r="BA37" i="1"/>
  <c r="BB37" i="1" s="1"/>
  <c r="AX37" i="1"/>
  <c r="BC37" i="1" s="1"/>
  <c r="BA36" i="1"/>
  <c r="BB36" i="1" s="1"/>
  <c r="AX36" i="1"/>
  <c r="BC36" i="1" s="1"/>
  <c r="BA35" i="1"/>
  <c r="BB35" i="1" s="1"/>
  <c r="AX35" i="1"/>
  <c r="BC35" i="1" s="1"/>
  <c r="BA34" i="1"/>
  <c r="BB34" i="1" s="1"/>
  <c r="AX34" i="1"/>
  <c r="BC34" i="1" s="1"/>
  <c r="BC33" i="1"/>
  <c r="BA19" i="1"/>
  <c r="BB19" i="1" s="1"/>
  <c r="AX19" i="1"/>
  <c r="BC19" i="1" s="1"/>
  <c r="BA18" i="1"/>
  <c r="BB18" i="1" s="1"/>
  <c r="AX18" i="1"/>
  <c r="BC18" i="1" s="1"/>
  <c r="BA17" i="1"/>
  <c r="BB17" i="1" s="1"/>
  <c r="AX17" i="1"/>
  <c r="BC17" i="1" s="1"/>
  <c r="BA16" i="1"/>
  <c r="BB16" i="1" s="1"/>
  <c r="AX16" i="1"/>
  <c r="BC16" i="1" s="1"/>
  <c r="BA15" i="1"/>
  <c r="BB15" i="1" s="1"/>
  <c r="AX15" i="1"/>
  <c r="BC15" i="1" s="1"/>
  <c r="BA14" i="1"/>
  <c r="BB14" i="1" s="1"/>
  <c r="AX14" i="1"/>
  <c r="BC14" i="1" s="1"/>
  <c r="BA13" i="1"/>
  <c r="BB13" i="1" s="1"/>
  <c r="AX13" i="1"/>
  <c r="BC13" i="1" s="1"/>
  <c r="BA9" i="1"/>
  <c r="BB9" i="1" s="1"/>
  <c r="AX9" i="1"/>
  <c r="BC9" i="1" s="1"/>
  <c r="BA8" i="1"/>
  <c r="BB8" i="1" s="1"/>
  <c r="AX8" i="1"/>
  <c r="BC8" i="1" s="1"/>
  <c r="BA7" i="1"/>
  <c r="BB7" i="1" s="1"/>
  <c r="AX7" i="1"/>
  <c r="BC7" i="1" s="1"/>
  <c r="BA12" i="1"/>
  <c r="BB12" i="1" s="1"/>
  <c r="AX12" i="1"/>
  <c r="BC12" i="1" s="1"/>
  <c r="BA5" i="1"/>
  <c r="BB5" i="1" s="1"/>
  <c r="AX5" i="1"/>
  <c r="BC5" i="1" s="1"/>
  <c r="BC84" i="1" l="1"/>
  <c r="BC86" i="1"/>
  <c r="BC88" i="1"/>
  <c r="AY130" i="1"/>
  <c r="AZ130" i="1" s="1"/>
  <c r="AY129" i="1"/>
  <c r="AZ129" i="1" s="1"/>
  <c r="AY131" i="1"/>
  <c r="AZ131" i="1" s="1"/>
  <c r="AY96" i="1"/>
  <c r="AZ96" i="1" s="1"/>
  <c r="AY95" i="1"/>
  <c r="AZ95" i="1" s="1"/>
  <c r="AY85" i="1"/>
  <c r="AZ85" i="1" s="1"/>
  <c r="AY87" i="1"/>
  <c r="AZ87" i="1" s="1"/>
  <c r="BC76" i="1"/>
  <c r="AY78" i="1"/>
  <c r="AZ78" i="1" s="1"/>
  <c r="BC82" i="1"/>
  <c r="AY80" i="1"/>
  <c r="AZ80" i="1" s="1"/>
  <c r="AY77" i="1"/>
  <c r="AZ77" i="1" s="1"/>
  <c r="AY79" i="1"/>
  <c r="AZ79" i="1" s="1"/>
  <c r="AY81" i="1"/>
  <c r="AZ81" i="1" s="1"/>
  <c r="AY83" i="1"/>
  <c r="AZ83" i="1" s="1"/>
  <c r="AY70" i="1"/>
  <c r="AZ70" i="1" s="1"/>
  <c r="AY72" i="1"/>
  <c r="AZ72" i="1" s="1"/>
  <c r="AY74" i="1"/>
  <c r="AZ74" i="1" s="1"/>
  <c r="AY71" i="1"/>
  <c r="AZ71" i="1" s="1"/>
  <c r="AY73" i="1"/>
  <c r="AZ73" i="1" s="1"/>
  <c r="AY75" i="1"/>
  <c r="AZ75" i="1" s="1"/>
  <c r="AY68" i="1"/>
  <c r="AZ68" i="1" s="1"/>
  <c r="AY64" i="1"/>
  <c r="AZ64" i="1" s="1"/>
  <c r="AY66" i="1"/>
  <c r="AZ66" i="1" s="1"/>
  <c r="AY63" i="1"/>
  <c r="AZ63" i="1" s="1"/>
  <c r="AY65" i="1"/>
  <c r="AZ65" i="1" s="1"/>
  <c r="AY67" i="1"/>
  <c r="AZ67" i="1" s="1"/>
  <c r="AY35" i="1"/>
  <c r="AZ35" i="1" s="1"/>
  <c r="AY37" i="1"/>
  <c r="AZ37" i="1" s="1"/>
  <c r="AY39" i="1"/>
  <c r="AZ39" i="1" s="1"/>
  <c r="AY41" i="1"/>
  <c r="AZ41" i="1" s="1"/>
  <c r="AY43" i="1"/>
  <c r="AZ43" i="1" s="1"/>
  <c r="AY45" i="1"/>
  <c r="AZ45" i="1" s="1"/>
  <c r="AY47" i="1"/>
  <c r="AZ47" i="1" s="1"/>
  <c r="AY49" i="1"/>
  <c r="AZ49" i="1" s="1"/>
  <c r="AY51" i="1"/>
  <c r="AZ51" i="1" s="1"/>
  <c r="AY34" i="1"/>
  <c r="AZ34" i="1" s="1"/>
  <c r="AY36" i="1"/>
  <c r="AZ36" i="1" s="1"/>
  <c r="AY38" i="1"/>
  <c r="AZ38" i="1" s="1"/>
  <c r="AY40" i="1"/>
  <c r="AZ40" i="1" s="1"/>
  <c r="AY42" i="1"/>
  <c r="AZ42" i="1" s="1"/>
  <c r="AY44" i="1"/>
  <c r="AZ44" i="1" s="1"/>
  <c r="AY46" i="1"/>
  <c r="AZ46" i="1" s="1"/>
  <c r="AY48" i="1"/>
  <c r="AZ48" i="1" s="1"/>
  <c r="AY50" i="1"/>
  <c r="AZ50" i="1" s="1"/>
  <c r="AY52" i="1"/>
  <c r="AZ52" i="1" s="1"/>
  <c r="AY17" i="1"/>
  <c r="AZ17" i="1" s="1"/>
  <c r="AY19" i="1"/>
  <c r="AZ19" i="1" s="1"/>
  <c r="AY18" i="1"/>
  <c r="AZ18" i="1" s="1"/>
  <c r="AY13" i="1"/>
  <c r="AZ13" i="1" s="1"/>
  <c r="AY15" i="1"/>
  <c r="AZ15" i="1" s="1"/>
  <c r="AY14" i="1"/>
  <c r="AZ14" i="1" s="1"/>
  <c r="AY16" i="1"/>
  <c r="AZ16" i="1" s="1"/>
  <c r="AY8" i="1"/>
  <c r="AZ8" i="1" s="1"/>
  <c r="AY9" i="1"/>
  <c r="AZ9" i="1" s="1"/>
  <c r="AY7" i="1"/>
  <c r="AZ7" i="1" s="1"/>
  <c r="AY12" i="1"/>
  <c r="AZ12" i="1" s="1"/>
  <c r="AY5" i="1"/>
  <c r="AZ5" i="1" s="1"/>
  <c r="AP895" i="1" l="1"/>
  <c r="AS895" i="1" s="1"/>
  <c r="AP894" i="1"/>
  <c r="AQ894" i="1" s="1"/>
  <c r="AR894" i="1" s="1"/>
  <c r="AP888" i="1"/>
  <c r="AS888" i="1" s="1"/>
  <c r="AP885" i="1"/>
  <c r="AS885" i="1" s="1"/>
  <c r="AP884" i="1"/>
  <c r="AS884" i="1" s="1"/>
  <c r="AP883" i="1"/>
  <c r="AS883" i="1" s="1"/>
  <c r="AP882" i="1"/>
  <c r="AS882" i="1" s="1"/>
  <c r="AL880" i="1"/>
  <c r="AP880" i="1" s="1"/>
  <c r="AL879" i="1"/>
  <c r="AP879" i="1" s="1"/>
  <c r="AP878" i="1"/>
  <c r="AS878" i="1" s="1"/>
  <c r="AP877" i="1"/>
  <c r="AS877" i="1" s="1"/>
  <c r="AP876" i="1"/>
  <c r="AS876" i="1" s="1"/>
  <c r="AL875" i="1"/>
  <c r="AP875" i="1" s="1"/>
  <c r="AS875" i="1" s="1"/>
  <c r="AP873" i="1"/>
  <c r="AQ873" i="1" s="1"/>
  <c r="AP872" i="1"/>
  <c r="AQ872" i="1" s="1"/>
  <c r="AR872" i="1" s="1"/>
  <c r="AL869" i="1"/>
  <c r="AP869" i="1" s="1"/>
  <c r="AP868" i="1"/>
  <c r="AS868" i="1" s="1"/>
  <c r="AP769" i="1"/>
  <c r="AS769" i="1" s="1"/>
  <c r="AL767" i="1"/>
  <c r="AP767" i="1" s="1"/>
  <c r="AS767" i="1" s="1"/>
  <c r="AP766" i="1"/>
  <c r="AS766" i="1" s="1"/>
  <c r="AP765" i="1"/>
  <c r="AS765" i="1" s="1"/>
  <c r="AL764" i="1"/>
  <c r="AP764" i="1" s="1"/>
  <c r="AL763" i="1"/>
  <c r="AP763" i="1" s="1"/>
  <c r="AL762" i="1"/>
  <c r="AP762" i="1" s="1"/>
  <c r="AS762" i="1" s="1"/>
  <c r="AP761" i="1"/>
  <c r="AS761" i="1" s="1"/>
  <c r="AP760" i="1"/>
  <c r="AS760" i="1" s="1"/>
  <c r="AL759" i="1"/>
  <c r="AP759" i="1" s="1"/>
  <c r="AS759" i="1" s="1"/>
  <c r="AL758" i="1"/>
  <c r="AP758" i="1" s="1"/>
  <c r="AL756" i="1"/>
  <c r="AP756" i="1" s="1"/>
  <c r="AS756" i="1" s="1"/>
  <c r="AL755" i="1"/>
  <c r="AP755" i="1" s="1"/>
  <c r="AL754" i="1"/>
  <c r="AP754" i="1" s="1"/>
  <c r="AL753" i="1"/>
  <c r="AP753" i="1" s="1"/>
  <c r="AP752" i="1"/>
  <c r="AS752" i="1" s="1"/>
  <c r="AP751" i="1"/>
  <c r="AS751" i="1" s="1"/>
  <c r="AL749" i="1"/>
  <c r="AP749" i="1" s="1"/>
  <c r="AS749" i="1" s="1"/>
  <c r="AL748" i="1"/>
  <c r="AP748" i="1" s="1"/>
  <c r="AL747" i="1"/>
  <c r="AP747" i="1" s="1"/>
  <c r="AS747" i="1" s="1"/>
  <c r="AL746" i="1"/>
  <c r="AP746" i="1" s="1"/>
  <c r="AL745" i="1"/>
  <c r="AP745" i="1" s="1"/>
  <c r="AS745" i="1" s="1"/>
  <c r="AL744" i="1"/>
  <c r="AP744" i="1" s="1"/>
  <c r="AL743" i="1"/>
  <c r="AP743" i="1" s="1"/>
  <c r="AP742" i="1"/>
  <c r="AQ742" i="1" s="1"/>
  <c r="AR742" i="1" s="1"/>
  <c r="AP741" i="1"/>
  <c r="AQ741" i="1" s="1"/>
  <c r="AR741" i="1" s="1"/>
  <c r="AP740" i="1"/>
  <c r="AQ740" i="1" s="1"/>
  <c r="AR740" i="1" s="1"/>
  <c r="AL739" i="1"/>
  <c r="AP739" i="1" s="1"/>
  <c r="AP738" i="1"/>
  <c r="AS738" i="1" s="1"/>
  <c r="AL737" i="1"/>
  <c r="AP737" i="1" s="1"/>
  <c r="AS737" i="1" s="1"/>
  <c r="AL736" i="1"/>
  <c r="AP736" i="1" s="1"/>
  <c r="AL735" i="1"/>
  <c r="AP735" i="1" s="1"/>
  <c r="AL734" i="1"/>
  <c r="AP734" i="1" s="1"/>
  <c r="AL733" i="1"/>
  <c r="AP733" i="1" s="1"/>
  <c r="AS733" i="1" s="1"/>
  <c r="AP732" i="1"/>
  <c r="AS732" i="1" s="1"/>
  <c r="AL731" i="1"/>
  <c r="AP731" i="1" s="1"/>
  <c r="AS731" i="1" s="1"/>
  <c r="AL730" i="1"/>
  <c r="AP730" i="1" s="1"/>
  <c r="AL729" i="1"/>
  <c r="AP729" i="1" s="1"/>
  <c r="AL728" i="1"/>
  <c r="AP728" i="1" s="1"/>
  <c r="AP712" i="1"/>
  <c r="AS712" i="1" s="1"/>
  <c r="AL711" i="1"/>
  <c r="AP711" i="1" s="1"/>
  <c r="AS711" i="1" s="1"/>
  <c r="AL710" i="1"/>
  <c r="AP710" i="1" s="1"/>
  <c r="AP709" i="1"/>
  <c r="AQ709" i="1" s="1"/>
  <c r="AR709" i="1" s="1"/>
  <c r="AP708" i="1"/>
  <c r="AQ708" i="1" s="1"/>
  <c r="AR708" i="1" s="1"/>
  <c r="AL707" i="1"/>
  <c r="AP707" i="1" s="1"/>
  <c r="AL706" i="1"/>
  <c r="AP706" i="1" s="1"/>
  <c r="AP705" i="1"/>
  <c r="AS705" i="1" s="1"/>
  <c r="AP704" i="1"/>
  <c r="AS704" i="1" s="1"/>
  <c r="AP703" i="1"/>
  <c r="AQ703" i="1" s="1"/>
  <c r="AP702" i="1"/>
  <c r="AQ702" i="1" s="1"/>
  <c r="AR702" i="1" s="1"/>
  <c r="AL700" i="1"/>
  <c r="AP700" i="1" s="1"/>
  <c r="AL699" i="1"/>
  <c r="AP699" i="1" s="1"/>
  <c r="AS699" i="1" s="1"/>
  <c r="AL698" i="1"/>
  <c r="AP698" i="1" s="1"/>
  <c r="AL697" i="1"/>
  <c r="AP697" i="1" s="1"/>
  <c r="AP695" i="1"/>
  <c r="AS695" i="1" s="1"/>
  <c r="AP694" i="1"/>
  <c r="AS694" i="1" s="1"/>
  <c r="AL692" i="1"/>
  <c r="AP692" i="1" s="1"/>
  <c r="AL691" i="1"/>
  <c r="AP691" i="1" s="1"/>
  <c r="AL690" i="1"/>
  <c r="AP690" i="1" s="1"/>
  <c r="AP689" i="1"/>
  <c r="AS689" i="1" s="1"/>
  <c r="AP688" i="1"/>
  <c r="AS688" i="1" s="1"/>
  <c r="AL687" i="1"/>
  <c r="AP687" i="1" s="1"/>
  <c r="AS687" i="1" s="1"/>
  <c r="AP686" i="1"/>
  <c r="AS686" i="1" s="1"/>
  <c r="AP685" i="1"/>
  <c r="AS685" i="1" s="1"/>
  <c r="AP684" i="1"/>
  <c r="AS684" i="1" s="1"/>
  <c r="AP683" i="1"/>
  <c r="AQ683" i="1" s="1"/>
  <c r="AR683" i="1" s="1"/>
  <c r="AP682" i="1"/>
  <c r="AS682" i="1" s="1"/>
  <c r="AP681" i="1"/>
  <c r="AS681" i="1" s="1"/>
  <c r="AP680" i="1"/>
  <c r="AS680" i="1" s="1"/>
  <c r="AL645" i="1"/>
  <c r="AP645" i="1" s="1"/>
  <c r="AS645" i="1" s="1"/>
  <c r="AL644" i="1"/>
  <c r="AP644" i="1" s="1"/>
  <c r="AL643" i="1"/>
  <c r="AP643" i="1" s="1"/>
  <c r="AL642" i="1"/>
  <c r="AP642" i="1" s="1"/>
  <c r="AL641" i="1"/>
  <c r="AL630" i="1" s="1"/>
  <c r="AP630" i="1" s="1"/>
  <c r="AL640" i="1"/>
  <c r="AL701" i="1" s="1"/>
  <c r="AP701" i="1" s="1"/>
  <c r="AL639" i="1"/>
  <c r="AP639" i="1" s="1"/>
  <c r="AS639" i="1" s="1"/>
  <c r="AL638" i="1"/>
  <c r="AP638" i="1" s="1"/>
  <c r="AL637" i="1"/>
  <c r="AP637" i="1" s="1"/>
  <c r="AL636" i="1"/>
  <c r="AP636" i="1" s="1"/>
  <c r="AS636" i="1" s="1"/>
  <c r="AL635" i="1"/>
  <c r="AP635" i="1" s="1"/>
  <c r="AL634" i="1"/>
  <c r="AP634" i="1" s="1"/>
  <c r="AP633" i="1"/>
  <c r="AQ633" i="1" s="1"/>
  <c r="AR633" i="1" s="1"/>
  <c r="AL631" i="1"/>
  <c r="AL632" i="1" s="1"/>
  <c r="AP632" i="1" s="1"/>
  <c r="AP629" i="1"/>
  <c r="AS629" i="1" s="1"/>
  <c r="AP564" i="1"/>
  <c r="AS564" i="1" s="1"/>
  <c r="AP563" i="1"/>
  <c r="AS563" i="1" s="1"/>
  <c r="AP562" i="1"/>
  <c r="AS562" i="1" s="1"/>
  <c r="AP561" i="1"/>
  <c r="AS561" i="1" s="1"/>
  <c r="AP560" i="1"/>
  <c r="AS560" i="1" s="1"/>
  <c r="AL559" i="1"/>
  <c r="AP559" i="1" s="1"/>
  <c r="AS559" i="1" s="1"/>
  <c r="AP558" i="1"/>
  <c r="AS558" i="1" s="1"/>
  <c r="AL557" i="1"/>
  <c r="AP557" i="1" s="1"/>
  <c r="AP556" i="1"/>
  <c r="AS556" i="1" s="1"/>
  <c r="AP555" i="1"/>
  <c r="AS555" i="1" s="1"/>
  <c r="AP554" i="1"/>
  <c r="AS554" i="1" s="1"/>
  <c r="AP553" i="1"/>
  <c r="AS553" i="1" s="1"/>
  <c r="AP552" i="1"/>
  <c r="AS552" i="1" s="1"/>
  <c r="AL551" i="1"/>
  <c r="AP551" i="1" s="1"/>
  <c r="AL550" i="1"/>
  <c r="AP550" i="1" s="1"/>
  <c r="AL549" i="1"/>
  <c r="AP549" i="1" s="1"/>
  <c r="AS549" i="1" s="1"/>
  <c r="AL548" i="1"/>
  <c r="AP548" i="1" s="1"/>
  <c r="AP477" i="1"/>
  <c r="AS477" i="1" s="1"/>
  <c r="AP476" i="1"/>
  <c r="AS476" i="1" s="1"/>
  <c r="AP475" i="1"/>
  <c r="AS475" i="1" s="1"/>
  <c r="AP474" i="1"/>
  <c r="AS474" i="1" s="1"/>
  <c r="AP473" i="1"/>
  <c r="AQ473" i="1" s="1"/>
  <c r="AR473" i="1" s="1"/>
  <c r="AP472" i="1"/>
  <c r="AQ472" i="1" s="1"/>
  <c r="AR472" i="1" s="1"/>
  <c r="AP471" i="1"/>
  <c r="AQ471" i="1" s="1"/>
  <c r="AP470" i="1"/>
  <c r="AS470" i="1" s="1"/>
  <c r="AP469" i="1"/>
  <c r="AS469" i="1" s="1"/>
  <c r="AL468" i="1"/>
  <c r="AP468" i="1" s="1"/>
  <c r="AS468" i="1" s="1"/>
  <c r="AP467" i="1"/>
  <c r="AS467" i="1" s="1"/>
  <c r="AL466" i="1"/>
  <c r="AP466" i="1" s="1"/>
  <c r="AS466" i="1" s="1"/>
  <c r="AP465" i="1"/>
  <c r="AQ465" i="1" s="1"/>
  <c r="AP464" i="1"/>
  <c r="AS464" i="1" s="1"/>
  <c r="AL463" i="1"/>
  <c r="AP463" i="1" s="1"/>
  <c r="AS463" i="1" s="1"/>
  <c r="AL462" i="1"/>
  <c r="AP462" i="1" s="1"/>
  <c r="AP461" i="1"/>
  <c r="AQ461" i="1" s="1"/>
  <c r="AR461" i="1" s="1"/>
  <c r="AL460" i="1"/>
  <c r="AP460" i="1" s="1"/>
  <c r="AL459" i="1"/>
  <c r="AP459" i="1" s="1"/>
  <c r="AP458" i="1"/>
  <c r="AS458" i="1" s="1"/>
  <c r="AP457" i="1"/>
  <c r="AS457" i="1" s="1"/>
  <c r="AL456" i="1"/>
  <c r="AP456" i="1" s="1"/>
  <c r="AS456" i="1" s="1"/>
  <c r="AP455" i="1"/>
  <c r="AQ455" i="1" s="1"/>
  <c r="AP454" i="1"/>
  <c r="AS454" i="1" s="1"/>
  <c r="AP453" i="1"/>
  <c r="AS453" i="1" s="1"/>
  <c r="AP452" i="1"/>
  <c r="AS452" i="1" s="1"/>
  <c r="AP451" i="1"/>
  <c r="AS451" i="1" s="1"/>
  <c r="AP450" i="1"/>
  <c r="AS450" i="1" s="1"/>
  <c r="AL449" i="1"/>
  <c r="AP449" i="1" s="1"/>
  <c r="AS449" i="1" s="1"/>
  <c r="AP430" i="1"/>
  <c r="AS430" i="1" s="1"/>
  <c r="AL429" i="1"/>
  <c r="AP429" i="1" s="1"/>
  <c r="AS429" i="1" s="1"/>
  <c r="AP428" i="1"/>
  <c r="AS428" i="1" s="1"/>
  <c r="AL427" i="1"/>
  <c r="AP427" i="1" s="1"/>
  <c r="AP426" i="1"/>
  <c r="AQ426" i="1" s="1"/>
  <c r="AR426" i="1" s="1"/>
  <c r="AL425" i="1"/>
  <c r="AP425" i="1" s="1"/>
  <c r="AL424" i="1"/>
  <c r="AP424" i="1" s="1"/>
  <c r="AL423" i="1"/>
  <c r="AP423" i="1" s="1"/>
  <c r="AS423" i="1" s="1"/>
  <c r="AP422" i="1"/>
  <c r="AS422" i="1" s="1"/>
  <c r="AL421" i="1"/>
  <c r="AP421" i="1" s="1"/>
  <c r="AP420" i="1"/>
  <c r="AS420" i="1" s="1"/>
  <c r="AL419" i="1"/>
  <c r="AP419" i="1" s="1"/>
  <c r="AP399" i="1"/>
  <c r="AS399" i="1" s="1"/>
  <c r="AP398" i="1"/>
  <c r="AQ398" i="1" s="1"/>
  <c r="AR398" i="1" s="1"/>
  <c r="AL397" i="1"/>
  <c r="AP397" i="1" s="1"/>
  <c r="AL396" i="1"/>
  <c r="AP396" i="1" s="1"/>
  <c r="AS396" i="1" s="1"/>
  <c r="AP360" i="1"/>
  <c r="AS360" i="1" s="1"/>
  <c r="AP359" i="1"/>
  <c r="AS359" i="1" s="1"/>
  <c r="AP358" i="1"/>
  <c r="AS358" i="1" s="1"/>
  <c r="AL357" i="1"/>
  <c r="AP357" i="1" s="1"/>
  <c r="AS357" i="1" s="1"/>
  <c r="AL356" i="1"/>
  <c r="AP356" i="1" s="1"/>
  <c r="AL355" i="1"/>
  <c r="AP355" i="1" s="1"/>
  <c r="AL354" i="1"/>
  <c r="AP354" i="1" s="1"/>
  <c r="AL353" i="1"/>
  <c r="AP353" i="1" s="1"/>
  <c r="AS353" i="1" s="1"/>
  <c r="AL352" i="1"/>
  <c r="AP352" i="1" s="1"/>
  <c r="AS352" i="1" s="1"/>
  <c r="AL351" i="1"/>
  <c r="AP351" i="1" s="1"/>
  <c r="AL350" i="1"/>
  <c r="AP350" i="1" s="1"/>
  <c r="AL349" i="1"/>
  <c r="AP349" i="1" s="1"/>
  <c r="AS349" i="1" s="1"/>
  <c r="AL348" i="1"/>
  <c r="AP348" i="1" s="1"/>
  <c r="AP347" i="1"/>
  <c r="AQ347" i="1" s="1"/>
  <c r="AR347" i="1" s="1"/>
  <c r="AL346" i="1"/>
  <c r="AP346" i="1" s="1"/>
  <c r="AP345" i="1"/>
  <c r="AQ345" i="1" s="1"/>
  <c r="AR345" i="1" s="1"/>
  <c r="AP344" i="1"/>
  <c r="AQ344" i="1" s="1"/>
  <c r="AR344" i="1" s="1"/>
  <c r="AP343" i="1"/>
  <c r="AQ343" i="1" s="1"/>
  <c r="AR343" i="1" s="1"/>
  <c r="AP342" i="1"/>
  <c r="AQ342" i="1" s="1"/>
  <c r="AR342" i="1" s="1"/>
  <c r="AP341" i="1"/>
  <c r="AQ341" i="1" s="1"/>
  <c r="AR341" i="1" s="1"/>
  <c r="AP340" i="1"/>
  <c r="AQ340" i="1" s="1"/>
  <c r="AR340" i="1" s="1"/>
  <c r="AP339" i="1"/>
  <c r="AQ339" i="1" s="1"/>
  <c r="AR339" i="1" s="1"/>
  <c r="AP338" i="1"/>
  <c r="AQ338" i="1" s="1"/>
  <c r="AR338" i="1" s="1"/>
  <c r="AP337" i="1"/>
  <c r="AQ337" i="1" s="1"/>
  <c r="AR337" i="1" s="1"/>
  <c r="AP336" i="1"/>
  <c r="AQ336" i="1" s="1"/>
  <c r="AR336" i="1" s="1"/>
  <c r="AP335" i="1"/>
  <c r="AQ335" i="1" s="1"/>
  <c r="AR335" i="1" s="1"/>
  <c r="AP334" i="1"/>
  <c r="AQ334" i="1" s="1"/>
  <c r="AR334" i="1" s="1"/>
  <c r="AL273" i="1"/>
  <c r="AP273" i="1" s="1"/>
  <c r="AL272" i="1"/>
  <c r="AP272" i="1" s="1"/>
  <c r="AS272" i="1" s="1"/>
  <c r="AL271" i="1"/>
  <c r="AP271" i="1" s="1"/>
  <c r="AL270" i="1"/>
  <c r="AP270" i="1" s="1"/>
  <c r="AL269" i="1"/>
  <c r="AP269" i="1" s="1"/>
  <c r="AL268" i="1"/>
  <c r="AP268" i="1" s="1"/>
  <c r="AS268" i="1" s="1"/>
  <c r="AL267" i="1"/>
  <c r="AP267" i="1" s="1"/>
  <c r="AS267" i="1" s="1"/>
  <c r="AL266" i="1"/>
  <c r="AP266" i="1" s="1"/>
  <c r="AL265" i="1"/>
  <c r="AP265" i="1" s="1"/>
  <c r="AL264" i="1"/>
  <c r="AP264" i="1" s="1"/>
  <c r="AS264" i="1" s="1"/>
  <c r="AL263" i="1"/>
  <c r="AP263" i="1" s="1"/>
  <c r="AP262" i="1"/>
  <c r="AS262" i="1" s="1"/>
  <c r="AL261" i="1"/>
  <c r="AP261" i="1" s="1"/>
  <c r="AS261" i="1" s="1"/>
  <c r="AL260" i="1"/>
  <c r="AP260" i="1" s="1"/>
  <c r="AL259" i="1"/>
  <c r="AP259" i="1" s="1"/>
  <c r="AS259" i="1" s="1"/>
  <c r="AL258" i="1"/>
  <c r="AP258" i="1" s="1"/>
  <c r="AS258" i="1" s="1"/>
  <c r="AL257" i="1"/>
  <c r="AP257" i="1" s="1"/>
  <c r="AS257" i="1" s="1"/>
  <c r="AL256" i="1"/>
  <c r="AP256" i="1" s="1"/>
  <c r="AL255" i="1"/>
  <c r="AP255" i="1" s="1"/>
  <c r="AS255" i="1" s="1"/>
  <c r="AL254" i="1"/>
  <c r="AP254" i="1" s="1"/>
  <c r="AS254" i="1" s="1"/>
  <c r="AL253" i="1"/>
  <c r="AP253" i="1" s="1"/>
  <c r="AS253" i="1" s="1"/>
  <c r="AP221" i="1"/>
  <c r="AS221" i="1" s="1"/>
  <c r="AP219" i="1"/>
  <c r="AS219" i="1" s="1"/>
  <c r="AP218" i="1"/>
  <c r="AS218" i="1" s="1"/>
  <c r="AP217" i="1"/>
  <c r="AQ217" i="1" s="1"/>
  <c r="AP216" i="1"/>
  <c r="AQ216" i="1" s="1"/>
  <c r="AR216" i="1" s="1"/>
  <c r="AP215" i="1"/>
  <c r="AQ215" i="1" s="1"/>
  <c r="AR215" i="1" s="1"/>
  <c r="AP214" i="1"/>
  <c r="AQ214" i="1" s="1"/>
  <c r="AR214" i="1" s="1"/>
  <c r="AP213" i="1"/>
  <c r="AQ213" i="1" s="1"/>
  <c r="AR213" i="1" s="1"/>
  <c r="AP212" i="1"/>
  <c r="AS212" i="1" s="1"/>
  <c r="AL211" i="1"/>
  <c r="AP211" i="1" s="1"/>
  <c r="AS211" i="1" s="1"/>
  <c r="AL210" i="1"/>
  <c r="AP210" i="1" s="1"/>
  <c r="AL209" i="1"/>
  <c r="AP209" i="1" s="1"/>
  <c r="AQ209" i="1" s="1"/>
  <c r="AR209" i="1" s="1"/>
  <c r="AL208" i="1"/>
  <c r="AP208" i="1" s="1"/>
  <c r="AL207" i="1"/>
  <c r="AP207" i="1" s="1"/>
  <c r="AS207" i="1" s="1"/>
  <c r="AL206" i="1"/>
  <c r="AP206" i="1" s="1"/>
  <c r="AP205" i="1"/>
  <c r="AQ205" i="1" s="1"/>
  <c r="AR205" i="1" s="1"/>
  <c r="AP204" i="1"/>
  <c r="AQ204" i="1" s="1"/>
  <c r="AR204" i="1" s="1"/>
  <c r="AP203" i="1"/>
  <c r="AQ203" i="1" s="1"/>
  <c r="AR203" i="1" s="1"/>
  <c r="AP202" i="1"/>
  <c r="AQ202" i="1" s="1"/>
  <c r="AR202" i="1" s="1"/>
  <c r="AP201" i="1"/>
  <c r="AQ201" i="1" s="1"/>
  <c r="AR201" i="1" s="1"/>
  <c r="AP200" i="1"/>
  <c r="AQ200" i="1" s="1"/>
  <c r="AR200" i="1" s="1"/>
  <c r="AP199" i="1"/>
  <c r="AQ199" i="1" s="1"/>
  <c r="AR199" i="1" s="1"/>
  <c r="AL197" i="1"/>
  <c r="AP197" i="1" s="1"/>
  <c r="AS197" i="1" s="1"/>
  <c r="AL195" i="1"/>
  <c r="AP195" i="1" s="1"/>
  <c r="AS195" i="1" s="1"/>
  <c r="AP194" i="1"/>
  <c r="AS194" i="1" s="1"/>
  <c r="AP193" i="1"/>
  <c r="AS193" i="1" s="1"/>
  <c r="AL192" i="1"/>
  <c r="AP192" i="1" s="1"/>
  <c r="AL191" i="1"/>
  <c r="AP191" i="1" s="1"/>
  <c r="AP190" i="1"/>
  <c r="AS190" i="1" s="1"/>
  <c r="AL189" i="1"/>
  <c r="AP189" i="1" s="1"/>
  <c r="AL188" i="1"/>
  <c r="AP188" i="1" s="1"/>
  <c r="AS188" i="1" s="1"/>
  <c r="AL187" i="1"/>
  <c r="AP187" i="1" s="1"/>
  <c r="AP185" i="1"/>
  <c r="AQ185" i="1" s="1"/>
  <c r="AR185" i="1" s="1"/>
  <c r="AP184" i="1"/>
  <c r="AS184" i="1" s="1"/>
  <c r="AP183" i="1"/>
  <c r="AS183" i="1" s="1"/>
  <c r="AL182" i="1"/>
  <c r="AP182" i="1" s="1"/>
  <c r="AS182" i="1" s="1"/>
  <c r="AL181" i="1"/>
  <c r="AP181" i="1" s="1"/>
  <c r="AS181" i="1" s="1"/>
  <c r="AL180" i="1"/>
  <c r="AP180" i="1" s="1"/>
  <c r="AL179" i="1"/>
  <c r="AP179" i="1" s="1"/>
  <c r="AL177" i="1"/>
  <c r="AP177" i="1" s="1"/>
  <c r="AP176" i="1"/>
  <c r="AQ176" i="1" s="1"/>
  <c r="AR176" i="1" s="1"/>
  <c r="AL175" i="1"/>
  <c r="AL178" i="1" s="1"/>
  <c r="AP178" i="1" s="1"/>
  <c r="AL174" i="1"/>
  <c r="AP174" i="1" s="1"/>
  <c r="AL173" i="1"/>
  <c r="AP173" i="1" s="1"/>
  <c r="AS173" i="1" s="1"/>
  <c r="AL172" i="1"/>
  <c r="AP172" i="1" s="1"/>
  <c r="AL171" i="1"/>
  <c r="AP171" i="1" s="1"/>
  <c r="AL170" i="1"/>
  <c r="AP170" i="1" s="1"/>
  <c r="AL169" i="1"/>
  <c r="AP169" i="1" s="1"/>
  <c r="AS169" i="1" s="1"/>
  <c r="AL168" i="1"/>
  <c r="AP168" i="1" s="1"/>
  <c r="AP167" i="1"/>
  <c r="AQ167" i="1" s="1"/>
  <c r="AR167" i="1" s="1"/>
  <c r="AP166" i="1"/>
  <c r="AQ166" i="1" s="1"/>
  <c r="AR166" i="1" s="1"/>
  <c r="AP142" i="1"/>
  <c r="AS142" i="1" s="1"/>
  <c r="AP141" i="1"/>
  <c r="AS141" i="1" s="1"/>
  <c r="AP140" i="1"/>
  <c r="AS140" i="1" s="1"/>
  <c r="AL139" i="1"/>
  <c r="AP139" i="1" s="1"/>
  <c r="AS139" i="1" s="1"/>
  <c r="AP138" i="1"/>
  <c r="AQ138" i="1" s="1"/>
  <c r="AR138" i="1" s="1"/>
  <c r="AP137" i="1"/>
  <c r="AS137" i="1" s="1"/>
  <c r="AP136" i="1"/>
  <c r="AS136" i="1" s="1"/>
  <c r="AP134" i="1"/>
  <c r="AS134" i="1" s="1"/>
  <c r="AP133" i="1"/>
  <c r="AS133" i="1" s="1"/>
  <c r="AP132" i="1"/>
  <c r="AS132" i="1" s="1"/>
  <c r="AP131" i="1"/>
  <c r="AS131" i="1" s="1"/>
  <c r="AP130" i="1"/>
  <c r="AS130" i="1" s="1"/>
  <c r="AP129" i="1"/>
  <c r="AS129" i="1" s="1"/>
  <c r="AP94" i="1"/>
  <c r="AS94" i="1" s="1"/>
  <c r="AL93" i="1"/>
  <c r="AP93" i="1" s="1"/>
  <c r="AS93" i="1" s="1"/>
  <c r="AP92" i="1"/>
  <c r="AS92" i="1" s="1"/>
  <c r="AP91" i="1"/>
  <c r="AQ91" i="1" s="1"/>
  <c r="AP90" i="1"/>
  <c r="AS90" i="1" s="1"/>
  <c r="AP89" i="1"/>
  <c r="AQ89" i="1" s="1"/>
  <c r="AR89" i="1" s="1"/>
  <c r="AP88" i="1"/>
  <c r="AQ88" i="1" s="1"/>
  <c r="AR88" i="1" s="1"/>
  <c r="AP87" i="1"/>
  <c r="AQ87" i="1" s="1"/>
  <c r="AR87" i="1" s="1"/>
  <c r="AP86" i="1"/>
  <c r="AQ86" i="1" s="1"/>
  <c r="AR86" i="1" s="1"/>
  <c r="AP85" i="1"/>
  <c r="AS85" i="1" s="1"/>
  <c r="AP84" i="1"/>
  <c r="AS84" i="1" s="1"/>
  <c r="AP83" i="1"/>
  <c r="AQ83" i="1" s="1"/>
  <c r="AP82" i="1"/>
  <c r="AS82" i="1" s="1"/>
  <c r="AP81" i="1"/>
  <c r="AQ81" i="1" s="1"/>
  <c r="AR81" i="1" s="1"/>
  <c r="AP80" i="1"/>
  <c r="AQ80" i="1" s="1"/>
  <c r="AR80" i="1" s="1"/>
  <c r="AL78" i="1"/>
  <c r="AP78" i="1" s="1"/>
  <c r="AS78" i="1" s="1"/>
  <c r="AP77" i="1"/>
  <c r="AS77" i="1" s="1"/>
  <c r="AP76" i="1"/>
  <c r="AS76" i="1" s="1"/>
  <c r="AP75" i="1"/>
  <c r="AS75" i="1" s="1"/>
  <c r="AP74" i="1"/>
  <c r="AS74" i="1" s="1"/>
  <c r="AP73" i="1"/>
  <c r="AS73" i="1" s="1"/>
  <c r="AP72" i="1"/>
  <c r="AS72" i="1" s="1"/>
  <c r="AP71" i="1"/>
  <c r="AS71" i="1" s="1"/>
  <c r="AP70" i="1"/>
  <c r="AS70" i="1" s="1"/>
  <c r="AP69" i="1"/>
  <c r="AS69" i="1" s="1"/>
  <c r="AP68" i="1"/>
  <c r="AS68" i="1" s="1"/>
  <c r="AP67" i="1"/>
  <c r="AS67" i="1" s="1"/>
  <c r="AP66" i="1"/>
  <c r="AS66" i="1" s="1"/>
  <c r="AP65" i="1"/>
  <c r="AS65" i="1" s="1"/>
  <c r="AL64" i="1"/>
  <c r="AP64" i="1" s="1"/>
  <c r="AS64" i="1" s="1"/>
  <c r="AP63" i="1"/>
  <c r="AS63" i="1" s="1"/>
  <c r="AP52" i="1"/>
  <c r="AS52" i="1" s="1"/>
  <c r="AL51" i="1"/>
  <c r="AP51" i="1" s="1"/>
  <c r="AL50" i="1"/>
  <c r="AP50" i="1" s="1"/>
  <c r="AS50" i="1" s="1"/>
  <c r="AP49" i="1"/>
  <c r="AS49" i="1" s="1"/>
  <c r="AP48" i="1"/>
  <c r="AS48" i="1" s="1"/>
  <c r="AL47" i="1"/>
  <c r="AP47" i="1" s="1"/>
  <c r="AL46" i="1"/>
  <c r="AP46" i="1" s="1"/>
  <c r="AP45" i="1"/>
  <c r="AQ45" i="1" s="1"/>
  <c r="AR45" i="1" s="1"/>
  <c r="AP44" i="1"/>
  <c r="AQ44" i="1" s="1"/>
  <c r="AR44" i="1" s="1"/>
  <c r="AL43" i="1"/>
  <c r="AP43" i="1" s="1"/>
  <c r="AL42" i="1"/>
  <c r="AP42" i="1" s="1"/>
  <c r="AS42" i="1" s="1"/>
  <c r="AL41" i="1"/>
  <c r="AP41" i="1" s="1"/>
  <c r="AS41" i="1" s="1"/>
  <c r="AP40" i="1"/>
  <c r="AS40" i="1" s="1"/>
  <c r="AL39" i="1"/>
  <c r="AP39" i="1" s="1"/>
  <c r="AL38" i="1"/>
  <c r="AP38" i="1" s="1"/>
  <c r="AL37" i="1"/>
  <c r="AP37" i="1" s="1"/>
  <c r="AL36" i="1"/>
  <c r="AP36" i="1" s="1"/>
  <c r="AS36" i="1" s="1"/>
  <c r="AP35" i="1"/>
  <c r="AS35" i="1" s="1"/>
  <c r="AP34" i="1"/>
  <c r="AS34" i="1" s="1"/>
  <c r="AP11" i="1"/>
  <c r="AS11" i="1" s="1"/>
  <c r="AL10" i="1"/>
  <c r="AP10" i="1" s="1"/>
  <c r="AL9" i="1"/>
  <c r="AP9" i="1" s="1"/>
  <c r="AL8" i="1"/>
  <c r="AP8" i="1" s="1"/>
  <c r="AS8" i="1" s="1"/>
  <c r="AL7" i="1"/>
  <c r="AP7" i="1" s="1"/>
  <c r="AP6" i="1"/>
  <c r="AQ6" i="1" s="1"/>
  <c r="AL5" i="1"/>
  <c r="AP5" i="1" s="1"/>
  <c r="AS5" i="1" s="1"/>
  <c r="AQ194" i="1" l="1"/>
  <c r="AR194" i="1" s="1"/>
  <c r="AQ40" i="1"/>
  <c r="AR40" i="1" s="1"/>
  <c r="AS45" i="1"/>
  <c r="AS86" i="1"/>
  <c r="AQ262" i="1"/>
  <c r="AR262" i="1" s="1"/>
  <c r="AS426" i="1"/>
  <c r="AS473" i="1"/>
  <c r="AS683" i="1"/>
  <c r="AL547" i="1"/>
  <c r="AP547" i="1" s="1"/>
  <c r="AQ34" i="1"/>
  <c r="AR34" i="1" s="1"/>
  <c r="AS343" i="1"/>
  <c r="AS427" i="1"/>
  <c r="AQ427" i="1"/>
  <c r="AR427" i="1" s="1"/>
  <c r="AS47" i="1"/>
  <c r="AQ47" i="1"/>
  <c r="AR47" i="1" s="1"/>
  <c r="AS548" i="1"/>
  <c r="AQ548" i="1"/>
  <c r="AR548" i="1" s="1"/>
  <c r="AS356" i="1"/>
  <c r="AQ356" i="1"/>
  <c r="AR356" i="1" s="1"/>
  <c r="AS341" i="1"/>
  <c r="AS633" i="1"/>
  <c r="AQ732" i="1"/>
  <c r="AR732" i="1" s="1"/>
  <c r="AS873" i="1"/>
  <c r="AS6" i="1"/>
  <c r="AQ92" i="1"/>
  <c r="AR92" i="1" s="1"/>
  <c r="AQ193" i="1"/>
  <c r="AR193" i="1" s="1"/>
  <c r="AS339" i="1"/>
  <c r="AS347" i="1"/>
  <c r="AQ680" i="1"/>
  <c r="AR680" i="1" s="1"/>
  <c r="AQ682" i="1"/>
  <c r="AR682" i="1" s="1"/>
  <c r="AQ684" i="1"/>
  <c r="AR684" i="1" s="1"/>
  <c r="AQ686" i="1"/>
  <c r="AR686" i="1" s="1"/>
  <c r="AS89" i="1"/>
  <c r="AQ137" i="1"/>
  <c r="AR137" i="1" s="1"/>
  <c r="AQ49" i="1"/>
  <c r="AR49" i="1" s="1"/>
  <c r="AS88" i="1"/>
  <c r="AS138" i="1"/>
  <c r="AS337" i="1"/>
  <c r="AS345" i="1"/>
  <c r="AS872" i="1"/>
  <c r="AS177" i="1"/>
  <c r="AQ177" i="1"/>
  <c r="AR177" i="1" s="1"/>
  <c r="AS192" i="1"/>
  <c r="AQ192" i="1"/>
  <c r="AR192" i="1" s="1"/>
  <c r="AS206" i="1"/>
  <c r="AQ206" i="1"/>
  <c r="AR206" i="1" s="1"/>
  <c r="AS421" i="1"/>
  <c r="AQ421" i="1"/>
  <c r="AR421" i="1" s="1"/>
  <c r="AS210" i="1"/>
  <c r="AQ210" i="1"/>
  <c r="AR210" i="1" s="1"/>
  <c r="AS263" i="1"/>
  <c r="AQ263" i="1"/>
  <c r="AR263" i="1" s="1"/>
  <c r="AS557" i="1"/>
  <c r="AQ557" i="1"/>
  <c r="AR557" i="1" s="1"/>
  <c r="AS643" i="1"/>
  <c r="AQ643" i="1"/>
  <c r="AS730" i="1"/>
  <c r="AQ730" i="1"/>
  <c r="AR730" i="1" s="1"/>
  <c r="AS743" i="1"/>
  <c r="AQ743" i="1"/>
  <c r="AR743" i="1" s="1"/>
  <c r="AS754" i="1"/>
  <c r="AQ754" i="1"/>
  <c r="AR754" i="1" s="1"/>
  <c r="AS187" i="1"/>
  <c r="AQ187" i="1"/>
  <c r="AR187" i="1" s="1"/>
  <c r="AS644" i="1"/>
  <c r="AQ644" i="1"/>
  <c r="AR644" i="1" s="1"/>
  <c r="AS736" i="1"/>
  <c r="AQ736" i="1"/>
  <c r="AR736" i="1" s="1"/>
  <c r="AS744" i="1"/>
  <c r="AQ744" i="1"/>
  <c r="AR744" i="1" s="1"/>
  <c r="AS755" i="1"/>
  <c r="AQ755" i="1"/>
  <c r="AR755" i="1" s="1"/>
  <c r="AS271" i="1"/>
  <c r="AQ271" i="1"/>
  <c r="AR271" i="1" s="1"/>
  <c r="AS348" i="1"/>
  <c r="AQ348" i="1"/>
  <c r="AR348" i="1" s="1"/>
  <c r="AS635" i="1"/>
  <c r="AQ635" i="1"/>
  <c r="AR635" i="1" s="1"/>
  <c r="AS748" i="1"/>
  <c r="AQ748" i="1"/>
  <c r="AR748" i="1" s="1"/>
  <c r="AQ352" i="1"/>
  <c r="AR352" i="1" s="1"/>
  <c r="AQ422" i="1"/>
  <c r="AR422" i="1" s="1"/>
  <c r="AS461" i="1"/>
  <c r="AQ558" i="1"/>
  <c r="AR558" i="1" s="1"/>
  <c r="AQ35" i="1"/>
  <c r="AR35" i="1" s="1"/>
  <c r="AQ41" i="1"/>
  <c r="AR41" i="1" s="1"/>
  <c r="AS80" i="1"/>
  <c r="AQ85" i="1"/>
  <c r="AQ136" i="1"/>
  <c r="AR136" i="1" s="1"/>
  <c r="AS167" i="1"/>
  <c r="AS176" i="1"/>
  <c r="AQ181" i="1"/>
  <c r="AR181" i="1" s="1"/>
  <c r="AS185" i="1"/>
  <c r="AS214" i="1"/>
  <c r="AS216" i="1"/>
  <c r="AQ257" i="1"/>
  <c r="AR257" i="1" s="1"/>
  <c r="AQ258" i="1"/>
  <c r="AR258" i="1" s="1"/>
  <c r="AQ267" i="1"/>
  <c r="AR267" i="1" s="1"/>
  <c r="AS334" i="1"/>
  <c r="AS336" i="1"/>
  <c r="AS338" i="1"/>
  <c r="AS340" i="1"/>
  <c r="AS342" i="1"/>
  <c r="AS344" i="1"/>
  <c r="AS398" i="1"/>
  <c r="AQ420" i="1"/>
  <c r="AR420" i="1" s="1"/>
  <c r="AQ428" i="1"/>
  <c r="AR428" i="1" s="1"/>
  <c r="AQ467" i="1"/>
  <c r="AR467" i="1" s="1"/>
  <c r="AQ553" i="1"/>
  <c r="AR553" i="1" s="1"/>
  <c r="AQ554" i="1"/>
  <c r="AR554" i="1" s="1"/>
  <c r="AQ555" i="1"/>
  <c r="AR555" i="1" s="1"/>
  <c r="AQ556" i="1"/>
  <c r="AR556" i="1" s="1"/>
  <c r="AQ629" i="1"/>
  <c r="AR629" i="1" s="1"/>
  <c r="AP631" i="1"/>
  <c r="AS631" i="1" s="1"/>
  <c r="AP640" i="1"/>
  <c r="AS640" i="1" s="1"/>
  <c r="AQ681" i="1"/>
  <c r="AR681" i="1" s="1"/>
  <c r="AQ685" i="1"/>
  <c r="AR685" i="1" s="1"/>
  <c r="AL693" i="1"/>
  <c r="AS702" i="1"/>
  <c r="AS708" i="1"/>
  <c r="AS740" i="1"/>
  <c r="AS742" i="1"/>
  <c r="AQ5" i="1"/>
  <c r="AR5" i="1" s="1"/>
  <c r="AS44" i="1"/>
  <c r="AQ48" i="1"/>
  <c r="AR48" i="1" s="1"/>
  <c r="AQ63" i="1"/>
  <c r="AR63" i="1" s="1"/>
  <c r="AQ84" i="1"/>
  <c r="AS87" i="1"/>
  <c r="AL220" i="1"/>
  <c r="AP220" i="1" s="1"/>
  <c r="AS220" i="1" s="1"/>
  <c r="AS472" i="1"/>
  <c r="AQ552" i="1"/>
  <c r="AR552" i="1" s="1"/>
  <c r="AQ747" i="1"/>
  <c r="AR747" i="1" s="1"/>
  <c r="AS894" i="1"/>
  <c r="AS166" i="1"/>
  <c r="AS213" i="1"/>
  <c r="AS215" i="1"/>
  <c r="AS217" i="1"/>
  <c r="AQ253" i="1"/>
  <c r="AR253" i="1" s="1"/>
  <c r="AQ254" i="1"/>
  <c r="AR254" i="1" s="1"/>
  <c r="AQ261" i="1"/>
  <c r="AR261" i="1" s="1"/>
  <c r="AS335" i="1"/>
  <c r="AQ639" i="1"/>
  <c r="AR639" i="1" s="1"/>
  <c r="AS703" i="1"/>
  <c r="AS709" i="1"/>
  <c r="AS741" i="1"/>
  <c r="AQ895" i="1"/>
  <c r="AQ888" i="1"/>
  <c r="AR888" i="1" s="1"/>
  <c r="AQ882" i="1"/>
  <c r="AR882" i="1" s="1"/>
  <c r="AQ883" i="1"/>
  <c r="AR883" i="1" s="1"/>
  <c r="AQ884" i="1"/>
  <c r="AR884" i="1" s="1"/>
  <c r="AQ885" i="1"/>
  <c r="AR885" i="1" s="1"/>
  <c r="AS879" i="1"/>
  <c r="AQ879" i="1"/>
  <c r="AS880" i="1"/>
  <c r="AQ880" i="1"/>
  <c r="AR880" i="1" s="1"/>
  <c r="AQ875" i="1"/>
  <c r="AR875" i="1" s="1"/>
  <c r="AQ876" i="1"/>
  <c r="AR876" i="1" s="1"/>
  <c r="AQ877" i="1"/>
  <c r="AR877" i="1" s="1"/>
  <c r="AQ878" i="1"/>
  <c r="AR878" i="1" s="1"/>
  <c r="AS869" i="1"/>
  <c r="AQ869" i="1"/>
  <c r="AQ868" i="1"/>
  <c r="AR868" i="1" s="1"/>
  <c r="AQ769" i="1"/>
  <c r="AR769" i="1" s="1"/>
  <c r="AQ763" i="1"/>
  <c r="AR763" i="1" s="1"/>
  <c r="AS763" i="1"/>
  <c r="AS758" i="1"/>
  <c r="AQ758" i="1"/>
  <c r="AR758" i="1" s="1"/>
  <c r="AQ764" i="1"/>
  <c r="AS764" i="1"/>
  <c r="AQ759" i="1"/>
  <c r="AR759" i="1" s="1"/>
  <c r="AQ760" i="1"/>
  <c r="AR760" i="1" s="1"/>
  <c r="AQ761" i="1"/>
  <c r="AR761" i="1" s="1"/>
  <c r="AQ762" i="1"/>
  <c r="AR762" i="1" s="1"/>
  <c r="AQ766" i="1"/>
  <c r="AQ767" i="1"/>
  <c r="AR767" i="1" s="1"/>
  <c r="AQ765" i="1"/>
  <c r="AQ753" i="1"/>
  <c r="AR753" i="1" s="1"/>
  <c r="AS753" i="1"/>
  <c r="AQ751" i="1"/>
  <c r="AR751" i="1" s="1"/>
  <c r="AQ752" i="1"/>
  <c r="AR752" i="1" s="1"/>
  <c r="AQ756" i="1"/>
  <c r="AR756" i="1" s="1"/>
  <c r="AQ729" i="1"/>
  <c r="AR729" i="1" s="1"/>
  <c r="AS729" i="1"/>
  <c r="AQ734" i="1"/>
  <c r="AR734" i="1" s="1"/>
  <c r="AS734" i="1"/>
  <c r="AQ739" i="1"/>
  <c r="AR739" i="1" s="1"/>
  <c r="AS739" i="1"/>
  <c r="AQ746" i="1"/>
  <c r="AR746" i="1" s="1"/>
  <c r="AS746" i="1"/>
  <c r="AS728" i="1"/>
  <c r="AQ728" i="1"/>
  <c r="AR728" i="1" s="1"/>
  <c r="AQ735" i="1"/>
  <c r="AR735" i="1" s="1"/>
  <c r="AS735" i="1"/>
  <c r="AQ731" i="1"/>
  <c r="AR731" i="1" s="1"/>
  <c r="AQ733" i="1"/>
  <c r="AR733" i="1" s="1"/>
  <c r="AQ737" i="1"/>
  <c r="AR737" i="1" s="1"/>
  <c r="AQ738" i="1"/>
  <c r="AR738" i="1" s="1"/>
  <c r="AQ745" i="1"/>
  <c r="AR745" i="1" s="1"/>
  <c r="AQ749" i="1"/>
  <c r="AR749" i="1" s="1"/>
  <c r="AS692" i="1"/>
  <c r="AQ692" i="1"/>
  <c r="AR692" i="1" s="1"/>
  <c r="AQ710" i="1"/>
  <c r="AR710" i="1" s="1"/>
  <c r="AS710" i="1"/>
  <c r="AS690" i="1"/>
  <c r="AQ690" i="1"/>
  <c r="AR690" i="1" s="1"/>
  <c r="AQ697" i="1"/>
  <c r="AR697" i="1" s="1"/>
  <c r="AS697" i="1"/>
  <c r="AQ700" i="1"/>
  <c r="AR700" i="1" s="1"/>
  <c r="AS700" i="1"/>
  <c r="AQ706" i="1"/>
  <c r="AR706" i="1" s="1"/>
  <c r="AS706" i="1"/>
  <c r="AQ691" i="1"/>
  <c r="AR691" i="1" s="1"/>
  <c r="AS691" i="1"/>
  <c r="AQ698" i="1"/>
  <c r="AR698" i="1" s="1"/>
  <c r="AS698" i="1"/>
  <c r="AQ701" i="1"/>
  <c r="AR701" i="1" s="1"/>
  <c r="AS701" i="1"/>
  <c r="AQ707" i="1"/>
  <c r="AR707" i="1" s="1"/>
  <c r="AS707" i="1"/>
  <c r="AQ687" i="1"/>
  <c r="AR687" i="1" s="1"/>
  <c r="AQ705" i="1"/>
  <c r="AR705" i="1" s="1"/>
  <c r="AQ711" i="1"/>
  <c r="AR711" i="1" s="1"/>
  <c r="AQ704" i="1"/>
  <c r="AQ688" i="1"/>
  <c r="AR688" i="1" s="1"/>
  <c r="AQ689" i="1"/>
  <c r="AR689" i="1" s="1"/>
  <c r="AQ694" i="1"/>
  <c r="AR694" i="1" s="1"/>
  <c r="AQ695" i="1"/>
  <c r="AR695" i="1" s="1"/>
  <c r="AQ699" i="1"/>
  <c r="AR699" i="1" s="1"/>
  <c r="AQ712" i="1"/>
  <c r="AR712" i="1" s="1"/>
  <c r="AQ634" i="1"/>
  <c r="AR634" i="1" s="1"/>
  <c r="AS634" i="1"/>
  <c r="AQ632" i="1"/>
  <c r="AR632" i="1" s="1"/>
  <c r="AS632" i="1"/>
  <c r="AS630" i="1"/>
  <c r="AQ630" i="1"/>
  <c r="AR630" i="1" s="1"/>
  <c r="AQ637" i="1"/>
  <c r="AR637" i="1" s="1"/>
  <c r="AS637" i="1"/>
  <c r="AQ642" i="1"/>
  <c r="AR642" i="1" s="1"/>
  <c r="AS642" i="1"/>
  <c r="AQ638" i="1"/>
  <c r="AR638" i="1" s="1"/>
  <c r="AS638" i="1"/>
  <c r="AQ631" i="1"/>
  <c r="AR631" i="1" s="1"/>
  <c r="AQ636" i="1"/>
  <c r="AR636" i="1" s="1"/>
  <c r="AP641" i="1"/>
  <c r="AQ645" i="1"/>
  <c r="AR645" i="1" s="1"/>
  <c r="AQ551" i="1"/>
  <c r="AR551" i="1" s="1"/>
  <c r="AS551" i="1"/>
  <c r="AQ547" i="1"/>
  <c r="AR547" i="1" s="1"/>
  <c r="AS547" i="1"/>
  <c r="AS550" i="1"/>
  <c r="AQ550" i="1"/>
  <c r="AR550" i="1" s="1"/>
  <c r="AQ549" i="1"/>
  <c r="AR549" i="1" s="1"/>
  <c r="AQ559" i="1"/>
  <c r="AR559" i="1" s="1"/>
  <c r="AQ560" i="1"/>
  <c r="AR560" i="1" s="1"/>
  <c r="AQ561" i="1"/>
  <c r="AR561" i="1" s="1"/>
  <c r="AQ562" i="1"/>
  <c r="AR562" i="1" s="1"/>
  <c r="AQ563" i="1"/>
  <c r="AR563" i="1" s="1"/>
  <c r="AQ564" i="1"/>
  <c r="AR564" i="1" s="1"/>
  <c r="AQ459" i="1"/>
  <c r="AR459" i="1" s="1"/>
  <c r="AS459" i="1"/>
  <c r="AS462" i="1"/>
  <c r="AQ462" i="1"/>
  <c r="AR462" i="1" s="1"/>
  <c r="AQ460" i="1"/>
  <c r="AR460" i="1" s="1"/>
  <c r="AS460" i="1"/>
  <c r="AQ451" i="1"/>
  <c r="AR451" i="1" s="1"/>
  <c r="AQ453" i="1"/>
  <c r="AR453" i="1" s="1"/>
  <c r="AQ454" i="1"/>
  <c r="AR454" i="1" s="1"/>
  <c r="AQ456" i="1"/>
  <c r="AR456" i="1" s="1"/>
  <c r="AQ457" i="1"/>
  <c r="AR457" i="1" s="1"/>
  <c r="AQ458" i="1"/>
  <c r="AR458" i="1" s="1"/>
  <c r="AQ463" i="1"/>
  <c r="AR463" i="1" s="1"/>
  <c r="AQ464" i="1"/>
  <c r="AR464" i="1" s="1"/>
  <c r="AQ466" i="1"/>
  <c r="AQ468" i="1"/>
  <c r="AR468" i="1" s="1"/>
  <c r="AQ469" i="1"/>
  <c r="AR469" i="1" s="1"/>
  <c r="AQ470" i="1"/>
  <c r="AQ475" i="1"/>
  <c r="AR475" i="1" s="1"/>
  <c r="AQ476" i="1"/>
  <c r="AR476" i="1" s="1"/>
  <c r="AS455" i="1"/>
  <c r="AS465" i="1"/>
  <c r="AQ474" i="1"/>
  <c r="AQ449" i="1"/>
  <c r="AR449" i="1" s="1"/>
  <c r="AQ450" i="1"/>
  <c r="AR450" i="1" s="1"/>
  <c r="AQ452" i="1"/>
  <c r="AR452" i="1" s="1"/>
  <c r="AQ477" i="1"/>
  <c r="AR477" i="1" s="1"/>
  <c r="AQ424" i="1"/>
  <c r="AR424" i="1" s="1"/>
  <c r="AS424" i="1"/>
  <c r="AQ419" i="1"/>
  <c r="AR419" i="1" s="1"/>
  <c r="AS419" i="1"/>
  <c r="AQ425" i="1"/>
  <c r="AR425" i="1" s="1"/>
  <c r="AS425" i="1"/>
  <c r="AQ429" i="1"/>
  <c r="AR429" i="1" s="1"/>
  <c r="AQ430" i="1"/>
  <c r="AR430" i="1" s="1"/>
  <c r="AQ423" i="1"/>
  <c r="AR423" i="1" s="1"/>
  <c r="AQ397" i="1"/>
  <c r="AR397" i="1" s="1"/>
  <c r="AS397" i="1"/>
  <c r="AQ396" i="1"/>
  <c r="AR396" i="1" s="1"/>
  <c r="AQ399" i="1"/>
  <c r="AQ351" i="1"/>
  <c r="AR351" i="1" s="1"/>
  <c r="AS351" i="1"/>
  <c r="AQ354" i="1"/>
  <c r="AR354" i="1" s="1"/>
  <c r="AS354" i="1"/>
  <c r="AQ346" i="1"/>
  <c r="AR346" i="1" s="1"/>
  <c r="AS346" i="1"/>
  <c r="AS350" i="1"/>
  <c r="AQ350" i="1"/>
  <c r="AR350" i="1" s="1"/>
  <c r="AQ355" i="1"/>
  <c r="AR355" i="1" s="1"/>
  <c r="AS355" i="1"/>
  <c r="AQ349" i="1"/>
  <c r="AR349" i="1" s="1"/>
  <c r="AQ353" i="1"/>
  <c r="AR353" i="1" s="1"/>
  <c r="AQ357" i="1"/>
  <c r="AR357" i="1" s="1"/>
  <c r="AQ358" i="1"/>
  <c r="AR358" i="1" s="1"/>
  <c r="AQ359" i="1"/>
  <c r="AR359" i="1" s="1"/>
  <c r="AQ360" i="1"/>
  <c r="AR360" i="1" s="1"/>
  <c r="AQ260" i="1"/>
  <c r="AR260" i="1" s="1"/>
  <c r="AS260" i="1"/>
  <c r="AQ269" i="1"/>
  <c r="AR269" i="1" s="1"/>
  <c r="AS269" i="1"/>
  <c r="AQ265" i="1"/>
  <c r="AR265" i="1" s="1"/>
  <c r="AS265" i="1"/>
  <c r="AQ270" i="1"/>
  <c r="AR270" i="1" s="1"/>
  <c r="AS270" i="1"/>
  <c r="AQ256" i="1"/>
  <c r="AR256" i="1" s="1"/>
  <c r="AS256" i="1"/>
  <c r="AQ266" i="1"/>
  <c r="AR266" i="1" s="1"/>
  <c r="AS266" i="1"/>
  <c r="AS273" i="1"/>
  <c r="AQ273" i="1"/>
  <c r="AQ255" i="1"/>
  <c r="AR255" i="1" s="1"/>
  <c r="AQ259" i="1"/>
  <c r="AR259" i="1" s="1"/>
  <c r="AQ264" i="1"/>
  <c r="AR264" i="1" s="1"/>
  <c r="AQ268" i="1"/>
  <c r="AR268" i="1" s="1"/>
  <c r="AQ272" i="1"/>
  <c r="AR272" i="1" s="1"/>
  <c r="AQ219" i="1"/>
  <c r="AQ220" i="1"/>
  <c r="AR220" i="1" s="1"/>
  <c r="AQ221" i="1"/>
  <c r="AR221" i="1" s="1"/>
  <c r="AQ218" i="1"/>
  <c r="AQ208" i="1"/>
  <c r="AR208" i="1" s="1"/>
  <c r="AS208" i="1"/>
  <c r="AS199" i="1"/>
  <c r="AS200" i="1"/>
  <c r="AS201" i="1"/>
  <c r="AS202" i="1"/>
  <c r="AS203" i="1"/>
  <c r="AS204" i="1"/>
  <c r="AS205" i="1"/>
  <c r="AQ207" i="1"/>
  <c r="AR207" i="1" s="1"/>
  <c r="AS209" i="1"/>
  <c r="AQ211" i="1"/>
  <c r="AR211" i="1" s="1"/>
  <c r="AQ212" i="1"/>
  <c r="AR212" i="1" s="1"/>
  <c r="AQ197" i="1"/>
  <c r="AR197" i="1" s="1"/>
  <c r="AS189" i="1"/>
  <c r="AQ189" i="1"/>
  <c r="AR189" i="1" s="1"/>
  <c r="AQ191" i="1"/>
  <c r="AR191" i="1" s="1"/>
  <c r="AS191" i="1"/>
  <c r="AQ195" i="1"/>
  <c r="AR195" i="1" s="1"/>
  <c r="AQ190" i="1"/>
  <c r="AR190" i="1" s="1"/>
  <c r="AQ188" i="1"/>
  <c r="AR188" i="1" s="1"/>
  <c r="AQ180" i="1"/>
  <c r="AR180" i="1" s="1"/>
  <c r="AS180" i="1"/>
  <c r="AQ171" i="1"/>
  <c r="AR171" i="1" s="1"/>
  <c r="AS171" i="1"/>
  <c r="AS178" i="1"/>
  <c r="AQ178" i="1"/>
  <c r="AR178" i="1" s="1"/>
  <c r="AS168" i="1"/>
  <c r="AQ168" i="1"/>
  <c r="AR168" i="1" s="1"/>
  <c r="AS172" i="1"/>
  <c r="AQ172" i="1"/>
  <c r="AR172" i="1" s="1"/>
  <c r="AQ174" i="1"/>
  <c r="AR174" i="1" s="1"/>
  <c r="AS174" i="1"/>
  <c r="AS170" i="1"/>
  <c r="AQ170" i="1"/>
  <c r="AR170" i="1" s="1"/>
  <c r="AQ179" i="1"/>
  <c r="AR179" i="1" s="1"/>
  <c r="AS179" i="1"/>
  <c r="AQ173" i="1"/>
  <c r="AR173" i="1" s="1"/>
  <c r="AQ184" i="1"/>
  <c r="AR184" i="1" s="1"/>
  <c r="AP175" i="1"/>
  <c r="AQ169" i="1"/>
  <c r="AR169" i="1" s="1"/>
  <c r="AQ182" i="1"/>
  <c r="AR182" i="1" s="1"/>
  <c r="AQ183" i="1"/>
  <c r="AR183" i="1" s="1"/>
  <c r="AQ139" i="1"/>
  <c r="AR139" i="1" s="1"/>
  <c r="AQ140" i="1"/>
  <c r="AR140" i="1" s="1"/>
  <c r="AQ141" i="1"/>
  <c r="AR141" i="1" s="1"/>
  <c r="AQ142" i="1"/>
  <c r="AR142" i="1" s="1"/>
  <c r="AQ129" i="1"/>
  <c r="AR129" i="1" s="1"/>
  <c r="AQ130" i="1"/>
  <c r="AR130" i="1" s="1"/>
  <c r="AQ131" i="1"/>
  <c r="AR131" i="1" s="1"/>
  <c r="AQ132" i="1"/>
  <c r="AR132" i="1" s="1"/>
  <c r="AQ133" i="1"/>
  <c r="AR133" i="1" s="1"/>
  <c r="AQ134" i="1"/>
  <c r="AR134" i="1" s="1"/>
  <c r="AQ93" i="1"/>
  <c r="AR93" i="1" s="1"/>
  <c r="AQ94" i="1"/>
  <c r="AR94" i="1" s="1"/>
  <c r="AS83" i="1"/>
  <c r="AQ90" i="1"/>
  <c r="AS91" i="1"/>
  <c r="AQ82" i="1"/>
  <c r="AR82" i="1" s="1"/>
  <c r="AQ64" i="1"/>
  <c r="AR64" i="1" s="1"/>
  <c r="AQ65" i="1"/>
  <c r="AR65" i="1" s="1"/>
  <c r="AQ66" i="1"/>
  <c r="AR66" i="1" s="1"/>
  <c r="AQ67" i="1"/>
  <c r="AR67" i="1" s="1"/>
  <c r="AQ68" i="1"/>
  <c r="AR68" i="1" s="1"/>
  <c r="AQ69" i="1"/>
  <c r="AR69" i="1" s="1"/>
  <c r="AQ70" i="1"/>
  <c r="AR70" i="1" s="1"/>
  <c r="AQ71" i="1"/>
  <c r="AR71" i="1" s="1"/>
  <c r="AQ72" i="1"/>
  <c r="AR72" i="1" s="1"/>
  <c r="AQ73" i="1"/>
  <c r="AR73" i="1" s="1"/>
  <c r="AQ74" i="1"/>
  <c r="AQ78" i="1"/>
  <c r="AR78" i="1" s="1"/>
  <c r="AQ75" i="1"/>
  <c r="AR75" i="1" s="1"/>
  <c r="AQ76" i="1"/>
  <c r="AR76" i="1" s="1"/>
  <c r="AQ77" i="1"/>
  <c r="AR77" i="1" s="1"/>
  <c r="AQ46" i="1"/>
  <c r="AR46" i="1" s="1"/>
  <c r="AS46" i="1"/>
  <c r="AQ39" i="1"/>
  <c r="AR39" i="1" s="1"/>
  <c r="AS39" i="1"/>
  <c r="AQ38" i="1"/>
  <c r="AR38" i="1" s="1"/>
  <c r="AS38" i="1"/>
  <c r="AQ51" i="1"/>
  <c r="AR51" i="1" s="1"/>
  <c r="AS51" i="1"/>
  <c r="AS37" i="1"/>
  <c r="AQ37" i="1"/>
  <c r="AQ43" i="1"/>
  <c r="AR43" i="1" s="1"/>
  <c r="AS43" i="1"/>
  <c r="AQ36" i="1"/>
  <c r="AR36" i="1" s="1"/>
  <c r="AQ42" i="1"/>
  <c r="AR42" i="1" s="1"/>
  <c r="AQ50" i="1"/>
  <c r="AR50" i="1" s="1"/>
  <c r="AQ52" i="1"/>
  <c r="AQ7" i="1"/>
  <c r="AR7" i="1" s="1"/>
  <c r="AS7" i="1"/>
  <c r="AQ9" i="1"/>
  <c r="AR9" i="1" s="1"/>
  <c r="AS9" i="1"/>
  <c r="AQ10" i="1"/>
  <c r="AS10" i="1"/>
  <c r="AQ11" i="1"/>
  <c r="AQ8" i="1"/>
  <c r="AR8" i="1" s="1"/>
  <c r="AQ640" i="1" l="1"/>
  <c r="AR640" i="1" s="1"/>
  <c r="AP693" i="1"/>
  <c r="AL696" i="1"/>
  <c r="AP696" i="1" s="1"/>
  <c r="AQ641" i="1"/>
  <c r="AR641" i="1" s="1"/>
  <c r="AS641" i="1"/>
  <c r="AQ175" i="1"/>
  <c r="AR175" i="1" s="1"/>
  <c r="AS175" i="1"/>
  <c r="AQ696" i="1" l="1"/>
  <c r="AR696" i="1" s="1"/>
  <c r="AS696" i="1"/>
  <c r="AS693" i="1"/>
  <c r="AQ693" i="1"/>
  <c r="AR693" i="1" s="1"/>
  <c r="AE895" i="1"/>
  <c r="AI895" i="1" s="1"/>
  <c r="AE894" i="1"/>
  <c r="AI894" i="1" s="1"/>
  <c r="AE888" i="1"/>
  <c r="AI888" i="1" s="1"/>
  <c r="AE885" i="1"/>
  <c r="AI885" i="1" s="1"/>
  <c r="AE884" i="1"/>
  <c r="AF884" i="1" s="1"/>
  <c r="AG884" i="1" s="1"/>
  <c r="AH884" i="1" s="1"/>
  <c r="AE883" i="1"/>
  <c r="AI883" i="1" s="1"/>
  <c r="AE882" i="1"/>
  <c r="AF882" i="1" s="1"/>
  <c r="AG882" i="1" s="1"/>
  <c r="AH882" i="1" s="1"/>
  <c r="AE880" i="1"/>
  <c r="AI880" i="1" s="1"/>
  <c r="AE879" i="1"/>
  <c r="AF879" i="1" s="1"/>
  <c r="AE878" i="1"/>
  <c r="AI878" i="1" s="1"/>
  <c r="AE877" i="1"/>
  <c r="AF877" i="1" s="1"/>
  <c r="AG877" i="1" s="1"/>
  <c r="AH877" i="1" s="1"/>
  <c r="AE876" i="1"/>
  <c r="AI876" i="1" s="1"/>
  <c r="AE875" i="1"/>
  <c r="AF875" i="1" s="1"/>
  <c r="AG875" i="1" s="1"/>
  <c r="AH875" i="1" s="1"/>
  <c r="AE873" i="1"/>
  <c r="AI873" i="1" s="1"/>
  <c r="AE872" i="1"/>
  <c r="AI872" i="1" s="1"/>
  <c r="AE869" i="1"/>
  <c r="AI869" i="1" s="1"/>
  <c r="AE868" i="1"/>
  <c r="AI868" i="1" s="1"/>
  <c r="AE769" i="1"/>
  <c r="AI769" i="1" s="1"/>
  <c r="AE767" i="1"/>
  <c r="AI767" i="1" s="1"/>
  <c r="AE766" i="1"/>
  <c r="AI766" i="1" s="1"/>
  <c r="AE765" i="1"/>
  <c r="AI765" i="1" s="1"/>
  <c r="AE764" i="1"/>
  <c r="AF764" i="1" s="1"/>
  <c r="AE763" i="1"/>
  <c r="AI763" i="1" s="1"/>
  <c r="AE762" i="1"/>
  <c r="AI762" i="1" s="1"/>
  <c r="AE761" i="1"/>
  <c r="AI761" i="1" s="1"/>
  <c r="AE760" i="1"/>
  <c r="AF760" i="1" s="1"/>
  <c r="AG760" i="1" s="1"/>
  <c r="AH760" i="1" s="1"/>
  <c r="AE759" i="1"/>
  <c r="AI759" i="1" s="1"/>
  <c r="AE758" i="1"/>
  <c r="AF758" i="1" s="1"/>
  <c r="AG758" i="1" s="1"/>
  <c r="AH758" i="1" s="1"/>
  <c r="AE756" i="1"/>
  <c r="AI756" i="1" s="1"/>
  <c r="AE755" i="1"/>
  <c r="AF755" i="1" s="1"/>
  <c r="AG755" i="1" s="1"/>
  <c r="AH755" i="1" s="1"/>
  <c r="AE754" i="1"/>
  <c r="AI754" i="1" s="1"/>
  <c r="AE753" i="1"/>
  <c r="AF753" i="1" s="1"/>
  <c r="AG753" i="1" s="1"/>
  <c r="AH753" i="1" s="1"/>
  <c r="AE752" i="1"/>
  <c r="AI752" i="1" s="1"/>
  <c r="AE751" i="1"/>
  <c r="AI751" i="1" s="1"/>
  <c r="AE749" i="1"/>
  <c r="AI749" i="1" s="1"/>
  <c r="AE748" i="1"/>
  <c r="AF748" i="1" s="1"/>
  <c r="AG748" i="1" s="1"/>
  <c r="AH748" i="1" s="1"/>
  <c r="AE747" i="1"/>
  <c r="AI747" i="1" s="1"/>
  <c r="AE746" i="1"/>
  <c r="AF746" i="1" s="1"/>
  <c r="AG746" i="1" s="1"/>
  <c r="AH746" i="1" s="1"/>
  <c r="AE745" i="1"/>
  <c r="AI745" i="1" s="1"/>
  <c r="AE744" i="1"/>
  <c r="AF744" i="1" s="1"/>
  <c r="AG744" i="1" s="1"/>
  <c r="AH744" i="1" s="1"/>
  <c r="AE743" i="1"/>
  <c r="AI743" i="1" s="1"/>
  <c r="AE742" i="1"/>
  <c r="AI742" i="1" s="1"/>
  <c r="AE741" i="1"/>
  <c r="AI741" i="1" s="1"/>
  <c r="AE740" i="1"/>
  <c r="AF740" i="1" s="1"/>
  <c r="AG740" i="1" s="1"/>
  <c r="AH740" i="1" s="1"/>
  <c r="AE739" i="1"/>
  <c r="AI739" i="1" s="1"/>
  <c r="AE738" i="1"/>
  <c r="AF738" i="1" s="1"/>
  <c r="AG738" i="1" s="1"/>
  <c r="AH738" i="1" s="1"/>
  <c r="AE737" i="1"/>
  <c r="AF737" i="1" s="1"/>
  <c r="AG737" i="1" s="1"/>
  <c r="AH737" i="1" s="1"/>
  <c r="AE736" i="1"/>
  <c r="AI736" i="1" s="1"/>
  <c r="AE735" i="1"/>
  <c r="AI735" i="1" s="1"/>
  <c r="AE734" i="1"/>
  <c r="AI734" i="1" s="1"/>
  <c r="AE733" i="1"/>
  <c r="AI733" i="1" s="1"/>
  <c r="AE732" i="1"/>
  <c r="AF732" i="1" s="1"/>
  <c r="AG732" i="1" s="1"/>
  <c r="AH732" i="1" s="1"/>
  <c r="AE731" i="1"/>
  <c r="AI731" i="1" s="1"/>
  <c r="AE730" i="1"/>
  <c r="AF730" i="1" s="1"/>
  <c r="AG730" i="1" s="1"/>
  <c r="AH730" i="1" s="1"/>
  <c r="AE729" i="1"/>
  <c r="AI729" i="1" s="1"/>
  <c r="AE728" i="1"/>
  <c r="AI728" i="1" s="1"/>
  <c r="AE273" i="1"/>
  <c r="AI273" i="1" s="1"/>
  <c r="AE272" i="1"/>
  <c r="AI272" i="1" s="1"/>
  <c r="AE271" i="1"/>
  <c r="AI271" i="1" s="1"/>
  <c r="AE270" i="1"/>
  <c r="AF270" i="1" s="1"/>
  <c r="AG270" i="1" s="1"/>
  <c r="AH270" i="1" s="1"/>
  <c r="AE269" i="1"/>
  <c r="AF269" i="1" s="1"/>
  <c r="AG269" i="1" s="1"/>
  <c r="AH269" i="1" s="1"/>
  <c r="AE268" i="1"/>
  <c r="AF268" i="1" s="1"/>
  <c r="AG268" i="1" s="1"/>
  <c r="AH268" i="1" s="1"/>
  <c r="AE267" i="1"/>
  <c r="AI267" i="1" s="1"/>
  <c r="AE266" i="1"/>
  <c r="AI266" i="1" s="1"/>
  <c r="AE265" i="1"/>
  <c r="AI265" i="1" s="1"/>
  <c r="AE264" i="1"/>
  <c r="AI264" i="1" s="1"/>
  <c r="AE263" i="1"/>
  <c r="AI263" i="1" s="1"/>
  <c r="AE262" i="1"/>
  <c r="AF262" i="1" s="1"/>
  <c r="AG262" i="1" s="1"/>
  <c r="AH262" i="1" s="1"/>
  <c r="AE261" i="1"/>
  <c r="AF261" i="1" s="1"/>
  <c r="AG261" i="1" s="1"/>
  <c r="AH261" i="1" s="1"/>
  <c r="AE260" i="1"/>
  <c r="AI260" i="1" s="1"/>
  <c r="AE259" i="1"/>
  <c r="AF259" i="1" s="1"/>
  <c r="AG259" i="1" s="1"/>
  <c r="AH259" i="1" s="1"/>
  <c r="AE258" i="1"/>
  <c r="AF258" i="1" s="1"/>
  <c r="AG258" i="1" s="1"/>
  <c r="AH258" i="1" s="1"/>
  <c r="AE257" i="1"/>
  <c r="AI257" i="1" s="1"/>
  <c r="AE256" i="1"/>
  <c r="AI256" i="1" s="1"/>
  <c r="AE255" i="1"/>
  <c r="AI255" i="1" s="1"/>
  <c r="AE254" i="1"/>
  <c r="AF254" i="1" s="1"/>
  <c r="AG254" i="1" s="1"/>
  <c r="AH254" i="1" s="1"/>
  <c r="AE253" i="1"/>
  <c r="AI253" i="1" s="1"/>
  <c r="AE221" i="1"/>
  <c r="AI221" i="1" s="1"/>
  <c r="AE220" i="1"/>
  <c r="AF220" i="1" s="1"/>
  <c r="AG220" i="1" s="1"/>
  <c r="AH220" i="1" s="1"/>
  <c r="AE219" i="1"/>
  <c r="AI219" i="1" s="1"/>
  <c r="AE218" i="1"/>
  <c r="AI218" i="1" s="1"/>
  <c r="AE217" i="1"/>
  <c r="AI217" i="1" s="1"/>
  <c r="AE216" i="1"/>
  <c r="AI216" i="1" s="1"/>
  <c r="AE215" i="1"/>
  <c r="AI215" i="1" s="1"/>
  <c r="AE214" i="1"/>
  <c r="AF214" i="1" s="1"/>
  <c r="AG214" i="1" s="1"/>
  <c r="AH214" i="1" s="1"/>
  <c r="AE213" i="1"/>
  <c r="AI213" i="1" s="1"/>
  <c r="AE212" i="1"/>
  <c r="AF212" i="1" s="1"/>
  <c r="AG212" i="1" s="1"/>
  <c r="AH212" i="1" s="1"/>
  <c r="AE211" i="1"/>
  <c r="AF211" i="1" s="1"/>
  <c r="AG211" i="1" s="1"/>
  <c r="AH211" i="1" s="1"/>
  <c r="AE210" i="1"/>
  <c r="AI210" i="1" s="1"/>
  <c r="AE209" i="1"/>
  <c r="AF209" i="1" s="1"/>
  <c r="AG209" i="1" s="1"/>
  <c r="AH209" i="1" s="1"/>
  <c r="AE208" i="1"/>
  <c r="AF208" i="1" s="1"/>
  <c r="AG208" i="1" s="1"/>
  <c r="AH208" i="1" s="1"/>
  <c r="AE207" i="1"/>
  <c r="AI207" i="1" s="1"/>
  <c r="AE206" i="1"/>
  <c r="AF206" i="1" s="1"/>
  <c r="AG206" i="1" s="1"/>
  <c r="AH206" i="1" s="1"/>
  <c r="AE205" i="1"/>
  <c r="AF205" i="1" s="1"/>
  <c r="AG205" i="1" s="1"/>
  <c r="AH205" i="1" s="1"/>
  <c r="AE204" i="1"/>
  <c r="AF204" i="1" s="1"/>
  <c r="AG204" i="1" s="1"/>
  <c r="AH204" i="1" s="1"/>
  <c r="AE203" i="1"/>
  <c r="AF203" i="1" s="1"/>
  <c r="AG203" i="1" s="1"/>
  <c r="AH203" i="1" s="1"/>
  <c r="AE202" i="1"/>
  <c r="AI202" i="1" s="1"/>
  <c r="AE201" i="1"/>
  <c r="AI201" i="1" s="1"/>
  <c r="AE200" i="1"/>
  <c r="AI200" i="1" s="1"/>
  <c r="AE199" i="1"/>
  <c r="AI199" i="1" s="1"/>
  <c r="AE197" i="1"/>
  <c r="AI197" i="1" s="1"/>
  <c r="AE195" i="1"/>
  <c r="AI195" i="1" s="1"/>
  <c r="AE194" i="1"/>
  <c r="AF194" i="1" s="1"/>
  <c r="AG194" i="1" s="1"/>
  <c r="AH194" i="1" s="1"/>
  <c r="AE193" i="1"/>
  <c r="AI193" i="1" s="1"/>
  <c r="AE192" i="1"/>
  <c r="AF192" i="1" s="1"/>
  <c r="AG192" i="1" s="1"/>
  <c r="AH192" i="1" s="1"/>
  <c r="AE191" i="1"/>
  <c r="AF191" i="1" s="1"/>
  <c r="AG191" i="1" s="1"/>
  <c r="AH191" i="1" s="1"/>
  <c r="AE190" i="1"/>
  <c r="AI190" i="1" s="1"/>
  <c r="AE189" i="1"/>
  <c r="AF189" i="1" s="1"/>
  <c r="AG189" i="1" s="1"/>
  <c r="AH189" i="1" s="1"/>
  <c r="AE188" i="1"/>
  <c r="AI188" i="1" s="1"/>
  <c r="AE187" i="1"/>
  <c r="AI187" i="1" s="1"/>
  <c r="AE185" i="1"/>
  <c r="AF185" i="1" s="1"/>
  <c r="AG185" i="1" s="1"/>
  <c r="AH185" i="1" s="1"/>
  <c r="AE184" i="1"/>
  <c r="AI184" i="1" s="1"/>
  <c r="AE183" i="1"/>
  <c r="AF183" i="1" s="1"/>
  <c r="AG183" i="1" s="1"/>
  <c r="AH183" i="1" s="1"/>
  <c r="AE182" i="1"/>
  <c r="AF182" i="1" s="1"/>
  <c r="AG182" i="1" s="1"/>
  <c r="AH182" i="1" s="1"/>
  <c r="AE181" i="1"/>
  <c r="AI181" i="1" s="1"/>
  <c r="AE180" i="1"/>
  <c r="AF180" i="1" s="1"/>
  <c r="AG180" i="1" s="1"/>
  <c r="AH180" i="1" s="1"/>
  <c r="AE179" i="1"/>
  <c r="AI179" i="1" s="1"/>
  <c r="AE178" i="1"/>
  <c r="AI178" i="1" s="1"/>
  <c r="AE177" i="1"/>
  <c r="AF177" i="1" s="1"/>
  <c r="AG177" i="1" s="1"/>
  <c r="AH177" i="1" s="1"/>
  <c r="AE176" i="1"/>
  <c r="AI176" i="1" s="1"/>
  <c r="AE175" i="1"/>
  <c r="AI175" i="1" s="1"/>
  <c r="AE174" i="1"/>
  <c r="AI174" i="1" s="1"/>
  <c r="AE173" i="1"/>
  <c r="AI173" i="1" s="1"/>
  <c r="AE172" i="1"/>
  <c r="AI172" i="1" s="1"/>
  <c r="AE171" i="1"/>
  <c r="AI171" i="1" s="1"/>
  <c r="AE170" i="1"/>
  <c r="AI170" i="1" s="1"/>
  <c r="AE169" i="1"/>
  <c r="AF169" i="1" s="1"/>
  <c r="AG169" i="1" s="1"/>
  <c r="AH169" i="1" s="1"/>
  <c r="AE168" i="1"/>
  <c r="AI168" i="1" s="1"/>
  <c r="AE167" i="1"/>
  <c r="AF167" i="1" s="1"/>
  <c r="AG167" i="1" s="1"/>
  <c r="AH167" i="1" s="1"/>
  <c r="AE166" i="1"/>
  <c r="AI166" i="1" s="1"/>
  <c r="AE477" i="1"/>
  <c r="AI477" i="1" s="1"/>
  <c r="AE476" i="1"/>
  <c r="AF476" i="1" s="1"/>
  <c r="AG476" i="1" s="1"/>
  <c r="AH476" i="1" s="1"/>
  <c r="AE475" i="1"/>
  <c r="AI475" i="1" s="1"/>
  <c r="AE474" i="1"/>
  <c r="AF474" i="1" s="1"/>
  <c r="AE473" i="1"/>
  <c r="AI473" i="1" s="1"/>
  <c r="AE472" i="1"/>
  <c r="AF472" i="1" s="1"/>
  <c r="AG472" i="1" s="1"/>
  <c r="AH472" i="1" s="1"/>
  <c r="AE471" i="1"/>
  <c r="AI471" i="1" s="1"/>
  <c r="AE470" i="1"/>
  <c r="AF470" i="1" s="1"/>
  <c r="AE469" i="1"/>
  <c r="AI469" i="1" s="1"/>
  <c r="AE468" i="1"/>
  <c r="AF468" i="1" s="1"/>
  <c r="AG468" i="1" s="1"/>
  <c r="AH468" i="1" s="1"/>
  <c r="AE467" i="1"/>
  <c r="AF467" i="1" s="1"/>
  <c r="AG467" i="1" s="1"/>
  <c r="AH467" i="1" s="1"/>
  <c r="AE466" i="1"/>
  <c r="AF466" i="1" s="1"/>
  <c r="AE465" i="1"/>
  <c r="AI465" i="1" s="1"/>
  <c r="AE464" i="1"/>
  <c r="AF464" i="1" s="1"/>
  <c r="AG464" i="1" s="1"/>
  <c r="AH464" i="1" s="1"/>
  <c r="AE463" i="1"/>
  <c r="AF463" i="1" s="1"/>
  <c r="AG463" i="1" s="1"/>
  <c r="AH463" i="1" s="1"/>
  <c r="AE462" i="1"/>
  <c r="AF462" i="1" s="1"/>
  <c r="AG462" i="1" s="1"/>
  <c r="AH462" i="1" s="1"/>
  <c r="AE461" i="1"/>
  <c r="AI461" i="1" s="1"/>
  <c r="AE460" i="1"/>
  <c r="AI460" i="1" s="1"/>
  <c r="AE459" i="1"/>
  <c r="AI459" i="1" s="1"/>
  <c r="AE458" i="1"/>
  <c r="AF458" i="1" s="1"/>
  <c r="AG458" i="1" s="1"/>
  <c r="AH458" i="1" s="1"/>
  <c r="AE457" i="1"/>
  <c r="AI457" i="1" s="1"/>
  <c r="AE456" i="1"/>
  <c r="AF456" i="1" s="1"/>
  <c r="AG456" i="1" s="1"/>
  <c r="AH456" i="1" s="1"/>
  <c r="AE455" i="1"/>
  <c r="AI455" i="1" s="1"/>
  <c r="AE454" i="1"/>
  <c r="AF454" i="1" s="1"/>
  <c r="AG454" i="1" s="1"/>
  <c r="AH454" i="1" s="1"/>
  <c r="AE453" i="1"/>
  <c r="AI453" i="1" s="1"/>
  <c r="AE452" i="1"/>
  <c r="AI452" i="1" s="1"/>
  <c r="AE451" i="1"/>
  <c r="AF451" i="1" s="1"/>
  <c r="AG451" i="1" s="1"/>
  <c r="AH451" i="1" s="1"/>
  <c r="AE450" i="1"/>
  <c r="AI450" i="1" s="1"/>
  <c r="AE449" i="1"/>
  <c r="AI449" i="1" s="1"/>
  <c r="AE399" i="1"/>
  <c r="AI399" i="1" s="1"/>
  <c r="AE398" i="1"/>
  <c r="AI398" i="1" s="1"/>
  <c r="AE397" i="1"/>
  <c r="AI397" i="1" s="1"/>
  <c r="AE396" i="1"/>
  <c r="AF396" i="1" s="1"/>
  <c r="AG396" i="1" s="1"/>
  <c r="AH396" i="1" s="1"/>
  <c r="AE360" i="1"/>
  <c r="AF360" i="1" s="1"/>
  <c r="AG360" i="1" s="1"/>
  <c r="AH360" i="1" s="1"/>
  <c r="AE359" i="1"/>
  <c r="AI359" i="1" s="1"/>
  <c r="AE358" i="1"/>
  <c r="AI358" i="1" s="1"/>
  <c r="AE357" i="1"/>
  <c r="AI357" i="1" s="1"/>
  <c r="AE356" i="1"/>
  <c r="AI356" i="1" s="1"/>
  <c r="AE355" i="1"/>
  <c r="AI355" i="1" s="1"/>
  <c r="AE354" i="1"/>
  <c r="AF354" i="1" s="1"/>
  <c r="AG354" i="1" s="1"/>
  <c r="AH354" i="1" s="1"/>
  <c r="AE353" i="1"/>
  <c r="AF353" i="1" s="1"/>
  <c r="AG353" i="1" s="1"/>
  <c r="AH353" i="1" s="1"/>
  <c r="AE352" i="1"/>
  <c r="AF352" i="1" s="1"/>
  <c r="AG352" i="1" s="1"/>
  <c r="AH352" i="1" s="1"/>
  <c r="AE351" i="1"/>
  <c r="AI351" i="1" s="1"/>
  <c r="AE350" i="1"/>
  <c r="AI350" i="1" s="1"/>
  <c r="AE349" i="1"/>
  <c r="AI349" i="1" s="1"/>
  <c r="AE348" i="1"/>
  <c r="AI348" i="1" s="1"/>
  <c r="AE347" i="1"/>
  <c r="AI347" i="1" s="1"/>
  <c r="AE346" i="1"/>
  <c r="AF346" i="1" s="1"/>
  <c r="AG346" i="1" s="1"/>
  <c r="AH346" i="1" s="1"/>
  <c r="AE345" i="1"/>
  <c r="AI345" i="1" s="1"/>
  <c r="AE344" i="1"/>
  <c r="AF344" i="1" s="1"/>
  <c r="AG344" i="1" s="1"/>
  <c r="AH344" i="1" s="1"/>
  <c r="AE343" i="1"/>
  <c r="AI343" i="1" s="1"/>
  <c r="AE342" i="1"/>
  <c r="AI342" i="1" s="1"/>
  <c r="AE341" i="1"/>
  <c r="AI341" i="1" s="1"/>
  <c r="AE340" i="1"/>
  <c r="AI340" i="1" s="1"/>
  <c r="AE339" i="1"/>
  <c r="AI339" i="1" s="1"/>
  <c r="AE338" i="1"/>
  <c r="AF338" i="1" s="1"/>
  <c r="AG338" i="1" s="1"/>
  <c r="AH338" i="1" s="1"/>
  <c r="AE337" i="1"/>
  <c r="AF337" i="1" s="1"/>
  <c r="AG337" i="1" s="1"/>
  <c r="AH337" i="1" s="1"/>
  <c r="AE336" i="1"/>
  <c r="AF336" i="1" s="1"/>
  <c r="AG336" i="1" s="1"/>
  <c r="AH336" i="1" s="1"/>
  <c r="AE335" i="1"/>
  <c r="AI335" i="1" s="1"/>
  <c r="AE334" i="1"/>
  <c r="AI334" i="1" s="1"/>
  <c r="AE564" i="1"/>
  <c r="AI564" i="1" s="1"/>
  <c r="AE563" i="1"/>
  <c r="AF563" i="1" s="1"/>
  <c r="AG563" i="1" s="1"/>
  <c r="AH563" i="1" s="1"/>
  <c r="AE562" i="1"/>
  <c r="AI562" i="1" s="1"/>
  <c r="AE561" i="1"/>
  <c r="AF561" i="1" s="1"/>
  <c r="AG561" i="1" s="1"/>
  <c r="AH561" i="1" s="1"/>
  <c r="AE560" i="1"/>
  <c r="AI560" i="1" s="1"/>
  <c r="AE559" i="1"/>
  <c r="AI559" i="1" s="1"/>
  <c r="AE558" i="1"/>
  <c r="AF558" i="1" s="1"/>
  <c r="AG558" i="1" s="1"/>
  <c r="AH558" i="1" s="1"/>
  <c r="AE557" i="1"/>
  <c r="AI557" i="1" s="1"/>
  <c r="AE556" i="1"/>
  <c r="AI556" i="1" s="1"/>
  <c r="AE555" i="1"/>
  <c r="AF555" i="1" s="1"/>
  <c r="AG555" i="1" s="1"/>
  <c r="AH555" i="1" s="1"/>
  <c r="AE554" i="1"/>
  <c r="AI554" i="1" s="1"/>
  <c r="AE553" i="1"/>
  <c r="AF553" i="1" s="1"/>
  <c r="AG553" i="1" s="1"/>
  <c r="AH553" i="1" s="1"/>
  <c r="AE552" i="1"/>
  <c r="AI552" i="1" s="1"/>
  <c r="AE551" i="1"/>
  <c r="AI551" i="1" s="1"/>
  <c r="AE550" i="1"/>
  <c r="AF550" i="1" s="1"/>
  <c r="AG550" i="1" s="1"/>
  <c r="AH550" i="1" s="1"/>
  <c r="AE549" i="1"/>
  <c r="AI549" i="1" s="1"/>
  <c r="AE548" i="1"/>
  <c r="AI548" i="1" s="1"/>
  <c r="AE547" i="1"/>
  <c r="AF547" i="1" s="1"/>
  <c r="AG547" i="1" s="1"/>
  <c r="AH547" i="1" s="1"/>
  <c r="AI468" i="1" l="1"/>
  <c r="AF452" i="1"/>
  <c r="AG452" i="1" s="1"/>
  <c r="AH452" i="1" s="1"/>
  <c r="AF349" i="1"/>
  <c r="AG349" i="1" s="1"/>
  <c r="AH349" i="1" s="1"/>
  <c r="AI208" i="1"/>
  <c r="AI737" i="1"/>
  <c r="AF743" i="1"/>
  <c r="AG743" i="1" s="1"/>
  <c r="AH743" i="1" s="1"/>
  <c r="AF745" i="1"/>
  <c r="AG745" i="1" s="1"/>
  <c r="AH745" i="1" s="1"/>
  <c r="AI462" i="1"/>
  <c r="AI261" i="1"/>
  <c r="AI744" i="1"/>
  <c r="AI764" i="1"/>
  <c r="AF872" i="1"/>
  <c r="AG872" i="1" s="1"/>
  <c r="AH872" i="1" s="1"/>
  <c r="AF876" i="1"/>
  <c r="AG876" i="1" s="1"/>
  <c r="AH876" i="1" s="1"/>
  <c r="AF878" i="1"/>
  <c r="AG878" i="1" s="1"/>
  <c r="AH878" i="1" s="1"/>
  <c r="AF359" i="1"/>
  <c r="AG359" i="1" s="1"/>
  <c r="AH359" i="1" s="1"/>
  <c r="AF397" i="1"/>
  <c r="AG397" i="1" s="1"/>
  <c r="AH397" i="1" s="1"/>
  <c r="AF166" i="1"/>
  <c r="AG166" i="1" s="1"/>
  <c r="AH166" i="1" s="1"/>
  <c r="AI189" i="1"/>
  <c r="AF880" i="1"/>
  <c r="AG880" i="1" s="1"/>
  <c r="AH880" i="1" s="1"/>
  <c r="AI472" i="1"/>
  <c r="AF217" i="1"/>
  <c r="AI738" i="1"/>
  <c r="AF347" i="1"/>
  <c r="AG347" i="1" s="1"/>
  <c r="AH347" i="1" s="1"/>
  <c r="AI464" i="1"/>
  <c r="AI467" i="1"/>
  <c r="AF729" i="1"/>
  <c r="AG729" i="1" s="1"/>
  <c r="AH729" i="1" s="1"/>
  <c r="AF552" i="1"/>
  <c r="AG552" i="1" s="1"/>
  <c r="AH552" i="1" s="1"/>
  <c r="AI561" i="1"/>
  <c r="AF339" i="1"/>
  <c r="AG339" i="1" s="1"/>
  <c r="AH339" i="1" s="1"/>
  <c r="AF341" i="1"/>
  <c r="AG341" i="1" s="1"/>
  <c r="AH341" i="1" s="1"/>
  <c r="AF351" i="1"/>
  <c r="AG351" i="1" s="1"/>
  <c r="AH351" i="1" s="1"/>
  <c r="AI354" i="1"/>
  <c r="AF356" i="1"/>
  <c r="AG356" i="1" s="1"/>
  <c r="AH356" i="1" s="1"/>
  <c r="AI454" i="1"/>
  <c r="AI463" i="1"/>
  <c r="AI167" i="1"/>
  <c r="AI185" i="1"/>
  <c r="AF260" i="1"/>
  <c r="AG260" i="1" s="1"/>
  <c r="AH260" i="1" s="1"/>
  <c r="AF736" i="1"/>
  <c r="AG736" i="1" s="1"/>
  <c r="AH736" i="1" s="1"/>
  <c r="AF752" i="1"/>
  <c r="AG752" i="1" s="1"/>
  <c r="AH752" i="1" s="1"/>
  <c r="AI755" i="1"/>
  <c r="AF763" i="1"/>
  <c r="AG763" i="1" s="1"/>
  <c r="AH763" i="1" s="1"/>
  <c r="AF335" i="1"/>
  <c r="AG335" i="1" s="1"/>
  <c r="AH335" i="1" s="1"/>
  <c r="AI338" i="1"/>
  <c r="AF340" i="1"/>
  <c r="AG340" i="1" s="1"/>
  <c r="AH340" i="1" s="1"/>
  <c r="AF355" i="1"/>
  <c r="AG355" i="1" s="1"/>
  <c r="AH355" i="1" s="1"/>
  <c r="AF357" i="1"/>
  <c r="AG357" i="1" s="1"/>
  <c r="AH357" i="1" s="1"/>
  <c r="AI220" i="1"/>
  <c r="AI879" i="1"/>
  <c r="AI553" i="1"/>
  <c r="AF343" i="1"/>
  <c r="AG343" i="1" s="1"/>
  <c r="AH343" i="1" s="1"/>
  <c r="AI346" i="1"/>
  <c r="AF348" i="1"/>
  <c r="AG348" i="1" s="1"/>
  <c r="AH348" i="1" s="1"/>
  <c r="AI451" i="1"/>
  <c r="AI177" i="1"/>
  <c r="AI180" i="1"/>
  <c r="AI194" i="1"/>
  <c r="AI209" i="1"/>
  <c r="AF216" i="1"/>
  <c r="AG216" i="1" s="1"/>
  <c r="AH216" i="1" s="1"/>
  <c r="AF218" i="1"/>
  <c r="AI259" i="1"/>
  <c r="AF267" i="1"/>
  <c r="AG267" i="1" s="1"/>
  <c r="AH267" i="1" s="1"/>
  <c r="AF751" i="1"/>
  <c r="AG751" i="1" s="1"/>
  <c r="AH751" i="1" s="1"/>
  <c r="AF551" i="1"/>
  <c r="AG551" i="1" s="1"/>
  <c r="AH551" i="1" s="1"/>
  <c r="AF560" i="1"/>
  <c r="AG560" i="1" s="1"/>
  <c r="AH560" i="1" s="1"/>
  <c r="AI336" i="1"/>
  <c r="AI344" i="1"/>
  <c r="AI352" i="1"/>
  <c r="AI360" i="1"/>
  <c r="AF453" i="1"/>
  <c r="AG453" i="1" s="1"/>
  <c r="AH453" i="1" s="1"/>
  <c r="AF461" i="1"/>
  <c r="AG461" i="1" s="1"/>
  <c r="AH461" i="1" s="1"/>
  <c r="AI466" i="1"/>
  <c r="AI470" i="1"/>
  <c r="AF172" i="1"/>
  <c r="AG172" i="1" s="1"/>
  <c r="AH172" i="1" s="1"/>
  <c r="AF174" i="1"/>
  <c r="AG174" i="1" s="1"/>
  <c r="AH174" i="1" s="1"/>
  <c r="AF175" i="1"/>
  <c r="AG175" i="1" s="1"/>
  <c r="AH175" i="1" s="1"/>
  <c r="AF179" i="1"/>
  <c r="AG179" i="1" s="1"/>
  <c r="AH179" i="1" s="1"/>
  <c r="AI182" i="1"/>
  <c r="AF188" i="1"/>
  <c r="AG188" i="1" s="1"/>
  <c r="AH188" i="1" s="1"/>
  <c r="AI191" i="1"/>
  <c r="AF201" i="1"/>
  <c r="AG201" i="1" s="1"/>
  <c r="AH201" i="1" s="1"/>
  <c r="AI203" i="1"/>
  <c r="AI206" i="1"/>
  <c r="AF253" i="1"/>
  <c r="AG253" i="1" s="1"/>
  <c r="AH253" i="1" s="1"/>
  <c r="AI258" i="1"/>
  <c r="AF266" i="1"/>
  <c r="AG266" i="1" s="1"/>
  <c r="AH266" i="1" s="1"/>
  <c r="AI268" i="1"/>
  <c r="AF728" i="1"/>
  <c r="AG728" i="1" s="1"/>
  <c r="AH728" i="1" s="1"/>
  <c r="AF735" i="1"/>
  <c r="AG735" i="1" s="1"/>
  <c r="AH735" i="1" s="1"/>
  <c r="AI746" i="1"/>
  <c r="AI758" i="1"/>
  <c r="AF761" i="1"/>
  <c r="AG761" i="1" s="1"/>
  <c r="AH761" i="1" s="1"/>
  <c r="AF765" i="1"/>
  <c r="AF767" i="1"/>
  <c r="AG767" i="1" s="1"/>
  <c r="AH767" i="1" s="1"/>
  <c r="AF869" i="1"/>
  <c r="AF883" i="1"/>
  <c r="AG883" i="1" s="1"/>
  <c r="AH883" i="1" s="1"/>
  <c r="AF888" i="1"/>
  <c r="AG888" i="1" s="1"/>
  <c r="AH888" i="1" s="1"/>
  <c r="AI550" i="1"/>
  <c r="AF559" i="1"/>
  <c r="AG559" i="1" s="1"/>
  <c r="AH559" i="1" s="1"/>
  <c r="AF399" i="1"/>
  <c r="AI456" i="1"/>
  <c r="AI474" i="1"/>
  <c r="AF171" i="1"/>
  <c r="AG171" i="1" s="1"/>
  <c r="AH171" i="1" s="1"/>
  <c r="AI183" i="1"/>
  <c r="AI192" i="1"/>
  <c r="AF200" i="1"/>
  <c r="AG200" i="1" s="1"/>
  <c r="AH200" i="1" s="1"/>
  <c r="AI211" i="1"/>
  <c r="AI214" i="1"/>
  <c r="AF257" i="1"/>
  <c r="AG257" i="1" s="1"/>
  <c r="AH257" i="1" s="1"/>
  <c r="AF265" i="1"/>
  <c r="AG265" i="1" s="1"/>
  <c r="AH265" i="1" s="1"/>
  <c r="AI269" i="1"/>
  <c r="AI730" i="1"/>
  <c r="AI753" i="1"/>
  <c r="AF873" i="1"/>
  <c r="AF895" i="1"/>
  <c r="AF894" i="1"/>
  <c r="AG894" i="1" s="1"/>
  <c r="AH894" i="1" s="1"/>
  <c r="AI882" i="1"/>
  <c r="AI884" i="1"/>
  <c r="AF885" i="1"/>
  <c r="AG885" i="1" s="1"/>
  <c r="AH885" i="1" s="1"/>
  <c r="AI875" i="1"/>
  <c r="AI877" i="1"/>
  <c r="AF868" i="1"/>
  <c r="AG868" i="1" s="1"/>
  <c r="AH868" i="1" s="1"/>
  <c r="AF769" i="1"/>
  <c r="AG769" i="1" s="1"/>
  <c r="AH769" i="1" s="1"/>
  <c r="AF762" i="1"/>
  <c r="AG762" i="1" s="1"/>
  <c r="AH762" i="1" s="1"/>
  <c r="AF766" i="1"/>
  <c r="AF759" i="1"/>
  <c r="AG759" i="1" s="1"/>
  <c r="AH759" i="1" s="1"/>
  <c r="AI760" i="1"/>
  <c r="AF754" i="1"/>
  <c r="AG754" i="1" s="1"/>
  <c r="AH754" i="1" s="1"/>
  <c r="AF756" i="1"/>
  <c r="AG756" i="1" s="1"/>
  <c r="AH756" i="1" s="1"/>
  <c r="AF742" i="1"/>
  <c r="AG742" i="1" s="1"/>
  <c r="AH742" i="1" s="1"/>
  <c r="AF731" i="1"/>
  <c r="AG731" i="1" s="1"/>
  <c r="AH731" i="1" s="1"/>
  <c r="AI732" i="1"/>
  <c r="AF739" i="1"/>
  <c r="AG739" i="1" s="1"/>
  <c r="AH739" i="1" s="1"/>
  <c r="AI740" i="1"/>
  <c r="AF747" i="1"/>
  <c r="AG747" i="1" s="1"/>
  <c r="AH747" i="1" s="1"/>
  <c r="AI748" i="1"/>
  <c r="AF734" i="1"/>
  <c r="AG734" i="1" s="1"/>
  <c r="AH734" i="1" s="1"/>
  <c r="AF733" i="1"/>
  <c r="AG733" i="1" s="1"/>
  <c r="AH733" i="1" s="1"/>
  <c r="AF741" i="1"/>
  <c r="AG741" i="1" s="1"/>
  <c r="AH741" i="1" s="1"/>
  <c r="AF749" i="1"/>
  <c r="AG749" i="1" s="1"/>
  <c r="AH749" i="1" s="1"/>
  <c r="AF256" i="1"/>
  <c r="AG256" i="1" s="1"/>
  <c r="AH256" i="1" s="1"/>
  <c r="AF264" i="1"/>
  <c r="AG264" i="1" s="1"/>
  <c r="AH264" i="1" s="1"/>
  <c r="AF272" i="1"/>
  <c r="AG272" i="1" s="1"/>
  <c r="AH272" i="1" s="1"/>
  <c r="AI254" i="1"/>
  <c r="AI262" i="1"/>
  <c r="AI270" i="1"/>
  <c r="AF255" i="1"/>
  <c r="AG255" i="1" s="1"/>
  <c r="AH255" i="1" s="1"/>
  <c r="AF263" i="1"/>
  <c r="AG263" i="1" s="1"/>
  <c r="AH263" i="1" s="1"/>
  <c r="AF271" i="1"/>
  <c r="AG271" i="1" s="1"/>
  <c r="AH271" i="1" s="1"/>
  <c r="AF273" i="1"/>
  <c r="AF213" i="1"/>
  <c r="AG213" i="1" s="1"/>
  <c r="AH213" i="1" s="1"/>
  <c r="AI204" i="1"/>
  <c r="AI212" i="1"/>
  <c r="AF202" i="1"/>
  <c r="AG202" i="1" s="1"/>
  <c r="AH202" i="1" s="1"/>
  <c r="AF210" i="1"/>
  <c r="AG210" i="1" s="1"/>
  <c r="AH210" i="1" s="1"/>
  <c r="AF199" i="1"/>
  <c r="AG199" i="1" s="1"/>
  <c r="AH199" i="1" s="1"/>
  <c r="AF207" i="1"/>
  <c r="AG207" i="1" s="1"/>
  <c r="AH207" i="1" s="1"/>
  <c r="AF215" i="1"/>
  <c r="AG215" i="1" s="1"/>
  <c r="AH215" i="1" s="1"/>
  <c r="AF219" i="1"/>
  <c r="AF221" i="1"/>
  <c r="AG221" i="1" s="1"/>
  <c r="AH221" i="1" s="1"/>
  <c r="AI205" i="1"/>
  <c r="AF197" i="1"/>
  <c r="AG197" i="1" s="1"/>
  <c r="AH197" i="1" s="1"/>
  <c r="AF168" i="1"/>
  <c r="AG168" i="1" s="1"/>
  <c r="AH168" i="1" s="1"/>
  <c r="AI169" i="1"/>
  <c r="AF176" i="1"/>
  <c r="AG176" i="1" s="1"/>
  <c r="AH176" i="1" s="1"/>
  <c r="AF184" i="1"/>
  <c r="AG184" i="1" s="1"/>
  <c r="AH184" i="1" s="1"/>
  <c r="AF193" i="1"/>
  <c r="AG193" i="1" s="1"/>
  <c r="AH193" i="1" s="1"/>
  <c r="AF173" i="1"/>
  <c r="AG173" i="1" s="1"/>
  <c r="AH173" i="1" s="1"/>
  <c r="AF181" i="1"/>
  <c r="AG181" i="1" s="1"/>
  <c r="AH181" i="1" s="1"/>
  <c r="AF190" i="1"/>
  <c r="AG190" i="1" s="1"/>
  <c r="AH190" i="1" s="1"/>
  <c r="AF170" i="1"/>
  <c r="AG170" i="1" s="1"/>
  <c r="AH170" i="1" s="1"/>
  <c r="AF178" i="1"/>
  <c r="AG178" i="1" s="1"/>
  <c r="AH178" i="1" s="1"/>
  <c r="AF187" i="1"/>
  <c r="AG187" i="1" s="1"/>
  <c r="AH187" i="1" s="1"/>
  <c r="AF195" i="1"/>
  <c r="AG195" i="1" s="1"/>
  <c r="AH195" i="1" s="1"/>
  <c r="AF455" i="1"/>
  <c r="AF457" i="1"/>
  <c r="AG457" i="1" s="1"/>
  <c r="AH457" i="1" s="1"/>
  <c r="AI458" i="1"/>
  <c r="AF465" i="1"/>
  <c r="AF469" i="1"/>
  <c r="AG469" i="1" s="1"/>
  <c r="AH469" i="1" s="1"/>
  <c r="AF471" i="1"/>
  <c r="AF473" i="1"/>
  <c r="AG473" i="1" s="1"/>
  <c r="AH473" i="1" s="1"/>
  <c r="AF475" i="1"/>
  <c r="AG475" i="1" s="1"/>
  <c r="AH475" i="1" s="1"/>
  <c r="AI476" i="1"/>
  <c r="AF450" i="1"/>
  <c r="AG450" i="1" s="1"/>
  <c r="AH450" i="1" s="1"/>
  <c r="AF460" i="1"/>
  <c r="AG460" i="1" s="1"/>
  <c r="AH460" i="1" s="1"/>
  <c r="AF449" i="1"/>
  <c r="AG449" i="1" s="1"/>
  <c r="AH449" i="1" s="1"/>
  <c r="AF459" i="1"/>
  <c r="AG459" i="1" s="1"/>
  <c r="AH459" i="1" s="1"/>
  <c r="AF477" i="1"/>
  <c r="AG477" i="1" s="1"/>
  <c r="AH477" i="1" s="1"/>
  <c r="AF398" i="1"/>
  <c r="AG398" i="1" s="1"/>
  <c r="AH398" i="1" s="1"/>
  <c r="AI396" i="1"/>
  <c r="AF334" i="1"/>
  <c r="AG334" i="1" s="1"/>
  <c r="AH334" i="1" s="1"/>
  <c r="AF342" i="1"/>
  <c r="AG342" i="1" s="1"/>
  <c r="AH342" i="1" s="1"/>
  <c r="AF350" i="1"/>
  <c r="AG350" i="1" s="1"/>
  <c r="AH350" i="1" s="1"/>
  <c r="AF358" i="1"/>
  <c r="AG358" i="1" s="1"/>
  <c r="AH358" i="1" s="1"/>
  <c r="AF345" i="1"/>
  <c r="AG345" i="1" s="1"/>
  <c r="AH345" i="1" s="1"/>
  <c r="AI337" i="1"/>
  <c r="AI353" i="1"/>
  <c r="AF549" i="1"/>
  <c r="AG549" i="1" s="1"/>
  <c r="AH549" i="1" s="1"/>
  <c r="AF557" i="1"/>
  <c r="AG557" i="1" s="1"/>
  <c r="AH557" i="1" s="1"/>
  <c r="AI558" i="1"/>
  <c r="AI547" i="1"/>
  <c r="AF554" i="1"/>
  <c r="AG554" i="1" s="1"/>
  <c r="AH554" i="1" s="1"/>
  <c r="AI555" i="1"/>
  <c r="AF562" i="1"/>
  <c r="AG562" i="1" s="1"/>
  <c r="AH562" i="1" s="1"/>
  <c r="AI563" i="1"/>
  <c r="AF548" i="1"/>
  <c r="AG548" i="1" s="1"/>
  <c r="AH548" i="1" s="1"/>
  <c r="AF556" i="1"/>
  <c r="AG556" i="1" s="1"/>
  <c r="AH556" i="1" s="1"/>
  <c r="AF564" i="1"/>
  <c r="AG564" i="1" s="1"/>
  <c r="AH564" i="1" s="1"/>
  <c r="AE712" i="1" l="1"/>
  <c r="AI712" i="1" s="1"/>
  <c r="AE711" i="1"/>
  <c r="AF711" i="1" s="1"/>
  <c r="AG711" i="1" s="1"/>
  <c r="AH711" i="1" s="1"/>
  <c r="AE710" i="1"/>
  <c r="AI710" i="1" s="1"/>
  <c r="AE709" i="1"/>
  <c r="AF709" i="1" s="1"/>
  <c r="AG709" i="1" s="1"/>
  <c r="AH709" i="1" s="1"/>
  <c r="AE708" i="1"/>
  <c r="AI708" i="1" s="1"/>
  <c r="AE707" i="1"/>
  <c r="AI707" i="1" s="1"/>
  <c r="AE706" i="1"/>
  <c r="AI706" i="1" s="1"/>
  <c r="AE705" i="1"/>
  <c r="AI705" i="1" s="1"/>
  <c r="AE704" i="1"/>
  <c r="AI704" i="1" s="1"/>
  <c r="AE703" i="1"/>
  <c r="AI703" i="1" s="1"/>
  <c r="AE702" i="1"/>
  <c r="AI702" i="1" s="1"/>
  <c r="AE701" i="1"/>
  <c r="AI701" i="1" s="1"/>
  <c r="AE700" i="1"/>
  <c r="AI700" i="1" s="1"/>
  <c r="AE699" i="1"/>
  <c r="AF699" i="1" s="1"/>
  <c r="AG699" i="1" s="1"/>
  <c r="AH699" i="1" s="1"/>
  <c r="AE698" i="1"/>
  <c r="AI698" i="1" s="1"/>
  <c r="AE697" i="1"/>
  <c r="AF697" i="1" s="1"/>
  <c r="AG697" i="1" s="1"/>
  <c r="AH697" i="1" s="1"/>
  <c r="AE696" i="1"/>
  <c r="AF696" i="1" s="1"/>
  <c r="AG696" i="1" s="1"/>
  <c r="AH696" i="1" s="1"/>
  <c r="AE695" i="1"/>
  <c r="AF695" i="1" s="1"/>
  <c r="AG695" i="1" s="1"/>
  <c r="AH695" i="1" s="1"/>
  <c r="AE694" i="1"/>
  <c r="AI694" i="1" s="1"/>
  <c r="AE693" i="1"/>
  <c r="AI693" i="1" s="1"/>
  <c r="AE692" i="1"/>
  <c r="AI692" i="1" s="1"/>
  <c r="AE691" i="1"/>
  <c r="AF691" i="1" s="1"/>
  <c r="AG691" i="1" s="1"/>
  <c r="AH691" i="1" s="1"/>
  <c r="AE690" i="1"/>
  <c r="AI690" i="1" s="1"/>
  <c r="AE689" i="1"/>
  <c r="AF689" i="1" s="1"/>
  <c r="AG689" i="1" s="1"/>
  <c r="AH689" i="1" s="1"/>
  <c r="AE688" i="1"/>
  <c r="AF688" i="1" s="1"/>
  <c r="AG688" i="1" s="1"/>
  <c r="AH688" i="1" s="1"/>
  <c r="AE687" i="1"/>
  <c r="AF687" i="1" s="1"/>
  <c r="AG687" i="1" s="1"/>
  <c r="AH687" i="1" s="1"/>
  <c r="AE686" i="1"/>
  <c r="AF686" i="1" s="1"/>
  <c r="AG686" i="1" s="1"/>
  <c r="AH686" i="1" s="1"/>
  <c r="AE685" i="1"/>
  <c r="AI685" i="1" s="1"/>
  <c r="AE684" i="1"/>
  <c r="AI684" i="1" s="1"/>
  <c r="AE683" i="1"/>
  <c r="AF683" i="1" s="1"/>
  <c r="AG683" i="1" s="1"/>
  <c r="AH683" i="1" s="1"/>
  <c r="AE682" i="1"/>
  <c r="AI682" i="1" s="1"/>
  <c r="AE681" i="1"/>
  <c r="AF681" i="1" s="1"/>
  <c r="AG681" i="1" s="1"/>
  <c r="AH681" i="1" s="1"/>
  <c r="AE680" i="1"/>
  <c r="AI680" i="1" s="1"/>
  <c r="AE645" i="1"/>
  <c r="AF645" i="1" s="1"/>
  <c r="AG645" i="1" s="1"/>
  <c r="AH645" i="1" s="1"/>
  <c r="AE644" i="1"/>
  <c r="AF644" i="1" s="1"/>
  <c r="AG644" i="1" s="1"/>
  <c r="AH644" i="1" s="1"/>
  <c r="AE643" i="1"/>
  <c r="AI643" i="1" s="1"/>
  <c r="AE642" i="1"/>
  <c r="AF642" i="1" s="1"/>
  <c r="AG642" i="1" s="1"/>
  <c r="AH642" i="1" s="1"/>
  <c r="AE641" i="1"/>
  <c r="AI641" i="1" s="1"/>
  <c r="AE640" i="1"/>
  <c r="AF640" i="1" s="1"/>
  <c r="AG640" i="1" s="1"/>
  <c r="AH640" i="1" s="1"/>
  <c r="AE639" i="1"/>
  <c r="AI639" i="1" s="1"/>
  <c r="AE638" i="1"/>
  <c r="AI638" i="1" s="1"/>
  <c r="AE637" i="1"/>
  <c r="AF637" i="1" s="1"/>
  <c r="AG637" i="1" s="1"/>
  <c r="AH637" i="1" s="1"/>
  <c r="AE636" i="1"/>
  <c r="AI636" i="1" s="1"/>
  <c r="AE635" i="1"/>
  <c r="AI635" i="1" s="1"/>
  <c r="AE634" i="1"/>
  <c r="AI634" i="1" s="1"/>
  <c r="AE633" i="1"/>
  <c r="AI633" i="1" s="1"/>
  <c r="AE632" i="1"/>
  <c r="AF632" i="1" s="1"/>
  <c r="AG632" i="1" s="1"/>
  <c r="AH632" i="1" s="1"/>
  <c r="AE631" i="1"/>
  <c r="AI631" i="1" s="1"/>
  <c r="AE630" i="1"/>
  <c r="AI630" i="1" s="1"/>
  <c r="AE629" i="1"/>
  <c r="AF629" i="1" s="1"/>
  <c r="AG629" i="1" s="1"/>
  <c r="AH629" i="1" s="1"/>
  <c r="AE142" i="1"/>
  <c r="AI142" i="1" s="1"/>
  <c r="AE141" i="1"/>
  <c r="AF141" i="1" s="1"/>
  <c r="AG141" i="1" s="1"/>
  <c r="AH141" i="1" s="1"/>
  <c r="AE140" i="1"/>
  <c r="AI140" i="1" s="1"/>
  <c r="AE139" i="1"/>
  <c r="AF139" i="1" s="1"/>
  <c r="AG139" i="1" s="1"/>
  <c r="AH139" i="1" s="1"/>
  <c r="AE138" i="1"/>
  <c r="AI138" i="1" s="1"/>
  <c r="AE137" i="1"/>
  <c r="AF137" i="1" s="1"/>
  <c r="AG137" i="1" s="1"/>
  <c r="AH137" i="1" s="1"/>
  <c r="AE136" i="1"/>
  <c r="AF136" i="1" s="1"/>
  <c r="AG136" i="1" s="1"/>
  <c r="AH136" i="1" s="1"/>
  <c r="AE134" i="1"/>
  <c r="AI134" i="1" s="1"/>
  <c r="AE133" i="1"/>
  <c r="AF133" i="1" s="1"/>
  <c r="AG133" i="1" s="1"/>
  <c r="AH133" i="1" s="1"/>
  <c r="AE132" i="1"/>
  <c r="AI132" i="1" s="1"/>
  <c r="AE131" i="1"/>
  <c r="AI131" i="1" s="1"/>
  <c r="AE130" i="1"/>
  <c r="AF130" i="1" s="1"/>
  <c r="AG130" i="1" s="1"/>
  <c r="AH130" i="1" s="1"/>
  <c r="AE129" i="1"/>
  <c r="AF129" i="1" s="1"/>
  <c r="AG129" i="1" s="1"/>
  <c r="AH129" i="1" s="1"/>
  <c r="AE430" i="1"/>
  <c r="AF430" i="1" s="1"/>
  <c r="AG430" i="1" s="1"/>
  <c r="AH430" i="1" s="1"/>
  <c r="AE429" i="1"/>
  <c r="AF429" i="1" s="1"/>
  <c r="AG429" i="1" s="1"/>
  <c r="AH429" i="1" s="1"/>
  <c r="AE428" i="1"/>
  <c r="AI428" i="1" s="1"/>
  <c r="AE427" i="1"/>
  <c r="AF427" i="1" s="1"/>
  <c r="AG427" i="1" s="1"/>
  <c r="AH427" i="1" s="1"/>
  <c r="AE426" i="1"/>
  <c r="AI426" i="1" s="1"/>
  <c r="AE425" i="1"/>
  <c r="AI425" i="1" s="1"/>
  <c r="AE424" i="1"/>
  <c r="AF424" i="1" s="1"/>
  <c r="AG424" i="1" s="1"/>
  <c r="AH424" i="1" s="1"/>
  <c r="AE423" i="1"/>
  <c r="AI423" i="1" s="1"/>
  <c r="AE422" i="1"/>
  <c r="AF422" i="1" s="1"/>
  <c r="AG422" i="1" s="1"/>
  <c r="AH422" i="1" s="1"/>
  <c r="AE421" i="1"/>
  <c r="AI421" i="1" s="1"/>
  <c r="AE420" i="1"/>
  <c r="AI420" i="1" s="1"/>
  <c r="AE419" i="1"/>
  <c r="AF419" i="1" s="1"/>
  <c r="AG419" i="1" s="1"/>
  <c r="AH419" i="1" s="1"/>
  <c r="AE94" i="1"/>
  <c r="AF94" i="1" s="1"/>
  <c r="AG94" i="1" s="1"/>
  <c r="AH94" i="1" s="1"/>
  <c r="AE93" i="1"/>
  <c r="AI93" i="1" s="1"/>
  <c r="AE92" i="1"/>
  <c r="AI92" i="1" s="1"/>
  <c r="AE91" i="1"/>
  <c r="AF91" i="1" s="1"/>
  <c r="AE90" i="1"/>
  <c r="AI90" i="1" s="1"/>
  <c r="AE89" i="1"/>
  <c r="AI89" i="1" s="1"/>
  <c r="AE88" i="1"/>
  <c r="AI88" i="1" s="1"/>
  <c r="AE87" i="1"/>
  <c r="AF87" i="1" s="1"/>
  <c r="AG87" i="1" s="1"/>
  <c r="AH87" i="1" s="1"/>
  <c r="AE86" i="1"/>
  <c r="AI86" i="1" s="1"/>
  <c r="AE85" i="1"/>
  <c r="AF85" i="1" s="1"/>
  <c r="AE84" i="1"/>
  <c r="AI84" i="1" s="1"/>
  <c r="AE83" i="1"/>
  <c r="AI83" i="1" s="1"/>
  <c r="AE82" i="1"/>
  <c r="AI82" i="1" s="1"/>
  <c r="AE80" i="1"/>
  <c r="AF80" i="1" s="1"/>
  <c r="AG80" i="1" s="1"/>
  <c r="AH80" i="1" s="1"/>
  <c r="AE78" i="1"/>
  <c r="AI78" i="1" s="1"/>
  <c r="AE77" i="1"/>
  <c r="AF77" i="1" s="1"/>
  <c r="AG77" i="1" s="1"/>
  <c r="AH77" i="1" s="1"/>
  <c r="AE76" i="1"/>
  <c r="AI76" i="1" s="1"/>
  <c r="AE75" i="1"/>
  <c r="AF75" i="1" s="1"/>
  <c r="AG75" i="1" s="1"/>
  <c r="AH75" i="1" s="1"/>
  <c r="AE74" i="1"/>
  <c r="AI74" i="1" s="1"/>
  <c r="AE73" i="1"/>
  <c r="AF73" i="1" s="1"/>
  <c r="AG73" i="1" s="1"/>
  <c r="AH73" i="1" s="1"/>
  <c r="AE72" i="1"/>
  <c r="AF72" i="1" s="1"/>
  <c r="AG72" i="1" s="1"/>
  <c r="AH72" i="1" s="1"/>
  <c r="AE71" i="1"/>
  <c r="AI71" i="1" s="1"/>
  <c r="AE70" i="1"/>
  <c r="AF70" i="1" s="1"/>
  <c r="AG70" i="1" s="1"/>
  <c r="AH70" i="1" s="1"/>
  <c r="AE69" i="1"/>
  <c r="AF69" i="1" s="1"/>
  <c r="AG69" i="1" s="1"/>
  <c r="AH69" i="1" s="1"/>
  <c r="AE68" i="1"/>
  <c r="AI68" i="1" s="1"/>
  <c r="AE67" i="1"/>
  <c r="AF67" i="1" s="1"/>
  <c r="AG67" i="1" s="1"/>
  <c r="AH67" i="1" s="1"/>
  <c r="AE66" i="1"/>
  <c r="AI66" i="1" s="1"/>
  <c r="AE65" i="1"/>
  <c r="AF65" i="1" s="1"/>
  <c r="AG65" i="1" s="1"/>
  <c r="AH65" i="1" s="1"/>
  <c r="AE64" i="1"/>
  <c r="AI64" i="1" s="1"/>
  <c r="AE63" i="1"/>
  <c r="AI63" i="1" s="1"/>
  <c r="AE52" i="1"/>
  <c r="AI52" i="1" s="1"/>
  <c r="AE51" i="1"/>
  <c r="AI51" i="1" s="1"/>
  <c r="AE50" i="1"/>
  <c r="AI50" i="1" s="1"/>
  <c r="AE49" i="1"/>
  <c r="AF49" i="1" s="1"/>
  <c r="AG49" i="1" s="1"/>
  <c r="AH49" i="1" s="1"/>
  <c r="AE48" i="1"/>
  <c r="AI48" i="1" s="1"/>
  <c r="AE47" i="1"/>
  <c r="AF47" i="1" s="1"/>
  <c r="AG47" i="1" s="1"/>
  <c r="AH47" i="1" s="1"/>
  <c r="AE46" i="1"/>
  <c r="AI46" i="1" s="1"/>
  <c r="AE45" i="1"/>
  <c r="AI45" i="1" s="1"/>
  <c r="AE44" i="1"/>
  <c r="AF44" i="1" s="1"/>
  <c r="AG44" i="1" s="1"/>
  <c r="AH44" i="1" s="1"/>
  <c r="AE43" i="1"/>
  <c r="AI43" i="1" s="1"/>
  <c r="AE42" i="1"/>
  <c r="AI42" i="1" s="1"/>
  <c r="AE41" i="1"/>
  <c r="AF41" i="1" s="1"/>
  <c r="AG41" i="1" s="1"/>
  <c r="AH41" i="1" s="1"/>
  <c r="AE40" i="1"/>
  <c r="AI40" i="1" s="1"/>
  <c r="AE39" i="1"/>
  <c r="AF39" i="1" s="1"/>
  <c r="AG39" i="1" s="1"/>
  <c r="AH39" i="1" s="1"/>
  <c r="AE38" i="1"/>
  <c r="AI38" i="1" s="1"/>
  <c r="AE37" i="1"/>
  <c r="AI37" i="1" s="1"/>
  <c r="AE36" i="1"/>
  <c r="AF36" i="1" s="1"/>
  <c r="AG36" i="1" s="1"/>
  <c r="AH36" i="1" s="1"/>
  <c r="AE35" i="1"/>
  <c r="AI35" i="1" s="1"/>
  <c r="AE34" i="1"/>
  <c r="AF34" i="1" s="1"/>
  <c r="AG34" i="1" s="1"/>
  <c r="AH34" i="1" s="1"/>
  <c r="AE11" i="1"/>
  <c r="AI11" i="1" s="1"/>
  <c r="AE10" i="1"/>
  <c r="AI10" i="1" s="1"/>
  <c r="AE9" i="1"/>
  <c r="AF9" i="1" s="1"/>
  <c r="AG9" i="1" s="1"/>
  <c r="AH9" i="1" s="1"/>
  <c r="AE8" i="1"/>
  <c r="AI8" i="1" s="1"/>
  <c r="AE7" i="1"/>
  <c r="AI7" i="1" s="1"/>
  <c r="AE6" i="1"/>
  <c r="AI6" i="1" s="1"/>
  <c r="AE5" i="1"/>
  <c r="AI5" i="1" s="1"/>
  <c r="AI637" i="1" l="1"/>
  <c r="AI137" i="1"/>
  <c r="AF706" i="1"/>
  <c r="AG706" i="1" s="1"/>
  <c r="AH706" i="1" s="1"/>
  <c r="AI642" i="1"/>
  <c r="AI688" i="1"/>
  <c r="AF630" i="1"/>
  <c r="AG630" i="1" s="1"/>
  <c r="AH630" i="1" s="1"/>
  <c r="AI645" i="1"/>
  <c r="AI696" i="1"/>
  <c r="AI429" i="1"/>
  <c r="AF635" i="1"/>
  <c r="AG635" i="1" s="1"/>
  <c r="AH635" i="1" s="1"/>
  <c r="AI644" i="1"/>
  <c r="AF708" i="1"/>
  <c r="AG708" i="1" s="1"/>
  <c r="AH708" i="1" s="1"/>
  <c r="AI136" i="1"/>
  <c r="AI686" i="1"/>
  <c r="AF698" i="1"/>
  <c r="AG698" i="1" s="1"/>
  <c r="AH698" i="1" s="1"/>
  <c r="AI34" i="1"/>
  <c r="AI681" i="1"/>
  <c r="AF38" i="1"/>
  <c r="AG38" i="1" s="1"/>
  <c r="AH38" i="1" s="1"/>
  <c r="AI44" i="1"/>
  <c r="AI65" i="1"/>
  <c r="AI130" i="1"/>
  <c r="AI139" i="1"/>
  <c r="AF633" i="1"/>
  <c r="AG633" i="1" s="1"/>
  <c r="AH633" i="1" s="1"/>
  <c r="AF634" i="1"/>
  <c r="AG634" i="1" s="1"/>
  <c r="AH634" i="1" s="1"/>
  <c r="AF690" i="1"/>
  <c r="AG690" i="1" s="1"/>
  <c r="AH690" i="1" s="1"/>
  <c r="AI695" i="1"/>
  <c r="AF702" i="1"/>
  <c r="AG702" i="1" s="1"/>
  <c r="AH702" i="1" s="1"/>
  <c r="AF704" i="1"/>
  <c r="AF710" i="1"/>
  <c r="AG710" i="1" s="1"/>
  <c r="AH710" i="1" s="1"/>
  <c r="AF83" i="1"/>
  <c r="AF138" i="1"/>
  <c r="AG138" i="1" s="1"/>
  <c r="AH138" i="1" s="1"/>
  <c r="AI629" i="1"/>
  <c r="AF638" i="1"/>
  <c r="AG638" i="1" s="1"/>
  <c r="AH638" i="1" s="1"/>
  <c r="AF643" i="1"/>
  <c r="AF680" i="1"/>
  <c r="AG680" i="1" s="1"/>
  <c r="AH680" i="1" s="1"/>
  <c r="AF682" i="1"/>
  <c r="AG682" i="1" s="1"/>
  <c r="AH682" i="1" s="1"/>
  <c r="AI687" i="1"/>
  <c r="AF694" i="1"/>
  <c r="AG694" i="1" s="1"/>
  <c r="AH694" i="1" s="1"/>
  <c r="AI697" i="1"/>
  <c r="AF8" i="1"/>
  <c r="AG8" i="1" s="1"/>
  <c r="AH8" i="1" s="1"/>
  <c r="AF43" i="1"/>
  <c r="AG43" i="1" s="1"/>
  <c r="AH43" i="1" s="1"/>
  <c r="AI91" i="1"/>
  <c r="AI94" i="1"/>
  <c r="AF421" i="1"/>
  <c r="AG421" i="1" s="1"/>
  <c r="AH421" i="1" s="1"/>
  <c r="AI129" i="1"/>
  <c r="AF131" i="1"/>
  <c r="AG131" i="1" s="1"/>
  <c r="AH131" i="1" s="1"/>
  <c r="AF641" i="1"/>
  <c r="AG641" i="1" s="1"/>
  <c r="AH641" i="1" s="1"/>
  <c r="AI689" i="1"/>
  <c r="AI709" i="1"/>
  <c r="AF685" i="1"/>
  <c r="AG685" i="1" s="1"/>
  <c r="AH685" i="1" s="1"/>
  <c r="AF693" i="1"/>
  <c r="AG693" i="1" s="1"/>
  <c r="AH693" i="1" s="1"/>
  <c r="AF701" i="1"/>
  <c r="AG701" i="1" s="1"/>
  <c r="AH701" i="1" s="1"/>
  <c r="AF705" i="1"/>
  <c r="AG705" i="1" s="1"/>
  <c r="AH705" i="1" s="1"/>
  <c r="AI683" i="1"/>
  <c r="AI691" i="1"/>
  <c r="AI699" i="1"/>
  <c r="AI711" i="1"/>
  <c r="AF703" i="1"/>
  <c r="AF707" i="1"/>
  <c r="AG707" i="1" s="1"/>
  <c r="AH707" i="1" s="1"/>
  <c r="AF684" i="1"/>
  <c r="AG684" i="1" s="1"/>
  <c r="AH684" i="1" s="1"/>
  <c r="AF692" i="1"/>
  <c r="AG692" i="1" s="1"/>
  <c r="AH692" i="1" s="1"/>
  <c r="AF700" i="1"/>
  <c r="AG700" i="1" s="1"/>
  <c r="AH700" i="1" s="1"/>
  <c r="AF712" i="1"/>
  <c r="AG712" i="1" s="1"/>
  <c r="AH712" i="1" s="1"/>
  <c r="AF631" i="1"/>
  <c r="AG631" i="1" s="1"/>
  <c r="AH631" i="1" s="1"/>
  <c r="AI632" i="1"/>
  <c r="AF639" i="1"/>
  <c r="AG639" i="1" s="1"/>
  <c r="AH639" i="1" s="1"/>
  <c r="AI640" i="1"/>
  <c r="AF636" i="1"/>
  <c r="AG636" i="1" s="1"/>
  <c r="AH636" i="1" s="1"/>
  <c r="AF140" i="1"/>
  <c r="AG140" i="1" s="1"/>
  <c r="AH140" i="1" s="1"/>
  <c r="AI141" i="1"/>
  <c r="AF142" i="1"/>
  <c r="AG142" i="1" s="1"/>
  <c r="AH142" i="1" s="1"/>
  <c r="AF132" i="1"/>
  <c r="AG132" i="1" s="1"/>
  <c r="AH132" i="1" s="1"/>
  <c r="AI133" i="1"/>
  <c r="AF134" i="1"/>
  <c r="AG134" i="1" s="1"/>
  <c r="AH134" i="1" s="1"/>
  <c r="AI39" i="1"/>
  <c r="AI36" i="1"/>
  <c r="AF64" i="1"/>
  <c r="AG64" i="1" s="1"/>
  <c r="AH64" i="1" s="1"/>
  <c r="AI70" i="1"/>
  <c r="AI77" i="1"/>
  <c r="AI427" i="1"/>
  <c r="AI422" i="1"/>
  <c r="AF10" i="1"/>
  <c r="AF89" i="1"/>
  <c r="AG89" i="1" s="1"/>
  <c r="AH89" i="1" s="1"/>
  <c r="AI424" i="1"/>
  <c r="AI72" i="1"/>
  <c r="AF6" i="1"/>
  <c r="AI49" i="1"/>
  <c r="AI73" i="1"/>
  <c r="AI85" i="1"/>
  <c r="AI41" i="1"/>
  <c r="AF46" i="1"/>
  <c r="AG46" i="1" s="1"/>
  <c r="AH46" i="1" s="1"/>
  <c r="AI80" i="1"/>
  <c r="AI419" i="1"/>
  <c r="AF423" i="1"/>
  <c r="AG423" i="1" s="1"/>
  <c r="AH423" i="1" s="1"/>
  <c r="AF51" i="1"/>
  <c r="AG51" i="1" s="1"/>
  <c r="AH51" i="1" s="1"/>
  <c r="AI75" i="1"/>
  <c r="AI87" i="1"/>
  <c r="AI47" i="1"/>
  <c r="AI67" i="1"/>
  <c r="AF93" i="1"/>
  <c r="AG93" i="1" s="1"/>
  <c r="AH93" i="1" s="1"/>
  <c r="AI430" i="1"/>
  <c r="AF426" i="1"/>
  <c r="AG426" i="1" s="1"/>
  <c r="AH426" i="1" s="1"/>
  <c r="AF420" i="1"/>
  <c r="AG420" i="1" s="1"/>
  <c r="AH420" i="1" s="1"/>
  <c r="AF428" i="1"/>
  <c r="AG428" i="1" s="1"/>
  <c r="AH428" i="1" s="1"/>
  <c r="AF425" i="1"/>
  <c r="AG425" i="1" s="1"/>
  <c r="AH425" i="1" s="1"/>
  <c r="AF86" i="1"/>
  <c r="AG86" i="1" s="1"/>
  <c r="AH86" i="1" s="1"/>
  <c r="AF82" i="1"/>
  <c r="AG82" i="1" s="1"/>
  <c r="AH82" i="1" s="1"/>
  <c r="AF84" i="1"/>
  <c r="AF88" i="1"/>
  <c r="AG88" i="1" s="1"/>
  <c r="AH88" i="1" s="1"/>
  <c r="AF92" i="1"/>
  <c r="AG92" i="1" s="1"/>
  <c r="AH92" i="1" s="1"/>
  <c r="AF90" i="1"/>
  <c r="AF66" i="1"/>
  <c r="AG66" i="1" s="1"/>
  <c r="AH66" i="1" s="1"/>
  <c r="AF74" i="1"/>
  <c r="AF76" i="1"/>
  <c r="AG76" i="1" s="1"/>
  <c r="AH76" i="1" s="1"/>
  <c r="AF63" i="1"/>
  <c r="AG63" i="1" s="1"/>
  <c r="AH63" i="1" s="1"/>
  <c r="AF71" i="1"/>
  <c r="AG71" i="1" s="1"/>
  <c r="AH71" i="1" s="1"/>
  <c r="AF68" i="1"/>
  <c r="AG68" i="1" s="1"/>
  <c r="AH68" i="1" s="1"/>
  <c r="AI69" i="1"/>
  <c r="AF78" i="1"/>
  <c r="AG78" i="1" s="1"/>
  <c r="AH78" i="1" s="1"/>
  <c r="AF40" i="1"/>
  <c r="AG40" i="1" s="1"/>
  <c r="AH40" i="1" s="1"/>
  <c r="AF35" i="1"/>
  <c r="AG35" i="1" s="1"/>
  <c r="AH35" i="1" s="1"/>
  <c r="AF45" i="1"/>
  <c r="AG45" i="1" s="1"/>
  <c r="AH45" i="1" s="1"/>
  <c r="AF42" i="1"/>
  <c r="AG42" i="1" s="1"/>
  <c r="AH42" i="1" s="1"/>
  <c r="AF50" i="1"/>
  <c r="AG50" i="1" s="1"/>
  <c r="AH50" i="1" s="1"/>
  <c r="AF48" i="1"/>
  <c r="AG48" i="1" s="1"/>
  <c r="AH48" i="1" s="1"/>
  <c r="AF37" i="1"/>
  <c r="AF52" i="1"/>
  <c r="AI9" i="1"/>
  <c r="AF5" i="1"/>
  <c r="AG5" i="1" s="1"/>
  <c r="AH5" i="1" s="1"/>
  <c r="AF7" i="1"/>
  <c r="AG7" i="1" s="1"/>
  <c r="AH7" i="1" s="1"/>
  <c r="AF11" i="1"/>
  <c r="V360" i="1" l="1"/>
  <c r="W360" i="1" s="1"/>
  <c r="X360" i="1" s="1"/>
  <c r="Y360" i="1" s="1"/>
  <c r="V359" i="1"/>
  <c r="Z359" i="1" s="1"/>
  <c r="V358" i="1"/>
  <c r="W358" i="1" s="1"/>
  <c r="X358" i="1" s="1"/>
  <c r="Y358" i="1" s="1"/>
  <c r="V357" i="1"/>
  <c r="W357" i="1" s="1"/>
  <c r="X357" i="1" s="1"/>
  <c r="Y357" i="1" s="1"/>
  <c r="V356" i="1"/>
  <c r="Z356" i="1" s="1"/>
  <c r="V355" i="1"/>
  <c r="Z355" i="1" s="1"/>
  <c r="V354" i="1"/>
  <c r="Z354" i="1" s="1"/>
  <c r="V353" i="1"/>
  <c r="Z353" i="1" s="1"/>
  <c r="V352" i="1"/>
  <c r="W352" i="1" s="1"/>
  <c r="X352" i="1" s="1"/>
  <c r="Y352" i="1" s="1"/>
  <c r="V351" i="1"/>
  <c r="Z351" i="1" s="1"/>
  <c r="V350" i="1"/>
  <c r="W350" i="1" s="1"/>
  <c r="X350" i="1" s="1"/>
  <c r="Y350" i="1" s="1"/>
  <c r="V349" i="1"/>
  <c r="Z349" i="1" s="1"/>
  <c r="V348" i="1"/>
  <c r="Z348" i="1" s="1"/>
  <c r="V347" i="1"/>
  <c r="Z347" i="1" s="1"/>
  <c r="V346" i="1"/>
  <c r="Z346" i="1" s="1"/>
  <c r="V345" i="1"/>
  <c r="Z345" i="1" s="1"/>
  <c r="V344" i="1"/>
  <c r="W344" i="1" s="1"/>
  <c r="X344" i="1" s="1"/>
  <c r="Y344" i="1" s="1"/>
  <c r="V343" i="1"/>
  <c r="Z343" i="1" s="1"/>
  <c r="V342" i="1"/>
  <c r="Z342" i="1" s="1"/>
  <c r="V341" i="1"/>
  <c r="Z341" i="1" s="1"/>
  <c r="V340" i="1"/>
  <c r="Z340" i="1" s="1"/>
  <c r="V339" i="1"/>
  <c r="Z339" i="1" s="1"/>
  <c r="V338" i="1"/>
  <c r="Z338" i="1" s="1"/>
  <c r="V337" i="1"/>
  <c r="W337" i="1" s="1"/>
  <c r="X337" i="1" s="1"/>
  <c r="Y337" i="1" s="1"/>
  <c r="V336" i="1"/>
  <c r="Z336" i="1" s="1"/>
  <c r="V335" i="1"/>
  <c r="Z335" i="1" s="1"/>
  <c r="V334" i="1"/>
  <c r="W334" i="1" s="1"/>
  <c r="X334" i="1" s="1"/>
  <c r="Y334" i="1" s="1"/>
  <c r="W336" i="1" l="1"/>
  <c r="X336" i="1" s="1"/>
  <c r="Y336" i="1" s="1"/>
  <c r="Z352" i="1"/>
  <c r="W349" i="1"/>
  <c r="X349" i="1" s="1"/>
  <c r="Y349" i="1" s="1"/>
  <c r="Z350" i="1"/>
  <c r="W347" i="1"/>
  <c r="X347" i="1" s="1"/>
  <c r="Y347" i="1" s="1"/>
  <c r="Z357" i="1"/>
  <c r="W341" i="1"/>
  <c r="X341" i="1" s="1"/>
  <c r="Y341" i="1" s="1"/>
  <c r="Z337" i="1"/>
  <c r="Z334" i="1"/>
  <c r="W355" i="1"/>
  <c r="X355" i="1" s="1"/>
  <c r="Y355" i="1" s="1"/>
  <c r="W339" i="1"/>
  <c r="X339" i="1" s="1"/>
  <c r="Y339" i="1" s="1"/>
  <c r="W342" i="1"/>
  <c r="X342" i="1" s="1"/>
  <c r="Y342" i="1" s="1"/>
  <c r="Z344" i="1"/>
  <c r="Z358" i="1"/>
  <c r="Z360" i="1"/>
  <c r="W338" i="1"/>
  <c r="X338" i="1" s="1"/>
  <c r="Y338" i="1" s="1"/>
  <c r="W354" i="1"/>
  <c r="X354" i="1" s="1"/>
  <c r="Y354" i="1" s="1"/>
  <c r="W351" i="1"/>
  <c r="X351" i="1" s="1"/>
  <c r="Y351" i="1" s="1"/>
  <c r="W359" i="1"/>
  <c r="X359" i="1" s="1"/>
  <c r="Y359" i="1" s="1"/>
  <c r="W346" i="1"/>
  <c r="X346" i="1" s="1"/>
  <c r="Y346" i="1" s="1"/>
  <c r="W335" i="1"/>
  <c r="X335" i="1" s="1"/>
  <c r="Y335" i="1" s="1"/>
  <c r="W340" i="1"/>
  <c r="X340" i="1" s="1"/>
  <c r="Y340" i="1" s="1"/>
  <c r="W345" i="1"/>
  <c r="X345" i="1" s="1"/>
  <c r="Y345" i="1" s="1"/>
  <c r="W353" i="1"/>
  <c r="X353" i="1" s="1"/>
  <c r="Y353" i="1" s="1"/>
  <c r="W343" i="1"/>
  <c r="X343" i="1" s="1"/>
  <c r="Y343" i="1" s="1"/>
  <c r="W356" i="1"/>
  <c r="X356" i="1" s="1"/>
  <c r="Y356" i="1" s="1"/>
  <c r="W348" i="1"/>
  <c r="X348" i="1" s="1"/>
  <c r="Y348" i="1" s="1"/>
  <c r="J94" i="1" l="1"/>
  <c r="N94" i="1" s="1"/>
  <c r="J93" i="1"/>
  <c r="K93" i="1" s="1"/>
  <c r="L93" i="1" s="1"/>
  <c r="M93" i="1" s="1"/>
  <c r="J92" i="1"/>
  <c r="N92" i="1" s="1"/>
  <c r="J91" i="1"/>
  <c r="K91" i="1" s="1"/>
  <c r="L91" i="1" s="1"/>
  <c r="M91" i="1" s="1"/>
  <c r="J90" i="1"/>
  <c r="N90" i="1" s="1"/>
  <c r="J89" i="1"/>
  <c r="N89" i="1" s="1"/>
  <c r="J88" i="1"/>
  <c r="K88" i="1" s="1"/>
  <c r="L88" i="1" s="1"/>
  <c r="M88" i="1" s="1"/>
  <c r="J87" i="1"/>
  <c r="N87" i="1" s="1"/>
  <c r="J86" i="1"/>
  <c r="N86" i="1" s="1"/>
  <c r="J85" i="1"/>
  <c r="K85" i="1" s="1"/>
  <c r="L85" i="1" s="1"/>
  <c r="M85" i="1" s="1"/>
  <c r="J84" i="1"/>
  <c r="N84" i="1" s="1"/>
  <c r="J83" i="1"/>
  <c r="K83" i="1" s="1"/>
  <c r="L83" i="1" s="1"/>
  <c r="M83" i="1" s="1"/>
  <c r="J82" i="1"/>
  <c r="K82" i="1" s="1"/>
  <c r="L82" i="1" s="1"/>
  <c r="M82" i="1" s="1"/>
  <c r="J81" i="1"/>
  <c r="N81" i="1" s="1"/>
  <c r="J80" i="1"/>
  <c r="N80" i="1" s="1"/>
  <c r="K89" i="1" l="1"/>
  <c r="L89" i="1" s="1"/>
  <c r="M89" i="1" s="1"/>
  <c r="K80" i="1"/>
  <c r="L80" i="1" s="1"/>
  <c r="M80" i="1" s="1"/>
  <c r="N88" i="1"/>
  <c r="N91" i="1"/>
  <c r="N82" i="1"/>
  <c r="K81" i="1"/>
  <c r="L81" i="1" s="1"/>
  <c r="M81" i="1" s="1"/>
  <c r="K90" i="1"/>
  <c r="L90" i="1" s="1"/>
  <c r="M90" i="1" s="1"/>
  <c r="N83" i="1"/>
  <c r="K87" i="1"/>
  <c r="L87" i="1" s="1"/>
  <c r="M87" i="1" s="1"/>
  <c r="K84" i="1"/>
  <c r="L84" i="1" s="1"/>
  <c r="M84" i="1" s="1"/>
  <c r="N85" i="1"/>
  <c r="K92" i="1"/>
  <c r="L92" i="1" s="1"/>
  <c r="M92" i="1" s="1"/>
  <c r="N93" i="1"/>
  <c r="K86" i="1"/>
  <c r="L86" i="1" s="1"/>
  <c r="M86" i="1" s="1"/>
  <c r="K94" i="1"/>
  <c r="L94" i="1" s="1"/>
  <c r="M94" i="1" s="1"/>
  <c r="V94" i="1" l="1"/>
  <c r="W94" i="1" s="1"/>
  <c r="X94" i="1" s="1"/>
  <c r="Y94" i="1" s="1"/>
  <c r="V93" i="1"/>
  <c r="Z93" i="1" s="1"/>
  <c r="Z92" i="1"/>
  <c r="V92" i="1"/>
  <c r="W92" i="1" s="1"/>
  <c r="X92" i="1" s="1"/>
  <c r="Y92" i="1" s="1"/>
  <c r="V91" i="1"/>
  <c r="Z91" i="1" s="1"/>
  <c r="Z90" i="1"/>
  <c r="V90" i="1"/>
  <c r="W90" i="1" s="1"/>
  <c r="V89" i="1"/>
  <c r="Z89" i="1" s="1"/>
  <c r="V88" i="1"/>
  <c r="Z88" i="1" s="1"/>
  <c r="Z87" i="1"/>
  <c r="V87" i="1"/>
  <c r="W87" i="1" s="1"/>
  <c r="X87" i="1" s="1"/>
  <c r="Y87" i="1" s="1"/>
  <c r="V86" i="1"/>
  <c r="Z86" i="1" s="1"/>
  <c r="Z85" i="1"/>
  <c r="V85" i="1"/>
  <c r="W85" i="1" s="1"/>
  <c r="V84" i="1"/>
  <c r="Z84" i="1" s="1"/>
  <c r="Z83" i="1"/>
  <c r="V83" i="1"/>
  <c r="W83" i="1" s="1"/>
  <c r="V82" i="1"/>
  <c r="Z82" i="1" s="1"/>
  <c r="V81" i="1"/>
  <c r="W81" i="1" s="1"/>
  <c r="X81" i="1" s="1"/>
  <c r="Y81" i="1" s="1"/>
  <c r="V80" i="1"/>
  <c r="W80" i="1" s="1"/>
  <c r="X80" i="1" s="1"/>
  <c r="Y80" i="1" s="1"/>
  <c r="V895" i="1"/>
  <c r="W895" i="1" s="1"/>
  <c r="V894" i="1"/>
  <c r="Z894" i="1" s="1"/>
  <c r="V888" i="1"/>
  <c r="Z888" i="1" s="1"/>
  <c r="V885" i="1"/>
  <c r="Z885" i="1" s="1"/>
  <c r="V884" i="1"/>
  <c r="W884" i="1" s="1"/>
  <c r="X884" i="1" s="1"/>
  <c r="Y884" i="1" s="1"/>
  <c r="V883" i="1"/>
  <c r="Z883" i="1" s="1"/>
  <c r="V882" i="1"/>
  <c r="W882" i="1" s="1"/>
  <c r="X882" i="1" s="1"/>
  <c r="Y882" i="1" s="1"/>
  <c r="V880" i="1"/>
  <c r="Z880" i="1" s="1"/>
  <c r="V879" i="1"/>
  <c r="Z879" i="1" s="1"/>
  <c r="V878" i="1"/>
  <c r="Z878" i="1" s="1"/>
  <c r="V877" i="1"/>
  <c r="W877" i="1" s="1"/>
  <c r="X877" i="1" s="1"/>
  <c r="Y877" i="1" s="1"/>
  <c r="V876" i="1"/>
  <c r="Z876" i="1" s="1"/>
  <c r="V875" i="1"/>
  <c r="W875" i="1" s="1"/>
  <c r="X875" i="1" s="1"/>
  <c r="Y875" i="1" s="1"/>
  <c r="V873" i="1"/>
  <c r="Z873" i="1" s="1"/>
  <c r="V872" i="1"/>
  <c r="W872" i="1" s="1"/>
  <c r="X872" i="1" s="1"/>
  <c r="Y872" i="1" s="1"/>
  <c r="V869" i="1"/>
  <c r="W869" i="1" s="1"/>
  <c r="V868" i="1"/>
  <c r="Z868" i="1" s="1"/>
  <c r="V769" i="1"/>
  <c r="Z769" i="1" s="1"/>
  <c r="V767" i="1"/>
  <c r="Z767" i="1" s="1"/>
  <c r="V766" i="1"/>
  <c r="Z766" i="1" s="1"/>
  <c r="V765" i="1"/>
  <c r="Z765" i="1" s="1"/>
  <c r="V764" i="1"/>
  <c r="W764" i="1" s="1"/>
  <c r="V763" i="1"/>
  <c r="Z763" i="1" s="1"/>
  <c r="V762" i="1"/>
  <c r="W762" i="1" s="1"/>
  <c r="X762" i="1" s="1"/>
  <c r="Y762" i="1" s="1"/>
  <c r="V761" i="1"/>
  <c r="W761" i="1" s="1"/>
  <c r="X761" i="1" s="1"/>
  <c r="Y761" i="1" s="1"/>
  <c r="V760" i="1"/>
  <c r="Z760" i="1" s="1"/>
  <c r="V759" i="1"/>
  <c r="W759" i="1" s="1"/>
  <c r="X759" i="1" s="1"/>
  <c r="Y759" i="1" s="1"/>
  <c r="V758" i="1"/>
  <c r="Z758" i="1" s="1"/>
  <c r="V756" i="1"/>
  <c r="W756" i="1" s="1"/>
  <c r="X756" i="1" s="1"/>
  <c r="Y756" i="1" s="1"/>
  <c r="V755" i="1"/>
  <c r="Z755" i="1" s="1"/>
  <c r="V754" i="1"/>
  <c r="Z754" i="1" s="1"/>
  <c r="V753" i="1"/>
  <c r="W753" i="1" s="1"/>
  <c r="X753" i="1" s="1"/>
  <c r="Y753" i="1" s="1"/>
  <c r="V752" i="1"/>
  <c r="Z752" i="1" s="1"/>
  <c r="V751" i="1"/>
  <c r="Z751" i="1" s="1"/>
  <c r="V749" i="1"/>
  <c r="Z749" i="1" s="1"/>
  <c r="V748" i="1"/>
  <c r="Z748" i="1" s="1"/>
  <c r="V747" i="1"/>
  <c r="W747" i="1" s="1"/>
  <c r="X747" i="1" s="1"/>
  <c r="Y747" i="1" s="1"/>
  <c r="V746" i="1"/>
  <c r="Z746" i="1" s="1"/>
  <c r="V745" i="1"/>
  <c r="W745" i="1" s="1"/>
  <c r="X745" i="1" s="1"/>
  <c r="Y745" i="1" s="1"/>
  <c r="V744" i="1"/>
  <c r="Z744" i="1" s="1"/>
  <c r="V743" i="1"/>
  <c r="W743" i="1" s="1"/>
  <c r="X743" i="1" s="1"/>
  <c r="Y743" i="1" s="1"/>
  <c r="V742" i="1"/>
  <c r="Z742" i="1" s="1"/>
  <c r="V741" i="1"/>
  <c r="Z741" i="1" s="1"/>
  <c r="V740" i="1"/>
  <c r="Z740" i="1" s="1"/>
  <c r="V739" i="1"/>
  <c r="W739" i="1" s="1"/>
  <c r="X739" i="1" s="1"/>
  <c r="Y739" i="1" s="1"/>
  <c r="V738" i="1"/>
  <c r="Z738" i="1" s="1"/>
  <c r="V737" i="1"/>
  <c r="W737" i="1" s="1"/>
  <c r="X737" i="1" s="1"/>
  <c r="Y737" i="1" s="1"/>
  <c r="V736" i="1"/>
  <c r="Z736" i="1" s="1"/>
  <c r="V735" i="1"/>
  <c r="Z735" i="1" s="1"/>
  <c r="V734" i="1"/>
  <c r="Z734" i="1" s="1"/>
  <c r="V733" i="1"/>
  <c r="Z733" i="1" s="1"/>
  <c r="V732" i="1"/>
  <c r="Z732" i="1" s="1"/>
  <c r="V731" i="1"/>
  <c r="W731" i="1" s="1"/>
  <c r="X731" i="1" s="1"/>
  <c r="Y731" i="1" s="1"/>
  <c r="V730" i="1"/>
  <c r="Z730" i="1" s="1"/>
  <c r="V729" i="1"/>
  <c r="W729" i="1" s="1"/>
  <c r="X729" i="1" s="1"/>
  <c r="Y729" i="1" s="1"/>
  <c r="V728" i="1"/>
  <c r="Z728" i="1" s="1"/>
  <c r="V273" i="1"/>
  <c r="Y273" i="1" s="1"/>
  <c r="V272" i="1"/>
  <c r="Z272" i="1" s="1"/>
  <c r="V271" i="1"/>
  <c r="W271" i="1" s="1"/>
  <c r="X271" i="1" s="1"/>
  <c r="Y271" i="1" s="1"/>
  <c r="V270" i="1"/>
  <c r="Z270" i="1" s="1"/>
  <c r="V269" i="1"/>
  <c r="Z269" i="1" s="1"/>
  <c r="V268" i="1"/>
  <c r="Z268" i="1" s="1"/>
  <c r="V267" i="1"/>
  <c r="W267" i="1" s="1"/>
  <c r="X267" i="1" s="1"/>
  <c r="Y267" i="1" s="1"/>
  <c r="V266" i="1"/>
  <c r="W266" i="1" s="1"/>
  <c r="X266" i="1" s="1"/>
  <c r="Y266" i="1" s="1"/>
  <c r="V265" i="1"/>
  <c r="Z265" i="1" s="1"/>
  <c r="V264" i="1"/>
  <c r="Z264" i="1" s="1"/>
  <c r="V263" i="1"/>
  <c r="W263" i="1" s="1"/>
  <c r="X263" i="1" s="1"/>
  <c r="Y263" i="1" s="1"/>
  <c r="V262" i="1"/>
  <c r="W262" i="1" s="1"/>
  <c r="X262" i="1" s="1"/>
  <c r="Y262" i="1" s="1"/>
  <c r="V261" i="1"/>
  <c r="Z261" i="1" s="1"/>
  <c r="V260" i="1"/>
  <c r="Z260" i="1" s="1"/>
  <c r="V259" i="1"/>
  <c r="Z259" i="1" s="1"/>
  <c r="V258" i="1"/>
  <c r="W258" i="1" s="1"/>
  <c r="X258" i="1" s="1"/>
  <c r="Y258" i="1" s="1"/>
  <c r="V257" i="1"/>
  <c r="W257" i="1" s="1"/>
  <c r="X257" i="1" s="1"/>
  <c r="Y257" i="1" s="1"/>
  <c r="V256" i="1"/>
  <c r="W256" i="1" s="1"/>
  <c r="X256" i="1" s="1"/>
  <c r="Y256" i="1" s="1"/>
  <c r="V255" i="1"/>
  <c r="W255" i="1" s="1"/>
  <c r="X255" i="1" s="1"/>
  <c r="Y255" i="1" s="1"/>
  <c r="V254" i="1"/>
  <c r="Z254" i="1" s="1"/>
  <c r="V253" i="1"/>
  <c r="Z253" i="1" s="1"/>
  <c r="Y85" i="1" l="1"/>
  <c r="Z872" i="1"/>
  <c r="W880" i="1"/>
  <c r="X880" i="1" s="1"/>
  <c r="Y880" i="1" s="1"/>
  <c r="Y895" i="1"/>
  <c r="Z258" i="1"/>
  <c r="Y869" i="1"/>
  <c r="Z882" i="1"/>
  <c r="Z257" i="1"/>
  <c r="W270" i="1"/>
  <c r="X270" i="1" s="1"/>
  <c r="Y270" i="1" s="1"/>
  <c r="Z731" i="1"/>
  <c r="Z745" i="1"/>
  <c r="W883" i="1"/>
  <c r="X883" i="1" s="1"/>
  <c r="Y883" i="1" s="1"/>
  <c r="W91" i="1"/>
  <c r="Z266" i="1"/>
  <c r="W741" i="1"/>
  <c r="X741" i="1" s="1"/>
  <c r="Y741" i="1" s="1"/>
  <c r="Z756" i="1"/>
  <c r="Y764" i="1"/>
  <c r="W268" i="1"/>
  <c r="X268" i="1" s="1"/>
  <c r="Y268" i="1" s="1"/>
  <c r="W272" i="1"/>
  <c r="X272" i="1" s="1"/>
  <c r="Y272" i="1" s="1"/>
  <c r="Z759" i="1"/>
  <c r="Z764" i="1"/>
  <c r="W86" i="1"/>
  <c r="X86" i="1" s="1"/>
  <c r="Y86" i="1" s="1"/>
  <c r="Z273" i="1"/>
  <c r="W733" i="1"/>
  <c r="X733" i="1" s="1"/>
  <c r="Y733" i="1" s="1"/>
  <c r="Z895" i="1"/>
  <c r="Z255" i="1"/>
  <c r="W260" i="1"/>
  <c r="X260" i="1" s="1"/>
  <c r="Y260" i="1" s="1"/>
  <c r="Z743" i="1"/>
  <c r="W749" i="1"/>
  <c r="X749" i="1" s="1"/>
  <c r="Y749" i="1" s="1"/>
  <c r="Z94" i="1"/>
  <c r="Z263" i="1"/>
  <c r="Z271" i="1"/>
  <c r="W728" i="1"/>
  <c r="X728" i="1" s="1"/>
  <c r="Y728" i="1" s="1"/>
  <c r="W736" i="1"/>
  <c r="X736" i="1" s="1"/>
  <c r="Y736" i="1" s="1"/>
  <c r="W744" i="1"/>
  <c r="X744" i="1" s="1"/>
  <c r="Y744" i="1" s="1"/>
  <c r="W755" i="1"/>
  <c r="X755" i="1" s="1"/>
  <c r="Y755" i="1" s="1"/>
  <c r="Y879" i="1"/>
  <c r="Z80" i="1"/>
  <c r="Y83" i="1"/>
  <c r="W89" i="1"/>
  <c r="X89" i="1" s="1"/>
  <c r="Y89" i="1" s="1"/>
  <c r="Y91" i="1"/>
  <c r="Z875" i="1"/>
  <c r="W742" i="1"/>
  <c r="X742" i="1" s="1"/>
  <c r="Y742" i="1" s="1"/>
  <c r="Z762" i="1"/>
  <c r="W766" i="1"/>
  <c r="Z869" i="1"/>
  <c r="W876" i="1"/>
  <c r="X876" i="1" s="1"/>
  <c r="Y876" i="1" s="1"/>
  <c r="W84" i="1"/>
  <c r="W265" i="1"/>
  <c r="X265" i="1" s="1"/>
  <c r="Y265" i="1" s="1"/>
  <c r="W273" i="1"/>
  <c r="Z729" i="1"/>
  <c r="W734" i="1"/>
  <c r="X734" i="1" s="1"/>
  <c r="Y734" i="1" s="1"/>
  <c r="Z737" i="1"/>
  <c r="Y766" i="1"/>
  <c r="W82" i="1"/>
  <c r="X82" i="1" s="1"/>
  <c r="Y82" i="1" s="1"/>
  <c r="Y84" i="1"/>
  <c r="Y90" i="1"/>
  <c r="W93" i="1"/>
  <c r="X93" i="1" s="1"/>
  <c r="Y93" i="1" s="1"/>
  <c r="Z753" i="1"/>
  <c r="Z877" i="1"/>
  <c r="W88" i="1"/>
  <c r="X88" i="1" s="1"/>
  <c r="Y88" i="1" s="1"/>
  <c r="W894" i="1"/>
  <c r="X894" i="1" s="1"/>
  <c r="Y894" i="1" s="1"/>
  <c r="W888" i="1"/>
  <c r="X888" i="1" s="1"/>
  <c r="Y888" i="1" s="1"/>
  <c r="Z884" i="1"/>
  <c r="W885" i="1"/>
  <c r="X885" i="1" s="1"/>
  <c r="Y885" i="1" s="1"/>
  <c r="W879" i="1"/>
  <c r="W878" i="1"/>
  <c r="X878" i="1" s="1"/>
  <c r="Y878" i="1" s="1"/>
  <c r="W873" i="1"/>
  <c r="Y873" i="1"/>
  <c r="W868" i="1"/>
  <c r="X868" i="1" s="1"/>
  <c r="Y868" i="1" s="1"/>
  <c r="W769" i="1"/>
  <c r="X769" i="1" s="1"/>
  <c r="Y769" i="1" s="1"/>
  <c r="W758" i="1"/>
  <c r="X758" i="1" s="1"/>
  <c r="Y758" i="1" s="1"/>
  <c r="W763" i="1"/>
  <c r="X763" i="1" s="1"/>
  <c r="Y763" i="1" s="1"/>
  <c r="W760" i="1"/>
  <c r="X760" i="1" s="1"/>
  <c r="Y760" i="1" s="1"/>
  <c r="Z761" i="1"/>
  <c r="W765" i="1"/>
  <c r="W767" i="1"/>
  <c r="X767" i="1" s="1"/>
  <c r="Y767" i="1" s="1"/>
  <c r="Y765" i="1"/>
  <c r="W752" i="1"/>
  <c r="X752" i="1" s="1"/>
  <c r="Y752" i="1" s="1"/>
  <c r="W754" i="1"/>
  <c r="X754" i="1" s="1"/>
  <c r="Y754" i="1" s="1"/>
  <c r="W751" i="1"/>
  <c r="X751" i="1" s="1"/>
  <c r="Y751" i="1" s="1"/>
  <c r="W730" i="1"/>
  <c r="X730" i="1" s="1"/>
  <c r="Y730" i="1" s="1"/>
  <c r="W738" i="1"/>
  <c r="X738" i="1" s="1"/>
  <c r="Y738" i="1" s="1"/>
  <c r="Z739" i="1"/>
  <c r="W746" i="1"/>
  <c r="X746" i="1" s="1"/>
  <c r="Y746" i="1" s="1"/>
  <c r="Z747" i="1"/>
  <c r="W735" i="1"/>
  <c r="X735" i="1" s="1"/>
  <c r="Y735" i="1" s="1"/>
  <c r="W732" i="1"/>
  <c r="X732" i="1" s="1"/>
  <c r="Y732" i="1" s="1"/>
  <c r="W740" i="1"/>
  <c r="X740" i="1" s="1"/>
  <c r="Y740" i="1" s="1"/>
  <c r="W748" i="1"/>
  <c r="X748" i="1" s="1"/>
  <c r="Y748" i="1" s="1"/>
  <c r="W254" i="1"/>
  <c r="X254" i="1" s="1"/>
  <c r="Y254" i="1" s="1"/>
  <c r="W259" i="1"/>
  <c r="X259" i="1" s="1"/>
  <c r="Y259" i="1" s="1"/>
  <c r="W261" i="1"/>
  <c r="X261" i="1" s="1"/>
  <c r="Y261" i="1" s="1"/>
  <c r="Z262" i="1"/>
  <c r="Z267" i="1"/>
  <c r="W264" i="1"/>
  <c r="X264" i="1" s="1"/>
  <c r="Y264" i="1" s="1"/>
  <c r="W269" i="1"/>
  <c r="X269" i="1" s="1"/>
  <c r="Y269" i="1" s="1"/>
  <c r="Z256" i="1"/>
  <c r="W253" i="1"/>
  <c r="X253" i="1" s="1"/>
  <c r="Y253" i="1" s="1"/>
  <c r="V221" i="1"/>
  <c r="Z221" i="1" s="1"/>
  <c r="V220" i="1"/>
  <c r="W220" i="1" s="1"/>
  <c r="X220" i="1" s="1"/>
  <c r="Y220" i="1" s="1"/>
  <c r="V219" i="1"/>
  <c r="Z219" i="1" s="1"/>
  <c r="V218" i="1"/>
  <c r="W218" i="1" s="1"/>
  <c r="V217" i="1"/>
  <c r="Z217" i="1" s="1"/>
  <c r="V216" i="1"/>
  <c r="Z216" i="1" s="1"/>
  <c r="V215" i="1"/>
  <c r="W215" i="1" s="1"/>
  <c r="X215" i="1" s="1"/>
  <c r="Y215" i="1" s="1"/>
  <c r="V214" i="1"/>
  <c r="Z214" i="1" s="1"/>
  <c r="V213" i="1"/>
  <c r="W213" i="1" s="1"/>
  <c r="X213" i="1" s="1"/>
  <c r="Y213" i="1" s="1"/>
  <c r="V212" i="1"/>
  <c r="Z212" i="1" s="1"/>
  <c r="V211" i="1"/>
  <c r="W211" i="1" s="1"/>
  <c r="X211" i="1" s="1"/>
  <c r="Y211" i="1" s="1"/>
  <c r="V210" i="1"/>
  <c r="Z210" i="1" s="1"/>
  <c r="V209" i="1"/>
  <c r="W209" i="1" s="1"/>
  <c r="X209" i="1" s="1"/>
  <c r="Y209" i="1" s="1"/>
  <c r="V208" i="1"/>
  <c r="Z208" i="1" s="1"/>
  <c r="V207" i="1"/>
  <c r="W207" i="1" s="1"/>
  <c r="X207" i="1" s="1"/>
  <c r="Y207" i="1" s="1"/>
  <c r="V206" i="1"/>
  <c r="W206" i="1" s="1"/>
  <c r="X206" i="1" s="1"/>
  <c r="Y206" i="1" s="1"/>
  <c r="V205" i="1"/>
  <c r="W205" i="1" s="1"/>
  <c r="X205" i="1" s="1"/>
  <c r="Y205" i="1" s="1"/>
  <c r="V204" i="1"/>
  <c r="Z204" i="1" s="1"/>
  <c r="V203" i="1"/>
  <c r="W203" i="1" s="1"/>
  <c r="X203" i="1" s="1"/>
  <c r="Y203" i="1" s="1"/>
  <c r="V202" i="1"/>
  <c r="Z202" i="1" s="1"/>
  <c r="V201" i="1"/>
  <c r="W201" i="1" s="1"/>
  <c r="X201" i="1" s="1"/>
  <c r="Y201" i="1" s="1"/>
  <c r="V200" i="1"/>
  <c r="Z200" i="1" s="1"/>
  <c r="V199" i="1"/>
  <c r="W199" i="1" s="1"/>
  <c r="X199" i="1" s="1"/>
  <c r="Y199" i="1" s="1"/>
  <c r="V197" i="1"/>
  <c r="Z197" i="1" s="1"/>
  <c r="V195" i="1"/>
  <c r="W195" i="1" s="1"/>
  <c r="X195" i="1" s="1"/>
  <c r="Y195" i="1" s="1"/>
  <c r="V194" i="1"/>
  <c r="W194" i="1" s="1"/>
  <c r="X194" i="1" s="1"/>
  <c r="Y194" i="1" s="1"/>
  <c r="V193" i="1"/>
  <c r="Z193" i="1" s="1"/>
  <c r="V192" i="1"/>
  <c r="W192" i="1" s="1"/>
  <c r="X192" i="1" s="1"/>
  <c r="Y192" i="1" s="1"/>
  <c r="V191" i="1"/>
  <c r="Z191" i="1" s="1"/>
  <c r="V190" i="1"/>
  <c r="W190" i="1" s="1"/>
  <c r="X190" i="1" s="1"/>
  <c r="Y190" i="1" s="1"/>
  <c r="V189" i="1"/>
  <c r="Z189" i="1" s="1"/>
  <c r="V188" i="1"/>
  <c r="Z188" i="1" s="1"/>
  <c r="V187" i="1"/>
  <c r="W187" i="1" s="1"/>
  <c r="X187" i="1" s="1"/>
  <c r="Y187" i="1" s="1"/>
  <c r="V186" i="1"/>
  <c r="W186" i="1" s="1"/>
  <c r="X186" i="1" s="1"/>
  <c r="Y186" i="1" s="1"/>
  <c r="V185" i="1"/>
  <c r="W185" i="1" s="1"/>
  <c r="X185" i="1" s="1"/>
  <c r="Y185" i="1" s="1"/>
  <c r="V184" i="1"/>
  <c r="Z184" i="1" s="1"/>
  <c r="V183" i="1"/>
  <c r="Z183" i="1" s="1"/>
  <c r="V182" i="1"/>
  <c r="Z182" i="1" s="1"/>
  <c r="V181" i="1"/>
  <c r="Z181" i="1" s="1"/>
  <c r="V180" i="1"/>
  <c r="Z180" i="1" s="1"/>
  <c r="V179" i="1"/>
  <c r="W179" i="1" s="1"/>
  <c r="X179" i="1" s="1"/>
  <c r="Y179" i="1" s="1"/>
  <c r="V178" i="1"/>
  <c r="W178" i="1" s="1"/>
  <c r="X178" i="1" s="1"/>
  <c r="Y178" i="1" s="1"/>
  <c r="V177" i="1"/>
  <c r="W177" i="1" s="1"/>
  <c r="X177" i="1" s="1"/>
  <c r="Y177" i="1" s="1"/>
  <c r="V176" i="1"/>
  <c r="Z176" i="1" s="1"/>
  <c r="V175" i="1"/>
  <c r="Z175" i="1" s="1"/>
  <c r="V174" i="1"/>
  <c r="Z174" i="1" s="1"/>
  <c r="V173" i="1"/>
  <c r="Z173" i="1" s="1"/>
  <c r="V172" i="1"/>
  <c r="Z172" i="1" s="1"/>
  <c r="V171" i="1"/>
  <c r="W171" i="1" s="1"/>
  <c r="X171" i="1" s="1"/>
  <c r="Y171" i="1" s="1"/>
  <c r="V170" i="1"/>
  <c r="W170" i="1" s="1"/>
  <c r="X170" i="1" s="1"/>
  <c r="Y170" i="1" s="1"/>
  <c r="V169" i="1"/>
  <c r="W169" i="1" s="1"/>
  <c r="X169" i="1" s="1"/>
  <c r="Y169" i="1" s="1"/>
  <c r="V168" i="1"/>
  <c r="Z168" i="1" s="1"/>
  <c r="V167" i="1"/>
  <c r="Z167" i="1" s="1"/>
  <c r="V166" i="1"/>
  <c r="Z166" i="1" s="1"/>
  <c r="V477" i="1"/>
  <c r="Z477" i="1" s="1"/>
  <c r="V476" i="1"/>
  <c r="Z476" i="1" s="1"/>
  <c r="V475" i="1"/>
  <c r="Z475" i="1" s="1"/>
  <c r="V474" i="1"/>
  <c r="Z474" i="1" s="1"/>
  <c r="V473" i="1"/>
  <c r="W473" i="1" s="1"/>
  <c r="X473" i="1" s="1"/>
  <c r="Y473" i="1" s="1"/>
  <c r="V472" i="1"/>
  <c r="Z472" i="1" s="1"/>
  <c r="V470" i="1"/>
  <c r="Z470" i="1" s="1"/>
  <c r="V469" i="1"/>
  <c r="Z469" i="1" s="1"/>
  <c r="V468" i="1"/>
  <c r="Z468" i="1" s="1"/>
  <c r="V467" i="1"/>
  <c r="Z467" i="1" s="1"/>
  <c r="V466" i="1"/>
  <c r="Y466" i="1" s="1"/>
  <c r="V465" i="1"/>
  <c r="Z465" i="1" s="1"/>
  <c r="Z464" i="1"/>
  <c r="Y464" i="1"/>
  <c r="V463" i="1"/>
  <c r="Z463" i="1" s="1"/>
  <c r="V462" i="1"/>
  <c r="W462" i="1" s="1"/>
  <c r="X462" i="1" s="1"/>
  <c r="Y462" i="1" s="1"/>
  <c r="V461" i="1"/>
  <c r="Z461" i="1" s="1"/>
  <c r="V460" i="1"/>
  <c r="W460" i="1" s="1"/>
  <c r="X460" i="1" s="1"/>
  <c r="Y460" i="1" s="1"/>
  <c r="V459" i="1"/>
  <c r="Z459" i="1" s="1"/>
  <c r="V458" i="1"/>
  <c r="W458" i="1" s="1"/>
  <c r="X458" i="1" s="1"/>
  <c r="Y458" i="1" s="1"/>
  <c r="V457" i="1"/>
  <c r="W457" i="1" s="1"/>
  <c r="X457" i="1" s="1"/>
  <c r="Y457" i="1" s="1"/>
  <c r="V456" i="1"/>
  <c r="Z456" i="1" s="1"/>
  <c r="V455" i="1"/>
  <c r="Z455" i="1" s="1"/>
  <c r="V454" i="1"/>
  <c r="Z454" i="1" s="1"/>
  <c r="V453" i="1"/>
  <c r="W453" i="1" s="1"/>
  <c r="X453" i="1" s="1"/>
  <c r="Y453" i="1" s="1"/>
  <c r="V452" i="1"/>
  <c r="Z452" i="1" s="1"/>
  <c r="V451" i="1"/>
  <c r="Z451" i="1" s="1"/>
  <c r="V450" i="1"/>
  <c r="Z450" i="1" s="1"/>
  <c r="V449" i="1"/>
  <c r="W449" i="1" s="1"/>
  <c r="X449" i="1" s="1"/>
  <c r="Y449" i="1" s="1"/>
  <c r="V430" i="1"/>
  <c r="W430" i="1" s="1"/>
  <c r="X430" i="1" s="1"/>
  <c r="Y430" i="1" s="1"/>
  <c r="V429" i="1"/>
  <c r="Z429" i="1" s="1"/>
  <c r="V428" i="1"/>
  <c r="Z428" i="1" s="1"/>
  <c r="V427" i="1"/>
  <c r="W427" i="1" s="1"/>
  <c r="X427" i="1" s="1"/>
  <c r="Y427" i="1" s="1"/>
  <c r="V426" i="1"/>
  <c r="Z426" i="1" s="1"/>
  <c r="V425" i="1"/>
  <c r="Z425" i="1" s="1"/>
  <c r="V424" i="1"/>
  <c r="Z424" i="1" s="1"/>
  <c r="V423" i="1"/>
  <c r="Z423" i="1" s="1"/>
  <c r="V422" i="1"/>
  <c r="W422" i="1" s="1"/>
  <c r="X422" i="1" s="1"/>
  <c r="Y422" i="1" s="1"/>
  <c r="V421" i="1"/>
  <c r="Z421" i="1" s="1"/>
  <c r="V420" i="1"/>
  <c r="Z420" i="1" s="1"/>
  <c r="V419" i="1"/>
  <c r="W419" i="1" s="1"/>
  <c r="X419" i="1" s="1"/>
  <c r="Y419" i="1" s="1"/>
  <c r="V399" i="1"/>
  <c r="Z399" i="1" s="1"/>
  <c r="V398" i="1"/>
  <c r="Z398" i="1" s="1"/>
  <c r="V397" i="1"/>
  <c r="W397" i="1" s="1"/>
  <c r="X397" i="1" s="1"/>
  <c r="Y397" i="1" s="1"/>
  <c r="V396" i="1"/>
  <c r="W396" i="1" s="1"/>
  <c r="X396" i="1" s="1"/>
  <c r="Y396" i="1" s="1"/>
  <c r="V564" i="1"/>
  <c r="Z564" i="1" s="1"/>
  <c r="V563" i="1"/>
  <c r="W563" i="1" s="1"/>
  <c r="X563" i="1" s="1"/>
  <c r="Y563" i="1" s="1"/>
  <c r="V562" i="1"/>
  <c r="Z562" i="1" s="1"/>
  <c r="V561" i="1"/>
  <c r="W561" i="1" s="1"/>
  <c r="X561" i="1" s="1"/>
  <c r="Y561" i="1" s="1"/>
  <c r="V560" i="1"/>
  <c r="W560" i="1" s="1"/>
  <c r="X560" i="1" s="1"/>
  <c r="Y560" i="1" s="1"/>
  <c r="V559" i="1"/>
  <c r="W559" i="1" s="1"/>
  <c r="X559" i="1" s="1"/>
  <c r="Y559" i="1" s="1"/>
  <c r="V558" i="1"/>
  <c r="Z558" i="1" s="1"/>
  <c r="V557" i="1"/>
  <c r="W557" i="1" s="1"/>
  <c r="X557" i="1" s="1"/>
  <c r="Y557" i="1" s="1"/>
  <c r="V556" i="1"/>
  <c r="Z556" i="1" s="1"/>
  <c r="V555" i="1"/>
  <c r="W555" i="1" s="1"/>
  <c r="X555" i="1" s="1"/>
  <c r="Y555" i="1" s="1"/>
  <c r="V554" i="1"/>
  <c r="Z554" i="1" s="1"/>
  <c r="V553" i="1"/>
  <c r="W553" i="1" s="1"/>
  <c r="X553" i="1" s="1"/>
  <c r="Y553" i="1" s="1"/>
  <c r="V552" i="1"/>
  <c r="W552" i="1" s="1"/>
  <c r="X552" i="1" s="1"/>
  <c r="Y552" i="1" s="1"/>
  <c r="V551" i="1"/>
  <c r="Z551" i="1" s="1"/>
  <c r="V550" i="1"/>
  <c r="Z550" i="1" s="1"/>
  <c r="V549" i="1"/>
  <c r="Z549" i="1" s="1"/>
  <c r="V548" i="1"/>
  <c r="Z548" i="1" s="1"/>
  <c r="V547" i="1"/>
  <c r="W547" i="1" s="1"/>
  <c r="X547" i="1" s="1"/>
  <c r="Y547" i="1" s="1"/>
  <c r="V712" i="1"/>
  <c r="Z712" i="1" s="1"/>
  <c r="V711" i="1"/>
  <c r="W711" i="1" s="1"/>
  <c r="X711" i="1" s="1"/>
  <c r="Y711" i="1" s="1"/>
  <c r="V710" i="1"/>
  <c r="W710" i="1" s="1"/>
  <c r="X710" i="1" s="1"/>
  <c r="Y710" i="1" s="1"/>
  <c r="V709" i="1"/>
  <c r="W709" i="1" s="1"/>
  <c r="X709" i="1" s="1"/>
  <c r="Y709" i="1" s="1"/>
  <c r="V708" i="1"/>
  <c r="Z708" i="1" s="1"/>
  <c r="V707" i="1"/>
  <c r="Z707" i="1" s="1"/>
  <c r="V706" i="1"/>
  <c r="W706" i="1" s="1"/>
  <c r="X706" i="1" s="1"/>
  <c r="Y706" i="1" s="1"/>
  <c r="V705" i="1"/>
  <c r="W705" i="1" s="1"/>
  <c r="X705" i="1" s="1"/>
  <c r="Y705" i="1" s="1"/>
  <c r="V704" i="1"/>
  <c r="Z704" i="1" s="1"/>
  <c r="V703" i="1"/>
  <c r="Z703" i="1" s="1"/>
  <c r="V702" i="1"/>
  <c r="Z702" i="1" s="1"/>
  <c r="V701" i="1"/>
  <c r="W701" i="1" s="1"/>
  <c r="X701" i="1" s="1"/>
  <c r="Y701" i="1" s="1"/>
  <c r="V700" i="1"/>
  <c r="Z700" i="1" s="1"/>
  <c r="V699" i="1"/>
  <c r="Z699" i="1" s="1"/>
  <c r="V698" i="1"/>
  <c r="W698" i="1" s="1"/>
  <c r="X698" i="1" s="1"/>
  <c r="Y698" i="1" s="1"/>
  <c r="V697" i="1"/>
  <c r="Z697" i="1" s="1"/>
  <c r="V696" i="1"/>
  <c r="W696" i="1" s="1"/>
  <c r="X696" i="1" s="1"/>
  <c r="Y696" i="1" s="1"/>
  <c r="V695" i="1"/>
  <c r="W695" i="1" s="1"/>
  <c r="X695" i="1" s="1"/>
  <c r="Y695" i="1" s="1"/>
  <c r="V694" i="1"/>
  <c r="Z694" i="1" s="1"/>
  <c r="V693" i="1"/>
  <c r="W693" i="1" s="1"/>
  <c r="X693" i="1" s="1"/>
  <c r="Y693" i="1" s="1"/>
  <c r="V692" i="1"/>
  <c r="Z692" i="1" s="1"/>
  <c r="V691" i="1"/>
  <c r="W691" i="1" s="1"/>
  <c r="X691" i="1" s="1"/>
  <c r="Y691" i="1" s="1"/>
  <c r="V690" i="1"/>
  <c r="Z690" i="1" s="1"/>
  <c r="V689" i="1"/>
  <c r="Z689" i="1" s="1"/>
  <c r="V688" i="1"/>
  <c r="W688" i="1" s="1"/>
  <c r="X688" i="1" s="1"/>
  <c r="Y688" i="1" s="1"/>
  <c r="V687" i="1"/>
  <c r="Z687" i="1" s="1"/>
  <c r="V686" i="1"/>
  <c r="Z686" i="1" s="1"/>
  <c r="V685" i="1"/>
  <c r="W685" i="1" s="1"/>
  <c r="X685" i="1" s="1"/>
  <c r="Y685" i="1" s="1"/>
  <c r="V684" i="1"/>
  <c r="W684" i="1" s="1"/>
  <c r="X684" i="1" s="1"/>
  <c r="Y684" i="1" s="1"/>
  <c r="V683" i="1"/>
  <c r="Z683" i="1" s="1"/>
  <c r="V682" i="1"/>
  <c r="W682" i="1" s="1"/>
  <c r="X682" i="1" s="1"/>
  <c r="Y682" i="1" s="1"/>
  <c r="V681" i="1"/>
  <c r="Z681" i="1" s="1"/>
  <c r="V680" i="1"/>
  <c r="W680" i="1" s="1"/>
  <c r="X680" i="1" s="1"/>
  <c r="Y680" i="1" s="1"/>
  <c r="V645" i="1"/>
  <c r="Z645" i="1" s="1"/>
  <c r="V644" i="1"/>
  <c r="W644" i="1" s="1"/>
  <c r="X644" i="1" s="1"/>
  <c r="Y644" i="1" s="1"/>
  <c r="V643" i="1"/>
  <c r="Y643" i="1" s="1"/>
  <c r="V642" i="1"/>
  <c r="W642" i="1" s="1"/>
  <c r="X642" i="1" s="1"/>
  <c r="Y642" i="1" s="1"/>
  <c r="V641" i="1"/>
  <c r="Z641" i="1" s="1"/>
  <c r="V640" i="1"/>
  <c r="Z640" i="1" s="1"/>
  <c r="V639" i="1"/>
  <c r="Z639" i="1" s="1"/>
  <c r="V638" i="1"/>
  <c r="Z638" i="1" s="1"/>
  <c r="V637" i="1"/>
  <c r="W637" i="1" s="1"/>
  <c r="X637" i="1" s="1"/>
  <c r="Y637" i="1" s="1"/>
  <c r="V636" i="1"/>
  <c r="Z636" i="1" s="1"/>
  <c r="V635" i="1"/>
  <c r="Z635" i="1" s="1"/>
  <c r="V634" i="1"/>
  <c r="W634" i="1" s="1"/>
  <c r="X634" i="1" s="1"/>
  <c r="Y634" i="1" s="1"/>
  <c r="V633" i="1"/>
  <c r="Z633" i="1" s="1"/>
  <c r="V632" i="1"/>
  <c r="Z632" i="1" s="1"/>
  <c r="V631" i="1"/>
  <c r="W631" i="1" s="1"/>
  <c r="X631" i="1" s="1"/>
  <c r="Y631" i="1" s="1"/>
  <c r="V630" i="1"/>
  <c r="Z630" i="1" s="1"/>
  <c r="V629" i="1"/>
  <c r="W629" i="1" s="1"/>
  <c r="X629" i="1" s="1"/>
  <c r="Y629" i="1" s="1"/>
  <c r="V142" i="1"/>
  <c r="W142" i="1" s="1"/>
  <c r="X142" i="1" s="1"/>
  <c r="Y142" i="1" s="1"/>
  <c r="V141" i="1"/>
  <c r="Z141" i="1" s="1"/>
  <c r="V140" i="1"/>
  <c r="W140" i="1" s="1"/>
  <c r="X140" i="1" s="1"/>
  <c r="Y140" i="1" s="1"/>
  <c r="V139" i="1"/>
  <c r="Z139" i="1" s="1"/>
  <c r="V138" i="1"/>
  <c r="Z138" i="1" s="1"/>
  <c r="V137" i="1"/>
  <c r="Z137" i="1" s="1"/>
  <c r="V136" i="1"/>
  <c r="W136" i="1" s="1"/>
  <c r="X136" i="1" s="1"/>
  <c r="Y136" i="1" s="1"/>
  <c r="V134" i="1"/>
  <c r="Z134" i="1" s="1"/>
  <c r="Z133" i="1"/>
  <c r="V133" i="1"/>
  <c r="W133" i="1" s="1"/>
  <c r="X133" i="1" s="1"/>
  <c r="Y133" i="1" s="1"/>
  <c r="V132" i="1"/>
  <c r="Z132" i="1" s="1"/>
  <c r="V131" i="1"/>
  <c r="W131" i="1" s="1"/>
  <c r="X131" i="1" s="1"/>
  <c r="Y131" i="1" s="1"/>
  <c r="V130" i="1"/>
  <c r="Z130" i="1" s="1"/>
  <c r="V129" i="1"/>
  <c r="Z129" i="1" s="1"/>
  <c r="V78" i="1"/>
  <c r="W78" i="1" s="1"/>
  <c r="X78" i="1" s="1"/>
  <c r="Y78" i="1" s="1"/>
  <c r="V77" i="1"/>
  <c r="W77" i="1" s="1"/>
  <c r="X77" i="1" s="1"/>
  <c r="Y77" i="1" s="1"/>
  <c r="V76" i="1"/>
  <c r="Z76" i="1" s="1"/>
  <c r="Z75" i="1"/>
  <c r="Z74" i="1"/>
  <c r="Y73" i="1"/>
  <c r="Z72" i="1"/>
  <c r="Y72" i="1"/>
  <c r="Z71" i="1"/>
  <c r="Z70" i="1"/>
  <c r="Y70" i="1"/>
  <c r="V69" i="1"/>
  <c r="W69" i="1" s="1"/>
  <c r="X69" i="1" s="1"/>
  <c r="Y69" i="1" s="1"/>
  <c r="V68" i="1"/>
  <c r="Z68" i="1" s="1"/>
  <c r="V67" i="1"/>
  <c r="W67" i="1" s="1"/>
  <c r="X67" i="1" s="1"/>
  <c r="Y67" i="1" s="1"/>
  <c r="V66" i="1"/>
  <c r="Z66" i="1" s="1"/>
  <c r="V65" i="1"/>
  <c r="W65" i="1" s="1"/>
  <c r="X65" i="1" s="1"/>
  <c r="Y65" i="1" s="1"/>
  <c r="V64" i="1"/>
  <c r="Z64" i="1" s="1"/>
  <c r="V63" i="1"/>
  <c r="W63" i="1" s="1"/>
  <c r="X63" i="1" s="1"/>
  <c r="Y63" i="1" s="1"/>
  <c r="V52" i="1"/>
  <c r="Z52" i="1" s="1"/>
  <c r="V51" i="1"/>
  <c r="Z51" i="1" s="1"/>
  <c r="V50" i="1"/>
  <c r="W50" i="1" s="1"/>
  <c r="X50" i="1" s="1"/>
  <c r="Y50" i="1" s="1"/>
  <c r="V49" i="1"/>
  <c r="Z49" i="1" s="1"/>
  <c r="V48" i="1"/>
  <c r="W48" i="1" s="1"/>
  <c r="X48" i="1" s="1"/>
  <c r="Y48" i="1" s="1"/>
  <c r="V47" i="1"/>
  <c r="W47" i="1" s="1"/>
  <c r="X47" i="1" s="1"/>
  <c r="Y47" i="1" s="1"/>
  <c r="V46" i="1"/>
  <c r="W46" i="1" s="1"/>
  <c r="X46" i="1" s="1"/>
  <c r="Y46" i="1" s="1"/>
  <c r="V45" i="1"/>
  <c r="Z45" i="1" s="1"/>
  <c r="V44" i="1"/>
  <c r="Z44" i="1" s="1"/>
  <c r="V43" i="1"/>
  <c r="Z43" i="1" s="1"/>
  <c r="V42" i="1"/>
  <c r="W42" i="1" s="1"/>
  <c r="X42" i="1" s="1"/>
  <c r="Y42" i="1" s="1"/>
  <c r="V41" i="1"/>
  <c r="Z41" i="1" s="1"/>
  <c r="V40" i="1"/>
  <c r="W40" i="1" s="1"/>
  <c r="X40" i="1" s="1"/>
  <c r="Y40" i="1" s="1"/>
  <c r="V39" i="1"/>
  <c r="W39" i="1" s="1"/>
  <c r="X39" i="1" s="1"/>
  <c r="Y39" i="1" s="1"/>
  <c r="V38" i="1"/>
  <c r="W38" i="1" s="1"/>
  <c r="X38" i="1" s="1"/>
  <c r="Y38" i="1" s="1"/>
  <c r="V37" i="1"/>
  <c r="W37" i="1" s="1"/>
  <c r="V36" i="1"/>
  <c r="Z36" i="1" s="1"/>
  <c r="V35" i="1"/>
  <c r="W35" i="1" s="1"/>
  <c r="X35" i="1" s="1"/>
  <c r="Y35" i="1" s="1"/>
  <c r="V34" i="1"/>
  <c r="Z34" i="1" s="1"/>
  <c r="V11" i="1"/>
  <c r="Z11" i="1" s="1"/>
  <c r="V10" i="1"/>
  <c r="W10" i="1" s="1"/>
  <c r="Z9" i="1"/>
  <c r="V9" i="1"/>
  <c r="W9" i="1" s="1"/>
  <c r="X9" i="1" s="1"/>
  <c r="Y9" i="1" s="1"/>
  <c r="Z8" i="1"/>
  <c r="V8" i="1"/>
  <c r="W8" i="1" s="1"/>
  <c r="X8" i="1" s="1"/>
  <c r="Y8" i="1" s="1"/>
  <c r="Z7" i="1"/>
  <c r="V7" i="1"/>
  <c r="W7" i="1" s="1"/>
  <c r="X7" i="1" s="1"/>
  <c r="Y7" i="1" s="1"/>
  <c r="V6" i="1"/>
  <c r="Y6" i="1" s="1"/>
  <c r="Z5" i="1"/>
  <c r="V5" i="1"/>
  <c r="W5" i="1" s="1"/>
  <c r="X5" i="1" s="1"/>
  <c r="Y5" i="1" s="1"/>
  <c r="W456" i="1" l="1"/>
  <c r="X456" i="1" s="1"/>
  <c r="Y456" i="1" s="1"/>
  <c r="W459" i="1"/>
  <c r="X459" i="1" s="1"/>
  <c r="Y459" i="1" s="1"/>
  <c r="W467" i="1"/>
  <c r="X467" i="1" s="1"/>
  <c r="Y467" i="1" s="1"/>
  <c r="Y470" i="1"/>
  <c r="Z430" i="1"/>
  <c r="Z693" i="1"/>
  <c r="W550" i="1"/>
  <c r="X550" i="1" s="1"/>
  <c r="Y550" i="1" s="1"/>
  <c r="W175" i="1"/>
  <c r="X175" i="1" s="1"/>
  <c r="Y175" i="1" s="1"/>
  <c r="Y75" i="1"/>
  <c r="Z192" i="1"/>
  <c r="Z39" i="1"/>
  <c r="Z169" i="1"/>
  <c r="Z187" i="1"/>
  <c r="Z631" i="1"/>
  <c r="Z710" i="1"/>
  <c r="W425" i="1"/>
  <c r="X425" i="1" s="1"/>
  <c r="Y425" i="1" s="1"/>
  <c r="W451" i="1"/>
  <c r="X451" i="1" s="1"/>
  <c r="Y451" i="1" s="1"/>
  <c r="Z457" i="1"/>
  <c r="Z171" i="1"/>
  <c r="Z177" i="1"/>
  <c r="Z207" i="1"/>
  <c r="Z458" i="1"/>
  <c r="W636" i="1"/>
  <c r="X636" i="1" s="1"/>
  <c r="Y636" i="1" s="1"/>
  <c r="Z6" i="1"/>
  <c r="Z40" i="1"/>
  <c r="Z47" i="1"/>
  <c r="Z705" i="1"/>
  <c r="Z711" i="1"/>
  <c r="W558" i="1"/>
  <c r="X558" i="1" s="1"/>
  <c r="Y558" i="1" s="1"/>
  <c r="Z466" i="1"/>
  <c r="W176" i="1"/>
  <c r="X176" i="1" s="1"/>
  <c r="Y176" i="1" s="1"/>
  <c r="W182" i="1"/>
  <c r="X182" i="1" s="1"/>
  <c r="Y182" i="1" s="1"/>
  <c r="Z206" i="1"/>
  <c r="Z65" i="1"/>
  <c r="Z77" i="1"/>
  <c r="Z396" i="1"/>
  <c r="Z453" i="1"/>
  <c r="Z473" i="1"/>
  <c r="Z201" i="1"/>
  <c r="Y219" i="1"/>
  <c r="W554" i="1"/>
  <c r="X554" i="1" s="1"/>
  <c r="Y554" i="1" s="1"/>
  <c r="W454" i="1"/>
  <c r="X454" i="1" s="1"/>
  <c r="Y454" i="1" s="1"/>
  <c r="W474" i="1"/>
  <c r="W174" i="1"/>
  <c r="X174" i="1" s="1"/>
  <c r="Y174" i="1" s="1"/>
  <c r="Z190" i="1"/>
  <c r="W6" i="1"/>
  <c r="Y474" i="1"/>
  <c r="W197" i="1"/>
  <c r="X197" i="1" s="1"/>
  <c r="Y197" i="1" s="1"/>
  <c r="W208" i="1"/>
  <c r="X208" i="1" s="1"/>
  <c r="Y208" i="1" s="1"/>
  <c r="W703" i="1"/>
  <c r="Y455" i="1"/>
  <c r="W204" i="1"/>
  <c r="X204" i="1" s="1"/>
  <c r="Y204" i="1" s="1"/>
  <c r="Z73" i="1"/>
  <c r="Z684" i="1"/>
  <c r="Z427" i="1"/>
  <c r="W477" i="1"/>
  <c r="X477" i="1" s="1"/>
  <c r="Y477" i="1" s="1"/>
  <c r="W168" i="1"/>
  <c r="X168" i="1" s="1"/>
  <c r="Y168" i="1" s="1"/>
  <c r="Z179" i="1"/>
  <c r="W183" i="1"/>
  <c r="X183" i="1" s="1"/>
  <c r="Y183" i="1" s="1"/>
  <c r="Z199" i="1"/>
  <c r="W212" i="1"/>
  <c r="X212" i="1" s="1"/>
  <c r="Y212" i="1" s="1"/>
  <c r="W216" i="1"/>
  <c r="X216" i="1" s="1"/>
  <c r="Y216" i="1" s="1"/>
  <c r="W221" i="1"/>
  <c r="X221" i="1" s="1"/>
  <c r="Y221" i="1" s="1"/>
  <c r="Y37" i="1"/>
  <c r="Z10" i="1"/>
  <c r="Z37" i="1"/>
  <c r="W64" i="1"/>
  <c r="X64" i="1" s="1"/>
  <c r="Y64" i="1" s="1"/>
  <c r="W129" i="1"/>
  <c r="X129" i="1" s="1"/>
  <c r="Y129" i="1" s="1"/>
  <c r="Z142" i="1"/>
  <c r="W639" i="1"/>
  <c r="X639" i="1" s="1"/>
  <c r="Y639" i="1" s="1"/>
  <c r="W692" i="1"/>
  <c r="X692" i="1" s="1"/>
  <c r="Y692" i="1" s="1"/>
  <c r="Y703" i="1"/>
  <c r="W424" i="1"/>
  <c r="X424" i="1" s="1"/>
  <c r="Y424" i="1" s="1"/>
  <c r="W465" i="1"/>
  <c r="W468" i="1"/>
  <c r="X468" i="1" s="1"/>
  <c r="Y468" i="1" s="1"/>
  <c r="W173" i="1"/>
  <c r="X173" i="1" s="1"/>
  <c r="Y173" i="1" s="1"/>
  <c r="W184" i="1"/>
  <c r="X184" i="1" s="1"/>
  <c r="Y184" i="1" s="1"/>
  <c r="W200" i="1"/>
  <c r="X200" i="1" s="1"/>
  <c r="Y200" i="1" s="1"/>
  <c r="Y217" i="1"/>
  <c r="W708" i="1"/>
  <c r="X708" i="1" s="1"/>
  <c r="Y708" i="1" s="1"/>
  <c r="Z557" i="1"/>
  <c r="W429" i="1"/>
  <c r="X429" i="1" s="1"/>
  <c r="Y429" i="1" s="1"/>
  <c r="W452" i="1"/>
  <c r="X452" i="1" s="1"/>
  <c r="Y452" i="1" s="1"/>
  <c r="Z460" i="1"/>
  <c r="Y465" i="1"/>
  <c r="W472" i="1"/>
  <c r="X472" i="1" s="1"/>
  <c r="Y472" i="1" s="1"/>
  <c r="W166" i="1"/>
  <c r="X166" i="1" s="1"/>
  <c r="Y166" i="1" s="1"/>
  <c r="W181" i="1"/>
  <c r="X181" i="1" s="1"/>
  <c r="Y181" i="1" s="1"/>
  <c r="W191" i="1"/>
  <c r="X191" i="1" s="1"/>
  <c r="Y191" i="1" s="1"/>
  <c r="Z195" i="1"/>
  <c r="W214" i="1"/>
  <c r="X214" i="1" s="1"/>
  <c r="Y214" i="1" s="1"/>
  <c r="Z38" i="1"/>
  <c r="W130" i="1"/>
  <c r="X130" i="1" s="1"/>
  <c r="Y130" i="1" s="1"/>
  <c r="Z629" i="1"/>
  <c r="Z552" i="1"/>
  <c r="W189" i="1"/>
  <c r="X189" i="1" s="1"/>
  <c r="Y189" i="1" s="1"/>
  <c r="Z209" i="1"/>
  <c r="Z35" i="1"/>
  <c r="W51" i="1"/>
  <c r="X51" i="1" s="1"/>
  <c r="Y51" i="1" s="1"/>
  <c r="Z131" i="1"/>
  <c r="W689" i="1"/>
  <c r="X689" i="1" s="1"/>
  <c r="Y689" i="1" s="1"/>
  <c r="Z701" i="1"/>
  <c r="W549" i="1"/>
  <c r="X549" i="1" s="1"/>
  <c r="Y549" i="1" s="1"/>
  <c r="W421" i="1"/>
  <c r="X421" i="1" s="1"/>
  <c r="Y421" i="1" s="1"/>
  <c r="W469" i="1"/>
  <c r="X469" i="1" s="1"/>
  <c r="Y469" i="1" s="1"/>
  <c r="W476" i="1"/>
  <c r="X476" i="1" s="1"/>
  <c r="Y476" i="1" s="1"/>
  <c r="W167" i="1"/>
  <c r="X167" i="1" s="1"/>
  <c r="Y167" i="1" s="1"/>
  <c r="Z185" i="1"/>
  <c r="Z215" i="1"/>
  <c r="W202" i="1"/>
  <c r="X202" i="1" s="1"/>
  <c r="Y202" i="1" s="1"/>
  <c r="Z203" i="1"/>
  <c r="W210" i="1"/>
  <c r="X210" i="1" s="1"/>
  <c r="Y210" i="1" s="1"/>
  <c r="Z211" i="1"/>
  <c r="Y218" i="1"/>
  <c r="Z218" i="1"/>
  <c r="Z205" i="1"/>
  <c r="Z213" i="1"/>
  <c r="Z220" i="1"/>
  <c r="W217" i="1"/>
  <c r="W219" i="1"/>
  <c r="W172" i="1"/>
  <c r="X172" i="1" s="1"/>
  <c r="Y172" i="1" s="1"/>
  <c r="W180" i="1"/>
  <c r="X180" i="1" s="1"/>
  <c r="Y180" i="1" s="1"/>
  <c r="W188" i="1"/>
  <c r="X188" i="1" s="1"/>
  <c r="Y188" i="1" s="1"/>
  <c r="Z170" i="1"/>
  <c r="Z178" i="1"/>
  <c r="Z186" i="1"/>
  <c r="W193" i="1"/>
  <c r="X193" i="1" s="1"/>
  <c r="Y193" i="1" s="1"/>
  <c r="Z194" i="1"/>
  <c r="Z449" i="1"/>
  <c r="W461" i="1"/>
  <c r="X461" i="1" s="1"/>
  <c r="Y461" i="1" s="1"/>
  <c r="Z462" i="1"/>
  <c r="W470" i="1"/>
  <c r="W450" i="1"/>
  <c r="X450" i="1" s="1"/>
  <c r="Y450" i="1" s="1"/>
  <c r="W463" i="1"/>
  <c r="X463" i="1" s="1"/>
  <c r="Y463" i="1" s="1"/>
  <c r="W475" i="1"/>
  <c r="X475" i="1" s="1"/>
  <c r="Y475" i="1" s="1"/>
  <c r="W455" i="1"/>
  <c r="W466" i="1"/>
  <c r="Z634" i="1"/>
  <c r="Z644" i="1"/>
  <c r="Z682" i="1"/>
  <c r="Z397" i="1"/>
  <c r="Z419" i="1"/>
  <c r="Y11" i="1"/>
  <c r="W45" i="1"/>
  <c r="X45" i="1" s="1"/>
  <c r="Y45" i="1" s="1"/>
  <c r="Z48" i="1"/>
  <c r="Z67" i="1"/>
  <c r="Y71" i="1"/>
  <c r="Z78" i="1"/>
  <c r="W139" i="1"/>
  <c r="X139" i="1" s="1"/>
  <c r="Y139" i="1" s="1"/>
  <c r="Z642" i="1"/>
  <c r="W687" i="1"/>
  <c r="X687" i="1" s="1"/>
  <c r="Y687" i="1" s="1"/>
  <c r="W690" i="1"/>
  <c r="X690" i="1" s="1"/>
  <c r="Y690" i="1" s="1"/>
  <c r="Z695" i="1"/>
  <c r="Z698" i="1"/>
  <c r="W562" i="1"/>
  <c r="X562" i="1" s="1"/>
  <c r="Y562" i="1" s="1"/>
  <c r="Z63" i="1"/>
  <c r="W398" i="1"/>
  <c r="X398" i="1" s="1"/>
  <c r="Y398" i="1" s="1"/>
  <c r="W34" i="1"/>
  <c r="X34" i="1" s="1"/>
  <c r="Y34" i="1" s="1"/>
  <c r="Z46" i="1"/>
  <c r="Z69" i="1"/>
  <c r="Z140" i="1"/>
  <c r="W630" i="1"/>
  <c r="X630" i="1" s="1"/>
  <c r="Y630" i="1" s="1"/>
  <c r="W697" i="1"/>
  <c r="X697" i="1" s="1"/>
  <c r="Y697" i="1" s="1"/>
  <c r="W700" i="1"/>
  <c r="X700" i="1" s="1"/>
  <c r="Y700" i="1" s="1"/>
  <c r="W399" i="1"/>
  <c r="Y399" i="1"/>
  <c r="Y10" i="1"/>
  <c r="W43" i="1"/>
  <c r="X43" i="1" s="1"/>
  <c r="Y43" i="1" s="1"/>
  <c r="W141" i="1"/>
  <c r="X141" i="1" s="1"/>
  <c r="Y141" i="1" s="1"/>
  <c r="W638" i="1"/>
  <c r="X638" i="1" s="1"/>
  <c r="Y638" i="1" s="1"/>
  <c r="Z685" i="1"/>
  <c r="W707" i="1"/>
  <c r="X707" i="1" s="1"/>
  <c r="Y707" i="1" s="1"/>
  <c r="Z560" i="1"/>
  <c r="Z422" i="1"/>
  <c r="W423" i="1"/>
  <c r="X423" i="1" s="1"/>
  <c r="Y423" i="1" s="1"/>
  <c r="W420" i="1"/>
  <c r="X420" i="1" s="1"/>
  <c r="Y420" i="1" s="1"/>
  <c r="W428" i="1"/>
  <c r="X428" i="1" s="1"/>
  <c r="Y428" i="1" s="1"/>
  <c r="W426" i="1"/>
  <c r="X426" i="1" s="1"/>
  <c r="Y426" i="1" s="1"/>
  <c r="Z553" i="1"/>
  <c r="Z561" i="1"/>
  <c r="Z559" i="1"/>
  <c r="Z555" i="1"/>
  <c r="W551" i="1"/>
  <c r="X551" i="1" s="1"/>
  <c r="Y551" i="1" s="1"/>
  <c r="Z563" i="1"/>
  <c r="W548" i="1"/>
  <c r="X548" i="1" s="1"/>
  <c r="Y548" i="1" s="1"/>
  <c r="W556" i="1"/>
  <c r="X556" i="1" s="1"/>
  <c r="Y556" i="1" s="1"/>
  <c r="W564" i="1"/>
  <c r="X564" i="1" s="1"/>
  <c r="Y564" i="1" s="1"/>
  <c r="Z547" i="1"/>
  <c r="W694" i="1"/>
  <c r="X694" i="1" s="1"/>
  <c r="Y694" i="1" s="1"/>
  <c r="W702" i="1"/>
  <c r="X702" i="1" s="1"/>
  <c r="Y702" i="1" s="1"/>
  <c r="W712" i="1"/>
  <c r="X712" i="1" s="1"/>
  <c r="Y712" i="1" s="1"/>
  <c r="W683" i="1"/>
  <c r="X683" i="1" s="1"/>
  <c r="Y683" i="1" s="1"/>
  <c r="W699" i="1"/>
  <c r="X699" i="1" s="1"/>
  <c r="Y699" i="1" s="1"/>
  <c r="W704" i="1"/>
  <c r="Z691" i="1"/>
  <c r="Z709" i="1"/>
  <c r="W681" i="1"/>
  <c r="X681" i="1" s="1"/>
  <c r="Y681" i="1" s="1"/>
  <c r="Z680" i="1"/>
  <c r="Z688" i="1"/>
  <c r="Z696" i="1"/>
  <c r="Z706" i="1"/>
  <c r="W686" i="1"/>
  <c r="X686" i="1" s="1"/>
  <c r="Y686" i="1" s="1"/>
  <c r="Y704" i="1"/>
  <c r="W635" i="1"/>
  <c r="X635" i="1" s="1"/>
  <c r="Y635" i="1" s="1"/>
  <c r="Z637" i="1"/>
  <c r="W633" i="1"/>
  <c r="X633" i="1" s="1"/>
  <c r="Y633" i="1" s="1"/>
  <c r="W641" i="1"/>
  <c r="X641" i="1" s="1"/>
  <c r="Y641" i="1" s="1"/>
  <c r="W643" i="1"/>
  <c r="W632" i="1"/>
  <c r="X632" i="1" s="1"/>
  <c r="Y632" i="1" s="1"/>
  <c r="W645" i="1"/>
  <c r="X645" i="1" s="1"/>
  <c r="Y645" i="1" s="1"/>
  <c r="Z643" i="1"/>
  <c r="W640" i="1"/>
  <c r="X640" i="1" s="1"/>
  <c r="Y640" i="1" s="1"/>
  <c r="W138" i="1"/>
  <c r="X138" i="1" s="1"/>
  <c r="Y138" i="1" s="1"/>
  <c r="Z136" i="1"/>
  <c r="W137" i="1"/>
  <c r="X137" i="1" s="1"/>
  <c r="Y137" i="1" s="1"/>
  <c r="W132" i="1"/>
  <c r="X132" i="1" s="1"/>
  <c r="Y132" i="1" s="1"/>
  <c r="W134" i="1"/>
  <c r="X134" i="1" s="1"/>
  <c r="Y134" i="1" s="1"/>
  <c r="W36" i="1"/>
  <c r="X36" i="1" s="1"/>
  <c r="Y36" i="1" s="1"/>
  <c r="W41" i="1"/>
  <c r="X41" i="1" s="1"/>
  <c r="Y41" i="1" s="1"/>
  <c r="Z42" i="1"/>
  <c r="W49" i="1"/>
  <c r="X49" i="1" s="1"/>
  <c r="Y49" i="1" s="1"/>
  <c r="Z50" i="1"/>
  <c r="Y52" i="1"/>
  <c r="W66" i="1"/>
  <c r="X66" i="1" s="1"/>
  <c r="Y66" i="1" s="1"/>
  <c r="W68" i="1"/>
  <c r="X68" i="1" s="1"/>
  <c r="Y68" i="1" s="1"/>
  <c r="W76" i="1"/>
  <c r="X76" i="1" s="1"/>
  <c r="Y76" i="1" s="1"/>
  <c r="W44" i="1"/>
  <c r="X44" i="1" s="1"/>
  <c r="Y44" i="1" s="1"/>
  <c r="W52" i="1"/>
  <c r="W11" i="1"/>
  <c r="Y74" i="1"/>
  <c r="N133" i="1" l="1"/>
  <c r="J34" i="1" l="1"/>
  <c r="J35" i="1"/>
  <c r="N35" i="1" s="1"/>
  <c r="J36" i="1"/>
  <c r="N36" i="1" s="1"/>
  <c r="J37" i="1"/>
  <c r="J38" i="1"/>
  <c r="J39" i="1"/>
  <c r="J40" i="1"/>
  <c r="J41" i="1"/>
  <c r="J42" i="1"/>
  <c r="N42" i="1" s="1"/>
  <c r="J43" i="1"/>
  <c r="J44" i="1"/>
  <c r="J45" i="1"/>
  <c r="J46" i="1"/>
  <c r="J47" i="1"/>
  <c r="N47" i="1" s="1"/>
  <c r="J48" i="1"/>
  <c r="J49" i="1"/>
  <c r="J50" i="1"/>
  <c r="N50" i="1" s="1"/>
  <c r="J51" i="1"/>
  <c r="J52" i="1"/>
  <c r="J63" i="1"/>
  <c r="N63" i="1" s="1"/>
  <c r="J64" i="1"/>
  <c r="N64" i="1" s="1"/>
  <c r="J65" i="1"/>
  <c r="N65" i="1" s="1"/>
  <c r="J66" i="1"/>
  <c r="J67" i="1"/>
  <c r="N67" i="1" s="1"/>
  <c r="J68" i="1"/>
  <c r="J69" i="1"/>
  <c r="J70" i="1"/>
  <c r="N70" i="1" s="1"/>
  <c r="J71" i="1"/>
  <c r="N71" i="1" s="1"/>
  <c r="J72" i="1"/>
  <c r="N72" i="1" s="1"/>
  <c r="J73" i="1"/>
  <c r="N73" i="1" s="1"/>
  <c r="J74" i="1"/>
  <c r="N74" i="1" s="1"/>
  <c r="J75" i="1"/>
  <c r="N75" i="1" s="1"/>
  <c r="J76" i="1"/>
  <c r="J77" i="1"/>
  <c r="J78" i="1"/>
  <c r="J79" i="1"/>
  <c r="N79" i="1" s="1"/>
  <c r="J129" i="1"/>
  <c r="N129" i="1" s="1"/>
  <c r="J130" i="1"/>
  <c r="J131" i="1"/>
  <c r="J132" i="1"/>
  <c r="N132" i="1" s="1"/>
  <c r="J133" i="1"/>
  <c r="K133" i="1" s="1"/>
  <c r="L133" i="1" s="1"/>
  <c r="M133" i="1" s="1"/>
  <c r="J134" i="1"/>
  <c r="J135" i="1"/>
  <c r="J136" i="1"/>
  <c r="J137" i="1"/>
  <c r="J138" i="1"/>
  <c r="J139" i="1"/>
  <c r="J140" i="1"/>
  <c r="J141" i="1"/>
  <c r="J142" i="1"/>
  <c r="J166" i="1"/>
  <c r="J167" i="1"/>
  <c r="N167" i="1" s="1"/>
  <c r="J168" i="1"/>
  <c r="J169" i="1"/>
  <c r="J170" i="1"/>
  <c r="N170" i="1" s="1"/>
  <c r="J171" i="1"/>
  <c r="J172" i="1"/>
  <c r="J173" i="1"/>
  <c r="J174" i="1"/>
  <c r="J175" i="1"/>
  <c r="J176" i="1"/>
  <c r="J177" i="1"/>
  <c r="J178" i="1"/>
  <c r="J179" i="1"/>
  <c r="J180" i="1"/>
  <c r="J181" i="1"/>
  <c r="J182" i="1"/>
  <c r="N182" i="1" s="1"/>
  <c r="J183" i="1"/>
  <c r="N183" i="1" s="1"/>
  <c r="J184" i="1"/>
  <c r="J185" i="1"/>
  <c r="J186" i="1"/>
  <c r="N186" i="1" s="1"/>
  <c r="J187" i="1"/>
  <c r="J188" i="1"/>
  <c r="J189" i="1"/>
  <c r="N189" i="1" s="1"/>
  <c r="J190" i="1"/>
  <c r="J191" i="1"/>
  <c r="J192" i="1"/>
  <c r="J193" i="1"/>
  <c r="N193" i="1" s="1"/>
  <c r="J194" i="1"/>
  <c r="J195" i="1"/>
  <c r="J196" i="1"/>
  <c r="J197" i="1"/>
  <c r="J198" i="1"/>
  <c r="J199" i="1"/>
  <c r="N199" i="1" s="1"/>
  <c r="J200" i="1"/>
  <c r="J201" i="1"/>
  <c r="J202" i="1"/>
  <c r="J203" i="1"/>
  <c r="J204" i="1"/>
  <c r="J205" i="1"/>
  <c r="N205" i="1" s="1"/>
  <c r="J206" i="1"/>
  <c r="J207" i="1"/>
  <c r="J208" i="1"/>
  <c r="N208" i="1" s="1"/>
  <c r="J209" i="1"/>
  <c r="N209" i="1" s="1"/>
  <c r="J210" i="1"/>
  <c r="N210" i="1" s="1"/>
  <c r="J211" i="1"/>
  <c r="J212" i="1"/>
  <c r="J213" i="1"/>
  <c r="N213" i="1" s="1"/>
  <c r="J214" i="1"/>
  <c r="N214" i="1" s="1"/>
  <c r="J215" i="1"/>
  <c r="N215" i="1" s="1"/>
  <c r="J216" i="1"/>
  <c r="J217" i="1"/>
  <c r="J218" i="1"/>
  <c r="N218" i="1" s="1"/>
  <c r="J219" i="1"/>
  <c r="J220" i="1"/>
  <c r="J221" i="1"/>
  <c r="N221" i="1" s="1"/>
  <c r="J253" i="1"/>
  <c r="J254" i="1"/>
  <c r="N254" i="1" s="1"/>
  <c r="J255" i="1"/>
  <c r="J256" i="1"/>
  <c r="N256" i="1" s="1"/>
  <c r="J257" i="1"/>
  <c r="J258" i="1"/>
  <c r="J259" i="1"/>
  <c r="J260" i="1"/>
  <c r="J261" i="1"/>
  <c r="N261" i="1" s="1"/>
  <c r="J262" i="1"/>
  <c r="J263" i="1"/>
  <c r="J264" i="1"/>
  <c r="N264" i="1" s="1"/>
  <c r="J265" i="1"/>
  <c r="J266" i="1"/>
  <c r="J267" i="1"/>
  <c r="N267" i="1" s="1"/>
  <c r="J268" i="1"/>
  <c r="N268" i="1" s="1"/>
  <c r="J269" i="1"/>
  <c r="J270" i="1"/>
  <c r="J271" i="1"/>
  <c r="J272" i="1"/>
  <c r="J273" i="1"/>
  <c r="J274" i="1"/>
  <c r="J334" i="1"/>
  <c r="J335" i="1"/>
  <c r="N335" i="1" s="1"/>
  <c r="J336" i="1"/>
  <c r="J337" i="1"/>
  <c r="N337" i="1" s="1"/>
  <c r="J338" i="1"/>
  <c r="J339" i="1"/>
  <c r="J340" i="1"/>
  <c r="J341" i="1"/>
  <c r="N341" i="1" s="1"/>
  <c r="J342" i="1"/>
  <c r="N342" i="1" s="1"/>
  <c r="J343" i="1"/>
  <c r="J344" i="1"/>
  <c r="J345" i="1"/>
  <c r="J346" i="1"/>
  <c r="N346" i="1" s="1"/>
  <c r="J347" i="1"/>
  <c r="J348" i="1"/>
  <c r="J349" i="1"/>
  <c r="J350" i="1"/>
  <c r="J351" i="1"/>
  <c r="J352" i="1"/>
  <c r="J353" i="1"/>
  <c r="N353" i="1" s="1"/>
  <c r="J354" i="1"/>
  <c r="J355" i="1"/>
  <c r="J356" i="1"/>
  <c r="J357" i="1"/>
  <c r="J358" i="1"/>
  <c r="J359" i="1"/>
  <c r="J360" i="1"/>
  <c r="J396" i="1"/>
  <c r="J397" i="1"/>
  <c r="J398" i="1"/>
  <c r="J399" i="1"/>
  <c r="J419" i="1"/>
  <c r="J420" i="1"/>
  <c r="J421" i="1"/>
  <c r="J422" i="1"/>
  <c r="J423" i="1"/>
  <c r="J424" i="1"/>
  <c r="J425" i="1"/>
  <c r="J426" i="1"/>
  <c r="J427" i="1"/>
  <c r="J428" i="1"/>
  <c r="J429" i="1"/>
  <c r="J430" i="1"/>
  <c r="J449" i="1"/>
  <c r="J450" i="1"/>
  <c r="J451" i="1"/>
  <c r="J452" i="1"/>
  <c r="J453" i="1"/>
  <c r="J454" i="1"/>
  <c r="J455" i="1"/>
  <c r="J456" i="1"/>
  <c r="J457" i="1"/>
  <c r="J458" i="1"/>
  <c r="J459" i="1"/>
  <c r="J460" i="1"/>
  <c r="J461" i="1"/>
  <c r="J462" i="1"/>
  <c r="J463" i="1"/>
  <c r="J464" i="1"/>
  <c r="J465" i="1"/>
  <c r="J466" i="1"/>
  <c r="J467" i="1"/>
  <c r="J468" i="1"/>
  <c r="J469" i="1"/>
  <c r="J470" i="1"/>
  <c r="J471" i="1"/>
  <c r="J472" i="1"/>
  <c r="J473" i="1"/>
  <c r="J474" i="1"/>
  <c r="J475" i="1"/>
  <c r="J476" i="1"/>
  <c r="J477" i="1"/>
  <c r="J547" i="1"/>
  <c r="J548" i="1"/>
  <c r="J549" i="1"/>
  <c r="J550" i="1"/>
  <c r="J551" i="1"/>
  <c r="J552" i="1"/>
  <c r="J553" i="1"/>
  <c r="J554" i="1"/>
  <c r="J555" i="1"/>
  <c r="J556" i="1"/>
  <c r="J557" i="1"/>
  <c r="J558" i="1"/>
  <c r="J559" i="1"/>
  <c r="J560" i="1"/>
  <c r="J561" i="1"/>
  <c r="J562" i="1"/>
  <c r="J563" i="1"/>
  <c r="J564" i="1"/>
  <c r="J629" i="1"/>
  <c r="J630" i="1"/>
  <c r="N630" i="1" s="1"/>
  <c r="J631" i="1"/>
  <c r="J632" i="1"/>
  <c r="J633" i="1"/>
  <c r="J634" i="1"/>
  <c r="N634" i="1" s="1"/>
  <c r="J635" i="1"/>
  <c r="J636" i="1"/>
  <c r="J637" i="1"/>
  <c r="J638" i="1"/>
  <c r="N638" i="1" s="1"/>
  <c r="J639" i="1"/>
  <c r="J640" i="1"/>
  <c r="J641" i="1"/>
  <c r="J642" i="1"/>
  <c r="N642" i="1" s="1"/>
  <c r="J643" i="1"/>
  <c r="J644" i="1"/>
  <c r="J645" i="1"/>
  <c r="J680" i="1"/>
  <c r="J681" i="1"/>
  <c r="J682" i="1"/>
  <c r="J683" i="1"/>
  <c r="N683" i="1" s="1"/>
  <c r="J684" i="1"/>
  <c r="J685" i="1"/>
  <c r="J686" i="1"/>
  <c r="J687" i="1"/>
  <c r="N687" i="1" s="1"/>
  <c r="J688" i="1"/>
  <c r="J689" i="1"/>
  <c r="J690" i="1"/>
  <c r="J691" i="1"/>
  <c r="N691" i="1" s="1"/>
  <c r="J692" i="1"/>
  <c r="J693" i="1"/>
  <c r="J694" i="1"/>
  <c r="J695" i="1"/>
  <c r="N695" i="1" s="1"/>
  <c r="J696" i="1"/>
  <c r="J697" i="1"/>
  <c r="J698" i="1"/>
  <c r="J699" i="1"/>
  <c r="N699" i="1" s="1"/>
  <c r="J700" i="1"/>
  <c r="J701" i="1"/>
  <c r="J702" i="1"/>
  <c r="J703" i="1"/>
  <c r="N703" i="1" s="1"/>
  <c r="J704" i="1"/>
  <c r="J705" i="1"/>
  <c r="J706" i="1"/>
  <c r="J707" i="1"/>
  <c r="N707" i="1" s="1"/>
  <c r="J708" i="1"/>
  <c r="J709" i="1"/>
  <c r="J710" i="1"/>
  <c r="J711" i="1"/>
  <c r="N711" i="1" s="1"/>
  <c r="J712" i="1"/>
  <c r="J728" i="1"/>
  <c r="J729" i="1"/>
  <c r="N729" i="1" s="1"/>
  <c r="J730" i="1"/>
  <c r="J731" i="1"/>
  <c r="J732" i="1"/>
  <c r="J733" i="1"/>
  <c r="N733" i="1" s="1"/>
  <c r="J734" i="1"/>
  <c r="J735" i="1"/>
  <c r="J736" i="1"/>
  <c r="J737" i="1"/>
  <c r="N737" i="1" s="1"/>
  <c r="J738" i="1"/>
  <c r="J739" i="1"/>
  <c r="J740" i="1"/>
  <c r="J741" i="1"/>
  <c r="N741" i="1" s="1"/>
  <c r="J742" i="1"/>
  <c r="J743" i="1"/>
  <c r="J744" i="1"/>
  <c r="J745" i="1"/>
  <c r="N745" i="1" s="1"/>
  <c r="J746" i="1"/>
  <c r="J747" i="1"/>
  <c r="J748" i="1"/>
  <c r="J749" i="1"/>
  <c r="N749" i="1" s="1"/>
  <c r="J750" i="1"/>
  <c r="J751" i="1"/>
  <c r="J752" i="1"/>
  <c r="J753" i="1"/>
  <c r="N753" i="1" s="1"/>
  <c r="J754" i="1"/>
  <c r="J755" i="1"/>
  <c r="J756" i="1"/>
  <c r="J757" i="1"/>
  <c r="N757" i="1" s="1"/>
  <c r="J758" i="1"/>
  <c r="J759" i="1"/>
  <c r="J760" i="1"/>
  <c r="J761" i="1"/>
  <c r="N761" i="1" s="1"/>
  <c r="J762" i="1"/>
  <c r="J763" i="1"/>
  <c r="J764" i="1"/>
  <c r="J765" i="1"/>
  <c r="N765" i="1" s="1"/>
  <c r="J766" i="1"/>
  <c r="J767" i="1"/>
  <c r="J768" i="1"/>
  <c r="J769" i="1"/>
  <c r="N769" i="1" s="1"/>
  <c r="J868" i="1"/>
  <c r="J869" i="1"/>
  <c r="J870" i="1"/>
  <c r="J871" i="1"/>
  <c r="J872" i="1"/>
  <c r="J873" i="1"/>
  <c r="J874" i="1"/>
  <c r="J875" i="1"/>
  <c r="J876" i="1"/>
  <c r="J877" i="1"/>
  <c r="J878" i="1"/>
  <c r="J879" i="1"/>
  <c r="J880" i="1"/>
  <c r="J881" i="1"/>
  <c r="J882" i="1"/>
  <c r="J883" i="1"/>
  <c r="J884" i="1"/>
  <c r="J885" i="1"/>
  <c r="J886" i="1"/>
  <c r="J887" i="1"/>
  <c r="J888" i="1"/>
  <c r="J889" i="1"/>
  <c r="J890" i="1"/>
  <c r="J891" i="1"/>
  <c r="J892" i="1"/>
  <c r="J893" i="1"/>
  <c r="J894" i="1"/>
  <c r="J895" i="1"/>
  <c r="J896" i="1"/>
  <c r="J897" i="1"/>
  <c r="J6" i="1"/>
  <c r="J7" i="1"/>
  <c r="J8" i="1"/>
  <c r="N8" i="1" s="1"/>
  <c r="J9" i="1"/>
  <c r="J10" i="1"/>
  <c r="N10" i="1" s="1"/>
  <c r="J11" i="1"/>
  <c r="J5" i="1"/>
  <c r="N5" i="1" s="1"/>
  <c r="K182" i="1" l="1"/>
  <c r="L182" i="1" s="1"/>
  <c r="M182" i="1" s="1"/>
  <c r="K71" i="1"/>
  <c r="L71" i="1" s="1"/>
  <c r="M71" i="1" s="1"/>
  <c r="K64" i="1"/>
  <c r="L64" i="1" s="1"/>
  <c r="M64" i="1" s="1"/>
  <c r="K761" i="1"/>
  <c r="L761" i="1" s="1"/>
  <c r="M761" i="1" s="1"/>
  <c r="K745" i="1"/>
  <c r="L745" i="1" s="1"/>
  <c r="M745" i="1" s="1"/>
  <c r="K342" i="1"/>
  <c r="L342" i="1" s="1"/>
  <c r="M342" i="1" s="1"/>
  <c r="K749" i="1"/>
  <c r="L749" i="1" s="1"/>
  <c r="M749" i="1" s="1"/>
  <c r="K353" i="1"/>
  <c r="L353" i="1" s="1"/>
  <c r="M353" i="1" s="1"/>
  <c r="K346" i="1"/>
  <c r="L346" i="1" s="1"/>
  <c r="M346" i="1" s="1"/>
  <c r="K42" i="1"/>
  <c r="L42" i="1" s="1"/>
  <c r="M42" i="1" s="1"/>
  <c r="K733" i="1"/>
  <c r="L733" i="1" s="1"/>
  <c r="M733" i="1" s="1"/>
  <c r="K687" i="1"/>
  <c r="L687" i="1" s="1"/>
  <c r="M687" i="1" s="1"/>
  <c r="K638" i="1"/>
  <c r="L638" i="1" s="1"/>
  <c r="M638" i="1" s="1"/>
  <c r="K183" i="1"/>
  <c r="L183" i="1" s="1"/>
  <c r="M183" i="1" s="1"/>
  <c r="K256" i="1"/>
  <c r="L256" i="1" s="1"/>
  <c r="M256" i="1" s="1"/>
  <c r="K8" i="1"/>
  <c r="L8" i="1" s="1"/>
  <c r="M8" i="1" s="1"/>
  <c r="K729" i="1"/>
  <c r="L729" i="1" s="1"/>
  <c r="M729" i="1" s="1"/>
  <c r="K209" i="1"/>
  <c r="L209" i="1" s="1"/>
  <c r="M209" i="1" s="1"/>
  <c r="K769" i="1"/>
  <c r="L769" i="1" s="1"/>
  <c r="M769" i="1" s="1"/>
  <c r="K170" i="1"/>
  <c r="L170" i="1" s="1"/>
  <c r="M170" i="1" s="1"/>
  <c r="K753" i="1"/>
  <c r="L753" i="1" s="1"/>
  <c r="M753" i="1" s="1"/>
  <c r="K711" i="1"/>
  <c r="L711" i="1" s="1"/>
  <c r="M711" i="1" s="1"/>
  <c r="K737" i="1"/>
  <c r="L737" i="1" s="1"/>
  <c r="M737" i="1" s="1"/>
  <c r="K634" i="1"/>
  <c r="L634" i="1" s="1"/>
  <c r="M634" i="1" s="1"/>
  <c r="K221" i="1"/>
  <c r="L221" i="1" s="1"/>
  <c r="M221" i="1" s="1"/>
  <c r="K215" i="1"/>
  <c r="L215" i="1" s="1"/>
  <c r="M215" i="1" s="1"/>
  <c r="K189" i="1"/>
  <c r="L189" i="1" s="1"/>
  <c r="M189" i="1" s="1"/>
  <c r="K695" i="1"/>
  <c r="L695" i="1" s="1"/>
  <c r="M695" i="1" s="1"/>
  <c r="K264" i="1"/>
  <c r="L264" i="1" s="1"/>
  <c r="M264" i="1" s="1"/>
  <c r="K36" i="1"/>
  <c r="L36" i="1" s="1"/>
  <c r="M36" i="1" s="1"/>
  <c r="K765" i="1"/>
  <c r="L765" i="1" s="1"/>
  <c r="M765" i="1" s="1"/>
  <c r="K707" i="1"/>
  <c r="L707" i="1" s="1"/>
  <c r="M707" i="1" s="1"/>
  <c r="K335" i="1"/>
  <c r="L335" i="1" s="1"/>
  <c r="M335" i="1" s="1"/>
  <c r="K213" i="1"/>
  <c r="L213" i="1" s="1"/>
  <c r="M213" i="1" s="1"/>
  <c r="K208" i="1"/>
  <c r="L208" i="1" s="1"/>
  <c r="M208" i="1" s="1"/>
  <c r="K699" i="1"/>
  <c r="L699" i="1" s="1"/>
  <c r="M699" i="1" s="1"/>
  <c r="K341" i="1"/>
  <c r="L341" i="1" s="1"/>
  <c r="M341" i="1" s="1"/>
  <c r="K268" i="1"/>
  <c r="L268" i="1" s="1"/>
  <c r="M268" i="1" s="1"/>
  <c r="K79" i="1"/>
  <c r="L79" i="1" s="1"/>
  <c r="M79" i="1" s="1"/>
  <c r="K870" i="1"/>
  <c r="L870" i="1" s="1"/>
  <c r="M870" i="1" s="1"/>
  <c r="N870" i="1"/>
  <c r="K629" i="1"/>
  <c r="L629" i="1" s="1"/>
  <c r="M629" i="1" s="1"/>
  <c r="N629" i="1"/>
  <c r="K397" i="1"/>
  <c r="L397" i="1" s="1"/>
  <c r="M397" i="1" s="1"/>
  <c r="N397" i="1"/>
  <c r="K171" i="1"/>
  <c r="L171" i="1" s="1"/>
  <c r="M171" i="1" s="1"/>
  <c r="N171" i="1"/>
  <c r="K39" i="1"/>
  <c r="L39" i="1" s="1"/>
  <c r="M39" i="1" s="1"/>
  <c r="N39" i="1"/>
  <c r="K564" i="1"/>
  <c r="L564" i="1" s="1"/>
  <c r="M564" i="1" s="1"/>
  <c r="N564" i="1"/>
  <c r="K66" i="1"/>
  <c r="L66" i="1" s="1"/>
  <c r="M66" i="1" s="1"/>
  <c r="N66" i="1"/>
  <c r="K760" i="1"/>
  <c r="L760" i="1" s="1"/>
  <c r="M760" i="1" s="1"/>
  <c r="N760" i="1"/>
  <c r="K681" i="1"/>
  <c r="L681" i="1" s="1"/>
  <c r="M681" i="1" s="1"/>
  <c r="N681" i="1"/>
  <c r="K461" i="1"/>
  <c r="L461" i="1" s="1"/>
  <c r="M461" i="1" s="1"/>
  <c r="N461" i="1"/>
  <c r="K203" i="1"/>
  <c r="L203" i="1" s="1"/>
  <c r="M203" i="1" s="1"/>
  <c r="N203" i="1"/>
  <c r="K196" i="1"/>
  <c r="L196" i="1" s="1"/>
  <c r="M196" i="1" s="1"/>
  <c r="N196" i="1"/>
  <c r="K177" i="1"/>
  <c r="L177" i="1" s="1"/>
  <c r="M177" i="1" s="1"/>
  <c r="N177" i="1"/>
  <c r="K140" i="1"/>
  <c r="L140" i="1" s="1"/>
  <c r="M140" i="1" s="1"/>
  <c r="N140" i="1"/>
  <c r="K132" i="1"/>
  <c r="L132" i="1" s="1"/>
  <c r="M132" i="1" s="1"/>
  <c r="K78" i="1"/>
  <c r="L78" i="1" s="1"/>
  <c r="M78" i="1" s="1"/>
  <c r="N78" i="1"/>
  <c r="K65" i="1"/>
  <c r="L65" i="1" s="1"/>
  <c r="M65" i="1" s="1"/>
  <c r="K50" i="1"/>
  <c r="L50" i="1" s="1"/>
  <c r="M50" i="1" s="1"/>
  <c r="K44" i="1"/>
  <c r="L44" i="1" s="1"/>
  <c r="M44" i="1" s="1"/>
  <c r="N44" i="1"/>
  <c r="K37" i="1"/>
  <c r="L37" i="1" s="1"/>
  <c r="M37" i="1" s="1"/>
  <c r="N37" i="1"/>
  <c r="K9" i="1"/>
  <c r="L9" i="1" s="1"/>
  <c r="M9" i="1" s="1"/>
  <c r="N9" i="1"/>
  <c r="K756" i="1"/>
  <c r="L756" i="1" s="1"/>
  <c r="M756" i="1" s="1"/>
  <c r="N756" i="1"/>
  <c r="K553" i="1"/>
  <c r="L553" i="1" s="1"/>
  <c r="M553" i="1" s="1"/>
  <c r="N553" i="1"/>
  <c r="K423" i="1"/>
  <c r="L423" i="1" s="1"/>
  <c r="M423" i="1" s="1"/>
  <c r="N423" i="1"/>
  <c r="K271" i="1"/>
  <c r="L271" i="1" s="1"/>
  <c r="M271" i="1" s="1"/>
  <c r="N271" i="1"/>
  <c r="K134" i="1"/>
  <c r="L134" i="1" s="1"/>
  <c r="M134" i="1" s="1"/>
  <c r="N134" i="1"/>
  <c r="K46" i="1"/>
  <c r="L46" i="1" s="1"/>
  <c r="M46" i="1" s="1"/>
  <c r="N46" i="1"/>
  <c r="K682" i="1"/>
  <c r="L682" i="1" s="1"/>
  <c r="M682" i="1" s="1"/>
  <c r="N682" i="1"/>
  <c r="K552" i="1"/>
  <c r="L552" i="1" s="1"/>
  <c r="M552" i="1" s="1"/>
  <c r="N552" i="1"/>
  <c r="K430" i="1"/>
  <c r="L430" i="1" s="1"/>
  <c r="M430" i="1" s="1"/>
  <c r="N430" i="1"/>
  <c r="K204" i="1"/>
  <c r="L204" i="1" s="1"/>
  <c r="M204" i="1" s="1"/>
  <c r="N204" i="1"/>
  <c r="K190" i="1"/>
  <c r="L190" i="1" s="1"/>
  <c r="M190" i="1" s="1"/>
  <c r="N190" i="1"/>
  <c r="K178" i="1"/>
  <c r="L178" i="1" s="1"/>
  <c r="M178" i="1" s="1"/>
  <c r="N178" i="1"/>
  <c r="K141" i="1"/>
  <c r="L141" i="1" s="1"/>
  <c r="M141" i="1" s="1"/>
  <c r="N141" i="1"/>
  <c r="K868" i="1"/>
  <c r="L868" i="1" s="1"/>
  <c r="M868" i="1" s="1"/>
  <c r="N868" i="1"/>
  <c r="K738" i="1"/>
  <c r="L738" i="1" s="1"/>
  <c r="M738" i="1" s="1"/>
  <c r="N738" i="1"/>
  <c r="K563" i="1"/>
  <c r="L563" i="1" s="1"/>
  <c r="M563" i="1" s="1"/>
  <c r="N563" i="1"/>
  <c r="K467" i="1"/>
  <c r="L467" i="1" s="1"/>
  <c r="M467" i="1" s="1"/>
  <c r="N467" i="1"/>
  <c r="K429" i="1"/>
  <c r="L429" i="1" s="1"/>
  <c r="M429" i="1" s="1"/>
  <c r="N429" i="1"/>
  <c r="K396" i="1"/>
  <c r="L396" i="1" s="1"/>
  <c r="M396" i="1" s="1"/>
  <c r="N396" i="1"/>
  <c r="K347" i="1"/>
  <c r="L347" i="1" s="1"/>
  <c r="M347" i="1" s="1"/>
  <c r="N347" i="1"/>
  <c r="K7" i="1"/>
  <c r="L7" i="1" s="1"/>
  <c r="M7" i="1" s="1"/>
  <c r="N7" i="1"/>
  <c r="K883" i="1"/>
  <c r="L883" i="1" s="1"/>
  <c r="M883" i="1" s="1"/>
  <c r="N883" i="1"/>
  <c r="K693" i="1"/>
  <c r="L693" i="1" s="1"/>
  <c r="M693" i="1" s="1"/>
  <c r="N693" i="1"/>
  <c r="K680" i="1"/>
  <c r="L680" i="1" s="1"/>
  <c r="M680" i="1" s="1"/>
  <c r="N680" i="1"/>
  <c r="K639" i="1"/>
  <c r="L639" i="1" s="1"/>
  <c r="M639" i="1" s="1"/>
  <c r="N639" i="1"/>
  <c r="K633" i="1"/>
  <c r="L633" i="1" s="1"/>
  <c r="M633" i="1" s="1"/>
  <c r="N633" i="1"/>
  <c r="K562" i="1"/>
  <c r="L562" i="1" s="1"/>
  <c r="M562" i="1" s="1"/>
  <c r="N562" i="1"/>
  <c r="K550" i="1"/>
  <c r="L550" i="1" s="1"/>
  <c r="M550" i="1" s="1"/>
  <c r="N550" i="1"/>
  <c r="K474" i="1"/>
  <c r="L474" i="1" s="1"/>
  <c r="M474" i="1" s="1"/>
  <c r="N474" i="1"/>
  <c r="K466" i="1"/>
  <c r="L466" i="1" s="1"/>
  <c r="M466" i="1" s="1"/>
  <c r="N466" i="1"/>
  <c r="K460" i="1"/>
  <c r="L460" i="1" s="1"/>
  <c r="M460" i="1" s="1"/>
  <c r="N460" i="1"/>
  <c r="K428" i="1"/>
  <c r="L428" i="1" s="1"/>
  <c r="M428" i="1" s="1"/>
  <c r="N428" i="1"/>
  <c r="K420" i="1"/>
  <c r="L420" i="1" s="1"/>
  <c r="M420" i="1" s="1"/>
  <c r="N420" i="1"/>
  <c r="K360" i="1"/>
  <c r="L360" i="1" s="1"/>
  <c r="M360" i="1" s="1"/>
  <c r="N360" i="1"/>
  <c r="K263" i="1"/>
  <c r="L263" i="1" s="1"/>
  <c r="M263" i="1" s="1"/>
  <c r="N263" i="1"/>
  <c r="K257" i="1"/>
  <c r="L257" i="1" s="1"/>
  <c r="M257" i="1" s="1"/>
  <c r="N257" i="1"/>
  <c r="K212" i="1"/>
  <c r="L212" i="1" s="1"/>
  <c r="M212" i="1" s="1"/>
  <c r="N212" i="1"/>
  <c r="K202" i="1"/>
  <c r="L202" i="1" s="1"/>
  <c r="M202" i="1" s="1"/>
  <c r="N202" i="1"/>
  <c r="K195" i="1"/>
  <c r="L195" i="1" s="1"/>
  <c r="M195" i="1" s="1"/>
  <c r="N195" i="1"/>
  <c r="K176" i="1"/>
  <c r="L176" i="1" s="1"/>
  <c r="M176" i="1" s="1"/>
  <c r="N176" i="1"/>
  <c r="K169" i="1"/>
  <c r="L169" i="1" s="1"/>
  <c r="M169" i="1" s="1"/>
  <c r="N169" i="1"/>
  <c r="K139" i="1"/>
  <c r="L139" i="1" s="1"/>
  <c r="M139" i="1" s="1"/>
  <c r="N139" i="1"/>
  <c r="K77" i="1"/>
  <c r="L77" i="1" s="1"/>
  <c r="M77" i="1" s="1"/>
  <c r="N77" i="1"/>
  <c r="K70" i="1"/>
  <c r="L70" i="1" s="1"/>
  <c r="M70" i="1" s="1"/>
  <c r="K43" i="1"/>
  <c r="L43" i="1" s="1"/>
  <c r="M43" i="1" s="1"/>
  <c r="N43" i="1"/>
  <c r="K894" i="1"/>
  <c r="L894" i="1" s="1"/>
  <c r="M894" i="1" s="1"/>
  <c r="N894" i="1"/>
  <c r="K734" i="1"/>
  <c r="L734" i="1" s="1"/>
  <c r="M734" i="1" s="1"/>
  <c r="N734" i="1"/>
  <c r="K635" i="1"/>
  <c r="L635" i="1" s="1"/>
  <c r="M635" i="1" s="1"/>
  <c r="N635" i="1"/>
  <c r="K462" i="1"/>
  <c r="L462" i="1" s="1"/>
  <c r="M462" i="1" s="1"/>
  <c r="N462" i="1"/>
  <c r="K217" i="1"/>
  <c r="L217" i="1" s="1"/>
  <c r="M217" i="1" s="1"/>
  <c r="N217" i="1"/>
  <c r="K191" i="1"/>
  <c r="L191" i="1" s="1"/>
  <c r="M191" i="1" s="1"/>
  <c r="N191" i="1"/>
  <c r="K893" i="1"/>
  <c r="L893" i="1" s="1"/>
  <c r="M893" i="1" s="1"/>
  <c r="N893" i="1"/>
  <c r="K468" i="1"/>
  <c r="L468" i="1" s="1"/>
  <c r="M468" i="1" s="1"/>
  <c r="N468" i="1"/>
  <c r="K422" i="1"/>
  <c r="L422" i="1" s="1"/>
  <c r="M422" i="1" s="1"/>
  <c r="N422" i="1"/>
  <c r="K336" i="1"/>
  <c r="L336" i="1" s="1"/>
  <c r="M336" i="1" s="1"/>
  <c r="N336" i="1"/>
  <c r="K184" i="1"/>
  <c r="L184" i="1" s="1"/>
  <c r="M184" i="1" s="1"/>
  <c r="N184" i="1"/>
  <c r="K51" i="1"/>
  <c r="L51" i="1" s="1"/>
  <c r="M51" i="1" s="1"/>
  <c r="N51" i="1"/>
  <c r="K876" i="1"/>
  <c r="L876" i="1" s="1"/>
  <c r="M876" i="1" s="1"/>
  <c r="N876" i="1"/>
  <c r="K551" i="1"/>
  <c r="L551" i="1" s="1"/>
  <c r="M551" i="1" s="1"/>
  <c r="N551" i="1"/>
  <c r="K216" i="1"/>
  <c r="L216" i="1" s="1"/>
  <c r="M216" i="1" s="1"/>
  <c r="N216" i="1"/>
  <c r="K875" i="1"/>
  <c r="L875" i="1" s="1"/>
  <c r="M875" i="1" s="1"/>
  <c r="N875" i="1"/>
  <c r="K743" i="1"/>
  <c r="L743" i="1" s="1"/>
  <c r="M743" i="1" s="1"/>
  <c r="N743" i="1"/>
  <c r="K706" i="1"/>
  <c r="L706" i="1" s="1"/>
  <c r="M706" i="1" s="1"/>
  <c r="N706" i="1"/>
  <c r="K6" i="1"/>
  <c r="L6" i="1" s="1"/>
  <c r="M6" i="1" s="1"/>
  <c r="N6" i="1"/>
  <c r="K882" i="1"/>
  <c r="L882" i="1" s="1"/>
  <c r="M882" i="1" s="1"/>
  <c r="N882" i="1"/>
  <c r="K758" i="1"/>
  <c r="L758" i="1" s="1"/>
  <c r="M758" i="1" s="1"/>
  <c r="N758" i="1"/>
  <c r="K742" i="1"/>
  <c r="L742" i="1" s="1"/>
  <c r="M742" i="1" s="1"/>
  <c r="N742" i="1"/>
  <c r="K732" i="1"/>
  <c r="L732" i="1" s="1"/>
  <c r="M732" i="1" s="1"/>
  <c r="N732" i="1"/>
  <c r="K705" i="1"/>
  <c r="L705" i="1" s="1"/>
  <c r="M705" i="1" s="1"/>
  <c r="N705" i="1"/>
  <c r="K632" i="1"/>
  <c r="L632" i="1" s="1"/>
  <c r="M632" i="1" s="1"/>
  <c r="N632" i="1"/>
  <c r="K561" i="1"/>
  <c r="L561" i="1" s="1"/>
  <c r="M561" i="1" s="1"/>
  <c r="N561" i="1"/>
  <c r="K556" i="1"/>
  <c r="L556" i="1" s="1"/>
  <c r="M556" i="1" s="1"/>
  <c r="N556" i="1"/>
  <c r="K473" i="1"/>
  <c r="L473" i="1" s="1"/>
  <c r="M473" i="1" s="1"/>
  <c r="N473" i="1"/>
  <c r="K459" i="1"/>
  <c r="L459" i="1" s="1"/>
  <c r="M459" i="1" s="1"/>
  <c r="N459" i="1"/>
  <c r="K453" i="1"/>
  <c r="L453" i="1" s="1"/>
  <c r="M453" i="1" s="1"/>
  <c r="N453" i="1"/>
  <c r="K427" i="1"/>
  <c r="L427" i="1" s="1"/>
  <c r="M427" i="1" s="1"/>
  <c r="N427" i="1"/>
  <c r="K419" i="1"/>
  <c r="L419" i="1" s="1"/>
  <c r="M419" i="1" s="1"/>
  <c r="N419" i="1"/>
  <c r="K359" i="1"/>
  <c r="L359" i="1" s="1"/>
  <c r="M359" i="1" s="1"/>
  <c r="N359" i="1"/>
  <c r="K340" i="1"/>
  <c r="L340" i="1" s="1"/>
  <c r="M340" i="1" s="1"/>
  <c r="N340" i="1"/>
  <c r="K334" i="1"/>
  <c r="L334" i="1" s="1"/>
  <c r="M334" i="1" s="1"/>
  <c r="N334" i="1"/>
  <c r="K262" i="1"/>
  <c r="L262" i="1" s="1"/>
  <c r="M262" i="1" s="1"/>
  <c r="N262" i="1"/>
  <c r="K220" i="1"/>
  <c r="L220" i="1" s="1"/>
  <c r="M220" i="1" s="1"/>
  <c r="N220" i="1"/>
  <c r="K211" i="1"/>
  <c r="L211" i="1" s="1"/>
  <c r="M211" i="1" s="1"/>
  <c r="N211" i="1"/>
  <c r="K201" i="1"/>
  <c r="L201" i="1" s="1"/>
  <c r="M201" i="1" s="1"/>
  <c r="N201" i="1"/>
  <c r="K194" i="1"/>
  <c r="L194" i="1" s="1"/>
  <c r="M194" i="1" s="1"/>
  <c r="N194" i="1"/>
  <c r="K188" i="1"/>
  <c r="L188" i="1" s="1"/>
  <c r="M188" i="1" s="1"/>
  <c r="N188" i="1"/>
  <c r="K175" i="1"/>
  <c r="L175" i="1" s="1"/>
  <c r="M175" i="1" s="1"/>
  <c r="N175" i="1"/>
  <c r="K168" i="1"/>
  <c r="L168" i="1" s="1"/>
  <c r="M168" i="1" s="1"/>
  <c r="N168" i="1"/>
  <c r="K138" i="1"/>
  <c r="L138" i="1" s="1"/>
  <c r="M138" i="1" s="1"/>
  <c r="N138" i="1"/>
  <c r="K131" i="1"/>
  <c r="L131" i="1" s="1"/>
  <c r="M131" i="1" s="1"/>
  <c r="N131" i="1"/>
  <c r="K76" i="1"/>
  <c r="L76" i="1" s="1"/>
  <c r="M76" i="1" s="1"/>
  <c r="N76" i="1"/>
  <c r="K69" i="1"/>
  <c r="L69" i="1" s="1"/>
  <c r="M69" i="1" s="1"/>
  <c r="N69" i="1"/>
  <c r="K49" i="1"/>
  <c r="L49" i="1" s="1"/>
  <c r="M49" i="1" s="1"/>
  <c r="N49" i="1"/>
  <c r="K886" i="1"/>
  <c r="L886" i="1" s="1"/>
  <c r="M886" i="1" s="1"/>
  <c r="N886" i="1"/>
  <c r="K740" i="1"/>
  <c r="L740" i="1" s="1"/>
  <c r="M740" i="1" s="1"/>
  <c r="N740" i="1"/>
  <c r="K689" i="1"/>
  <c r="L689" i="1" s="1"/>
  <c r="M689" i="1" s="1"/>
  <c r="N689" i="1"/>
  <c r="K469" i="1"/>
  <c r="L469" i="1" s="1"/>
  <c r="M469" i="1" s="1"/>
  <c r="N469" i="1"/>
  <c r="K185" i="1"/>
  <c r="L185" i="1" s="1"/>
  <c r="M185" i="1" s="1"/>
  <c r="N185" i="1"/>
  <c r="K701" i="1"/>
  <c r="L701" i="1" s="1"/>
  <c r="M701" i="1" s="1"/>
  <c r="N701" i="1"/>
  <c r="K641" i="1"/>
  <c r="L641" i="1" s="1"/>
  <c r="M641" i="1" s="1"/>
  <c r="N641" i="1"/>
  <c r="K558" i="1"/>
  <c r="L558" i="1" s="1"/>
  <c r="M558" i="1" s="1"/>
  <c r="N558" i="1"/>
  <c r="K455" i="1"/>
  <c r="L455" i="1" s="1"/>
  <c r="M455" i="1" s="1"/>
  <c r="N455" i="1"/>
  <c r="K348" i="1"/>
  <c r="L348" i="1" s="1"/>
  <c r="M348" i="1" s="1"/>
  <c r="N348" i="1"/>
  <c r="K270" i="1"/>
  <c r="L270" i="1" s="1"/>
  <c r="M270" i="1" s="1"/>
  <c r="N270" i="1"/>
  <c r="K253" i="1"/>
  <c r="L253" i="1" s="1"/>
  <c r="M253" i="1" s="1"/>
  <c r="N253" i="1"/>
  <c r="K197" i="1"/>
  <c r="L197" i="1" s="1"/>
  <c r="M197" i="1" s="1"/>
  <c r="N197" i="1"/>
  <c r="K38" i="1"/>
  <c r="L38" i="1" s="1"/>
  <c r="M38" i="1" s="1"/>
  <c r="N38" i="1"/>
  <c r="K884" i="1"/>
  <c r="L884" i="1" s="1"/>
  <c r="M884" i="1" s="1"/>
  <c r="N884" i="1"/>
  <c r="K754" i="1"/>
  <c r="L754" i="1" s="1"/>
  <c r="M754" i="1" s="1"/>
  <c r="N754" i="1"/>
  <c r="K728" i="1"/>
  <c r="L728" i="1" s="1"/>
  <c r="M728" i="1" s="1"/>
  <c r="N728" i="1"/>
  <c r="K694" i="1"/>
  <c r="L694" i="1" s="1"/>
  <c r="M694" i="1" s="1"/>
  <c r="N694" i="1"/>
  <c r="K640" i="1"/>
  <c r="L640" i="1" s="1"/>
  <c r="M640" i="1" s="1"/>
  <c r="N640" i="1"/>
  <c r="K557" i="1"/>
  <c r="L557" i="1" s="1"/>
  <c r="M557" i="1" s="1"/>
  <c r="N557" i="1"/>
  <c r="K454" i="1"/>
  <c r="L454" i="1" s="1"/>
  <c r="M454" i="1" s="1"/>
  <c r="N454" i="1"/>
  <c r="K891" i="1"/>
  <c r="L891" i="1" s="1"/>
  <c r="M891" i="1" s="1"/>
  <c r="N891" i="1"/>
  <c r="K759" i="1"/>
  <c r="L759" i="1" s="1"/>
  <c r="M759" i="1" s="1"/>
  <c r="N759" i="1"/>
  <c r="K712" i="1"/>
  <c r="L712" i="1" s="1"/>
  <c r="M712" i="1" s="1"/>
  <c r="N712" i="1"/>
  <c r="K890" i="1"/>
  <c r="L890" i="1" s="1"/>
  <c r="M890" i="1" s="1"/>
  <c r="N890" i="1"/>
  <c r="K874" i="1"/>
  <c r="L874" i="1" s="1"/>
  <c r="M874" i="1" s="1"/>
  <c r="N874" i="1"/>
  <c r="K764" i="1"/>
  <c r="L764" i="1" s="1"/>
  <c r="M764" i="1" s="1"/>
  <c r="N764" i="1"/>
  <c r="K748" i="1"/>
  <c r="L748" i="1" s="1"/>
  <c r="M748" i="1" s="1"/>
  <c r="N748" i="1"/>
  <c r="K692" i="1"/>
  <c r="L692" i="1" s="1"/>
  <c r="M692" i="1" s="1"/>
  <c r="N692" i="1"/>
  <c r="K686" i="1"/>
  <c r="L686" i="1" s="1"/>
  <c r="M686" i="1" s="1"/>
  <c r="N686" i="1"/>
  <c r="K645" i="1"/>
  <c r="L645" i="1" s="1"/>
  <c r="M645" i="1" s="1"/>
  <c r="N645" i="1"/>
  <c r="K11" i="1"/>
  <c r="L11" i="1" s="1"/>
  <c r="M11" i="1" s="1"/>
  <c r="N11" i="1"/>
  <c r="K897" i="1"/>
  <c r="L897" i="1" s="1"/>
  <c r="M897" i="1" s="1"/>
  <c r="N897" i="1"/>
  <c r="K889" i="1"/>
  <c r="L889" i="1" s="1"/>
  <c r="M889" i="1" s="1"/>
  <c r="N889" i="1"/>
  <c r="K881" i="1"/>
  <c r="L881" i="1" s="1"/>
  <c r="M881" i="1" s="1"/>
  <c r="N881" i="1"/>
  <c r="K873" i="1"/>
  <c r="L873" i="1" s="1"/>
  <c r="M873" i="1" s="1"/>
  <c r="N873" i="1"/>
  <c r="K763" i="1"/>
  <c r="L763" i="1" s="1"/>
  <c r="M763" i="1" s="1"/>
  <c r="N763" i="1"/>
  <c r="K747" i="1"/>
  <c r="L747" i="1" s="1"/>
  <c r="M747" i="1" s="1"/>
  <c r="N747" i="1"/>
  <c r="K731" i="1"/>
  <c r="L731" i="1" s="1"/>
  <c r="M731" i="1" s="1"/>
  <c r="N731" i="1"/>
  <c r="K704" i="1"/>
  <c r="L704" i="1" s="1"/>
  <c r="M704" i="1" s="1"/>
  <c r="N704" i="1"/>
  <c r="K698" i="1"/>
  <c r="L698" i="1" s="1"/>
  <c r="M698" i="1" s="1"/>
  <c r="N698" i="1"/>
  <c r="K691" i="1"/>
  <c r="L691" i="1" s="1"/>
  <c r="M691" i="1" s="1"/>
  <c r="K685" i="1"/>
  <c r="L685" i="1" s="1"/>
  <c r="M685" i="1" s="1"/>
  <c r="N685" i="1"/>
  <c r="K644" i="1"/>
  <c r="L644" i="1" s="1"/>
  <c r="M644" i="1" s="1"/>
  <c r="N644" i="1"/>
  <c r="K631" i="1"/>
  <c r="L631" i="1" s="1"/>
  <c r="M631" i="1" s="1"/>
  <c r="N631" i="1"/>
  <c r="K555" i="1"/>
  <c r="L555" i="1" s="1"/>
  <c r="M555" i="1" s="1"/>
  <c r="N555" i="1"/>
  <c r="K549" i="1"/>
  <c r="L549" i="1" s="1"/>
  <c r="M549" i="1" s="1"/>
  <c r="N549" i="1"/>
  <c r="K472" i="1"/>
  <c r="L472" i="1" s="1"/>
  <c r="M472" i="1" s="1"/>
  <c r="N472" i="1"/>
  <c r="K465" i="1"/>
  <c r="L465" i="1" s="1"/>
  <c r="M465" i="1" s="1"/>
  <c r="N465" i="1"/>
  <c r="K458" i="1"/>
  <c r="L458" i="1" s="1"/>
  <c r="M458" i="1" s="1"/>
  <c r="N458" i="1"/>
  <c r="K452" i="1"/>
  <c r="L452" i="1" s="1"/>
  <c r="M452" i="1" s="1"/>
  <c r="N452" i="1"/>
  <c r="K426" i="1"/>
  <c r="L426" i="1" s="1"/>
  <c r="M426" i="1" s="1"/>
  <c r="N426" i="1"/>
  <c r="K399" i="1"/>
  <c r="L399" i="1" s="1"/>
  <c r="M399" i="1" s="1"/>
  <c r="N399" i="1"/>
  <c r="K358" i="1"/>
  <c r="L358" i="1" s="1"/>
  <c r="M358" i="1" s="1"/>
  <c r="N358" i="1"/>
  <c r="K352" i="1"/>
  <c r="L352" i="1" s="1"/>
  <c r="M352" i="1" s="1"/>
  <c r="N352" i="1"/>
  <c r="K345" i="1"/>
  <c r="L345" i="1" s="1"/>
  <c r="M345" i="1" s="1"/>
  <c r="N345" i="1"/>
  <c r="K339" i="1"/>
  <c r="L339" i="1" s="1"/>
  <c r="M339" i="1" s="1"/>
  <c r="N339" i="1"/>
  <c r="K274" i="1"/>
  <c r="L274" i="1" s="1"/>
  <c r="M274" i="1" s="1"/>
  <c r="N274" i="1"/>
  <c r="K267" i="1"/>
  <c r="L267" i="1" s="1"/>
  <c r="M267" i="1" s="1"/>
  <c r="K261" i="1"/>
  <c r="L261" i="1" s="1"/>
  <c r="M261" i="1" s="1"/>
  <c r="K219" i="1"/>
  <c r="L219" i="1" s="1"/>
  <c r="M219" i="1" s="1"/>
  <c r="N219" i="1"/>
  <c r="K210" i="1"/>
  <c r="L210" i="1" s="1"/>
  <c r="M210" i="1" s="1"/>
  <c r="K207" i="1"/>
  <c r="L207" i="1" s="1"/>
  <c r="M207" i="1" s="1"/>
  <c r="N207" i="1"/>
  <c r="K200" i="1"/>
  <c r="L200" i="1" s="1"/>
  <c r="M200" i="1" s="1"/>
  <c r="N200" i="1"/>
  <c r="K193" i="1"/>
  <c r="L193" i="1" s="1"/>
  <c r="M193" i="1" s="1"/>
  <c r="K187" i="1"/>
  <c r="L187" i="1" s="1"/>
  <c r="M187" i="1" s="1"/>
  <c r="N187" i="1"/>
  <c r="K174" i="1"/>
  <c r="L174" i="1" s="1"/>
  <c r="M174" i="1" s="1"/>
  <c r="N174" i="1"/>
  <c r="K167" i="1"/>
  <c r="L167" i="1" s="1"/>
  <c r="M167" i="1" s="1"/>
  <c r="K137" i="1"/>
  <c r="L137" i="1" s="1"/>
  <c r="M137" i="1" s="1"/>
  <c r="N137" i="1"/>
  <c r="K130" i="1"/>
  <c r="L130" i="1" s="1"/>
  <c r="M130" i="1" s="1"/>
  <c r="N130" i="1"/>
  <c r="K75" i="1"/>
  <c r="L75" i="1" s="1"/>
  <c r="M75" i="1" s="1"/>
  <c r="K68" i="1"/>
  <c r="L68" i="1" s="1"/>
  <c r="M68" i="1" s="1"/>
  <c r="N68" i="1"/>
  <c r="K48" i="1"/>
  <c r="L48" i="1" s="1"/>
  <c r="M48" i="1" s="1"/>
  <c r="N48" i="1"/>
  <c r="K35" i="1"/>
  <c r="L35" i="1" s="1"/>
  <c r="M35" i="1" s="1"/>
  <c r="K766" i="1"/>
  <c r="L766" i="1" s="1"/>
  <c r="M766" i="1" s="1"/>
  <c r="N766" i="1"/>
  <c r="K708" i="1"/>
  <c r="L708" i="1" s="1"/>
  <c r="M708" i="1" s="1"/>
  <c r="N708" i="1"/>
  <c r="K477" i="1"/>
  <c r="L477" i="1" s="1"/>
  <c r="M477" i="1" s="1"/>
  <c r="N477" i="1"/>
  <c r="K449" i="1"/>
  <c r="L449" i="1" s="1"/>
  <c r="M449" i="1" s="1"/>
  <c r="N449" i="1"/>
  <c r="K349" i="1"/>
  <c r="L349" i="1" s="1"/>
  <c r="M349" i="1" s="1"/>
  <c r="N349" i="1"/>
  <c r="K265" i="1"/>
  <c r="L265" i="1" s="1"/>
  <c r="M265" i="1" s="1"/>
  <c r="N265" i="1"/>
  <c r="K179" i="1"/>
  <c r="L179" i="1" s="1"/>
  <c r="M179" i="1" s="1"/>
  <c r="N179" i="1"/>
  <c r="K142" i="1"/>
  <c r="L142" i="1" s="1"/>
  <c r="M142" i="1" s="1"/>
  <c r="N142" i="1"/>
  <c r="K72" i="1"/>
  <c r="L72" i="1" s="1"/>
  <c r="M72" i="1" s="1"/>
  <c r="K877" i="1"/>
  <c r="L877" i="1" s="1"/>
  <c r="M877" i="1" s="1"/>
  <c r="N877" i="1"/>
  <c r="K869" i="1"/>
  <c r="L869" i="1" s="1"/>
  <c r="M869" i="1" s="1"/>
  <c r="N869" i="1"/>
  <c r="K755" i="1"/>
  <c r="L755" i="1" s="1"/>
  <c r="M755" i="1" s="1"/>
  <c r="N755" i="1"/>
  <c r="K739" i="1"/>
  <c r="L739" i="1" s="1"/>
  <c r="M739" i="1" s="1"/>
  <c r="N739" i="1"/>
  <c r="K476" i="1"/>
  <c r="L476" i="1" s="1"/>
  <c r="M476" i="1" s="1"/>
  <c r="N476" i="1"/>
  <c r="K354" i="1"/>
  <c r="L354" i="1" s="1"/>
  <c r="M354" i="1" s="1"/>
  <c r="N354" i="1"/>
  <c r="K258" i="1"/>
  <c r="L258" i="1" s="1"/>
  <c r="M258" i="1" s="1"/>
  <c r="N258" i="1"/>
  <c r="K45" i="1"/>
  <c r="L45" i="1" s="1"/>
  <c r="M45" i="1" s="1"/>
  <c r="N45" i="1"/>
  <c r="K892" i="1"/>
  <c r="L892" i="1" s="1"/>
  <c r="M892" i="1" s="1"/>
  <c r="N892" i="1"/>
  <c r="K744" i="1"/>
  <c r="L744" i="1" s="1"/>
  <c r="M744" i="1" s="1"/>
  <c r="N744" i="1"/>
  <c r="K700" i="1"/>
  <c r="L700" i="1" s="1"/>
  <c r="M700" i="1" s="1"/>
  <c r="N700" i="1"/>
  <c r="K475" i="1"/>
  <c r="L475" i="1" s="1"/>
  <c r="M475" i="1" s="1"/>
  <c r="N475" i="1"/>
  <c r="K421" i="1"/>
  <c r="L421" i="1" s="1"/>
  <c r="M421" i="1" s="1"/>
  <c r="N421" i="1"/>
  <c r="K269" i="1"/>
  <c r="L269" i="1" s="1"/>
  <c r="M269" i="1" s="1"/>
  <c r="N269" i="1"/>
  <c r="K10" i="1"/>
  <c r="L10" i="1" s="1"/>
  <c r="M10" i="1" s="1"/>
  <c r="K896" i="1"/>
  <c r="L896" i="1" s="1"/>
  <c r="M896" i="1" s="1"/>
  <c r="N896" i="1"/>
  <c r="K888" i="1"/>
  <c r="L888" i="1" s="1"/>
  <c r="M888" i="1" s="1"/>
  <c r="N888" i="1"/>
  <c r="K880" i="1"/>
  <c r="L880" i="1" s="1"/>
  <c r="M880" i="1" s="1"/>
  <c r="N880" i="1"/>
  <c r="K872" i="1"/>
  <c r="L872" i="1" s="1"/>
  <c r="M872" i="1" s="1"/>
  <c r="N872" i="1"/>
  <c r="K768" i="1"/>
  <c r="L768" i="1" s="1"/>
  <c r="M768" i="1" s="1"/>
  <c r="N768" i="1"/>
  <c r="K762" i="1"/>
  <c r="L762" i="1" s="1"/>
  <c r="M762" i="1" s="1"/>
  <c r="N762" i="1"/>
  <c r="K757" i="1"/>
  <c r="L757" i="1" s="1"/>
  <c r="M757" i="1" s="1"/>
  <c r="K752" i="1"/>
  <c r="L752" i="1" s="1"/>
  <c r="M752" i="1" s="1"/>
  <c r="N752" i="1"/>
  <c r="K746" i="1"/>
  <c r="L746" i="1" s="1"/>
  <c r="M746" i="1" s="1"/>
  <c r="N746" i="1"/>
  <c r="K741" i="1"/>
  <c r="L741" i="1" s="1"/>
  <c r="M741" i="1" s="1"/>
  <c r="K736" i="1"/>
  <c r="L736" i="1" s="1"/>
  <c r="M736" i="1" s="1"/>
  <c r="N736" i="1"/>
  <c r="K730" i="1"/>
  <c r="L730" i="1" s="1"/>
  <c r="M730" i="1" s="1"/>
  <c r="N730" i="1"/>
  <c r="K710" i="1"/>
  <c r="L710" i="1" s="1"/>
  <c r="M710" i="1" s="1"/>
  <c r="N710" i="1"/>
  <c r="K703" i="1"/>
  <c r="L703" i="1" s="1"/>
  <c r="M703" i="1" s="1"/>
  <c r="K697" i="1"/>
  <c r="L697" i="1" s="1"/>
  <c r="M697" i="1" s="1"/>
  <c r="N697" i="1"/>
  <c r="K684" i="1"/>
  <c r="L684" i="1" s="1"/>
  <c r="M684" i="1" s="1"/>
  <c r="N684" i="1"/>
  <c r="K643" i="1"/>
  <c r="L643" i="1" s="1"/>
  <c r="M643" i="1" s="1"/>
  <c r="N643" i="1"/>
  <c r="K637" i="1"/>
  <c r="L637" i="1" s="1"/>
  <c r="M637" i="1" s="1"/>
  <c r="N637" i="1"/>
  <c r="K630" i="1"/>
  <c r="L630" i="1" s="1"/>
  <c r="M630" i="1" s="1"/>
  <c r="K560" i="1"/>
  <c r="L560" i="1" s="1"/>
  <c r="M560" i="1" s="1"/>
  <c r="N560" i="1"/>
  <c r="K548" i="1"/>
  <c r="L548" i="1" s="1"/>
  <c r="M548" i="1" s="1"/>
  <c r="N548" i="1"/>
  <c r="K471" i="1"/>
  <c r="L471" i="1" s="1"/>
  <c r="M471" i="1" s="1"/>
  <c r="N471" i="1"/>
  <c r="K464" i="1"/>
  <c r="L464" i="1" s="1"/>
  <c r="M464" i="1" s="1"/>
  <c r="N464" i="1"/>
  <c r="K451" i="1"/>
  <c r="L451" i="1" s="1"/>
  <c r="M451" i="1" s="1"/>
  <c r="N451" i="1"/>
  <c r="K425" i="1"/>
  <c r="L425" i="1" s="1"/>
  <c r="M425" i="1" s="1"/>
  <c r="N425" i="1"/>
  <c r="K357" i="1"/>
  <c r="L357" i="1" s="1"/>
  <c r="M357" i="1" s="1"/>
  <c r="N357" i="1"/>
  <c r="K351" i="1"/>
  <c r="L351" i="1" s="1"/>
  <c r="M351" i="1" s="1"/>
  <c r="N351" i="1"/>
  <c r="K344" i="1"/>
  <c r="L344" i="1" s="1"/>
  <c r="M344" i="1" s="1"/>
  <c r="N344" i="1"/>
  <c r="K338" i="1"/>
  <c r="L338" i="1" s="1"/>
  <c r="M338" i="1" s="1"/>
  <c r="N338" i="1"/>
  <c r="K273" i="1"/>
  <c r="L273" i="1" s="1"/>
  <c r="M273" i="1" s="1"/>
  <c r="N273" i="1"/>
  <c r="K255" i="1"/>
  <c r="L255" i="1" s="1"/>
  <c r="M255" i="1" s="1"/>
  <c r="N255" i="1"/>
  <c r="K218" i="1"/>
  <c r="L218" i="1" s="1"/>
  <c r="M218" i="1" s="1"/>
  <c r="K214" i="1"/>
  <c r="L214" i="1" s="1"/>
  <c r="M214" i="1" s="1"/>
  <c r="K206" i="1"/>
  <c r="L206" i="1" s="1"/>
  <c r="M206" i="1" s="1"/>
  <c r="N206" i="1"/>
  <c r="K199" i="1"/>
  <c r="L199" i="1" s="1"/>
  <c r="M199" i="1" s="1"/>
  <c r="K186" i="1"/>
  <c r="L186" i="1" s="1"/>
  <c r="M186" i="1" s="1"/>
  <c r="K181" i="1"/>
  <c r="L181" i="1" s="1"/>
  <c r="M181" i="1" s="1"/>
  <c r="N181" i="1"/>
  <c r="K173" i="1"/>
  <c r="L173" i="1" s="1"/>
  <c r="M173" i="1" s="1"/>
  <c r="N173" i="1"/>
  <c r="K136" i="1"/>
  <c r="L136" i="1" s="1"/>
  <c r="M136" i="1" s="1"/>
  <c r="N136" i="1"/>
  <c r="K74" i="1"/>
  <c r="L74" i="1" s="1"/>
  <c r="M74" i="1" s="1"/>
  <c r="K67" i="1"/>
  <c r="L67" i="1" s="1"/>
  <c r="M67" i="1" s="1"/>
  <c r="K63" i="1"/>
  <c r="L63" i="1" s="1"/>
  <c r="M63" i="1" s="1"/>
  <c r="K47" i="1"/>
  <c r="L47" i="1" s="1"/>
  <c r="M47" i="1" s="1"/>
  <c r="K41" i="1"/>
  <c r="L41" i="1" s="1"/>
  <c r="M41" i="1" s="1"/>
  <c r="N41" i="1"/>
  <c r="K878" i="1"/>
  <c r="L878" i="1" s="1"/>
  <c r="M878" i="1" s="1"/>
  <c r="N878" i="1"/>
  <c r="K750" i="1"/>
  <c r="L750" i="1" s="1"/>
  <c r="M750" i="1" s="1"/>
  <c r="N750" i="1"/>
  <c r="K702" i="1"/>
  <c r="L702" i="1" s="1"/>
  <c r="M702" i="1" s="1"/>
  <c r="N702" i="1"/>
  <c r="K456" i="1"/>
  <c r="L456" i="1" s="1"/>
  <c r="M456" i="1" s="1"/>
  <c r="N456" i="1"/>
  <c r="K355" i="1"/>
  <c r="L355" i="1" s="1"/>
  <c r="M355" i="1" s="1"/>
  <c r="N355" i="1"/>
  <c r="K259" i="1"/>
  <c r="L259" i="1" s="1"/>
  <c r="M259" i="1" s="1"/>
  <c r="N259" i="1"/>
  <c r="K198" i="1"/>
  <c r="L198" i="1" s="1"/>
  <c r="M198" i="1" s="1"/>
  <c r="N198" i="1"/>
  <c r="K52" i="1"/>
  <c r="L52" i="1" s="1"/>
  <c r="M52" i="1" s="1"/>
  <c r="N52" i="1"/>
  <c r="K885" i="1"/>
  <c r="L885" i="1" s="1"/>
  <c r="M885" i="1" s="1"/>
  <c r="N885" i="1"/>
  <c r="K688" i="1"/>
  <c r="L688" i="1" s="1"/>
  <c r="M688" i="1" s="1"/>
  <c r="N688" i="1"/>
  <c r="K895" i="1"/>
  <c r="L895" i="1" s="1"/>
  <c r="M895" i="1" s="1"/>
  <c r="N895" i="1"/>
  <c r="K887" i="1"/>
  <c r="L887" i="1" s="1"/>
  <c r="M887" i="1" s="1"/>
  <c r="N887" i="1"/>
  <c r="K879" i="1"/>
  <c r="L879" i="1" s="1"/>
  <c r="M879" i="1" s="1"/>
  <c r="N879" i="1"/>
  <c r="K871" i="1"/>
  <c r="L871" i="1" s="1"/>
  <c r="M871" i="1" s="1"/>
  <c r="N871" i="1"/>
  <c r="K767" i="1"/>
  <c r="L767" i="1" s="1"/>
  <c r="M767" i="1" s="1"/>
  <c r="N767" i="1"/>
  <c r="K751" i="1"/>
  <c r="L751" i="1" s="1"/>
  <c r="M751" i="1" s="1"/>
  <c r="N751" i="1"/>
  <c r="K735" i="1"/>
  <c r="L735" i="1" s="1"/>
  <c r="M735" i="1" s="1"/>
  <c r="N735" i="1"/>
  <c r="K709" i="1"/>
  <c r="L709" i="1" s="1"/>
  <c r="M709" i="1" s="1"/>
  <c r="N709" i="1"/>
  <c r="K696" i="1"/>
  <c r="L696" i="1" s="1"/>
  <c r="M696" i="1" s="1"/>
  <c r="N696" i="1"/>
  <c r="K690" i="1"/>
  <c r="L690" i="1" s="1"/>
  <c r="M690" i="1" s="1"/>
  <c r="N690" i="1"/>
  <c r="K683" i="1"/>
  <c r="L683" i="1" s="1"/>
  <c r="M683" i="1" s="1"/>
  <c r="K642" i="1"/>
  <c r="L642" i="1" s="1"/>
  <c r="M642" i="1" s="1"/>
  <c r="K636" i="1"/>
  <c r="L636" i="1" s="1"/>
  <c r="M636" i="1" s="1"/>
  <c r="N636" i="1"/>
  <c r="K559" i="1"/>
  <c r="L559" i="1" s="1"/>
  <c r="M559" i="1" s="1"/>
  <c r="N559" i="1"/>
  <c r="K554" i="1"/>
  <c r="L554" i="1" s="1"/>
  <c r="M554" i="1" s="1"/>
  <c r="N554" i="1"/>
  <c r="K547" i="1"/>
  <c r="L547" i="1" s="1"/>
  <c r="M547" i="1" s="1"/>
  <c r="N547" i="1"/>
  <c r="K470" i="1"/>
  <c r="L470" i="1" s="1"/>
  <c r="M470" i="1" s="1"/>
  <c r="N470" i="1"/>
  <c r="K463" i="1"/>
  <c r="L463" i="1" s="1"/>
  <c r="M463" i="1" s="1"/>
  <c r="N463" i="1"/>
  <c r="K457" i="1"/>
  <c r="L457" i="1" s="1"/>
  <c r="M457" i="1" s="1"/>
  <c r="N457" i="1"/>
  <c r="K450" i="1"/>
  <c r="L450" i="1" s="1"/>
  <c r="M450" i="1" s="1"/>
  <c r="N450" i="1"/>
  <c r="K424" i="1"/>
  <c r="L424" i="1" s="1"/>
  <c r="M424" i="1" s="1"/>
  <c r="N424" i="1"/>
  <c r="K398" i="1"/>
  <c r="L398" i="1" s="1"/>
  <c r="M398" i="1" s="1"/>
  <c r="N398" i="1"/>
  <c r="K356" i="1"/>
  <c r="L356" i="1" s="1"/>
  <c r="M356" i="1" s="1"/>
  <c r="N356" i="1"/>
  <c r="K350" i="1"/>
  <c r="L350" i="1" s="1"/>
  <c r="M350" i="1" s="1"/>
  <c r="N350" i="1"/>
  <c r="K343" i="1"/>
  <c r="L343" i="1" s="1"/>
  <c r="M343" i="1" s="1"/>
  <c r="N343" i="1"/>
  <c r="K337" i="1"/>
  <c r="L337" i="1" s="1"/>
  <c r="M337" i="1" s="1"/>
  <c r="K272" i="1"/>
  <c r="L272" i="1" s="1"/>
  <c r="M272" i="1" s="1"/>
  <c r="N272" i="1"/>
  <c r="K266" i="1"/>
  <c r="L266" i="1" s="1"/>
  <c r="M266" i="1" s="1"/>
  <c r="N266" i="1"/>
  <c r="K260" i="1"/>
  <c r="L260" i="1" s="1"/>
  <c r="M260" i="1" s="1"/>
  <c r="N260" i="1"/>
  <c r="K254" i="1"/>
  <c r="L254" i="1" s="1"/>
  <c r="M254" i="1" s="1"/>
  <c r="K205" i="1"/>
  <c r="L205" i="1" s="1"/>
  <c r="M205" i="1" s="1"/>
  <c r="K192" i="1"/>
  <c r="L192" i="1" s="1"/>
  <c r="M192" i="1" s="1"/>
  <c r="N192" i="1"/>
  <c r="K180" i="1"/>
  <c r="L180" i="1" s="1"/>
  <c r="M180" i="1" s="1"/>
  <c r="N180" i="1"/>
  <c r="K172" i="1"/>
  <c r="L172" i="1" s="1"/>
  <c r="M172" i="1" s="1"/>
  <c r="N172" i="1"/>
  <c r="K166" i="1"/>
  <c r="L166" i="1" s="1"/>
  <c r="M166" i="1" s="1"/>
  <c r="N166" i="1"/>
  <c r="K135" i="1"/>
  <c r="L135" i="1" s="1"/>
  <c r="M135" i="1" s="1"/>
  <c r="N135" i="1"/>
  <c r="K129" i="1"/>
  <c r="L129" i="1" s="1"/>
  <c r="M129" i="1" s="1"/>
  <c r="K73" i="1"/>
  <c r="L73" i="1" s="1"/>
  <c r="M73" i="1" s="1"/>
  <c r="K40" i="1"/>
  <c r="L40" i="1" s="1"/>
  <c r="M40" i="1" s="1"/>
  <c r="N40" i="1"/>
  <c r="K34" i="1"/>
  <c r="L34" i="1" s="1"/>
  <c r="M34" i="1" s="1"/>
  <c r="N34" i="1"/>
  <c r="K5" i="1"/>
  <c r="L5" i="1" s="1"/>
  <c r="M5" i="1" s="1"/>
</calcChain>
</file>

<file path=xl/sharedStrings.xml><?xml version="1.0" encoding="utf-8"?>
<sst xmlns="http://schemas.openxmlformats.org/spreadsheetml/2006/main" count="11173" uniqueCount="3283">
  <si>
    <t>ITEM</t>
  </si>
  <si>
    <t>UNIDAD</t>
  </si>
  <si>
    <t>VALOR TOTAL</t>
  </si>
  <si>
    <t>ACTIVIDADES PRELIMINARES</t>
  </si>
  <si>
    <t>DESCRIPCIÓN DE LA REPARACIÓN OBRA O MANTENIMIENTO</t>
  </si>
  <si>
    <t>EMPRESA CONTRATISTA</t>
  </si>
  <si>
    <t>DHC CONSTRUCCIONES</t>
  </si>
  <si>
    <t>DEMOLICIONES Y CANCELACIONES</t>
  </si>
  <si>
    <t>DESMONTES Y RETIROS</t>
  </si>
  <si>
    <t>Trasiego manual de escombros</t>
  </si>
  <si>
    <t>Ml</t>
  </si>
  <si>
    <t>M2</t>
  </si>
  <si>
    <t>ML</t>
  </si>
  <si>
    <t>M²</t>
  </si>
  <si>
    <t>Un</t>
  </si>
  <si>
    <t>Vj</t>
  </si>
  <si>
    <t>Bt</t>
  </si>
  <si>
    <t>SUMINISTRO Y APLICACIÓN DE PINTURAS</t>
  </si>
  <si>
    <t>REDES HIDRO SANITARIAS</t>
  </si>
  <si>
    <t>REDES ELECTRICAS</t>
  </si>
  <si>
    <t>Suministro e instalación de bala 15/20W diámetro 8cm, incluye ojo de buey dirigible de 8 cm y toda la herramienta necesaria para la instalación, elementos de soporte y fijación, limpieza y la disposición final de residuos</t>
  </si>
  <si>
    <t>Suministro e instalación de bala 35W diámetro 23cm, incluye toda la herramienta necesaria para la instalación, elementos de soporte y fijación, limpieza y la disposición final de residuos</t>
  </si>
  <si>
    <t xml:space="preserve"> Un</t>
  </si>
  <si>
    <t>CONCRETOS</t>
  </si>
  <si>
    <t>M3</t>
  </si>
  <si>
    <t>M</t>
  </si>
  <si>
    <t>IMPERMEABILIZACIÓN</t>
  </si>
  <si>
    <t>MAMPOSTERIA Y MUROS DIVISORIOS</t>
  </si>
  <si>
    <t>CARPINTERIA EN MADERA Y METAL</t>
  </si>
  <si>
    <t>CUBIERTAS Y CIELO RASOS</t>
  </si>
  <si>
    <t xml:space="preserve">PAÑETES, RESANES Y LIMPIEZAS </t>
  </si>
  <si>
    <t>BASES, PISOS Y ENCHAPES</t>
  </si>
  <si>
    <t>APARATOS Y ACCESORIOS</t>
  </si>
  <si>
    <t>Suministro e instalación de Aire mini Split de 12000 B.T.U convencional. Incluye tubería de desagüe y parte eléctrica.</t>
  </si>
  <si>
    <t xml:space="preserve">Suministro e instalación de calentador 10Lt tiro forzado gas natural. Incluye todo lo necesario para su correcta instalación </t>
  </si>
  <si>
    <t xml:space="preserve">Suministro e instalación de calentador 16Lt tiro forzado gas natural. Incluye todo lo necesario para su correcta instalación </t>
  </si>
  <si>
    <t>OTROS</t>
  </si>
  <si>
    <t>Limpieza de piscina por primera vez.</t>
  </si>
  <si>
    <t>Levantamiento de áreas, registro fotográfico, diagnóstico, presupuesto y cronograma para los casos no aprobados para su ejecución.Predios Urbanos</t>
  </si>
  <si>
    <t>Levantamiento de áreas, registro fotográfico, diagnóstico, presupuesto y cronograma para los casos no aprobados para su ejecución.Predios Rurales</t>
  </si>
  <si>
    <t>HC</t>
  </si>
  <si>
    <t>NO PREVISTOS</t>
  </si>
  <si>
    <t>BASE DATOS SAE-NORTE Después de febrero de 2021</t>
  </si>
  <si>
    <t>YB&amp;C INGENIEROS</t>
  </si>
  <si>
    <t xml:space="preserve">Promedio </t>
  </si>
  <si>
    <t xml:space="preserve">Diferencia </t>
  </si>
  <si>
    <t xml:space="preserve">Porcentaje </t>
  </si>
  <si>
    <t>1.1</t>
  </si>
  <si>
    <t>1.2</t>
  </si>
  <si>
    <t>1.3</t>
  </si>
  <si>
    <t>1.4</t>
  </si>
  <si>
    <t>1.5</t>
  </si>
  <si>
    <t>1.6</t>
  </si>
  <si>
    <t>1.7</t>
  </si>
  <si>
    <t>1.8</t>
  </si>
  <si>
    <t>1.9</t>
  </si>
  <si>
    <t>1.10</t>
  </si>
  <si>
    <t>1.11</t>
  </si>
  <si>
    <t>1.12</t>
  </si>
  <si>
    <t>2.1</t>
  </si>
  <si>
    <t>2.2</t>
  </si>
  <si>
    <t>2.3</t>
  </si>
  <si>
    <t>2.4</t>
  </si>
  <si>
    <t>2.5</t>
  </si>
  <si>
    <t>2.6</t>
  </si>
  <si>
    <t>2.7</t>
  </si>
  <si>
    <t>2.8</t>
  </si>
  <si>
    <t>2.9</t>
  </si>
  <si>
    <t>2.10</t>
  </si>
  <si>
    <t>2.11</t>
  </si>
  <si>
    <t>2.12</t>
  </si>
  <si>
    <t>2.13</t>
  </si>
  <si>
    <t>2.14</t>
  </si>
  <si>
    <t>2.15</t>
  </si>
  <si>
    <t>2.16</t>
  </si>
  <si>
    <t>2.17</t>
  </si>
  <si>
    <t>2.18</t>
  </si>
  <si>
    <t>2.19</t>
  </si>
  <si>
    <t>3.1</t>
  </si>
  <si>
    <t>3.2</t>
  </si>
  <si>
    <t>3.3</t>
  </si>
  <si>
    <t>3.4</t>
  </si>
  <si>
    <t>3.5</t>
  </si>
  <si>
    <t>3.6</t>
  </si>
  <si>
    <t>3.7</t>
  </si>
  <si>
    <t>3.8</t>
  </si>
  <si>
    <t>3.9</t>
  </si>
  <si>
    <t>3.10</t>
  </si>
  <si>
    <t>3.11</t>
  </si>
  <si>
    <t>3.12</t>
  </si>
  <si>
    <t>3.13</t>
  </si>
  <si>
    <t>3.14</t>
  </si>
  <si>
    <t>3.15</t>
  </si>
  <si>
    <t>3.16</t>
  </si>
  <si>
    <t>3.17</t>
  </si>
  <si>
    <t>3.18</t>
  </si>
  <si>
    <t>3.19</t>
  </si>
  <si>
    <t>3.20</t>
  </si>
  <si>
    <t>3.21</t>
  </si>
  <si>
    <t>3.22</t>
  </si>
  <si>
    <t>3.23</t>
  </si>
  <si>
    <t>3.24</t>
  </si>
  <si>
    <t>3.25</t>
  </si>
  <si>
    <t>3.26</t>
  </si>
  <si>
    <t>3.27</t>
  </si>
  <si>
    <t>4.1</t>
  </si>
  <si>
    <t>4.2</t>
  </si>
  <si>
    <t>4.3</t>
  </si>
  <si>
    <t>4.4</t>
  </si>
  <si>
    <t>4.5</t>
  </si>
  <si>
    <t>4.6</t>
  </si>
  <si>
    <t>4.7</t>
  </si>
  <si>
    <t>4.8</t>
  </si>
  <si>
    <t>4.9</t>
  </si>
  <si>
    <t>4.10</t>
  </si>
  <si>
    <t>4.11</t>
  </si>
  <si>
    <t>4.12</t>
  </si>
  <si>
    <t>4.13</t>
  </si>
  <si>
    <t>4.14</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</si>
  <si>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</si>
  <si>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</si>
  <si>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</si>
  <si>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</si>
  <si>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</si>
  <si>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</si>
  <si>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</si>
  <si>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</si>
  <si>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</si>
  <si>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</si>
  <si>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</si>
  <si>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</si>
  <si>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</si>
  <si>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</si>
  <si>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</si>
  <si>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</si>
  <si>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</si>
  <si>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</si>
  <si>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</si>
  <si>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</si>
  <si>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</si>
  <si>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</si>
  <si>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</si>
  <si>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</si>
  <si>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</si>
  <si>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</si>
  <si>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</si>
  <si>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</si>
  <si>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</si>
  <si>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</si>
  <si>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</si>
  <si>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</si>
  <si>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</si>
  <si>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</si>
  <si>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</si>
  <si>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</si>
  <si>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</si>
  <si>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</si>
  <si>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</si>
  <si>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</si>
  <si>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</si>
  <si>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</si>
  <si>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</si>
  <si>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</si>
  <si>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</si>
  <si>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</si>
  <si>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</si>
  <si>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</si>
  <si>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</si>
  <si>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</si>
  <si>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</si>
  <si>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</si>
  <si>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</si>
  <si>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</si>
  <si>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6.1</t>
  </si>
  <si>
    <t>6.2</t>
  </si>
  <si>
    <t>6.3</t>
  </si>
  <si>
    <t>6.4</t>
  </si>
  <si>
    <t>6.5</t>
  </si>
  <si>
    <t>6.6</t>
  </si>
  <si>
    <t>6.7</t>
  </si>
  <si>
    <t>6.8</t>
  </si>
  <si>
    <t>6.9</t>
  </si>
  <si>
    <t>6.10</t>
  </si>
  <si>
    <t>6.11</t>
  </si>
  <si>
    <t>6.12</t>
  </si>
  <si>
    <t>6.13</t>
  </si>
  <si>
    <t>6.14</t>
  </si>
  <si>
    <t>6.15</t>
  </si>
  <si>
    <t>6.16</t>
  </si>
  <si>
    <t>6.17</t>
  </si>
  <si>
    <t>6.18</t>
  </si>
  <si>
    <t>6.19</t>
  </si>
  <si>
    <t>6.20</t>
  </si>
  <si>
    <t>6.21</t>
  </si>
  <si>
    <t>6.22</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</si>
  <si>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</si>
  <si>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</si>
  <si>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</si>
  <si>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</si>
  <si>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</si>
  <si>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</si>
  <si>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</si>
  <si>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</si>
  <si>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</si>
  <si>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</si>
  <si>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</si>
  <si>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</si>
  <si>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</si>
  <si>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</si>
  <si>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</si>
  <si>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</si>
  <si>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</si>
  <si>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</si>
  <si>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</si>
  <si>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</si>
  <si>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</si>
  <si>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</si>
  <si>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</si>
  <si>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</si>
  <si>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</si>
  <si>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</si>
  <si>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</si>
  <si>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8.1</t>
  </si>
  <si>
    <t>8.2</t>
  </si>
  <si>
    <t>8.3</t>
  </si>
  <si>
    <t>8.4</t>
  </si>
  <si>
    <t>9.1</t>
  </si>
  <si>
    <t>9.2</t>
  </si>
  <si>
    <t>9.3</t>
  </si>
  <si>
    <t>9.4</t>
  </si>
  <si>
    <t>9.5</t>
  </si>
  <si>
    <t>9.6</t>
  </si>
  <si>
    <t>9.7</t>
  </si>
  <si>
    <t>9.8</t>
  </si>
  <si>
    <t>9.9</t>
  </si>
  <si>
    <t>9.10</t>
  </si>
  <si>
    <t>9.11</t>
  </si>
  <si>
    <t>9.12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</si>
  <si>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</si>
  <si>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</si>
  <si>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</si>
  <si>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</si>
  <si>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</si>
  <si>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</si>
  <si>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</si>
  <si>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</si>
  <si>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</si>
  <si>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</si>
  <si>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</si>
  <si>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</si>
  <si>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</si>
  <si>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</si>
  <si>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</si>
  <si>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</si>
  <si>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</si>
  <si>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</si>
  <si>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</si>
  <si>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</si>
  <si>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</si>
  <si>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</si>
  <si>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</si>
  <si>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</si>
  <si>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</si>
  <si>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</si>
  <si>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</si>
  <si>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</si>
  <si>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</si>
  <si>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11.1</t>
  </si>
  <si>
    <t>11.2</t>
  </si>
  <si>
    <t>11.3</t>
  </si>
  <si>
    <t>11.4</t>
  </si>
  <si>
    <t>11.5</t>
  </si>
  <si>
    <t>11.6</t>
  </si>
  <si>
    <t>11.7</t>
  </si>
  <si>
    <t>11.8</t>
  </si>
  <si>
    <t>11.9</t>
  </si>
  <si>
    <t>11.10</t>
  </si>
  <si>
    <t>11.11</t>
  </si>
  <si>
    <t>11.12</t>
  </si>
  <si>
    <t>11.13</t>
  </si>
  <si>
    <t>11.14</t>
  </si>
  <si>
    <t>11.15</t>
  </si>
  <si>
    <t>11.16</t>
  </si>
  <si>
    <t>11.17</t>
  </si>
  <si>
    <t>11.18</t>
  </si>
  <si>
    <t>12.1</t>
  </si>
  <si>
    <t>12.2</t>
  </si>
  <si>
    <t>12.3</t>
  </si>
  <si>
    <t>12.4</t>
  </si>
  <si>
    <t>12.5</t>
  </si>
  <si>
    <t>12.6</t>
  </si>
  <si>
    <t>12.7</t>
  </si>
  <si>
    <t>12.8</t>
  </si>
  <si>
    <t>12.9</t>
  </si>
  <si>
    <t>12.10</t>
  </si>
  <si>
    <t>12.11</t>
  </si>
  <si>
    <t>12.12</t>
  </si>
  <si>
    <t>12.13</t>
  </si>
  <si>
    <t>12.14</t>
  </si>
  <si>
    <t>12.15</t>
  </si>
  <si>
    <t>12.16</t>
  </si>
  <si>
    <t>12.17</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</si>
  <si>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</si>
  <si>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</si>
  <si>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</si>
  <si>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</si>
  <si>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</si>
  <si>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</si>
  <si>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</si>
  <si>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</si>
  <si>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</si>
  <si>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</si>
  <si>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</si>
  <si>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</si>
  <si>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</si>
  <si>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</si>
  <si>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</si>
  <si>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</si>
  <si>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</si>
  <si>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</si>
  <si>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</si>
  <si>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</si>
  <si>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</si>
  <si>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</si>
  <si>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</si>
  <si>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</si>
  <si>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</si>
  <si>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</si>
  <si>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</si>
  <si>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</si>
  <si>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</si>
  <si>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</si>
  <si>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</si>
  <si>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</si>
  <si>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</si>
  <si>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</si>
  <si>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</si>
  <si>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</si>
  <si>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</si>
  <si>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</si>
  <si>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</si>
  <si>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</si>
  <si>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</si>
  <si>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</si>
  <si>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</si>
  <si>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</si>
  <si>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</si>
  <si>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</si>
  <si>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</si>
  <si>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</si>
  <si>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</si>
  <si>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</si>
  <si>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</si>
  <si>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</si>
  <si>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</si>
  <si>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</si>
  <si>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</si>
  <si>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</si>
  <si>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</si>
  <si>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15.1</t>
  </si>
  <si>
    <t>15.2</t>
  </si>
  <si>
    <t>15.3</t>
  </si>
  <si>
    <t>15.4</t>
  </si>
  <si>
    <t>15.5</t>
  </si>
  <si>
    <t>15.6</t>
  </si>
  <si>
    <t>15.7</t>
  </si>
  <si>
    <t>15.8</t>
  </si>
  <si>
    <t>15.9</t>
  </si>
  <si>
    <t>15.10</t>
  </si>
  <si>
    <t>15.11</t>
  </si>
  <si>
    <t>15.12</t>
  </si>
  <si>
    <t>15.13</t>
  </si>
  <si>
    <t>15.14</t>
  </si>
  <si>
    <t>15.15</t>
  </si>
  <si>
    <t>15.16</t>
  </si>
  <si>
    <t>15.17</t>
  </si>
  <si>
    <t>15.18</t>
  </si>
  <si>
    <t>15.19</t>
  </si>
  <si>
    <t>Etiquetas de fila</t>
  </si>
  <si>
    <t>Total general</t>
  </si>
  <si>
    <t>CAPITULO</t>
  </si>
  <si>
    <t xml:space="preserve">Promedio de Porcentaje </t>
  </si>
  <si>
    <t>(Todas)</t>
  </si>
  <si>
    <t>Suma de VALOR TOTAL</t>
  </si>
  <si>
    <t>Suma de VALOR TOTAL2</t>
  </si>
  <si>
    <t>Suma de VALOR TOTAL4</t>
  </si>
  <si>
    <t>PRECIO SUGERIDO</t>
  </si>
  <si>
    <t xml:space="preserve">                   ANALISIS DE INGENIERÍA BÁSICA Y PREFACTIBILIDAD </t>
  </si>
  <si>
    <t xml:space="preserve">Suministro e instalación de cerramiento provisional con poli sombra H=2m. Incluye el retiro, limpieza y la disposición final de residuos. </t>
  </si>
  <si>
    <t xml:space="preserve">Suministro e instalación de cerramiento provisional con tela verde H=2m incluye el retiro, limpieza y la disposición final de residuos. </t>
  </si>
  <si>
    <t xml:space="preserve">Suministro e instalación de cerca lámina con base h =2.25m. Incluye el retiro, limpieza y la disposición final de residuos. </t>
  </si>
  <si>
    <t xml:space="preserve">Suministro e instalación de cerca tabla. Incluye el retiro, limpieza y la disposición final de residuos. </t>
  </si>
  <si>
    <t xml:space="preserve">Suministro e instalación de cerca en alambre de púas H1.60m- 3hilos. Incluye el retiro, limpieza y la disposición final de residuos. </t>
  </si>
  <si>
    <t>Relleno en recebo común compactado</t>
  </si>
  <si>
    <t>Cerramiento puerta de madera de 1 m ancho x 2 m de altura con listones</t>
  </si>
  <si>
    <t xml:space="preserve">Demolición de dintel en drywall altura entre 0.15 a 0.25m. Incluye el retiro, limpieza y la disposición final de residuos. </t>
  </si>
  <si>
    <t xml:space="preserve">Demolición de dintel en concreto y mampostería entre e= 0.15 a 0.25m y altura entre 0.15 a 0.25m. Incluye el retiro, limpieza y la disposición final de residuos. </t>
  </si>
  <si>
    <t xml:space="preserve">Demolición cualquier tipo de muros entre e= 0.10 a 0.15m. Incluye el retiro, limpieza y la disposición final de residuos. </t>
  </si>
  <si>
    <t>Demolición de vigas y columnas con martillo eléctrico incluye toda herramienta necesaria, el retiro, limpieza y la disposición final de residuos</t>
  </si>
  <si>
    <t xml:space="preserve">Demolición de poyo de baño/cocina entre e= 0.10 a 0.15m. Incluye el retiro, limpieza y la disposición final de residuos. </t>
  </si>
  <si>
    <t xml:space="preserve">Demolición cualquier tipo de muros entre e= 0.15 a 0.25m. Incluye el retiro, limpieza y la disposición final de residuos. </t>
  </si>
  <si>
    <t xml:space="preserve">Demolición mortero de nivelación entre e=0.03 a0.10m-. Incluye el retiro, limpieza y la disposición final de residuos. </t>
  </si>
  <si>
    <t xml:space="preserve">Demolición de enchapes en muros y pisos de baños, cocinas, cuartos en general y patios. Incluye el retiro, limpieza y la disposición final de residuos. </t>
  </si>
  <si>
    <t xml:space="preserve">Demolición de pisos en granito. Incluye mediacaña, guardaescobas, el retiro y retiro, limpieza y la disposición final de residuos. </t>
  </si>
  <si>
    <t xml:space="preserve">Demolición de pisos en piedra. Incluye mediacaña, guardaescobas, el retiro y retiro, limpieza y la disposición final de residuos. </t>
  </si>
  <si>
    <t xml:space="preserve">Demolición de pisos en madera. Incluye mediacaña, guardas, el retiro y retiro, limpieza y la disposición final de residuos. </t>
  </si>
  <si>
    <t xml:space="preserve">Demolición de pocetas y mesones en concreto, mármol, granito y otros materiales. Incluye el retiro, limpieza y la disposición final de residuos. </t>
  </si>
  <si>
    <t xml:space="preserve">Demolición Placas aligeradas hasta e=0.25. Incluye el retiro, limpieza y la disposición final de residuos. </t>
  </si>
  <si>
    <t xml:space="preserve">Demolición placas macizas e= 0.15m a. Incluye el retiro, limpieza y la disposición final de residuos. </t>
  </si>
  <si>
    <t xml:space="preserve">Demolición placas macizas entre e=0.30m. Incluye el retiro, limpieza y la disposición final de residuos. </t>
  </si>
  <si>
    <t xml:space="preserve">Cancelación de punto hidráulico o sanitario. Incluye el retiro, limpieza y la disposición final de residuos. </t>
  </si>
  <si>
    <t xml:space="preserve">Cancelación de salida eléctrica. Incluye el retiro, limpieza y la disposición final de residuos. </t>
  </si>
  <si>
    <t xml:space="preserve">Demolición de guardaescoba existente en cerámica, mortero o granito, incluye retiro </t>
  </si>
  <si>
    <t>Demolición de muros en drywall y madera, incluye retiro</t>
  </si>
  <si>
    <t xml:space="preserve">Desmonte y reinstalación de divisiones existentes de ducha para baño. Incluye el retiro, limpieza y la disposición final de residuos. </t>
  </si>
  <si>
    <t xml:space="preserve">Desmonte de todo tipo de divisiones existentes de ducha para baño. Incluye el retiro, limpieza y la disposición final de residuos. </t>
  </si>
  <si>
    <t xml:space="preserve">Desmonte de aparato sanitario existente. Incluye el retiro, limpieza y la disposición final de residuos. </t>
  </si>
  <si>
    <t xml:space="preserve">Desmonte de todo tipo de lavamanos.  Incluye el retiro, limpieza y la disposición final de residuos. </t>
  </si>
  <si>
    <t xml:space="preserve">Desmonte de marcos y puertas existentes de madera o metálicas. Incluye el retiro, limpieza y la disposición final de residuos. </t>
  </si>
  <si>
    <t xml:space="preserve">Desmonte de puerta divisoria plegable en madera. Incluye el retiro, limpieza y la disposición final de residuos. </t>
  </si>
  <si>
    <t xml:space="preserve">Desmonte de todo tipo de cubierta. Incluye el retiro, limpieza y la disposición final de residuos. </t>
  </si>
  <si>
    <t xml:space="preserve">Desmonte de mezanine en madera y su estructura, incluye el retiro, limpieza y la disposición final de residuos. </t>
  </si>
  <si>
    <t xml:space="preserve">Desmonte de Tina y/o Jacuzi. Incluye el retiro, limpieza y la disposición final de residuos. </t>
  </si>
  <si>
    <t xml:space="preserve">Desmonte de reja existente. Incluye el retiro, limpieza y la disposición final de residuos. </t>
  </si>
  <si>
    <t xml:space="preserve">Desmonte de ventana existente. Incluye el retiro, limpieza y la disposición final de residuos. </t>
  </si>
  <si>
    <t xml:space="preserve">Desmonte y reinstalación de lampara existente. Incluye el retiro, limpieza y la disposición final de residuos. </t>
  </si>
  <si>
    <t>Desmonte de lampara existente. Incluye el retiro lampara, cableado, tubería sobre techo y cajas, limpieza y la disposición final de residuos.</t>
  </si>
  <si>
    <t xml:space="preserve">Desmonte de cielo raso existente. Incluye el retiro, limpieza y la disposición final de residuos. </t>
  </si>
  <si>
    <t xml:space="preserve">Desmonte y reinstalación de cielo raso existente. Incluye el retiro, limpieza y la disposición final de residuos. </t>
  </si>
  <si>
    <t xml:space="preserve">Desmonte de vidrio existente o espejo. Incluye el retiro, limpieza y la disposición final de residuos. </t>
  </si>
  <si>
    <t xml:space="preserve">Desmonte de alfajía metálica existente. Incluye el retiro, limpieza y la disposición final de residuos. </t>
  </si>
  <si>
    <t xml:space="preserve">Desmonte de manto existente. Incluye el retiro, limpieza y la disposición final de residuos. </t>
  </si>
  <si>
    <t xml:space="preserve">Desmonte de tablero general existente. Incluye marcación de cableado existente, tramite ante la entidad competente, retiro, limpieza y la disposición final de residuos. </t>
  </si>
  <si>
    <t xml:space="preserve">Desmonte de mueble bajo, mueble alto, áreas de almacenamiento. Incluye el retiro, limpieza y la disposición final de residuos. </t>
  </si>
  <si>
    <t xml:space="preserve">Desmonte de interruptor o toma corriente. Incluye el retiro, limpieza y la disposición final de residuos. </t>
  </si>
  <si>
    <t xml:space="preserve">Desmonte y reinstalación de soporte para extintor. Incluye el retiro, limpieza y la disposición final de residuos. </t>
  </si>
  <si>
    <t>Desmonte de salida eléctrica. Incluye el retiro lampara, cableado, tubería y cajas, limpieza y la disposición final de residuos.</t>
  </si>
  <si>
    <t xml:space="preserve">Desmonte de alfombra o tapete existente. Incluye el retiro, limpieza y la disposición final de residuos. </t>
  </si>
  <si>
    <t>Retiro material sobrante y disposición final de residuos con su respectivo permiso</t>
  </si>
  <si>
    <t>Desmonte de grifería lavaplatos o lavamanos</t>
  </si>
  <si>
    <t>Desmonte y arreglo de rodachines para puerta ventanas</t>
  </si>
  <si>
    <t>Desmonte de tubería sanitaria de 3"-4”, incluye retiro, limpieza y la disposición final de residuos</t>
  </si>
  <si>
    <t xml:space="preserve">Desmonte de tanques, incluye el retiro, limpieza y la disposición final de residuos. </t>
  </si>
  <si>
    <t>Excavación manual de material común y relleno material de sitio</t>
  </si>
  <si>
    <t>DESMONTE E INSTALACIÓN DE MARQUESINA EN VIDRIO DE 4MM</t>
  </si>
  <si>
    <t xml:space="preserve">Suministro y aplicación de pintura de esmalte para rejas, todas las caras. Incluye raspado, lijada, resane, anticorrosivo, pintura de aceite, cambio de silicona y todos los materiales necesarios para su correcta aplicación, el retiro, limpieza y la disposición final de residuos. </t>
  </si>
  <si>
    <t xml:space="preserve">Suministro y aplicación de pintura sobre lámina, todas las caras. Incluye raspado, lijada, resane, anticorrosivo, pintura de aceite, cambio de silicona todos los materiales necesarios para su correcta aplicación, el retiro, limpieza y la disposición final de residuos. </t>
  </si>
  <si>
    <t>Suministro y aplicación de pintura sobre lamina llena, todas las caras. Incluye raspado, lijada, resane, anticorrosivo, pintura de aceite, cambio de silicona y todos los materiales necesarios para su correcta aplicación, el retiro, limpieza y la disposición final de residuos.</t>
  </si>
  <si>
    <t xml:space="preserve">Suministro y aplicación de pintura vinilo Tipo I del color solicitado, tres manos para muros. Incluye raspado, lijado, resane y todos los materiales necesarios para su correcta aplicación, el retiro, limpieza y la disposición final de residuos. </t>
  </si>
  <si>
    <t xml:space="preserve">Suministro y aplicación de pintura vinilo tipo I del color solicitado, tres manos bajo placas. Incluye raspado, lijado, resane y todos los materiales necesarios para su correcta aplicación, el retiro, limpieza y la disposición final de residuos. </t>
  </si>
  <si>
    <t>Suministro y aplicación de pintura koraza para exteriores, dos manos para techos. Incluye hidro lavado todos los materiales necesarios para su correcta aplicación, el retiro, limpieza y la disposición final de residuos.</t>
  </si>
  <si>
    <t>Suministro y aplicación de pintura koraza para exteriores, dos manos para muros. Incluye hidro lavado todos los materiales necesarios para su correcta aplicación, el retiro, limpieza y la disposición final de residuos.</t>
  </si>
  <si>
    <t>Suministro y aplicación de pintura acrílica, dos manos para baños, cocinas y cafeterías. Incluye todos los materiales necesarios para su correcta aplicación, el retiro, limpieza y la disposición final de residuos.</t>
  </si>
  <si>
    <t>Suministro y aplicación de pintura antihumedad fachada dos capas. Incluye andamio certificado, herramienta menos, aplicación con Sika transparente 10 o similar y todo lo necesario para su aplicación, retiro, limpieza y la disposición final de residuos</t>
  </si>
  <si>
    <t>Suministro y aplicación de pintura para tráfico, anchos menores a 60 cm. Incluye todos los materiales necesarios para su correcta aplicación, el retiro, limpieza y la disposición final de residuos.</t>
  </si>
  <si>
    <t>Suministro y aplicación de pintura poliuretano para tráfico, dos manos para pisos en parqueaderos y accesos. Incluye todos los materiales necesarios para su correcta aplicación, el retiro, limpieza y la disposición final de residuos.</t>
  </si>
  <si>
    <t>Pintura graniplast para exteriores o impermeabilizante.</t>
  </si>
  <si>
    <t>Pintura antigraffiti para fachada dos manos</t>
  </si>
  <si>
    <t xml:space="preserve">Mantenimiento preventivo de bajantes, limpieza, destape. Incluye limpieza y la disposición final de residuos. </t>
  </si>
  <si>
    <t>Arreglo de punto sanitario de 1/2" a 4". Incluye accesorios, limpieza y la disposición final de residuos.</t>
  </si>
  <si>
    <t>Suministro y construcción de red CPVC de 1/2". Incluye accesorios, limpieza y la disposición final de residuos.</t>
  </si>
  <si>
    <t>Suministro y construcción de red CPVC de 3/4". Incluye accesorios, limpieza y la disposición final de residuos.</t>
  </si>
  <si>
    <t>Suministro y construcción de red CPVC de 1". Incluye accesorios, limpieza y la disposición final de residuos.</t>
  </si>
  <si>
    <t>Suministro y construcción de red PVCP de 1/2". Incluye accesorios, limpieza y la disposición final de residuos.</t>
  </si>
  <si>
    <t>Suministro y construcción de red PVCP de 3/4". Incluye accesorios, limpieza y la disposición final de residuos.</t>
  </si>
  <si>
    <t>Suministro y construcción de red PVCP de 1". Incluye accesorios, limpieza y la disposición final de residuos.</t>
  </si>
  <si>
    <t>Suministro y construcción de punto hidro sanitario de 1/2". Incluye accesorios, limpieza y la disposición final de residuos.</t>
  </si>
  <si>
    <t>Suministro e instalación de punto para lavadero o lavadora de 1/2". Incluye accesorios, limpieza y la disposición final de residuos.</t>
  </si>
  <si>
    <t>Suministro e instalación de punto para lavamanos o lavaplatos de 1/2". Incluye accesorios, limpieza y la disposición final de residuos.</t>
  </si>
  <si>
    <t>Suministro e instalación de registro 1/2". Incluye accesorios, limpieza y la disposición final de residuos.</t>
  </si>
  <si>
    <t>Suministro y construcción de punto hidráulico PVCP 1". Incluye accesorios, limpieza y la disposición final de residuos.</t>
  </si>
  <si>
    <t>Suministro e instalación de llave manguera. Incluye accesorios, limpieza y la disposición final de residuos.</t>
  </si>
  <si>
    <t>Suministro e instalación de punto sanitario PVCS 4". Incluye accesorios, limpieza y la disposición final de residuos.</t>
  </si>
  <si>
    <t>Suministro e instalación de red de desagüe PVCS 4". Incluye accesorios, limpieza y la disposición final de residuos.</t>
  </si>
  <si>
    <t>Suministro e instalación de bajante de agua negras PVC 4". Incluye accesorios, limpieza y la disposición final de residuos.</t>
  </si>
  <si>
    <t>Suministro e instalación de rejilla con sosco de 3X2. Incluye accesorios, limpieza y la disposición final de residuos.</t>
  </si>
  <si>
    <t>Suministro e instalación de rejilla 3X2 anti cucarachas. Incluye accesorios, limpieza y la disposición final de residuos.</t>
  </si>
  <si>
    <t>Suministro e instalación de tapa registro de 20X20. Incluye accesorios, limpieza y la disposición final de residuos.</t>
  </si>
  <si>
    <t>Mantenimiento preventivo y/o correctivo de caja de aguas lluvias. Incluye accesorios, limpieza y la disposición final de residuos.</t>
  </si>
  <si>
    <t>Suministro e instalación de salida sanitaria PVCS de 2". Incluye accesorios, limpieza y la disposición final de residuos.</t>
  </si>
  <si>
    <t>Suministro e instalación de salida sanitaria PVCS 2". Incluye accesorios, limpieza y la disposición final de residuos.</t>
  </si>
  <si>
    <t>Suministro e instalación de red de desagüe PVCS 2". Incluye accesorios, limpieza y la disposición final de residuos.</t>
  </si>
  <si>
    <t>Suministro y construcción de marco tapa para caja de inspección de 80x80. Incluye accesorios, limpieza y la disposición final de residuos.</t>
  </si>
  <si>
    <t>Suministro e instalación de red PVCP RD 21 2.  Incluye accesorios, limpieza y la disposición final de residuos.</t>
  </si>
  <si>
    <t>Suministro e instalación de red de re-ventilación PVC 2". Incluye accesorios, limpieza y la disposición final de residuos.</t>
  </si>
  <si>
    <t>Suministro e instalación de red de desagüe PVCS 3". Incluye accesorios, limpieza y la disposición final de residuos.</t>
  </si>
  <si>
    <t>Suministro e instalación de salida sanitaria PVCS 3". Incluye accesorios, limpieza y la disposición final de residuos.</t>
  </si>
  <si>
    <t>Suministro e instalación de red de re-ventilación PVC 3". Incluye accesorios, limpieza y la disposición final de residuos.</t>
  </si>
  <si>
    <t>Suministro e instalación de acometida en PVC 1/2 5 M. Incluye accesorios, limpieza y la disposición final de residuos.</t>
  </si>
  <si>
    <t>Mantenimiento de punto sanitario de 6". Incluye accesorios, limpieza y la disposición final de residuos.</t>
  </si>
  <si>
    <t>Mantenimiento de punto de aguas lluvias. Incluye accesorios, limpieza y la disposición final de residuos.</t>
  </si>
  <si>
    <t>Suministro e instalación de tanque plástico de 250 litros. Incluye accesorios, limpieza y la disposición final de residuos.</t>
  </si>
  <si>
    <t>Suministro e instalación de tanque plástico de 500 litros. Incluye accesorios, limpieza y la disposición final de residuos.</t>
  </si>
  <si>
    <t>Suministro e instalación de caja de inspección 60cm x60cm incluye accesorios y todo lo necesario para su correcta instalación, limpieza y la disposición final de residuos.</t>
  </si>
  <si>
    <t>Suministro e instalación de caja de inspección 80cm x80cm incluye accesorios y todo lo necesario para su correcta instalación, limpieza y la disposición final de residuos.</t>
  </si>
  <si>
    <t>Suministro e instalación de caja de inspección drenaje 60cm x60cm incluye accesorios y todo lo necesario para su correcta instalación, limpieza y la disposición final de residuos.</t>
  </si>
  <si>
    <t>Suministro e instalación de caja de inspección drenaje 80cm x80cm incluye accesorios y todo lo necesario para su correcta instalación, limpieza y la disposición final de residuos.</t>
  </si>
  <si>
    <t>Sondeo y limpieza punto de sifones de 2" a 4". Con sonda electrica</t>
  </si>
  <si>
    <t>Suministro e instalación de salida sanitaria ducha 2". Incluye accesorios y todo lo necesario para la instalación, limpieza y la disposición final de residuos.</t>
  </si>
  <si>
    <t>Suministro e instalación de salida sanitaria inodoro 4". Incluye accesorios y todo lo necesario para la instalación, limpieza y la disposición final de residuos.</t>
  </si>
  <si>
    <t>Suministro e instalación de salida sanitaria lavadero 2". Incluye accesorios y todo lo necesario para la instalación, limpieza y la disposición final de residuos.</t>
  </si>
  <si>
    <t>Suministro e instalación de salida sanitaria lavadora 2". Incluye accesorios y todo lo necesario para la instalación, limpieza y la disposición final de residuos.</t>
  </si>
  <si>
    <t>Suministro e instalación de salida sanitaria Lavaplatos 2". Incluye accesorios y todo lo necesario para la instalación, limpieza y la disposición final de residuos.</t>
  </si>
  <si>
    <t>Suministro e instalación de salida sanitaria Lavamanos 2". Incluye accesorios y todo lo necesario para la instalación, limpieza y la disposición final de residuos.</t>
  </si>
  <si>
    <t>Suministro e instalación de válvula de registro 1". Incluye accesorios y todo lo necesario para la instalación, limpieza y la disposición final de residuos</t>
  </si>
  <si>
    <t xml:space="preserve">Manguera tele ducha 1.5 m en PVC y metal plata 1/2" anti-torsión </t>
  </si>
  <si>
    <t>Suministro e instalación de sistema ahorrador Grival o similar para sanitarios incluye desmonte de sistema existente</t>
  </si>
  <si>
    <t>Suministro e instalación de grifería para lavamanos.incluye todos los accesorios y todo lo necesario para su correcta instalacion</t>
  </si>
  <si>
    <t>Suministro e instalación de grifería mono control para lavaplatos gama media incluye ACOFLEX</t>
  </si>
  <si>
    <t>SUMINISTRO E INSTALACIÓN DE ACOFLEX CON REGISTRO</t>
  </si>
  <si>
    <t>SUMINISTRO E INSTALACIÓN DE CHEQUE DE 3/4''</t>
  </si>
  <si>
    <t>SUMINISTRO E INSTALACIÓN DE VÁLVULA DE BOLA DE 3/4"</t>
  </si>
  <si>
    <t xml:space="preserve">REPARACION DE PUNTO HIDRAULICO DE COBRE, INCLUYE SOLDADURA DE ESTAÑO Y ACCESORIOS </t>
  </si>
  <si>
    <t xml:space="preserve">Filtro francés incluye de 40x60, incluye grava geotextil no tejido y tubería de 4" perforado </t>
  </si>
  <si>
    <t>REDES ELÉCTRICAS</t>
  </si>
  <si>
    <t>Construcción de salida para tomacorriente doble en muro, con polo a tierra. Incluye accesorios (ductería, toma, tapa, cinta, conectores, cubierta transparente), limpieza y la disposición final de residuos.</t>
  </si>
  <si>
    <t>Construcción de salida para tomacorriente trifásica en muro EMT, con polo a tierra. Incluye accesorios (ductería, toma, tapa, cinta, conectores, cubierta transparente), limpieza y la disposición final de residuos.</t>
  </si>
  <si>
    <t>Construcción de salida de iluminación en techo. Incluye caja, accesorios, ducteria PVC de 3/4", cableado en tres hilos calibre 12 (fase, neutro y tierra) de 6 metros lineales por salida, con interruptor sencillo, roseta, doble y triple, elementos de soporte y fijación), limpieza y la disposición final de residuos.</t>
  </si>
  <si>
    <t>Construcción de salida eléctrica para greca. Incluye cableado de cobre aislado 10 AWG THHN tres líneas (fase, neutro y tierra) de 6 metros lineales, toma especial de 120V 20A, ducteria PVC de 3/4" y accesorios, caja, elementos de soporte y fijación, limpieza y la disposición final de residuos.</t>
  </si>
  <si>
    <t>Construcción de salida cantonera. Incluye ducteria PVC, cable, accesorios, caja, elementos de soporte y fijación, limpieza y la disposición final de residuos.</t>
  </si>
  <si>
    <t>Construcción de salida alarma. Incluye ducteria PVC, cable, accesorios, caja, elementos de soporte y fijación, limpieza y la disposición final de residuos.</t>
  </si>
  <si>
    <t>Suministro e instalación de ducto para cámara TV. Incluye ducteria PVC de 1/2", cable, accesorios, elementos de soporte y fijación, limpieza y la disposición final de residuos.</t>
  </si>
  <si>
    <t>Construcción de salida eléctrica en caja metálica de 12X12. Incluye toma corriente trifásica, clavija trifásica, cableado encauchetado de tres metros lineales por salida, accesorios, elementos de soporte y fijación, limpieza y la disposición final de residuos.</t>
  </si>
  <si>
    <t>Construcción de salida toma corriente GFCI. Incluye tubería PVC, cable, accesorios, caja, toma doble, elementos de soporte y fijación, limpieza y la disposición final de residuos.</t>
  </si>
  <si>
    <t xml:space="preserve">Reinstalación de luminarias y lámparas existentes. Incluye, cable, accesorios, elementos de soporte y fijación, limpieza y la disposición final de residuos. </t>
  </si>
  <si>
    <t>Suministro e instalación de luminaria LED de 18 W redonda. Incluye, cable, accesorios, elementos de soporte y fijación, limpieza y la disposición final de residuos.</t>
  </si>
  <si>
    <t>Suministro e instalación de sensor de movimiento. Incluye, cable, accesorios, elementos de soporte y fijación, limpieza y la disposición final de residuos.</t>
  </si>
  <si>
    <t>Suministro e instalación de tablero eléctrico monofásico de 4 circuitos. Incluye, ducteria, cable, accesorios, elementos de soporte y fijación, limpieza y la disposición final de residuos.</t>
  </si>
  <si>
    <t>Suministro e instalación de breaker termomagnético industrial de 3 X 60A, 10 KA. Incluye, ducteria, cable, accesorios, elementos de soporte y fijación, limpieza y la disposición final de residuos.</t>
  </si>
  <si>
    <t>Suministro e instalación de breaker termomagnético industrial de 3 X 70A, 10 KA. Incluye, ducteria, cable, accesorios, elementos de soporte y fijación, limpieza y la disposición final de residuos.</t>
  </si>
  <si>
    <t>Suministro e instalación de tablero trifásico. C/LLAVE, ESP. TOTAL, 18 CTOS. Incluye, ducteria, cable, accesorios, elementos de soporte y fijación, limpieza y la disposición final de residuos.</t>
  </si>
  <si>
    <t>Suministro e instalación de salida para motor puerta. Incluye, ducteria, cable, accesorios, elementos de soporte y fijación, limpieza y la disposición final de residuos.</t>
  </si>
  <si>
    <t>Suministro e instalación de timbre sonoro eléctrico</t>
  </si>
  <si>
    <t>Panel led 600x600mm 45w luz blanca marca Silvania o similar, incluye cable encauchetado y clavija</t>
  </si>
  <si>
    <t>Revisióny reparacion eléctrica incluye transporte del ingeniero eléctrico y cambios menores ( clableado,interuptores,toma corrientes,entre otro</t>
  </si>
  <si>
    <t>Construcción de elementos en concreto grava común de 1500 psi. Incluye todos los materiales y herramientas necesarias para su correcta construcción, el retiro, limpieza y la disposición final de residuos.</t>
  </si>
  <si>
    <t>Construcción de elementos en concreto grava común de 2000 psi. Incluye todos los materiales y herramientas necesarias para su correcta construcción, el retiro, limpieza y la disposición final de residuos.</t>
  </si>
  <si>
    <t>Construcción de elementos en concreto grava común de 2500 psi. Incluye todos los materiales y herramientas necesarias para su correcta construcción, el retiro, limpieza y la disposición final de residuos.</t>
  </si>
  <si>
    <t>Construcción de elementos en concreto grava común. De 3000 psi. Incluye todos los materiales y herramientas necesarias para su correcta construcción, el retiro, limpieza y la disposición final de residuos.</t>
  </si>
  <si>
    <t>Construcción de elementos en concreto grava común. De 3500 psi. Incluye todos los materiales y herramientas necesarias para su correcta construcción, el retiro, limpieza y la disposición final de residuos.</t>
  </si>
  <si>
    <t>Construcción de elementos en concreto grava fina de 2000 psi. Incluye todos los materiales y herramientas necesarias para su correcta construcción, el retiro, limpieza y la disposición final de residuos.</t>
  </si>
  <si>
    <t>Construcción de elementos en concreto grava fina de 3000 psi. Incluye todos los materiales y herramientas necesarias para su correcta construcción, el retiro, limpieza y la disposición final de residuos.</t>
  </si>
  <si>
    <t>Reparación de juntas, grietas y fisuras en placas de concreto. Incluye todos los materiales necesarios para su correcta reparación, el retiro, limpieza y la disposición final de residuos.</t>
  </si>
  <si>
    <t>Construcción de dintel en concreto de 15 X 20 cm. Incluye todos los materiales necesarios para su correcta construcción, el retiro, limpieza y la disposición final de residuos.</t>
  </si>
  <si>
    <t>Construcción de canal perimetral en concreto de 3500 psi e= 0,08 a 0,12 m. Incluye todos los materiales necesarios para su correcta construcción, el retiro, limpieza y la disposición final de residuos.</t>
  </si>
  <si>
    <t>Construcción de piso en concreto industrial liviano e= 10 cm. Incluye todos los materiales necesarios para su correcta construcción, el retiro, limpieza y la disposición final de residuos.</t>
  </si>
  <si>
    <t>Construcción de rejillas para piso e= 30 cm, con media caña en concreto de 3000 psi. Incluye todos los materiales necesarios para su correcta construcción, el retiro, limpieza y la disposición final de residuos.</t>
  </si>
  <si>
    <t xml:space="preserve">Construcción de placa aligerada casetón de icopor recuperable incluye alambre, acero figurado, casetón, malla electrosoldada, todo lo necesario para su correcta construcción, el retiro, limpieza y la disposición final de residuos. </t>
  </si>
  <si>
    <t xml:space="preserve">Construcción de placa aligerada casetón de guadua. Incluye alambre, acero figurado, casetón, malla electrosoldada, todo lo necesario para su correcta construcción, el retiro, limpieza y la disposición final de residuos. </t>
  </si>
  <si>
    <t xml:space="preserve">Construcción de placa en concreto 10 cm sobre lámina metaldeck 2". Incluye alambre, acero figurado, tabla chapa, metaldeck 2"x9.4 cal 20, todo lo necesario para su correcta construcción, el retiro, limpieza y la disposición final de residuos. </t>
  </si>
  <si>
    <t xml:space="preserve">Construcción de placa en concreto 13 cm sobre lámina metaldeck 3". Incluye alambre, acero figurado, tabla chapa, metaldeck 3"x8.7 cal 20, todo lo necesario para su correcta construcción, el retiro, limpieza y la disposición final de residuos. </t>
  </si>
  <si>
    <t xml:space="preserve">Construcción de placa en concreto 15 cm sobre lámina metaldeck 2". Incluye alambre, acero figurado, tabla chapa, metaldeck 2"x9.4 cal 20, todo lo necesario para su correcta construcción, el retiro, limpieza y la disposición final de residuos. </t>
  </si>
  <si>
    <t xml:space="preserve">Construcción de placa en concreto 15 cm sobre lámina metaldeck 3". Incluye alambre, acero figurado, tabla chapa, metaldeck 3"x8.7 cal 20, todo lo necesario para su correcta construcción, el retiro, limpieza y la disposición final de residuos. </t>
  </si>
  <si>
    <t xml:space="preserve">Construcción de alfajía concreto de 15 cm Incluye alambre, hierro figurado, tabla chapa, y todo lo necesario para su correcta construcción, el retiro, limpieza y la disposición final de residuos. </t>
  </si>
  <si>
    <t xml:space="preserve">Construcción de alfajía concreto de 25 cm Incluye alambre, hierro figurado, tabla chapa, y todo lo necesario para su correcta construcción, el retiro, limpieza y la disposición final de residuos. </t>
  </si>
  <si>
    <t xml:space="preserve">Mantenimiento de alfajía en concreto. Incluye pintura para desarrollos menores a 60 cm y todos los materiales necesarios para el correcto mantenimiento, el retiro, limpieza y la disposición final de residuos. </t>
  </si>
  <si>
    <t xml:space="preserve">Construcción de placa en concreto 3000 psi 10 cm malla elect. Contrapiso incluye alambre, acero figurado, distanciador, repisa, vibrado, malla electrosoldada, todo lo necesario para su correcta construcción, el retiro, limpieza y la disposición final de residuos. </t>
  </si>
  <si>
    <t xml:space="preserve">Construcción de muro en concreto 3000 psi 10 cm. Incluye formaleta, malla electrosoldada, todo lo necesario para su correcta construcción, el retiro, limpieza y la disposición final de residuos. </t>
  </si>
  <si>
    <t xml:space="preserve">Construcción de columna 40x30cm Incluye formaleta, acero figurado, alambre, todo lo necesario para su correcta construcción, el retiro, limpieza y la disposición final de residuos. </t>
  </si>
  <si>
    <t>Escarificación de concretos. Incluye todos los materiales necesarios para su correcta escarificación, el retiro, limpieza y la disposición final de residuos.</t>
  </si>
  <si>
    <t xml:space="preserve">Construcción de poyo para cocinas y baños. Incluye todos los materiales necesarios para su correcta construcción, demolición, retiro, limpieza y la disposición final de residuos. Y limpieza de las áreas afectadas. </t>
  </si>
  <si>
    <t>Suministro e instalación de lavadero en cemento de 60 x 80 x 30 cm, incluye transporte</t>
  </si>
  <si>
    <t>Suministro e instalación de tela asfáltica n°15 (40m2). Incluye impermeabilizante EMULTEXSA (22 kg), manto asfáltico l.4mm ref.pe, monocapa manto asfáltico PENTAFLEX 4mm y todo lo necesario para su correcta construcción, retiro limpieza y disposición final de residuos.</t>
  </si>
  <si>
    <t>Suministro e instalación de bicapa manto asfáltico PENTAFLEX 6.2mm foil al.ref. polie. Incluye manto asfál 3.2mm foil aluminio ref.pe, impermeabilizante EMULTEXSA (22 kg), manto asfál.3mm ref.pe y todo lo necesario para su correcta construcción, retiro limpieza y disposición final de residuos.</t>
  </si>
  <si>
    <t xml:space="preserve">Aplicación de mortero impermeabilizado con XYPEX e= 4 cm. Incluye la limpieza de las áreas afectadas. </t>
  </si>
  <si>
    <t>Afinado o alistado de piso impermeabilizado con Sika 1; espesor 5 cm</t>
  </si>
  <si>
    <t>Suministro y construcción de muro en Dry Wall una cara e= 0,12 cm. Incluye dos manos de pintura, todos los materiales necesarios para su correcta construcción, retiro, disposición final de residuos y limpieza de las áreas afectadas.</t>
  </si>
  <si>
    <t> Suministro y construcción de muro en Dry Wall doble cara e= 12 cm. Incluye todos los materiales necesarios para su correcta construcción, retiro, disposición final de residuos y limpieza de las áreas afectadas.</t>
  </si>
  <si>
    <t> Suministro y construcción de muro en ladrillo macizo recocido e= 12 cm. Incluye todos los materiales necesarios para su correcta construcción, retiro, disposición final de residuos y limpieza de las áreas afectadas.</t>
  </si>
  <si>
    <t> Suministro y construcción de muro en superboar dos caras e= 10 cm. Incluye todos los materiales necesarios para su correcta construcción, retiro, disposición final de residuos y limpieza de las áreas afectadas.</t>
  </si>
  <si>
    <t> Suministro y construcción de muro ladrillo estructural portante 30cm. Incluye todos los materiales necesarios para su correcta construcción, retiro, disposición final de residuos y limpieza de las áreas afectadas.</t>
  </si>
  <si>
    <t>Suministro y construcción de muro divisorio bloque estriado No. 4 Incluye todos los materiales necesarios para su correcta construcción, retiro, disposición final de residuos y limpieza de las áreas afectadas.</t>
  </si>
  <si>
    <t>Suministro y construcción de muro divisorio bloque estriado No. 5 Incluye todos los materiales necesarios para su correcta construcción, retiro, disposición final de residuos y limpieza de las áreas afectadas.</t>
  </si>
  <si>
    <t>Suministro y construcción de muro fachada ladrillo tollete granformato Incluye todos los materiales necesarios para su correcta construcción, retiro, disposición final de residuos y limpieza de las áreas afectadas.</t>
  </si>
  <si>
    <t>Suministro y construcción de muro fachada ladrillo prensado liviano. Incluye todos los materiales necesarios para su correcta construcción, retiro, disposición final de residuos y limpieza de las áreas afectadas.</t>
  </si>
  <si>
    <t>Suministro y construcción columna de confinamiento 20x 12. Incluye todos los materiales necesarios para su correcta construcción, retiro, disposición final de residuos y limpieza de las áreas afectadas.</t>
  </si>
  <si>
    <t>Suministro y construcción muro bloque concreto estructural 19 cm. Incluye todos los materiales necesarios para su correcta construcción, retiro, disposición final de residuos y limpieza de las áreas afectadas.</t>
  </si>
  <si>
    <t xml:space="preserve">Regatas para tuberías eléctricas o hidráulicas en mampostería o concreto incluye los dos cortes </t>
  </si>
  <si>
    <t>Suministro e instalación de canal metálica para un desarrollo de 1,10 m. Incluye, pintura, anticorrosivo y esmalte. Retiro, disposición final de residuos y limpieza de las áreas afectadas.</t>
  </si>
  <si>
    <t>Mantenimiento de puertas en madera. Incluye, raspado, lijado, resane, inmunizado, pintura, cambio de bisagras, tornillos en ambas caras, retiro, disposición final de residuos y limpieza de las áreas afectadas.</t>
  </si>
  <si>
    <t>Mantenimiento de muebles en madera para cocinas integrales, baños, mesones y closet. Incluye, raspado, lijado, resane, inmunizado, pintura, cambio de bisagras y tornillos en ambas caras, retiro, disposición final de residuos y limpieza de las áreas afectadas.</t>
  </si>
  <si>
    <t>Mantenimiento de ventana metálica y madera existente. Incluye, raspado, lijado, resane, inmunizado, pintura, cambio de bisagras y tornillos en ambas caras, retiro, suministro de silicona, disposición final de residuos y limpieza de las áreas afectadas.</t>
  </si>
  <si>
    <t>Suministro e instalación de puerta en flor morado de 2.00x 0.60 hasta 2.00x1.00 de ancho. Incluye, pintura, bisagras, tornillos en ambas caras, chapa, la disposición final de residuos y limpieza de las áreas afectadas.</t>
  </si>
  <si>
    <t>Suministro e instalación marco en flor morado de 2.00x0.60 hasta 2.00 x 1.00. Incluye, pintura, tornillos en ambas caras, chapa, la disposición final de residuos y limpieza de las áreas afectadas.</t>
  </si>
  <si>
    <t>Suministro e instalación de marco y puerta en lámina de 2.00 x0.60 hasta 2.00 x 1.00. Incluye, pintura, anticorrosivo, bisagras, tornillos en ambas caras, chapa, la disposición final de residuos y limpieza de las áreas afectadas.</t>
  </si>
  <si>
    <t>Suministro e instalación de puerta en aluminio blanco con persiana. Incluye el marco en aluminio desde (0.80 cm a 1 metro de ancho) por (2.00 metros de alto hasta 2.10 metros).</t>
  </si>
  <si>
    <t>Reparación de puerta de entrada principal existente, que permita garantizar la seguridad del inmueble. Incluye, raspado, lijado, resane, inmunizado, pintura, anticorrosivo, cambio de bisagras y tornillos en ambas caras, retiro, disposición final de residuos y limpieza de las áreas afectadas.</t>
  </si>
  <si>
    <t>Suministro e instalación de cerradura para puerta en madera. Incluye la disposición final de residuos y limpieza de las áreas afectadas.</t>
  </si>
  <si>
    <t>Suministro e instalación de mueble bajo para cocina existente. Incluye entrepaños, cajones con rieles telescópicos y puertas con bisagras alemanas, pintura, tornillos en ambas caras, chapa, la disposición final de residuos y limpieza de las áreas afectadas.</t>
  </si>
  <si>
    <t>Suministro e instalación de mueble alto en para cocina existente. Incluye entrepaños, cajones con rieles telescópicos y puertas con bisagras alemanas, pintura, tornillos en ambas caras, chapa, la disposición final de residuos y limpieza de las áreas afectadas.</t>
  </si>
  <si>
    <t xml:space="preserve">Suministro e instalación de divisiones para baño en cristal laminado templado 5+5, con película PVB de color tipo panel. Incluye anclajes y accesorios en acero inoxidable. </t>
  </si>
  <si>
    <t>Suministro e instalación de baranda con 3 bolillos horizontales y pasamanos en vara de 6 cm. Incluye, pintura en ambas caras, bolillo en cedro y todo lo necesario para su instalación, la disposición final de residuos y limpieza de las áreas afectadas.</t>
  </si>
  <si>
    <t>Suministro e instalación de pasamanos en vara 8 cm contra pared. Incluye, pintura, chazos, lija, platina vara de clavo de diámetro entre 6 a 8 cm y todo lo necesario para su instalación, la disposición final de residuos y limpieza de las áreas afectadas.</t>
  </si>
  <si>
    <t>Suministro y cambio de peinazo en carpintería metálica, calibre 18, de 10 de ancho por 2 cm de espesor. Incluye anticorrosivo, incluye pintura de acabado.</t>
  </si>
  <si>
    <t>Suministro de perfil metálico para protección de pisos en calibre 1/4"</t>
  </si>
  <si>
    <t>Estructura metálica para marquesina en policarbonato.incluye pintura anticorrosiva</t>
  </si>
  <si>
    <t>Reinstalación de ventana existente .incluye todo lo necesario para su correcta instalacion</t>
  </si>
  <si>
    <t xml:space="preserve">Puerta en madecor para mueble lavadero de 0,40-0,6 de ancho y de alto de 0,60-0,90, incluye bisagra y botones </t>
  </si>
  <si>
    <t>Topes para muebles</t>
  </si>
  <si>
    <t>Revisión y arreglo de estructura de cubierta del patio incluye ajuste cambio de piezas y engrase de rieles</t>
  </si>
  <si>
    <t>Mantenimiento de balcón en todo tipo de material, incluye tintilla, sellado y cambio de piezas y todo lo necesario para su correcta instalacion</t>
  </si>
  <si>
    <t>Suministro e instalación de reja incluye pintura anitcorrosiva</t>
  </si>
  <si>
    <t>Mantenimiento puerta metálica tipo cortina incluye limpieza, nivelación, engrase de partes, ajuste de pasadores.</t>
  </si>
  <si>
    <t>Perlin metálico tipo cajón ref 2p-10-12 (25x12,6x0,25)cm</t>
  </si>
  <si>
    <t>Platina metálica de 6mm  de 1/4  con perforación de 5/8 a 3/4" de 14 cm de longitud</t>
  </si>
  <si>
    <t>Perforaciones y anclajes de 5/8 a 3/4 en concreto desde 10 cm a 15 cm</t>
  </si>
  <si>
    <t>Mueble en aglomerado tipo madera para lavamanos</t>
  </si>
  <si>
    <t>Mantenimiento de cielo raso en madera. Incluye inmunizante tipo MADUREX.</t>
  </si>
  <si>
    <t>Suministro e instalación de cielorraso Dry Wall  1/2". Incluye retiro, aplicación de pintura vinilo o acrilica, 2 manos bajo placa, y todo lo necesario para su correcta instalación.</t>
  </si>
  <si>
    <t xml:space="preserve">Suministro e instalación de cielorraso plano superboard 8mm. Incluye retiro, aplicación de pintura vinilo o acrílica, 2 manos bajo placa y todo lo necesario para su correcta instalación. </t>
  </si>
  <si>
    <t xml:space="preserve">Suministro e instalación de cielorraso en lámina de policarbonato. Incluye retiro, y todo lo necesario para su correcta instalación. </t>
  </si>
  <si>
    <t xml:space="preserve">Suministro e instalación de cielorraso entablilla PVC. Incluye retiro, y todo lo necesario para su correcta instalación. </t>
  </si>
  <si>
    <t xml:space="preserve">Reparación de filtraciones en todo tipo de cubiertas. Incluye el cambio de las tejas, no incluye elementos estructurales. </t>
  </si>
  <si>
    <t>Reparación de filtraciones en todo tipo de cubiertas. Incluye el cambio de tejas, incluye el cambio de elementos estructurales.</t>
  </si>
  <si>
    <t>Suministro e instalación de cubierta termo acústica. No incluye su estructura.</t>
  </si>
  <si>
    <t xml:space="preserve">Suministro e instalación de cubierta en policarbonato alveolar de e= 6 mm. No incluye su estructura. </t>
  </si>
  <si>
    <t xml:space="preserve">Suministro e instalación de cubierta termo acústica UPVC con fibra de carbono. No incluye su estructura. </t>
  </si>
  <si>
    <t xml:space="preserve">Suministro e instalación de todo tipo de caballete, incluye todo los elementos necesarios para su correcta instalación, no incluye estructura. </t>
  </si>
  <si>
    <t>Suministro e instalación de flanche galvanizado.</t>
  </si>
  <si>
    <t>Canaleta 90 fibrocemento longitud 6m</t>
  </si>
  <si>
    <t>Escotilla de 30 x 30 para supervisión en dry wall para cielo raso</t>
  </si>
  <si>
    <t>Escotilla de 60 x 60 para supervisión en dry wall de cielo raso</t>
  </si>
  <si>
    <t>Suministro e instalación de caballete articulado para teja</t>
  </si>
  <si>
    <t xml:space="preserve">Teja en fibrocemento tipo claraboya para cubierta en Eternit </t>
  </si>
  <si>
    <t>Suministro e instalación de cubierta tipo zinc ,incluye todo lo necesario para su correcta instalacion.</t>
  </si>
  <si>
    <t>Mantenimiento de fachadas. Incluye hidro lavado.</t>
  </si>
  <si>
    <t xml:space="preserve">Aplicación de resane de muros con mortero 1:4. Incluye la limpieza de las áreas afectadas. </t>
  </si>
  <si>
    <t xml:space="preserve">Limpieza de Canales con agua a presión. Incluye la limpieza de las áreas afectadas. </t>
  </si>
  <si>
    <t xml:space="preserve">Limpieza de Bajantes con agua a presión. Incluye la limpieza de las áreas afectadas. </t>
  </si>
  <si>
    <t xml:space="preserve">Impermeabilización de Canales metálicas. Incluye la limpieza de las áreas afectadas. </t>
  </si>
  <si>
    <t xml:space="preserve">Aplicación de pañete impermeabilizado muros 1:4. Incluye la limpieza de las áreas afectadas. </t>
  </si>
  <si>
    <t xml:space="preserve">Aplicación de pañete impermeabilizado muros 1:3. Incluye la limpieza de las áreas afectadas. </t>
  </si>
  <si>
    <t xml:space="preserve">Aplicación de pañete bajo placa y/o malla 1:4. Incluye la limpieza de las áreas afectadas. </t>
  </si>
  <si>
    <t xml:space="preserve">Aplicación de pañete bajo placa y/o malla 1:5. Incluye la limpieza de las áreas afectadas. </t>
  </si>
  <si>
    <t xml:space="preserve">Aplicación de pañete bajo placa y/o malla 1:6. Incluye la limpieza de las áreas afectadas. </t>
  </si>
  <si>
    <t xml:space="preserve">Mantenimiento de viga canal con manto EDIL 3 MM. Incluye la limpieza de las áreas afectadas. </t>
  </si>
  <si>
    <t xml:space="preserve">Aplicación de pañete liso para muros 1:3. Incluye la limpieza de las áreas afectadas. </t>
  </si>
  <si>
    <t xml:space="preserve">Aplicación de pañete liso para muros 1:4. Incluye la limpieza de las áreas afectadas. </t>
  </si>
  <si>
    <t xml:space="preserve">Aplicación de pañete liso para muros 1:6. Incluye la limpieza de las áreas afectadas. </t>
  </si>
  <si>
    <t>Lavado de fachadas en piedra muñeca. Incluye el desmanchado, hidrofugado, Re emboquillado y sellado.</t>
  </si>
  <si>
    <t xml:space="preserve">Aplicación de pañete rústico bajo placa 1:5. Incluye la limpieza de las áreas afectadas. </t>
  </si>
  <si>
    <t xml:space="preserve">Aplicación de pañete rústico muros 1:5. Incluye la limpieza de las áreas afectadas. </t>
  </si>
  <si>
    <t xml:space="preserve">Aplicación de alistado para piso e= 0.04. Incluye la limpieza de las áreas afectadas y nivelación.  </t>
  </si>
  <si>
    <t xml:space="preserve">Aplicación de alistado para piso e= 0.04 impermeabilizante. Incluye la limpieza de las áreas afectadas y nivelación.  </t>
  </si>
  <si>
    <t xml:space="preserve">Suministro e instalación de cerámica existente para pisos y/o paredes. Incluye el retiro, limpieza y la disposición final de residuos. </t>
  </si>
  <si>
    <t xml:space="preserve">Suministro e Instalación de piso en PORCELANATO acabado semimate, antideslizante, formato 0,60 X 0,60. Incluye la pega, la boquilla, dilatadores y la limpieza de las áreas afectadas. </t>
  </si>
  <si>
    <t xml:space="preserve">Suministro e instalación de guardaescobas en MDF 8cm. Incluye la pega, la boquilla, dilatadores y la limpieza de las áreas afectadas. </t>
  </si>
  <si>
    <t xml:space="preserve">Suministro e instalación de guardaescobas en Madera 8cm. Incluye la pega, la boquilla, dilatadores y la limpieza de las áreas afectadas. </t>
  </si>
  <si>
    <t xml:space="preserve">Suministro e instalación de guardaescobas en PVC 6.8cm. Incluye la pega, la boquilla, dilatadores y la limpieza de las áreas afectadas. </t>
  </si>
  <si>
    <t xml:space="preserve">Suministro e instalación de enchape para muro en cerámica brillante formato 0.30 X 0.45M Tipo artic de corona o similar. Incluye pega, boquilla, Win plástico, dilatadores y la limpieza de las áreas afectadas. </t>
  </si>
  <si>
    <t xml:space="preserve">Suministro e instalación de enchape para muro en cerámica brillante formato 0.30 X 0.30M Tipo artic de corona o similar. Incluye pega, boquilla, Win plástico, dilatadores y la limpieza de las áreas afectadas. </t>
  </si>
  <si>
    <t xml:space="preserve">Suministro e instalación de boquilla para cerámica. Incluye el retiro y limpieza de las áreas afectadas. </t>
  </si>
  <si>
    <t xml:space="preserve">Suministro e Instalación de piso en gres de 27X7 cm. Incluye el retiro y limpieza de las áreas afectadas. </t>
  </si>
  <si>
    <t xml:space="preserve">Suministro e Instalación de piso en gres de 30X30 cm. Incluye el retiro y limpieza de las áreas afectadas. </t>
  </si>
  <si>
    <t xml:space="preserve">Suministro e instalación de piso en granito natural aserrado brillado media placa 20mm. Incluye, pega, boquilla, dilatadores y el retiro y limpieza de las áreas afectadas. </t>
  </si>
  <si>
    <t xml:space="preserve">Aplicación de alistado ENDURECIDO para Pisos. Incluye la limpieza de las áreas afectadas y nivelación.  </t>
  </si>
  <si>
    <t xml:space="preserve">Suministro e instalación de piso PVC tipo CLIK de 4MM, trafico 42 Y 4 MICRAS. Incluye la limpieza de las áreas afectadas y nivelación.  </t>
  </si>
  <si>
    <t xml:space="preserve">Aplicación de gravilla lavada para pisos. Incluye la limpieza de las áreas afectadas y nivelación.  </t>
  </si>
  <si>
    <t xml:space="preserve">Aplicación de plantilla de nivelación para baños. Incluye la limpieza de las áreas afectadas y nivelación.  </t>
  </si>
  <si>
    <t xml:space="preserve">Suministro e instalación de piso vinilo formato 1.6 mm 30x30 cm. Incluye pega, boquilla, dilatadores y limpieza de las áreas afectadas. </t>
  </si>
  <si>
    <t xml:space="preserve">Suministro e instalación de piso vinilo formato 2.0 mm 30x30 cm rocas-tamiz-mármol. Incluye pega, boquilla, dilatadores y limpieza de las áreas afectadas. </t>
  </si>
  <si>
    <t xml:space="preserve">Construcción de media caña en gravilla lavada sección de 15 X 15 CM. Incluye la limpieza de las áreas afectadas y nivelación.  </t>
  </si>
  <si>
    <t xml:space="preserve">Suministro e instalación de mármol crema marfil de 0,30 X0,15 cm. Incluye la limpieza y pulido de las áreas afectadas.  </t>
  </si>
  <si>
    <t>Construcción de media caña en mortero impermeabilizado con XYPEX sección de 15 X 15 CM. Incluye la limpieza de las áreas afectadas y nivelación.</t>
  </si>
  <si>
    <t>Raspado y lijado de piso en madera maciza, suministro de sellado y lacado  con material importado laca bona trafic o similar</t>
  </si>
  <si>
    <t>Cambio de piso de madera maciza tipo granadillo o similar, no incluye retiro.</t>
  </si>
  <si>
    <t>Dilataciones de 5mm por 5 mm de profundidad con pulidora y sellado con sikasill color gris</t>
  </si>
  <si>
    <t>Suministro e instalación de cintas antideslizantes negra de 48 mm con banda fotoluminicente 5 mm marca 3mm o similar</t>
  </si>
  <si>
    <t>Guardaescoba en cerámica 10 cm</t>
  </si>
  <si>
    <t>Enchape cerámica de 40 x 40 o de 50 x 50, tipo alfa o similar incluye pegacor</t>
  </si>
  <si>
    <t>Suministro e instalación de piso flotado importado 8mm ac4-32 ancho igual o similar al piso original, incluye lamina de polietileno de 3mm</t>
  </si>
  <si>
    <t>Suministro e instalación de piso flotado económico, incluye lamina de polietileno de 3mm</t>
  </si>
  <si>
    <t>Cenefa de madera maciza de 2cm de espesor y 17,5 cm de ancho</t>
  </si>
  <si>
    <t>Guardaescobas en porcelanato 10 cm</t>
  </si>
  <si>
    <t>Suministro e instalación de cenefa en porcelana de ancho 13.5 y largo 43 corona o similar</t>
  </si>
  <si>
    <t>Suministro e instalación de sanitario blanco. Incluye, Grifería ahorradora, emboquillado, nivelación y accesorios, limpieza de las áreas afectadas.  AVANTI PLUS</t>
  </si>
  <si>
    <t xml:space="preserve">Suministro e instalación de lavamanos con grifería tipo I. Incluye, Grifería ahorradora, emboquillado, nivelación y accesorios,limpieza de las áreas afectadas. </t>
  </si>
  <si>
    <t xml:space="preserve">Suministro e instalación de lavamanos con grifería tipo II. Incluye, Grifería ahorradora, emboquillado, nivelación y accesorios,limpieza de las áreas afectadas. </t>
  </si>
  <si>
    <t xml:space="preserve">Suministro e instalación de lavaplatos con grifería. Incluye, todo lo necesario para su instalación y limpieza de las áreas afectadas. </t>
  </si>
  <si>
    <t>Cambio, suministro e instalación de kit de instalación lavaplatos y lavamanos  GRIVAL. Incluye todos los accesorios y lo necesario para su correcta instalación</t>
  </si>
  <si>
    <t>Cambio, suministro e instalación de sifón en plástico Orinal, incluye todo lo necesario para su correcta instalación</t>
  </si>
  <si>
    <t xml:space="preserve">Suministro e instalación de orinal tipo I Incluye,  todo lo necesario para su correcta instalación y limpieza de las áreas afectadas. </t>
  </si>
  <si>
    <t xml:space="preserve">Suministro e instalación de ducha con grifería gama baja ( dos pomas). Incluye, mezclador y todo lo necesario para su correcta instalación y limpieza de las áreas afectadas. </t>
  </si>
  <si>
    <t xml:space="preserve">Suministro e instalación de ducha con grifería gamaalta (dos pomas). Incluye cinta teflón, herramienta menor, ducha 8" y mezclador todo lo necesario para su correcta instalación y limpieza de las áreas afectadas. </t>
  </si>
  <si>
    <t>Suministro e instalación de extractores para baños y cocinas. Incluye la limpieza de las áreas afectadas y nivelación.</t>
  </si>
  <si>
    <t xml:space="preserve">Suministro e instalación de boquilla. Incluye el retiro de la boquilla existente, limpieza y la disposición final de residuos. </t>
  </si>
  <si>
    <t xml:space="preserve">Suministro e instalación de lavamanos con pedestal estilo o similar al existente.  Incluye, Grifería ahorradora, emboquillado, nivelación y limpieza de las áreas afectadas. </t>
  </si>
  <si>
    <t xml:space="preserve">Suministro e instalación de mesón en acero inoxidable. Incluye la poceta, grifería, accesorios, emboquillado y nivelación y limpieza de las áreas afectadas. </t>
  </si>
  <si>
    <t xml:space="preserve">Suministro e instalación de baranda en tubería galvanizada de 2" horizontales y verticales de 1 3/4" cada 1.5 m. Incluye, pintura, anticorrosivo, soldadura, anclajes, nivelación y limpieza de las áreas afectadas.  </t>
  </si>
  <si>
    <t xml:space="preserve">Suministro e instalación de película de seguridad control solar para vidrios de 3M o similar. Incluye nivelación y limpieza de las áreas afectadas. </t>
  </si>
  <si>
    <t xml:space="preserve">Suministro e instalación de cinta antideslizante para escaleras. Incluye nivelación y limpieza de las áreas afectadas. </t>
  </si>
  <si>
    <t xml:space="preserve">Suministro e instalación de calentador 6Lt tiro natural gas natural. Incluye todo lo necesario para su correcta instalación </t>
  </si>
  <si>
    <t>Suministro e instalación de calentado de paso eléctrico marca Bosch o similar incluye accesorios</t>
  </si>
  <si>
    <t>Suministro de planta de emergencia a gasolina en inmuebles que no tengan suministro de energía, incluye transporte ida y regreso</t>
  </si>
  <si>
    <t>Revisión, mantenimiento y reparacion de motor para jacuzzi</t>
  </si>
  <si>
    <t>Instalación de aparatos sanitarios existentes (lavamanos, orinal, sanitarios y duchas) incluye acoflex</t>
  </si>
  <si>
    <t>Suministro e instalación de vidrio de 4mm,incluye todo lo necesario para su correcta instalacion</t>
  </si>
  <si>
    <t>Campana extractora horizontal acero inoxidable marca challenger o similar de 60 cm.,incluye todo lo necesario para su correcta instalacion</t>
  </si>
  <si>
    <t>Suministro e instalación de hornilla eléctrico para estufa,incluye todo lo necesario para su correcta instalacion</t>
  </si>
  <si>
    <t>Suministro e instalación de rejilla de 40x40 plástica,incluye todo lo necesario para su correcta instalacion</t>
  </si>
  <si>
    <t>Dilatadores en acero inoxidable,incluye todo lo necesario para su correcta instalacion</t>
  </si>
  <si>
    <t>Revisión reparacion y  mantenimiento de horno eléctrico o a gas no incluye consumibles, ni cambio de piezas</t>
  </si>
  <si>
    <t>Suministro de espejo de 4 mm peldar o similar.,incluye todo lo necesario para su correcta instalacion</t>
  </si>
  <si>
    <t>Mantenimiento y limpieza de tanque de reserva de 1000 litros con cloros, incluye cambio de cheque , registro de 3/4 de pulgada y flotador de 1/2" pulgada si se requiere.</t>
  </si>
  <si>
    <t>Suministro e instalación de win plástico</t>
  </si>
  <si>
    <t>Señalética en acrílico (20-40)x(10-20) cm para señalización de locales o viviendas</t>
  </si>
  <si>
    <t>Suministro e instalación de lavadero en fibra con tanque de agua,incluye todo lo necesario para su correcta instalacion</t>
  </si>
  <si>
    <t>Horno eléctrico de empotrar 220 v, con encendido eléctrico,incluye todo lo necesario para su correcta instalacion</t>
  </si>
  <si>
    <t xml:space="preserve">Suministro e instalación de ducha eléctrica 110 incluye paral de separación </t>
  </si>
  <si>
    <t>Suministro e instalación de vidrio de 6 mm flotado,incluye todo lo necesario para su correcta instalacion</t>
  </si>
  <si>
    <t>Mantenimiento de domos existentes</t>
  </si>
  <si>
    <t>Concertina de 40 cm de diámetro con doble cuchilla incluye guayas tensoras,incluye todo lo necesario para su correcta instalacion</t>
  </si>
  <si>
    <t>Cambio de inyectores para estufa  4 puestos ,incluye todo lo necesario para su correcta instalacion</t>
  </si>
  <si>
    <t>Suministro e instalación de lavadero en fibra de vidrio de (0.60 hasta 1m) con tanque de agua ,incluye todo lo necesario para su correcta instalacion</t>
  </si>
  <si>
    <t>Limpieza y aseo (cuadrilla de ase KK), incluye todos los elementos básicos de aseo</t>
  </si>
  <si>
    <t>Limpieza y aseo (cuadrilla de ase KK, incluye planta eléctrica y suministro de agua y todos los elementos de aseo básico)</t>
  </si>
  <si>
    <t>Limpieza de piscina, luego de la primera limpieza</t>
  </si>
  <si>
    <t>Poda y corte césped. Incluye retiro de material sobrante</t>
  </si>
  <si>
    <t>Aseo y limpieza de muebles (muebles bajos, closets, muebles de linos, repisas de madera ) incluye productos restauradores de madera y grafito para cerraduras y bisagras</t>
  </si>
  <si>
    <t>Suministro de cerrajero a domicilio para apertura de cerraduras de seguridad, no incluye suministro de cerradura, ni llaves de seguridad</t>
  </si>
  <si>
    <t>Suministro e instalación de cerradura de seguridad</t>
  </si>
  <si>
    <t>Suministro e instalación de kit de cerradura de seguridad</t>
  </si>
  <si>
    <t>Material de protección para trabajos en aptos con acabados que conservar u ocupados por propietarios (cartón, plástico, cobertores, sabanas)</t>
  </si>
  <si>
    <t>Corte con pulidora incluye disco metálico</t>
  </si>
  <si>
    <t>Suministro e instalación de tubería de polietileno para gas de alta densidad, incluye excavación y lleno con material existente</t>
  </si>
  <si>
    <t>Suministro e instalación de cerradura de sobre poner llave multi punto</t>
  </si>
  <si>
    <t>Apertura de caja fuerte mecánica</t>
  </si>
  <si>
    <t>Suministro e instalación de candado sencillo Yale o similar , incluye el desmonte del existente, transporte del operario y el corte</t>
  </si>
  <si>
    <t>Suministro e instalación de candado anti cizalla , incluye el desmonte del existente, transporte del operario y el corte</t>
  </si>
  <si>
    <t>Suministro e instalación de candado sencillo Yale o similar, transporte del operario y el corte</t>
  </si>
  <si>
    <t>Suministro e instalación de candado anti cizalla , transporte del operario y el corte</t>
  </si>
  <si>
    <t>Stan by d espera de operarios por diligencias y cierres</t>
  </si>
  <si>
    <t xml:space="preserve">Suministro de cerrajero a domicilio para apertura de cerraduras y puntos de soldadura no incluye suministro de cerradura , ni llaves de seguridad </t>
  </si>
  <si>
    <t>Lavado y desmanchado de alfombra incluye implementos de aseo</t>
  </si>
  <si>
    <t>Prueba hidráulica para tubería de suministro con tamaño máximo de 3/4" con manómetros y termomanómetros certificados para la detección de cualquier falla que se presente en la tubería</t>
  </si>
  <si>
    <t>Cambio de cilindro interno para cerradura convencional a domicilio</t>
  </si>
  <si>
    <t>Cambio de escudo protector para cilindro</t>
  </si>
  <si>
    <t>Arreglo del sistema interno para cerradura convencional</t>
  </si>
  <si>
    <t>Suministro e instalación de cerradura inafer o similar</t>
  </si>
  <si>
    <t>Suministro e instalación de lámina de alfajor plástica ancho 1.40m, largo mínimo 1m.</t>
  </si>
  <si>
    <t>UND</t>
  </si>
  <si>
    <t>UN</t>
  </si>
  <si>
    <t>GL</t>
  </si>
  <si>
    <t>KG</t>
  </si>
  <si>
    <t>DIA</t>
  </si>
  <si>
    <t>BASE DATOS SAE- CENTRO ORIENTE SAI Después de febrero de 2021</t>
  </si>
  <si>
    <t>SERVICIOS ESPECIALIZADOS SAS</t>
  </si>
  <si>
    <t>INVERSIONES CACI SAS</t>
  </si>
  <si>
    <t>Arq.Marcela Carvajal</t>
  </si>
  <si>
    <t>2</t>
  </si>
  <si>
    <t>3</t>
  </si>
  <si>
    <t>4</t>
  </si>
  <si>
    <t>5</t>
  </si>
  <si>
    <t>6</t>
  </si>
  <si>
    <t>7</t>
  </si>
  <si>
    <t>8</t>
  </si>
  <si>
    <t>9</t>
  </si>
  <si>
    <t>10</t>
  </si>
  <si>
    <t>11</t>
  </si>
  <si>
    <t>12</t>
  </si>
  <si>
    <t>13</t>
  </si>
  <si>
    <t>14</t>
  </si>
  <si>
    <t>15</t>
  </si>
  <si>
    <t>3.28</t>
  </si>
  <si>
    <t>3.29</t>
  </si>
  <si>
    <t>3.30</t>
  </si>
  <si>
    <t>3.31</t>
  </si>
  <si>
    <t>3.32</t>
  </si>
  <si>
    <t>5.55</t>
  </si>
  <si>
    <t>5.56</t>
  </si>
  <si>
    <t>13.26</t>
  </si>
  <si>
    <t>13.27</t>
  </si>
  <si>
    <t>13.28</t>
  </si>
  <si>
    <t>13.29</t>
  </si>
  <si>
    <t>13.30</t>
  </si>
  <si>
    <t>13.31</t>
  </si>
  <si>
    <t>13.32</t>
  </si>
  <si>
    <t>13.33</t>
  </si>
  <si>
    <t>14.33</t>
  </si>
  <si>
    <t>14.34</t>
  </si>
  <si>
    <t>14.35</t>
  </si>
  <si>
    <t>14.36</t>
  </si>
  <si>
    <t>14.37</t>
  </si>
  <si>
    <t>14.38</t>
  </si>
  <si>
    <t>14.39</t>
  </si>
  <si>
    <t>14.40</t>
  </si>
  <si>
    <t>14.41</t>
  </si>
  <si>
    <t>14.42</t>
  </si>
  <si>
    <t>15.20</t>
  </si>
  <si>
    <t>15.21</t>
  </si>
  <si>
    <t>15.22</t>
  </si>
  <si>
    <t>15.23</t>
  </si>
  <si>
    <t>15.24</t>
  </si>
  <si>
    <t>15.25</t>
  </si>
  <si>
    <t>15.26</t>
  </si>
  <si>
    <t>15.27</t>
  </si>
  <si>
    <t>15.28</t>
  </si>
  <si>
    <t>15.29</t>
  </si>
  <si>
    <t>15.30</t>
  </si>
  <si>
    <t>CALCULO MATEMATICO PROMEDIO PRECIOS Y RANGOS DE DESVIACIÓN EMPRESAS</t>
  </si>
  <si>
    <t>BASE DATOS SAE-CENTRO ORIENTE Después de febrero de 2021</t>
  </si>
  <si>
    <t>PRODIELECTRICOS SAS VICHADA-GUANIA</t>
  </si>
  <si>
    <t>ARQ. ANDRES FELIPE BUEN DIA PUTUMAYO</t>
  </si>
  <si>
    <t>ROIC RICARDO ORTIZ INGENIERIA &amp; CONSTRUCCIÓN CAQUETA</t>
  </si>
  <si>
    <t>IDIPRO CONSTRUCTORES CAQUETA</t>
  </si>
  <si>
    <t>ING ALEX CALVACHE LETICIA</t>
  </si>
  <si>
    <t>IDIPRO CONSTRUCTORES LETICIA</t>
  </si>
  <si>
    <t>Actividad especifica</t>
  </si>
  <si>
    <t>CENTRO ORIENTE 2</t>
  </si>
  <si>
    <t>CENTRO ORIENTE 1
SAN ANDRES</t>
  </si>
  <si>
    <t>es necesario revision en sitio</t>
  </si>
  <si>
    <t>CONCRETOS - ESTRUCTURA EDIFICACIÓN</t>
  </si>
  <si>
    <t>ARQ GABRIEL NIETO</t>
  </si>
  <si>
    <t>ARQ ERIKA QUINTERO</t>
  </si>
  <si>
    <t>PRODIELECTRICOS SAS</t>
  </si>
  <si>
    <t>CENTRO ORIENTE 3</t>
  </si>
  <si>
    <t>ROIC RICARDO ORTIZ INGENIERIA &amp; CONSTRUCCIÓN TOLIMA-HUILA</t>
  </si>
  <si>
    <t>CONSTRUDATA / ICP BOGOTÁ</t>
  </si>
  <si>
    <t>SERVINTEGRALES A&amp;L SAS        BOGOTÁ</t>
  </si>
  <si>
    <t>Tovar Construcciones SAS BOGOTÁ</t>
  </si>
  <si>
    <t>OBRATECH SAS BOGOTÁ</t>
  </si>
  <si>
    <t>CENTRO ORIENTE 4</t>
  </si>
  <si>
    <t>INGENIARQ MS SAS</t>
  </si>
  <si>
    <t xml:space="preserve">CALCULO MATEMATICO PROMEDIO PRECIOS Y RANGOS DE DESVIACIÓN EMPRESAS:                                                  YB&amp;C INGENIEROS Y                                     DHC CONSTRUCCIONES  </t>
  </si>
  <si>
    <r>
      <t xml:space="preserve">INGENIARQ MS SAS </t>
    </r>
    <r>
      <rPr>
        <sz val="11"/>
        <color rgb="FF000000"/>
        <rFont val="Calibri"/>
        <family val="2"/>
      </rPr>
      <t>empresa contratista con alta desviación en sus precios-se retira del calculo matematico</t>
    </r>
  </si>
  <si>
    <t>NORTE</t>
  </si>
  <si>
    <t xml:space="preserve">Suministro, trransporte e instalación de Cerramiento en zarán o tela verde  H=2m, incluye estacones, listones o parales, amarras y todo lo necesario para su correcta construcción. Incluye el retiro, limpieza y la disposicion final de residuos. </t>
  </si>
  <si>
    <t>ml</t>
  </si>
  <si>
    <t>Cargue y retiro  y disposición final de material o residuos</t>
  </si>
  <si>
    <t xml:space="preserve">M3 </t>
  </si>
  <si>
    <t xml:space="preserve">Descapote a mano. Corte de maleza existente     </t>
  </si>
  <si>
    <t>Localizacion y replanteo</t>
  </si>
  <si>
    <t xml:space="preserve">Excavacion Manual para viga de cimentacion, Incluye el retiro, limpieza y la disposicion final de residuos.          </t>
  </si>
  <si>
    <t>1.13</t>
  </si>
  <si>
    <t>1.14</t>
  </si>
  <si>
    <t>1.15</t>
  </si>
  <si>
    <t xml:space="preserve">Excavacion manual,  Incluye el retiro, limpieza y la disposicion final de residuos.          </t>
  </si>
  <si>
    <t>M³</t>
  </si>
  <si>
    <t xml:space="preserve">Relleno de material con material de excavación manual,  Incluye el retiro, limpieza y la disposicion final de residuos.          </t>
  </si>
  <si>
    <t xml:space="preserve">Suministro e Instalacion cerramiento en alambre de puas 4 hilos h=1,6 en vara redonda de 6 a 8 cms de diámetro incrustada en piso 50 cms, de madera teca o eucalipto inmunizado, incluye todas la herramientas para su correcta instalación, incluye trasnporte, garantía 20 años madera de REFOCOSTA. Incluye el retiro, limpieza y la disposicion final de residuos.          </t>
  </si>
  <si>
    <t xml:space="preserve">Desmonte de cubiertas en asbesto cemento. Incluye el retiro, limpieza y la disposicion final de residuos. </t>
  </si>
  <si>
    <t xml:space="preserve">Desmonte y reinstalacion de lampara existente. Incluye el retiro, limpieza y la disposicion final de residuos. </t>
  </si>
  <si>
    <t>3.33</t>
  </si>
  <si>
    <t>3.34</t>
  </si>
  <si>
    <t xml:space="preserve">Suministro y aplicación de pintura vinilo Tipo I, dos manos para muros. Incluye todos los materiales necesarios para su correcta aplicación, el retiro, limpieza y la disposicion final de residuos. </t>
  </si>
  <si>
    <t xml:space="preserve">Suministro y aplicación de estuco. incluye todos los materiales necesarios para su correcta aplicación, el retiro, limpieza y la disposicion final de residuos. </t>
  </si>
  <si>
    <t xml:space="preserve">Raspado o rasqueteado y lijado  sobre muro  incluye todos los materiales necesarios para su correcta ejecución, el retiro, limpieza y la disposicion final de residuos. </t>
  </si>
  <si>
    <t xml:space="preserve">Suministro y aplicación de pintura vinilo tipo I, dos manos bajo placas. Incluye todos los materiales necesarios para su correcta aplicación, el retiro, limpieza y la disposicion final de residuos. </t>
  </si>
  <si>
    <t>Suministro y aplicación de pintura koraza para exteriores, dos manos para techos. Incluye hidrolavado todos los materiales necesarios para su correcta aplicación, el retiro, limpieza y la disposicion final de residuos.</t>
  </si>
  <si>
    <t>Suministro y aplicación de pintura koraza para exteriores, dos manos para muros. Incluye hidrolavado todos los materiales necesarios para su correcta aplicación, el retiro, limpieza y la disposicion final de residuos.</t>
  </si>
  <si>
    <t>Suministro y aplicación de pintura para baños y cocinas. Incluye raspado lijada y todos los materiales necesarios para su correcta aplicación, el retiro y limpieza y la disposición final de residuos</t>
  </si>
  <si>
    <t xml:space="preserve">Suministro y aplicación de tintilla sobre madera llena. Incluye raspado, lijada, resane, anticorrosivo, pintura de aceite, cambio de silicona y pisa vidrios en ambas caras y todos los materiales necesarios para su correcta aplicación, el retiro, limpieza y la disposicion final de residuos. </t>
  </si>
  <si>
    <t>Suminsitro y aplicación pintura graniplast para exteriores o impermeabilizante. Incluye todos los materiales, herramientas y disposición final de residuos.</t>
  </si>
  <si>
    <t>Suminsitro y aplicación pintura acrilica base de agua para exteriores o impermeabilizante.Incluye todos los materiales, herramientas y disposición final de residuos.</t>
  </si>
  <si>
    <t>Retiro de capas de pinturas deterioradas por humedad (raspado y lijado) altura menor a 3 mts. Incluye todos los elementos necesarios para su correcta ejecución y disposición final de residuos.</t>
  </si>
  <si>
    <t>4.15</t>
  </si>
  <si>
    <t>4.16</t>
  </si>
  <si>
    <t>4.17</t>
  </si>
  <si>
    <t>4.18</t>
  </si>
  <si>
    <t>4.19</t>
  </si>
  <si>
    <t>4.20</t>
  </si>
  <si>
    <t>4.21</t>
  </si>
  <si>
    <t>4.22</t>
  </si>
  <si>
    <t>4.23</t>
  </si>
  <si>
    <t>4.24</t>
  </si>
  <si>
    <t>4.25</t>
  </si>
  <si>
    <t>Suministro e instalacion de registro 3/4. Incluye accesorios, limpieza y la disposicion final de residuos.</t>
  </si>
  <si>
    <t>Suministro y construccion de red galvanizada de 1". Incluye accesorios, limpieza y la disposicion final de residuos.</t>
  </si>
  <si>
    <t>Suministro y construccion de red galvanizada de 2". Incluye accesorios, limpieza y la disposicion final de residuos.</t>
  </si>
  <si>
    <t>Suministro y construccion de red galvanizada de 4". Incluye accesorios, limpieza y la disposicion final de residuos.</t>
  </si>
  <si>
    <t>Sondeo y limpieza punto de sifones de 2" a 4".</t>
  </si>
  <si>
    <t>Retiro de tuberia exisitente, Incluye todas las herramientas para su correcta aplicación y limpieza y la disposicion final de residuos.</t>
  </si>
  <si>
    <t>Suministro e Instalacion de espejo de 4 mm, Incluye todas las herramientas para su correcta aplicación y limpieza y la disposicion final de residuos.</t>
  </si>
  <si>
    <t>Suministro e Instalacion de estufa con horno a gas, Incluye todas las herramientas para su correcta aplicación y limpieza y la disposicion final de residuos.</t>
  </si>
  <si>
    <t>5.57</t>
  </si>
  <si>
    <t>5.58</t>
  </si>
  <si>
    <t>5.59</t>
  </si>
  <si>
    <t>5.60</t>
  </si>
  <si>
    <t>5.61</t>
  </si>
  <si>
    <t>5.62</t>
  </si>
  <si>
    <t>5.63</t>
  </si>
  <si>
    <t>5.64</t>
  </si>
  <si>
    <t>Construccion de salida de iluminacion en techo. Incluye caja, accesorios, ducteria PVC de 3/4", cableado en tres hilos calibre 12 (fase, neutro y tierra) de 6 metros lineales por salida, con interruptor sencillo, roseta, doble y triple, elementos de soporte y fijacion), limpieza y la disposicion final de residuos.</t>
  </si>
  <si>
    <t>Construccion de salida de iluminacion. Incluye, ducteria PVC de 1/2 , cable No. 12 de tres metros lineales por salida con interruptor sencillo y marquillado, y accesorios, caja, elementos de soporte y fijacion, limpieza y la disposicion final de residuos.</t>
  </si>
  <si>
    <t>Construccion de salida para toma bifasica 20 A, tuberia EMT, cable, accesorios, caja, elementos de soporte y fijacion, limpieza y la disposicion final de residuos.</t>
  </si>
  <si>
    <t>Construccion de salida electrica toma corriente trifásico. Incluye tuberia EMT, cable, accesorios, caja, elementos de soporte y fijacion, limpieza y la disposicion final de residuos.</t>
  </si>
  <si>
    <t>Construccion de salida electrica toma sencilla de 20A. Incluye tuberia PVC, cable, accesorios, caja, elementos de soporte y fijacion, limpieza y la disposicion final de residuos.</t>
  </si>
  <si>
    <t>Suministro e instalacion luminaria de 60 X 60 de 48 W. Incluye, cable, accesorios, elementos de soporte y fijacion, limpieza y la disposicion final de residuos.</t>
  </si>
  <si>
    <t>Suministro e instalacion luminaria de 60 X 60 de 4 X 24 W  T-5. Incluye, cable, accesorios, elementos de soporte y fijacion, limpieza y la disposicion final de residuos.</t>
  </si>
  <si>
    <t>Suministro e instalacion de lampara LED para alumbrado publico de 80 - 120 W. Incluye, cable, accesorios, elementos de soporte y fijacion, limpieza y la disposicion final de residuos.</t>
  </si>
  <si>
    <t>Suministro e instalacion de lampara LED para alumbrado publico de 210 W. Incluye, cable, accesorios, elementos de soporte y fijacion, limpieza y la disposicion final de residuos.</t>
  </si>
  <si>
    <t>Suministro e intalacion de luminaria LED de incrustar de 21 W 2100 LM. Incluye, cable, accesorios, elementos de soporte y fijacion, limpieza y la disposicion final de residuos.</t>
  </si>
  <si>
    <t>Suministro e instalacion de luminaria LED de sobreponer de 25 W 2500 LM. Incluye, cable, accesorios, elementos de soporte y fijacion, limpieza y la disposicion final de residuos.</t>
  </si>
  <si>
    <t>Suministro e instalacion de luminaria hermetica de 1X32W 120V 6.5K T8. Incluye, cable, accesorios, elementos de soporte y fijacion, limpieza y la disposicion final de residuos.</t>
  </si>
  <si>
    <t>_</t>
  </si>
  <si>
    <t>Suministro e instalación de bombillo fluorescente 60W, incluye toda la herramienta necesaria para la instalación, elementos de soporte y fijación, limpieza y la disposición final de residuos</t>
  </si>
  <si>
    <t>Suministro e instalacion de reflector LED de 100W. Incluye, cable, accesorios, elementos de soporte y fijacion, limpieza y la disposicion final de residuos.</t>
  </si>
  <si>
    <t>Suministro e instalacion de reflector LED de 140W. Incluye, cable, accesorios, elementos de soporte y fijacion, limpieza y la disposicion final de residuos.</t>
  </si>
  <si>
    <t>Suministro e instalacion de interruptor automatico enchufable de 1 X 20 A. Incluye, ducteria, cable, accesorios, elementos de soporte y fijacion, limpieza y la disposicion final de residuos.</t>
  </si>
  <si>
    <t>Suministro e instalacion de interruptor automatico enchufable de 2 X 30 A. Incluye, ducteria, cable, accesorios, elementos de soporte y fijacion, limpieza y la disposicion final de residuos.</t>
  </si>
  <si>
    <t>Suministro e instalacion de fotocelda para luminaria exterior. Incluye, ducteria, cable, accesorios, elementos de soporte y fijacion, limpieza y la disposicion final de residuos.</t>
  </si>
  <si>
    <t>Suministro e instalacion de alambre No. 12,Incluye todas las herramientas para su correcta aplicación y limpieza y la disposicion final de residuos.</t>
  </si>
  <si>
    <t>Suministro e instalacion de alambre No. 14,Incluye todas las herramientas para su correcta aplicación y limpieza y la disposicion final de residuos.</t>
  </si>
  <si>
    <t>Suministro e Instalacion de tuberia pvc conduit 1/2",Incluye todas las herramientas para su correcta aplicación y limpieza y la disposicion final de residuos.</t>
  </si>
  <si>
    <t>Desmonte y retiro de cableado existente,Incluye todas las herramientas para su correcta aplicación y limpieza y la disposicion final de residuos.</t>
  </si>
  <si>
    <t>gb</t>
  </si>
  <si>
    <t>Suministro e instalacion de alambre No. 10,Incluye todas las herramientas para su correcta aplicación y limpieza y la disposicion final de residuos.</t>
  </si>
  <si>
    <t>Suministro e instalación de tablero de 8 circuitos. Incluye elementos de soporte y fijación , limpieza y la disposición final de residuos.</t>
  </si>
  <si>
    <t>Mantenimiento y revisión de salidas eléctricas para iluminación, Incluye cambio de cableado,Incluye todas las herramientas para su correcta aplicación y limpieza y la disposicion final de residuos.</t>
  </si>
  <si>
    <t>Mantenimiento sistema electrico tanque subterraneo (Incluye revisión de motobomba, revisión conexiones eléctricas y cambio de flotador). Incluye todas las herramientas para su correcta aplicación y limpieza y la disposicion final de residuos.</t>
  </si>
  <si>
    <t>Suministro e instalacion de contactor Schneider 95 amperios. Incluye desmonte de contactor en mal de estado.Incluye todas las herramientas para su correcta aplicación y limpieza y la disposicion final de residuos.</t>
  </si>
  <si>
    <t>Suminsitro e Instalacion de tomacorriente doble.Incluye todas las herramientas para su correcta aplicación y limpieza y la disposicion final de residuos.</t>
  </si>
  <si>
    <t>Suminsitro e Instalacion de interruptor sencillo,Incluye todas las herramientas para su correcta aplicación y limpieza y la disposicion final de residuos.</t>
  </si>
  <si>
    <t>Suminsitro e Instalacion de interruptor doble,Incluye todas las herramientas para su correcta aplicación y limpieza y la disposicion final de residuos.</t>
  </si>
  <si>
    <t>Suminsitro e Instalacion de interruptor triple,Incluye todas las herramientas para su correcta aplicación y limpieza y la disposicion final de residuos.</t>
  </si>
  <si>
    <t>Suministro e Instalacion de Asiento para Sanitario Basic Redondo,Incluye todas las herramientas para su correcta aplicación y limpieza y la disposicion final de residuos.</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</si>
  <si>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</si>
  <si>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</si>
  <si>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</si>
  <si>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</si>
  <si>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</si>
  <si>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</si>
  <si>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</si>
  <si>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</si>
  <si>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</si>
  <si>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</si>
  <si>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</si>
  <si>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</si>
  <si>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</si>
  <si>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</si>
  <si>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</si>
  <si>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</si>
  <si>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</si>
  <si>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</si>
  <si>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</si>
  <si>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</si>
  <si>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</si>
  <si>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</si>
  <si>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</si>
  <si>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</si>
  <si>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</si>
  <si>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</si>
  <si>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</si>
  <si>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</si>
  <si>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</si>
  <si>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</si>
  <si>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</si>
  <si>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</si>
  <si>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</si>
  <si>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</si>
  <si>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</si>
  <si>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</si>
  <si>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</si>
  <si>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Suministro e instalacion de Viga Corrida concreto de 3,000 psi 0,30x0,40 para cimentacion, inlcuye refuerzo longitudinal en varillas de 3/8", acero figurado, estribos espaciados cada 15 cm angúlo de 90°. Limpieza de las áreas afectadas y disposición final de residuos</t>
  </si>
  <si>
    <t>Suministro e instalacion de Columneta en concreto de 3,000 psi de 0,15x0,2 para confinamiento, incluye refuerzo longitudinal varillas de 3/8" a 1/2"y transversal, estribos separados 15 cm con ángulo de 90°. Limpieza de las áreas afectadas y disposición final de residuos</t>
  </si>
  <si>
    <t>Suministro e instalacion de Viga superior de borde culata concreto de 3,000 psi 0,30x0,40, inlcuye refuerzo longitudinal en varillas de 3/8", acero figurado, estribos espaciados cada 15 cm angúlo de 90°. Limpieza de las áreas afectadas y disposición final de residuos</t>
  </si>
  <si>
    <t>Suministro e Instalacion de marco y contramarco en angulo 2" x 3/16". Incluye fundida tapa de concreto,Incluye todas las herramientas para su correcta aplicación y limpieza y la disposicion final de residuos.</t>
  </si>
  <si>
    <t>7.28</t>
  </si>
  <si>
    <t>7.29</t>
  </si>
  <si>
    <t>7.30</t>
  </si>
  <si>
    <t>7.31</t>
  </si>
  <si>
    <t xml:space="preserve">Suministro e inslatación de bicapa manto asfáltico pentaflex 8mm alta exigencia. Incluye impermeabilizante emultexsa (22 kg) ,manto 4mm pentaflex poliet. manto doble refuerzo pe.+polyest. 4mm ,tela asfáltica n°15 (40m2) y todo lo necesario para su correcta construcción, retiro limpieza y disposición final de residuos. </t>
  </si>
  <si>
    <t xml:space="preserve">Suministro e inslatación de bicapa manto asfáltico pentaflex 8mm refuerzo polietileno incluye impermeabilizante emultexsa (22 kg) , manto 4mm pentaflex poliet.,tela asfáltica n°15 (40m2) y todo lo necesario para su correcta construcción, retiro limpieza y disposición final de residuos. </t>
  </si>
  <si>
    <t>Suministro e inslatación de membrana sintética covertexsa pvc sistema flotado. incluye masilla water cut off mastic , membrana sinté. covertexsa pvc 1.2mm , sellante adhesivo texsaelastik ,sellante para bordes recortados  y todo lo necesario para su correcta construcción, retiro limpieza y disposición final de residuos.</t>
  </si>
  <si>
    <t>Suministro e inslatación de membrana sintética tpo 1.2mm membrana sintética tpo sistema flotado . incluye masilla water cut off mastic , membrana sintética tpo 1.2mm , sellante adhesivo texsaelastik , sellante para bordes recortados  y todo lo necesario para su correcta construcción, retiro limpieza y disposición final de residuos.</t>
  </si>
  <si>
    <t>Suministro e inslatación de monocapa manto asfáltico morterplas 4mm ref.polietileno, incluye impermeabilizante emultexsa (22 kg) , manto asfál.4mm ref.pe ,tela asfáltica n°15 (40m2)  y todo lo necesario para su correcta construcción, retiro limpieza y disposición final de residuos.</t>
  </si>
  <si>
    <t>Suministro e inslatación de bicapa manto asfáltico pentaflex 7.6mm foil al.ref.polie incluye  impermeabilizante emultexsa (22 kg) ,manto asfál 3.2mm foil aluminio ref.pe ,manto asfál.4mm ref.pe , pintura bituminosa alum. tipo leafing (16kg) y todo lo necesario para su correcta construcción, retiro limpieza y disposición final de residuos.</t>
  </si>
  <si>
    <t>Suministro e inslatación de membrana sintética covertexsa pvc sistema anclado incluye masilla water cut off mastic,membrana sinté. covertexsa pvc 1.2mm , membrana sintética tpo sin refuerzo , sellante adhesivo texsaelastik , sellante para bordes recortados  y todo lo necesario para su correcta construcción, retiro limpieza y disposición final de residuos.</t>
  </si>
  <si>
    <t>Suministro e inslatación de membrana sintética tipo sistema ancladoincluye masilla water cut off mastic,membrana sintética tipo 1.2 mm, sellante adhesivo texsaelastik , sellante para bordes recortados  y todo lo necesario para su correcta construcción, retiro limpieza y disposición final de residuos.</t>
  </si>
  <si>
    <t>Suministro e inslatación de monocapa manto asf.morterplas 3.5mm foil alum.ref.polie. m. incluye impermeabilizante emultexsa (22 kg), manto asfál 3.5mm foil aluminio ref.pe. pintura bituminosa alum. tipo leafing (16kg)  y todo lo necesario para su correcta construcción, retiro limpieza y disposición final de residuos.</t>
  </si>
  <si>
    <t>Suministro e inslatación de monocapa manto asf.morterplas 3.6mm foil alum.ref.polie. m. incluye impermeabilizante emultexsa (22 kg), manto asfál 3.6mm foil aluminio ref.pe. pintura bituminosa alum. tipo leafing (16kg)  y todo lo necesario para su correcta construcción, retiro limpieza y disposición final de residuos.</t>
  </si>
  <si>
    <t>Suministro e inslatación de membrana sintética tpo para tanques de agua. incluye masilla water cut off mastic , membrana sintética tpo 1.2mm ,membrana sintética tpo sin refuerzo , sellante adhesivo texsaelastik , sellante para bordes recortados y todo lo necesario para su correcta construcción, retiro limpieza y disposición final de residuos.</t>
  </si>
  <si>
    <t>Aplicación de mortero impermeabilizado con XYPEX e= 4 cms. Incluye la limpieza de las areas afectadas. Incluye todas las herramientas para su correcta aplicación y limpieza y la disposicion final de residuos.</t>
  </si>
  <si>
    <t>Suministro y construccion de muro en Dry Wall doble caras e= 0,10 cms. Incluye todos los materiales necesarios para su correcta construccion, retiro, disposicion final de residuos y limpieza de las areas afectadas.</t>
  </si>
  <si>
    <t>Regata en muro (Incluye corte, demoliión, resane y pintura). Inlcuye limpieza de las areas afectadas.</t>
  </si>
  <si>
    <t xml:space="preserve">Cierre de orificio en mampoteria. Incluye pañete, estuco y pintura </t>
  </si>
  <si>
    <t>Suministro, instalacion y transporte de gabinete cocina superior de 3,15 x 0,60 * 0,30 en PVC, enchapado en lamina de formica (color a escoger) con jaladores tipo manijas satinados y demas accesorios para su debido funcionamiento. Incluye todas las herramientas para su correcta aplicación y limpieza y la disposicion final de residuos.</t>
  </si>
  <si>
    <t>Suministro, instalacion y transporte de gabinete cocina inferior de 3,15 x 0,80 * 0,60 en PVC, enchapado en lamina de formica (color a escoger) con jaladores tipo manijas satinados y demas accesorios para su debido funcionamiento.Incluye todas las herramientas para su correcta aplicación y limpieza y la disposicion final de residuos.</t>
  </si>
  <si>
    <t>Desmonte, mantenimiento y reinstalacion de meson de cocina,Incluye todas las herramientas para su correcta aplicación y limpieza y la disposicion final de residuos.</t>
  </si>
  <si>
    <t>Cerramiento en lamina superboard. Incluye transporte,Incluye todas las herramientas para su correcta aplicación y limpieza y la disposicion final de residuos.</t>
  </si>
  <si>
    <t>Suministro e instalacion de ventana tipo celosia en aluminio anodizado natural color blanco mate con vidrio en cristal templado laminado 4+4 = 8 MM con tubular estructural (Calibre 16) de 3" X 1 1/2", adaptador, pisa vidrio y empaque de referencia 3831.  Incluye, la disposicion final de residuos y limpieza de las areas afectadas.</t>
  </si>
  <si>
    <t>Suministro e instalacion de ventana en aluminio anodizado natural color blanco mate con vidrio en cristal templado laminado 4+4 = 8 MM con tubular estructural (Calibre 16) de 3" X 1 1/2", adaptador, pisa vidrio y empaque de referencia 3831. Incluye, la disposicion final de residuos y limpieza de las areas afectadas.</t>
  </si>
  <si>
    <t>Suministro e instalacion de ventana corrediza en aluminio natural mate con vidrio de 4 mm con adaptador, pisa vidrio y empaques. Incluye, la disposicion final de residuos y limpieza de las areas afectadas.</t>
  </si>
  <si>
    <t>Suministro e instalacion puerta y marco en flormorado 2.00x0.80 cms de ancho. Incluye, pintura, bisagras, tornillos en ambas caras, chapa, la disposicion final de residuos y limpieza de las areas afectadas.</t>
  </si>
  <si>
    <t>Suministro e instalacion de puerta en madera de 2.00x0.90 cms de ancho. Incluye, pintura, bisagras, tornillos en ambas caras, chapa, la disposicion final de residuos y limpieza de las areas afectadas.</t>
  </si>
  <si>
    <t>Suministro e instalacion de puerta en flormorado de 2.00x1.00 cms de ancho. Incluye, pintura, bisagras, tornillos en ambas caras, chapa, la disposicion final de residuos y limpieza de las areas afectadas.</t>
  </si>
  <si>
    <t>Suministro e instalacion marco en flormorado 2.00x0.80. Incluye, pintura, tornillos en ambas caras, chapa, la disposicion final de residuos y limpieza de las areas afectadas.</t>
  </si>
  <si>
    <t>Suministro e instalacion puerta en lamina. Incluye, pintura, anticorrosivo, bisagras, tornillos en ambas caras, chapa, la disposicion final de residuos y limpieza de las areas afectadas.</t>
  </si>
  <si>
    <t>Lavado de ventana existente. Incluye la disposicion final de residuos y limpieza de las areas afectadas.</t>
  </si>
  <si>
    <t>Suministro e instalacion de puerta reja en tuberia cuadrada de 1" calibre 18 con marco. Incluye, pintura, tornillos en ambas caras, chapa, la disposicion final de residuos y limpieza de las areas afectadas.</t>
  </si>
  <si>
    <t>Suministro e instalacion de mueble bajo en sapan para cocina existente. Incluye entrepaños, cajones con rieles telescopicos y puertas con bisagras alemanas, pintura, tornillos en ambas caras, chapa, la disposicion final de residuos y limpieza de las areas afectadas.</t>
  </si>
  <si>
    <t>Suministro e instalacion de mueble alto en sapan para cocina existente. Incluye entrepaños, cajones con rieles telescopicos y puertas con bisagras alemanas, pintura, tornillos en ambas caras, chapa, la disposicion final de residuos y limpieza de las areas afectadas.</t>
  </si>
  <si>
    <t xml:space="preserve">Suministro e instalacion de divisiones para baño en cristal laminado templado 5+5, con pelicula PVB de color tipo pannel. Incluye anclajes y accesorios en acero inoxidable. </t>
  </si>
  <si>
    <t>Suministro e instalacion de estructura para cubierta en tuberia rectangular de 100x50x2,0 mm. Incluye platinas de fijacion y soldadura</t>
  </si>
  <si>
    <t>Suministro e instalación porton metalico de acceso de 2.80m de ancho por 2.60m de alto, en tuberia redonda y lamina en punta de diamante con cerrojos y picaporte, incluye pintura anticorrosiva y acabado en esmalte y todo lo necesario para su instalación, la disposicion final de residuos y limpieza de las areas afectadas.</t>
  </si>
  <si>
    <t xml:space="preserve">Suministro e instalación de guaya y candado, para puertas en reja acceso,Incluye todas las herramientas para su correcta aplicación y limpieza y la disposicion final de residuos. </t>
  </si>
  <si>
    <t>Desmonte de cerradura,Incluye todas las herramientas para su correcta aplicación y limpieza y la disposicion final de residuos.</t>
  </si>
  <si>
    <t>Suministro e instalación de cerradura 987 de sobreponer, marca YALE para puertas de acceso,Incluye todas las herramientas para su correcta aplicación y limpieza y la disposicion final de residuos.</t>
  </si>
  <si>
    <t>Suministro e instalación de cerrojo doble, puerta acceso lateral y cuarto primer piso, Incluye todas las herramientas para su correcta aplicación y limpieza y la disposicion final de residuos.</t>
  </si>
  <si>
    <t>un</t>
  </si>
  <si>
    <t>Suministro e instalación cerradura pico loro, para puertas corredizas alcobas segundo piso,Incluye todas las herramientas para su correcta aplicación y limpieza y la disposicion final de residuos.</t>
  </si>
  <si>
    <t>Suministro e instalación de pie de amigos,Incluye todas las herramientas para su correcta aplicación y limpieza y la disposicion final de residuos.</t>
  </si>
  <si>
    <t>Desmonte y reinstalacion de sanitario,Incluye todas las herramientas para su correcta aplicación y limpieza y la disposicion final de residuos.</t>
  </si>
  <si>
    <t>Desmonte y reinstalacion de lavamanos,Incluye todas las herramientas para su correcta aplicación y limpieza y la disposicion final de residuos.</t>
  </si>
  <si>
    <t>Mantenimiento marco en madera para ventana. Incluye lijada, resane, pintura y cambio de piezas de mal estado,Incluye todas las herramientas para su correcta aplicación y limpieza y la disposicion final de residuos.</t>
  </si>
  <si>
    <t>Mantenimiento baranda acero inoxidable. Incluye limpieza, remocion de oxido, desengrase y brillado,Incluye todas las herramientas para su correcta aplicación y limpieza y la disposicion final de residuos.</t>
  </si>
  <si>
    <t>Mantenimiento pasamanos acero inoxidable. Incluye limpieza, remocion de oxido, desengrase y brillado.Incluye todas las herramientas para su correcta aplicación y limpieza y la disposicion final de residuos.</t>
  </si>
  <si>
    <t>Suministro e instalacion de brazo hidraulico hasta 45kh marca yale,Incluye todas las herramientas para su correcta aplicación y limpieza y la disposicion final de residuos.</t>
  </si>
  <si>
    <t>Suministro e instalacion de pasador metalico para ventanas.Incluye todas las herramientas para su correcta aplicación y limpieza y la disposicion final de residuos.</t>
  </si>
  <si>
    <t>Suministro e instalacion de rejilla tipo cupula 4". Inlciue todos los elementos para su correcta instalación. Limpieza final de las areas afectadas.</t>
  </si>
  <si>
    <t>Suministro e Instalacion de guaya plastificada de 1/4". Incluiye elementos de tension y sujecion. Incluye todas las herramientas para su correcta aplicación y limpieza y la disposicion final de residuos.</t>
  </si>
  <si>
    <t>Mantenimiento Puertas en madera,Incluye todas las herramientas para su correcta aplicación y limpieza y la disposicion final de residuos.</t>
  </si>
  <si>
    <t>Mantenimiento ventanas en madera,Incluye todas las herramientas para su correcta aplicación y limpieza y la disposicion final de residuos.</t>
  </si>
  <si>
    <t>Mantenimiento mueble superior e inferior de cocina,Incluye todas las herramientas para su correcta aplicación y limpieza y la disposicion final de residuos.</t>
  </si>
  <si>
    <t>Suminsitro mueble inferior baño REF: Floresta (Incluye lavamanos de sobreponer y griferia),Incluye todas las herramientas para su correcta aplicación y limpieza y la disposicion final de residuos.</t>
  </si>
  <si>
    <t>Mantenimiento mesón cocina en acero inoxidable,Incluye todas las herramientas para su correcta aplicación y limpieza y la disposicion final de residuos.</t>
  </si>
  <si>
    <t>Desmonte de Closets de madera,Incluye todas las herramientas para su correcta aplicación y limpieza y la disposicion final de residuos.</t>
  </si>
  <si>
    <t>Mantenimiento de Closets en madera. Incluye lijado, masillado y cambio de piezas en mal estado,Incluye todas las herramientas para su correcta aplicación y limpieza y la disposicion final de residuos.</t>
  </si>
  <si>
    <t>Suministro e Instalacion estructura de madera,Incluye todas las herramientas para su correcta aplicación y limpieza y la disposicion final de residuos.</t>
  </si>
  <si>
    <t>Suministro e Instalacion de ventana en madera,Incluye todas las herramientas para su correcta aplicación y limpieza y la disposicion final de residuos.</t>
  </si>
  <si>
    <t>Suministro e Instalacion de cerradura para baño tipo pomo,Incluye todas las herramientas para su correcta aplicación y limpieza y la disposicion final de residuos.</t>
  </si>
  <si>
    <t>Mantenimiento de puertas metálicas de 2.00x1.00. Incluye, raspado, lijado, resane, pintura, arreglo o cambio de bisagras, tornillos en ambas caras, retiro, disposicion final de residuos y limpieza de las areas afectadas.</t>
  </si>
  <si>
    <t>Suministro e Instalacion de division de baño en aluminio y vidrio,Incluye todas las herramientas para su correcta aplicación y limpieza y la disposicion final de residuos.</t>
  </si>
  <si>
    <t>Suministro e instalacion de marco para puerta en lamina 0,8 mts,Incluye todas las herramientas para su correcta aplicación y limpieza y la disposicion final de residuos.</t>
  </si>
  <si>
    <t>Mantenimiento carpinteria en alumino y vidrio (puertas, ventanas). Inclye desengrase, cambio de rodachinas, cambio de guia, cambio de empaques,Incluye todas las herramientas para su correcta aplicación y limpieza y la disposicion final de residuos.</t>
  </si>
  <si>
    <t>Mantenimiento de rejas metalicas. Incluye, raspado, lijado, resane, pintura,antocorrosivo, cambio de piezas, soldaduras, arreglo o cambio de bisagras, tornillos en ambas caras, retiro, disposicion final de residuos y limpieza de las areas afectadas.</t>
  </si>
  <si>
    <t>Suministro e instalación de reja metálica para ventanas,Incluye todas las herramientas para su correcta aplicación y limpieza y la disposicion final de residuos.</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</si>
  <si>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</si>
  <si>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</si>
  <si>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</si>
  <si>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</si>
  <si>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</si>
  <si>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</si>
  <si>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</si>
  <si>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</si>
  <si>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</si>
  <si>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</si>
  <si>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</si>
  <si>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</si>
  <si>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</si>
  <si>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</si>
  <si>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</si>
  <si>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</si>
  <si>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</si>
  <si>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</si>
  <si>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</si>
  <si>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</si>
  <si>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</si>
  <si>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</si>
  <si>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</si>
  <si>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</si>
  <si>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</si>
  <si>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</si>
  <si>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</si>
  <si>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</si>
  <si>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</si>
  <si>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</si>
  <si>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</si>
  <si>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</si>
  <si>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</si>
  <si>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</si>
  <si>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</si>
  <si>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</si>
  <si>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</si>
  <si>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</si>
  <si>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</si>
  <si>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</si>
  <si>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</si>
  <si>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</si>
  <si>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</si>
  <si>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</si>
  <si>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</si>
  <si>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</si>
  <si>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Mantenimiento de cielo raso en madera. Incluye inmunizante tipo MADUREX. Incluye todas las herramientas para su correcta aplicación y limpieza y la disposicion final de residuos.</t>
  </si>
  <si>
    <t>Mantenimiento de cubiertas en teja. Incluye el remplazo de piezas y pintura de proteccion. Incluye todas las herramientas para su correcta aplicación y limpieza y la disposicion final de residuos.</t>
  </si>
  <si>
    <t>Suministro e instalación de cieloraso Dry Wall  antihumedad 1/2". Incluye retiro, aplicación de pintura vinilo o acrilica, 2 manos bajo placa. Incluye todas las herramientas para su correcta aplicación y limpieza y la disposicion final de residuos.</t>
  </si>
  <si>
    <t>Suministro e instalación de cieloraso Dry Wall  1/2". Incluye retiro, aplicación de pintura vinilo o acrilica, 2 manos bajo placa, y todo lo necesario para su correcta instalación. Incluye todas las herramientas para su correcta aplicación y limpieza y la disposicion final de residuos.</t>
  </si>
  <si>
    <t>Suministro e instalación de cieloraso plano superboard 8mm. Incluye retiro, aplicación de pintura vinilo o acrilica, 2 manos bajo placa y todo lo necesario para su correcta instalación. Incluye todas las herramientas para su correcta aplicación y limpieza y la disposicion final de residuos.</t>
  </si>
  <si>
    <t>Suministro e instalación de cieloraso en bandeja aglomerado 60x 60 cm. Incluye retiro,  y todo lo necesario para su correcta instalación. Incluye todas las herramientas para su correcta aplicación y limpieza y la disposicion final de residuos.</t>
  </si>
  <si>
    <t>Suministro e instalación de cieloraso en lámina de policarbonato. Incluye retiro,  y todo lo necesario para su correcta instalación. Incluye todas las herramientas para su correcta aplicación y limpieza y la disposicion final de residuos.</t>
  </si>
  <si>
    <t>Suministro e instalación de cieloraso entablilla PVC. Incluye retiro,  y todo lo necesario para su correcta instalación. Incluye todas las herramientas para su correcta aplicación y limpieza y la disposicion final de residuos.</t>
  </si>
  <si>
    <t>Reparación de filtraciónes en cubierta. Incluye el cambio de las tejas, no incluye elementos estructurales. Incluye todas las herramientas para su correcta aplicación y limpieza y la disposicion final de residuos.</t>
  </si>
  <si>
    <t>Reparación de filtraciónes en cubierta. Incluye el cambio de tejas, incluye el cambio de elementos estructurales.Incluye todas las herramientas para su correcta aplicación y limpieza y la disposicion final de residuos.</t>
  </si>
  <si>
    <t>Suministro e instalacion de cubierta en policarbonato alveolar de e= 6 mm. No incluye su estructura. Incluye todas las herramientas para su correcta aplicación y limpieza y la disposicion final de residuos.</t>
  </si>
  <si>
    <t>Mantenimiento de cubierta en teja tipo eternit. Incluye limpieza, remplazo de piezas afectadas. No incluye la estructura. Incluye todas las herramientas para su correcta aplicación y limpieza y la disposicion final de residuos.</t>
  </si>
  <si>
    <t>Suministro e instalacion de cubierta en teja SHINGLE. Incluye estructura - triplex marino, vigas, correas y entramado en madera en cedro canadiense con tratamiento inmunizante y antihongos. No incluye su estructura. Incluye todas las herramientas para su correcta aplicación y limpieza y la disposicion final de residuos.</t>
  </si>
  <si>
    <t>Suministro e instalacion de cubierta termo acustica UPVC con fibra de carbono. No incluye su estructura. Incluye todas las herramientas para su correcta aplicación y limpieza y la disposicion final de residuos.</t>
  </si>
  <si>
    <t>Suministro e instalacion de caballete UPVC con fibra de carbono de 3 mm. Incluye todas las herramientas para su correcta aplicación y limpieza y la disposicion final de residuos.</t>
  </si>
  <si>
    <t>Suministro e instalación cubierta en barro. Incluye materiales Incluye todas las herramientas para su correcta aplicación y limpieza y la disposicion final de residuos.</t>
  </si>
  <si>
    <t>Suministro e instalacion de flanche galvanizado.Incluye todas las herramientas para su correcta aplicación y limpieza y la disposicion final de residuos.</t>
  </si>
  <si>
    <t>Suministro e instalacion de cielo raso en yeso de 60 X 60, tipo STYLE GYSUM o similar. Incluye todas las herramientas para su correcta aplicación y limpieza y la disposicion final de residuos.</t>
  </si>
  <si>
    <t>Suministro e instalacion de cielo raso para baños tipo LAY IN DE HUNTER DOUGLAS o similar. Incluye su estructura. Incluye todas las herramientas para su correcta aplicación y limpieza y la disposicion final de residuos.</t>
  </si>
  <si>
    <t>Suministro e instalacion de teja en fibrocemento. Incluye todas las herramientas para su correcta aplicación y limpieza y la disposicion final de residuos.</t>
  </si>
  <si>
    <t>Suministro e Instalacion de tapa de inspeccion 60x60 en superboard.Incluye todas las herramientas para su correcta aplicación y limpieza y la disposicion final de residuos.</t>
  </si>
  <si>
    <t>Suministro e Instalacion Teja Eternit tipo Española. Incluye todas las herramientas para su correcta aplicación y limpieza y la disposicion final de residuos.</t>
  </si>
  <si>
    <t>Desmonte de Estructura de Cubierta en Madera altura maxima 2,50 mts.Incluye todas las herramientas para su correcta aplicación y limpieza y la disposicion final de residuos.</t>
  </si>
  <si>
    <t>Suministro e Instalacion de Teja traslucida No. 6.Incluye todas las herramientas para su correcta aplicación y limpieza y la disposicion final de residuos.</t>
  </si>
  <si>
    <t>Mantenimiento de fachadas. Incluye hidrolavado. Incluye todas las herramientas para su correcta aplicación y limpieza y la disposicion final de residuos.</t>
  </si>
  <si>
    <t>Resane, suministro y aplicación de pintura vinilo tipo 1 para muros y techos, dos manos. Incluye la limpieza de las areas afectadas. Incluye todas las herramientas para su correcta aplicación y limpieza y la disposicion final de residuos.</t>
  </si>
  <si>
    <t>Aplicación de resane de muros con mortero 1:4. Incluye la limpieza de las areas afectadas y disposción de residuos.</t>
  </si>
  <si>
    <t>Aplicación de estuco y resane en muros.  Incluye la limpieza de las areas afectadas y disposción de residuos.</t>
  </si>
  <si>
    <t>Limpieza de Canales con agua a presión. Incluye la limpieza de las areas afectadas y disposción de residuos.</t>
  </si>
  <si>
    <t>Limpieza de Bajantes con agua a presión. Incluye la limpieza de las areas afectadas y disposción de residuos.</t>
  </si>
  <si>
    <t>Impermeabilización de Canales. Incluye la limpieza de las areas afectadas y disposción de residuos.</t>
  </si>
  <si>
    <t>Aplicación de pañete impermeabilizado muros 1:4. Incluye la limpieza de las areas afectadas y disposción de residuos.</t>
  </si>
  <si>
    <t>Aplicación de pañete impermeabilizado muros 1:3. Incluye la limpieza de las areas afectadas y disposción de residuos.</t>
  </si>
  <si>
    <t>Aplicación de pañete bajo placa y/o malla 1:4. Incluye la limpieza de las areas afectadas y disposción de residuos.</t>
  </si>
  <si>
    <t>Aplicación de pañete bajo placa y/o malla 1:5. Incluye la limpieza de las areas afectadas y disposción de residuos.</t>
  </si>
  <si>
    <t>Aplicación de pañete bajo placa y/o malla 1:6. Incluye la limpieza de las areas afectadas y disposción de residuos.</t>
  </si>
  <si>
    <t>Mantenimiento de viga canal con manto EDIL 3 MM. Incluye la limpieza de las areas afectadas y disposción de residuos.</t>
  </si>
  <si>
    <t>Aplicación de pañete liso para muros 1:3. Incluye la limpieza de las areas afectadas y disposción de residuos.</t>
  </si>
  <si>
    <t>Aplicación de pañete liso para muros 1:4. Incluye la limpieza de las areas afectadas y disposción de residuos.</t>
  </si>
  <si>
    <t>Aplicación de pañete liso para muros 1:6. Incluye la limpieza de las areas afectadas y disposción de residuos.</t>
  </si>
  <si>
    <t>Lavado de fachadas en piedra muñeca. Incluye el desmanchado, hidrofugado, reemboquillado y sellado, Incluye todas las herramientas para su correcta aplicación y limpieza y la disposicion final de residuos.</t>
  </si>
  <si>
    <t>Suministro y aplicación de poliurea tipo SIKALASTIC 841, con textura rugosa color a elegir e= 80 A 100 MILS, Elongacion de 350 A 450%, Esfuerzo a la rotura de 3000 A 3500 PSI, 100% Certificada o similar. Incluye la limpieza de las areas afectadas Incluye todas las herramientas para su correcta aplicación y limpieza y la disposicion final de residuos.</t>
  </si>
  <si>
    <t>Aplicación de pañete rústico bajo placa 1:5. Incluye la limpieza de las areas afectadas Incluye todas las herramientas para su correcta aplicación y limpieza y la disposicion final de residuos.</t>
  </si>
  <si>
    <t>Aplicación de pañete rústico muros 1:5. Incluye la limpieza de las areas afectadas Incluye todas las herramientas para su correcta aplicación y limpieza y la disposicion final de residuos.</t>
  </si>
  <si>
    <t>Suministro e Instalacion de cordon en mortero con vidrio picado para remate sobre muro Incluye todas las herramientas para su correcta aplicación y limpieza y la disposicion final de residuos.</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</si>
  <si>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</si>
  <si>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</si>
  <si>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</si>
  <si>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</si>
  <si>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</si>
  <si>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</si>
  <si>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</si>
  <si>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</si>
  <si>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</si>
  <si>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</si>
  <si>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</si>
  <si>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</si>
  <si>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</si>
  <si>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</si>
  <si>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</si>
  <si>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</si>
  <si>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</si>
  <si>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</si>
  <si>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</si>
  <si>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</si>
  <si>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</si>
  <si>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</si>
  <si>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</si>
  <si>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</si>
  <si>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</si>
  <si>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</si>
  <si>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</si>
  <si>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</si>
  <si>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</si>
  <si>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</si>
  <si>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</si>
  <si>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</si>
  <si>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</si>
  <si>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</si>
  <si>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</si>
  <si>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</si>
  <si>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</si>
  <si>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</si>
  <si>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</si>
  <si>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</si>
  <si>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</si>
  <si>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</si>
  <si>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</si>
  <si>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</si>
  <si>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</si>
  <si>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 xml:space="preserve">Suministro e instalacion de piso en alfombra argollada multinivel 650gr . Incluye cenmento plástico, la limpieza y pulido de las areas afectadas.  </t>
  </si>
  <si>
    <t>Suministro e instalación de enchape arcilla 30x15 para piso.Incluye todas las herramientas para su correcta aplicación y limpieza y la disposicion final de residuos.</t>
  </si>
  <si>
    <t>Suministro e Instalacion de Guardaescoba en ceramica.Incluye todas las herramientas para su correcta aplicación y limpieza y la disposicion final de residuos.</t>
  </si>
  <si>
    <t>13.34</t>
  </si>
  <si>
    <t>13.35</t>
  </si>
  <si>
    <t>13.36</t>
  </si>
  <si>
    <t>Suministro e instalacion de sanitario blanco. Incluye, Griferia ahorradora, emboquillado, nivelacion y limpieza de las areas afectadas. Gama alta</t>
  </si>
  <si>
    <t>Cambio, suministro e instalación de sifón flexible doble Coflex. Incluye todos los accesorios y lo necesario para su correcta instalación.</t>
  </si>
  <si>
    <t xml:space="preserve">Suministro e instalacion de orinal tipo  II. Incluye,  todo lo necesaio para su correcta instalación y limpieza de las areas afectadas. </t>
  </si>
  <si>
    <t xml:space="preserve">Suministro e instalacion de ducha con grifería tipo I. Incluye,  todo lo necesaio para su correcta insstlaación y limpieza de las areas afectadas. </t>
  </si>
  <si>
    <t xml:space="preserve">Suministro e instalacion de ducha con grifería tipo II. Incluye,  todo lo necesaio para su correcta insstlaación y limpieza de las areas afectadas. </t>
  </si>
  <si>
    <t>Suministro e instalacion de meson en lamina de cuarzo de 2 cms de espesor, ancho de 0,60 cms, Quartz Stone tipo TOP TILE o similar, canto y salpicadero de 0,10 cms del mismo material, se debe instalar sobre una estructura resistente metalica pintada con anticorrosivo y esmalte del color del cuarzo (color por seleccionar). Incluye las aperturas para griferia y lavamanos, pulida y brillado de las partes, los empalmes entre las laminas deben estar acolilladas a 45°, de union exacta y brillado debe ser acolillado, la limpieza de las areas afectadas y nivelacion..</t>
  </si>
  <si>
    <t>Suministro e instalación de LUXACELL en acero. Incluye la limpieza de las areas afectadas y nivelacion.</t>
  </si>
  <si>
    <t>Suministro e Instalacion de juego accesorios para incrustar Alegro. Incluye la limpieza de las areas afectadas y nivelacion.</t>
  </si>
  <si>
    <t>Suministro e Instalacion de juego accesorios para incrustar acuario. Incluye la limpieza de las areas afectadas y nivelacion.</t>
  </si>
  <si>
    <t xml:space="preserve">Suministro e instalacion de aparato sanitario nacional. Incluye, Griferia, emboquillado, nivelacion y limpieza de las areas afectadas. </t>
  </si>
  <si>
    <t xml:space="preserve">Suministro e instalacion de sanitario GANAMAX. Incluye, Griferia ahorradora, emboquillado, nivelacion y limpieza de las areas afectadas. </t>
  </si>
  <si>
    <t>Suministro e Instalacion de Grifería lavaplatos mezclador 8 pulgadas palanca Sevilla palanca Grival</t>
  </si>
  <si>
    <t>Suministro, instalacion y transporte de campana extractora rectangular, marca Haceb de 60 cm, Negra Kala Ref: 326113</t>
  </si>
  <si>
    <t>14.43</t>
  </si>
  <si>
    <t>14.44</t>
  </si>
  <si>
    <t>14.45</t>
  </si>
  <si>
    <t>14.46</t>
  </si>
  <si>
    <t>14.47</t>
  </si>
  <si>
    <t>14.48</t>
  </si>
  <si>
    <t>14.49</t>
  </si>
  <si>
    <t>14.50</t>
  </si>
  <si>
    <t>14.51</t>
  </si>
  <si>
    <t>14.52</t>
  </si>
  <si>
    <t>14.53</t>
  </si>
  <si>
    <t>14.54</t>
  </si>
  <si>
    <t>14.55</t>
  </si>
  <si>
    <t>14.56</t>
  </si>
  <si>
    <t>14.57</t>
  </si>
  <si>
    <t>14.58</t>
  </si>
  <si>
    <t>14.59</t>
  </si>
  <si>
    <t>14.60</t>
  </si>
  <si>
    <t>Cambio de guardas sencilla</t>
  </si>
  <si>
    <t>Limpieza y aseo (cuadrilla de ase KK)</t>
  </si>
  <si>
    <t>Limpieza y aseo (cuadrilla de ase KK, incluye planta eléctrica y suministro de agua)</t>
  </si>
  <si>
    <t>Suministro e Instalacion de cordon de Sikaflex 1A. Incluye limpieza de superficie</t>
  </si>
  <si>
    <t>Manejo Integral y Control de Plagas (Insectos Voladores, Rastreros, roedores menores y comejen.). Para una area hasta 220 m²</t>
  </si>
  <si>
    <t>Poda de árbol, incluye limpieza y remoción de residuos</t>
  </si>
  <si>
    <t>Contenedor Bodega de 20 pies, inlcuye armado, transporte y desinstalación. Incluye la limpieza de las zonas afectadas</t>
  </si>
  <si>
    <t>Mes</t>
  </si>
  <si>
    <t>Suministro e instalacion de Concertina Sencilla. Inluye la disposisción final de residuos</t>
  </si>
  <si>
    <t>Revision, diagnostico y mantenimiento de jacuzzi. Incluye todos los elementos para su funcionamiento.</t>
  </si>
  <si>
    <t>Desmonte y construccion general de bacones y cubiertas tipo colonial. Incluye demolición de balcones, reemplazo de estructura en madera colonial, con armagasa, incluye balaustrada y demás detalles coloniales exisitentes. Inluye la disposisción final de residuos</t>
  </si>
  <si>
    <t>Mantenimiento piscina - alberca. Inluye la disposisción final de residuos</t>
  </si>
  <si>
    <t>Desmonte y reinstalación de tanque de agua existente de 500 a 1000 lts. Incluye resitalacion de tuberia y accesorios, Inluye la disposisción final de residuos</t>
  </si>
  <si>
    <t>Lavado y desinfección tanque (Incluye evacuación y llenado del tanque, limpieza y desinfección, revisión y arreglo de posibles fisuras).Inluye la disposisción final de residuos</t>
  </si>
  <si>
    <t>Desmonte y reinstalacion de Concertina exisitente, Inluye la disposisción final de residuos</t>
  </si>
  <si>
    <t>Lavado de pisos con hidrolavadora, Inluye la disposisción final de residuos</t>
  </si>
  <si>
    <t>16.1</t>
  </si>
  <si>
    <t>Suministro e instalacion de estufa 4 puestos a gas con cubierta en vidrio. Tamaño 58 x 51 cm</t>
  </si>
  <si>
    <t>16.2</t>
  </si>
  <si>
    <t>Suministro e instalacion de horno a gas. Tamaño 60 x 62 X 49 cm</t>
  </si>
  <si>
    <t>16.3</t>
  </si>
  <si>
    <t>Suministro e instalacion de estufa 4 puestos a gas con cubierta en vidrio. Tamaño 66 x 54 cm</t>
  </si>
  <si>
    <t>16.4</t>
  </si>
  <si>
    <t>Manteniniento cielo raso en drywall. Incluye lijado, masillado y pintura. No incluye reposicion de laminas</t>
  </si>
  <si>
    <t>16.5</t>
  </si>
  <si>
    <t>Revision y diagnostico sistema electrico en general.</t>
  </si>
  <si>
    <t>16.6</t>
  </si>
  <si>
    <t>Revision, diagnostico y piscina. Incluye todos los elementos para su funcionamiento.</t>
  </si>
  <si>
    <t>16.7</t>
  </si>
  <si>
    <t>Suministro e instalacion de puerta doble en madera de 2.00x1.50 cms de ancho. Incluye, pintura, bisagras, tornillos en ambas caras, chapa, la disposicion final de residuos y limpieza de las areas afectadas.</t>
  </si>
  <si>
    <t>16.8</t>
  </si>
  <si>
    <t>Suministro y aplicación de pintura koraza para pergolas, dos manos. Incluye hidrolavado todos los materiales necesarios para su correcta aplicación, el retiro, limpieza y la disposicion final de residuos.</t>
  </si>
  <si>
    <t>16.9</t>
  </si>
  <si>
    <t>Suministro y aplicación de pintura koraza para columnas, dos manos. Incluye hidrolavado todos los materiales necesarios para su correcta aplicación, el retiro, limpieza y la disposicion final de residuos.</t>
  </si>
  <si>
    <t>16.10</t>
  </si>
  <si>
    <t>Mantenimiento de capiteles con sikatop 122</t>
  </si>
  <si>
    <t>16.11</t>
  </si>
  <si>
    <t>Suministro e Instalacion de estufa cubierta en vidrio de 1.06 x 0.60, Incluye todas las herramientas para su correcta aplicación y limpieza y la disposicion final de residuos.</t>
  </si>
  <si>
    <t>16.12</t>
  </si>
  <si>
    <t>Suministro e Instalacion de lavamanos metálico diametro 40 cm, Incluye todas las herramientas para su correcta aplicación y limpieza y la disposicion final de residuos.</t>
  </si>
  <si>
    <t>16.13</t>
  </si>
  <si>
    <t>Suministro e Instalacion de lavaplatos doble en acero inoxidable de 95 x 45,  Incluye todas las herramientas para su correcta aplicación y limpieza y la disposicion final de residuos.</t>
  </si>
  <si>
    <t>16.14</t>
  </si>
  <si>
    <t>Suministro e Instalacion de motor electrico para puerta garaje levadiza. Incluye todas las herramientas para su correcta aplicación y limpieza y la disposicion final de residuos.</t>
  </si>
  <si>
    <t>16.15</t>
  </si>
  <si>
    <t>Suministro e Instalacion de motor electrico para puerta corrediza. Incluye todas las herramientas para su correcta aplicación y limpieza y la disposicion final de residuos.</t>
  </si>
  <si>
    <t>16.16</t>
  </si>
  <si>
    <t>Reparacion de columnas 20x20 en concreto con sikatop 122 mortero de reparacion. Incluye, raspado y rasqueteado de columna, picada de concreto, , pintura koraza y todos los materiales necesarios para su correcta aplicación, retiro, limpieza y la disposición final de residuos.</t>
  </si>
  <si>
    <t>16.17</t>
  </si>
  <si>
    <t>Reparacion de capitel  en concreto con sikatop 122 mortero de reparacion. Incluye rapado y rasqueteadode pintura existente, pintura koraza y todos los materiales necesarios para su correcta aplicación, retiro, limpieza y la disposición final de residuos.</t>
  </si>
  <si>
    <t>16.18</t>
  </si>
  <si>
    <t>Suministro e instalación de tapa en superboard hasta 60 cms. Inluye pintura y todos los materiales necesarios para su correcta aplicación, retiro, limpieza y la disposición final de residuos. Alturas mayores a 2,50 mts</t>
  </si>
  <si>
    <t>16.19</t>
  </si>
  <si>
    <t xml:space="preserve">Suministro e instalación de sikafill-300 Thermic impermeabilizacion losa de cubierta. Incluye todos los materiales necesarios para su correcta aplicación, el retiro, limpieza y la disposicion final de residuos. </t>
  </si>
  <si>
    <t>16.20</t>
  </si>
  <si>
    <t xml:space="preserve">Suministro e instalación de gargola en concreto 11 x 12 x 24 cm,Incluye todos los materiales necesarios para su correcta aplicación, el retiro, limpieza y la disposicion final de residuos. </t>
  </si>
  <si>
    <t>16.21</t>
  </si>
  <si>
    <t xml:space="preserve">Suministro e Instalacion de Tapaluz en madera de 4 cm x 1 cm espesor. Color tabaco, Incluye todos los materiales necesarios para su correcta aplicación, el retiro, limpieza y la disposicion final de residuos. </t>
  </si>
  <si>
    <t>16.22</t>
  </si>
  <si>
    <t xml:space="preserve">Suministro e instalación de llaves para lavamanos 4" Gricol,Incluye todos los materiales necesarios para su correcta aplicación, el retiro, limpieza y la disposicion final de residuos. </t>
  </si>
  <si>
    <t>16.23</t>
  </si>
  <si>
    <t xml:space="preserve">Suministro e instalación de accesorios para tanque sanitario acuacer,Incluye todos los materiales necesarios para su correcta aplicación, el retiro, limpieza y la disposicion final de residuos. </t>
  </si>
  <si>
    <t>16.24</t>
  </si>
  <si>
    <t>Desmonte de lámina en drywall. Incluye el retiro, limpieza y la disposición final de residuos.</t>
  </si>
  <si>
    <t>16.25</t>
  </si>
  <si>
    <t>Suministro e instalación de tapa lámina en superboard hasta 60 cm, incluye pintura, masilla estructura y todos los materiales necesarios para su correcta construcción, retiro y disposición final de residuos y limpieza de las áreas afectadas.</t>
  </si>
  <si>
    <t>16.26</t>
  </si>
  <si>
    <t>Hora ayudante albañileria con prestaciones</t>
  </si>
  <si>
    <t>16.27</t>
  </si>
  <si>
    <t xml:space="preserve">Suministro e instalación de roseta en porcelana para bombillo,Incluye todos los materiales necesarios para su correcta aplicación, el retiro, limpieza y la disposicion final de residuos. </t>
  </si>
  <si>
    <t>16.28</t>
  </si>
  <si>
    <t>Manejo Integral y Control de Plagas (Insectos Voladores, Rastreros, roedores menores y comejen.). Para una area mayor a 200m² y hasta 400 m²</t>
  </si>
  <si>
    <t>16.29</t>
  </si>
  <si>
    <t>Suministro e Instalacion de guardaescoba en PORCELANATO acabado semimate. Incluye la pega, la boquilla, dilatadores y la limpieza de las areas afectadas. (Precio Construdata)</t>
  </si>
  <si>
    <t>16.30</t>
  </si>
  <si>
    <t>Revision y Mantenimiento de Piscina, Incklyute cambio de tuberias y mantenimiento de bombas y demas accesorios para su correcto funcionamiento</t>
  </si>
  <si>
    <t>16.31</t>
  </si>
  <si>
    <t>Desmonte, suministro e instalacion de caballete eternit.. Incluye todas las herramientas para su correcta aplicación y limpieza y la disposicion final de residuos.</t>
  </si>
  <si>
    <t>16.32</t>
  </si>
  <si>
    <t xml:space="preserve">Demolición columnas en concreto de 25x25. Incluye el retiro, limpieza y la disposicion final de residuos. </t>
  </si>
  <si>
    <t>16.33</t>
  </si>
  <si>
    <t xml:space="preserve">Demolición zapatas en concreto de 40x40. Incluye el retiro, limpieza y la disposicion final de residuos. </t>
  </si>
  <si>
    <t>16.34</t>
  </si>
  <si>
    <t>Construccion de zapatas  de 40 X 40 X 20, en concreto grava común. de 3000 psi. Incluye hierro de 1/2" y todos los materiales y herramientas necesarias para su correcta construccion, el retiro, limpieza y la disposicion final de residuos.</t>
  </si>
  <si>
    <t>16.35</t>
  </si>
  <si>
    <t>Construccion de columnas de 25 x 25, en concreto grava común. de 3000 psi. Incluye hierro y todos los materiales y herramientas necesarias para su correcta construccion, el retiro, limpieza y la disposicion final de residuos.</t>
  </si>
  <si>
    <t>16.36</t>
  </si>
  <si>
    <t>Suministro y aplicación de pintura koraza para exteriores, dos manos para columnas. Incluye todos los materiales necesarios para su correcta aplicación, el retiro, limpieza y la disposicion final de residuos.</t>
  </si>
  <si>
    <t>16.37</t>
  </si>
  <si>
    <t>Suministro y aplicación de estuco. Incluye todos los materiales necesarios para su correcta aplicación, el retiro, limpieza y la disposicion final de residuos.</t>
  </si>
  <si>
    <t>16.38</t>
  </si>
  <si>
    <t>Suministro e Instalacion de tablon de gres con dilatacion en gravilla lavada. Incluye todos los materiales necesarios para su correcta aplicación, el retiro, limpieza y la disposicion final de residuos.</t>
  </si>
  <si>
    <t>16.39</t>
  </si>
  <si>
    <t xml:space="preserve">Suministro e instalacion de vidrio laminado 5+5, con pelicula PVB de color tipo pannel. Incluye anclajes y accesorios en acero inoxidable. </t>
  </si>
  <si>
    <t>16.40</t>
  </si>
  <si>
    <t>Mantenimiento pasamanos en madera y vidrio. Incluye limpieza, remocion de pintura, pintura nueva.Incluye todas las herramientas para su correcta aplicación y limpieza y la disposicion final de residuos.</t>
  </si>
  <si>
    <t>16.41</t>
  </si>
  <si>
    <t xml:space="preserve">Suministro e Instalacion de guardaescoba en PORCELANATO acabado semimate. Incluye la pega, la boquilla, dilatadores y la limpieza de las areas afectadas. </t>
  </si>
  <si>
    <t>16.42</t>
  </si>
  <si>
    <t xml:space="preserve">Revision y Mantenimiento de tanque subterraneo de abastecimiento, Incluye cambio de tuberias y mantenimiento de bombas y demas accesorios para su correcto funcionamiento ,además de el lavado y desinfeción del mismo. </t>
  </si>
  <si>
    <t>16.43</t>
  </si>
  <si>
    <t>Suministro e Instalacion de chapa tipo manija para alcoba. Incluye todas las herramientas para su correcta aplicación y limpieza y la disposicion final de residuos.</t>
  </si>
  <si>
    <t>16.44</t>
  </si>
  <si>
    <t>Suministro e instalacion de manguera para lavamanos. Incluye todas las herramientas para su correcta instalación y limpieza y la disposición final de residuos.</t>
  </si>
  <si>
    <t>16.45</t>
  </si>
  <si>
    <t>Suministro e instalación de malla electrosoldada de 15 x 15 de 4 mm</t>
  </si>
  <si>
    <t>16.46</t>
  </si>
  <si>
    <t>Suministro e instalación de manijas de puertas para closets (25 cm)</t>
  </si>
  <si>
    <t>16.47</t>
  </si>
  <si>
    <t xml:space="preserve">Suministro e instalación de cenefa en ceramica para pared. Incluye el retiro, limpieza y la disposicion final de residuos. </t>
  </si>
  <si>
    <t>16.48</t>
  </si>
  <si>
    <t>Construcción e instalación de moldura en yeso</t>
  </si>
  <si>
    <t>16.49</t>
  </si>
  <si>
    <t>Suministro e instalación de mezclador ducha 8"</t>
  </si>
  <si>
    <t>16.50</t>
  </si>
  <si>
    <t>Desmonte y reinstalacion de puertas en madera. Incluye todas las herramientas para su correcta aplicación y limpieza y la disposicion final de residuos.</t>
  </si>
  <si>
    <t>16.51</t>
  </si>
  <si>
    <t>Suministro e instalacion de malla antipaloma</t>
  </si>
  <si>
    <t>16.52</t>
  </si>
  <si>
    <t>Manejo Integral y Control de Plagas (Insectos Voladores, Rastreros, roedores menores y comejen.). Para una areas  de 600m² y hasta 1000 m²</t>
  </si>
  <si>
    <t>16.53</t>
  </si>
  <si>
    <t>Suministro e Instalacion de Vidrio Bronce 5 mm</t>
  </si>
  <si>
    <t>16.54</t>
  </si>
  <si>
    <t xml:space="preserve">Suministro e Instalacion de piso en gres de 15 X 15 cms. Incluye el retiro y limpieza de las areas afectadas. </t>
  </si>
  <si>
    <t>16.55</t>
  </si>
  <si>
    <t>Suministro e instalación de guardaescoba en arcilla.Incluye todas las herramientas para su correcta aplicación y limpieza y la disposicion final de residuos.</t>
  </si>
  <si>
    <t>16.56</t>
  </si>
  <si>
    <t>Suminsitro e instalación de griferia para sanitario. Incluye todas las herramientas para su correcta aplicación y limpieza y la disposición final de residuos.</t>
  </si>
  <si>
    <t>16.57</t>
  </si>
  <si>
    <t>Suminsitro e instalación de bisel para ventana. Incluye todas las herramientas para su correcta aplicación y limpieza y la disposición final de residuos.</t>
  </si>
  <si>
    <t>16.58</t>
  </si>
  <si>
    <t>Suminsitro e instalación de bisagra para puerta mueble. Incluye todas las herramientas para su correcta aplicación y limpieza y la disposición final de residuos.</t>
  </si>
  <si>
    <t>16.59</t>
  </si>
  <si>
    <t>Suminsitro e instalación de riel para cajón mueble. Incluye todas las herramientas para su correcta aplicación y limpieza y la disposición final de residuos.</t>
  </si>
  <si>
    <t>16.60</t>
  </si>
  <si>
    <t>Resane mochetashasta 2mts de altura y 70 cm de ancho. Incluye todas las herramientas para su correcta aplicación y limpieza y la disposición final de residuos.</t>
  </si>
  <si>
    <t>16.61</t>
  </si>
  <si>
    <t>Suministro e instalacion de tapa ciega plástica. Incluye todas las herramientas para su correcta instalación y limpieza y la disposición final de residuos.</t>
  </si>
  <si>
    <t>16.62</t>
  </si>
  <si>
    <t>Suministro e instalacion de lámpara tipo tortuga. Incluye todas las herramientas para su correcta instalación y limpieza y la disposición final de residuos.</t>
  </si>
  <si>
    <t>16.63</t>
  </si>
  <si>
    <t>Suministro e instalación de puerta plegable en pvc de 0,9 x 2 mts. Incluye todas las herrramientas para su correcta instalación y limpieza y la disposición final de residuos.</t>
  </si>
  <si>
    <t>16.64</t>
  </si>
  <si>
    <t>Suministro e instalación de rejilla en malla en acero inoxidable anho de 25 cm. Incluye todas las herrramientas para su correcta instalación y limpieza y la disposición final de residuos.</t>
  </si>
  <si>
    <t>16.65</t>
  </si>
  <si>
    <t>Desmonte, reinstalación y arreglo de piso en plastico imitacion madera. Incluye todas los materiales y herramientas para su correcta instalacción y limpieza y la disposición final de residuos.</t>
  </si>
  <si>
    <t>16.66</t>
  </si>
  <si>
    <t>Mantenimiento de materas. Incluye impermeabilización, retiro y suministro de tierra</t>
  </si>
  <si>
    <t>16.67</t>
  </si>
  <si>
    <t>Angulos para seguridad de ventanas y puerta ventanas corredezas. Incluye todas las herrameintas necesarias para su correcta instalación y limpieza y la disposición final de residuos.</t>
  </si>
  <si>
    <t>16.68</t>
  </si>
  <si>
    <t>Angulos para travesaños de 110 cm para  seguridad de puertas. Incluye todas las herrameintas necesarias para su correcta instalación y limpieza y la disposición final de residuos.</t>
  </si>
  <si>
    <t>16.69</t>
  </si>
  <si>
    <t>Suministro e instalacion puerta y marco en flormorado 2.35x0.80 cms de ancho. Incluye, pintura, bisagras, tornillos en ambas caras, chapa, la disposicion final de residuos y limpieza de las areas afectadas.</t>
  </si>
  <si>
    <t>16.70</t>
  </si>
  <si>
    <t>Griferia para lavamanos monocontrol referencia tunez. Incluye todos los materiales y herramientas necesarios para su correcta instalación, limpieza y la disposición final de residuos.</t>
  </si>
  <si>
    <t>16.71</t>
  </si>
  <si>
    <t>Suministro e instalación de vidrio templado color bronce 10 mm. Incluye todos los materiales y herramientas necesarias para su correcta isntalación, limpieza y disposición final de residuos.</t>
  </si>
  <si>
    <t>16.72</t>
  </si>
  <si>
    <t>Suministro e instalacion de barra en madera.</t>
  </si>
  <si>
    <t>16.73</t>
  </si>
  <si>
    <t>Suministro e instalacion de puerta eléctronica de acceso</t>
  </si>
  <si>
    <t>16.74</t>
  </si>
  <si>
    <t>Suministro e instalacion de breaker de 20A. Incluye, accesorios, elementos de soporte y fijacion, limpieza y la disposicion final de residuos.</t>
  </si>
  <si>
    <t>16.75</t>
  </si>
  <si>
    <t>Suministro e instalacion de varilla de cobre de 2.10 m para polo a tierra. Incluye, accesorios, elementos de soporte y fijacion, limpieza y la disposicion final de residuos.</t>
  </si>
  <si>
    <t>16.76</t>
  </si>
  <si>
    <t>Cerramiento en lamina de zinc. Incluye transporte,Incluye todas las herramientas para su correcta aplicación y limpieza y la disposicion final de residuos.</t>
  </si>
  <si>
    <t>16.77</t>
  </si>
  <si>
    <t xml:space="preserve">Suministro e instalacion de meson en concreto. Incluye todos los materiales necesarios para su correcta instalación, nivelación y limpieza de las areas afectadas. </t>
  </si>
  <si>
    <t>16.78</t>
  </si>
  <si>
    <t>Suministro e Instalacion de entrepaños en madera de1,50 m.  Incluye todas las herramientas para su correcta instalación y limpieza y la disposicion final de residuos.</t>
  </si>
  <si>
    <t>15.31</t>
  </si>
  <si>
    <t>15.32</t>
  </si>
  <si>
    <t>15.33</t>
  </si>
  <si>
    <t>15.34</t>
  </si>
  <si>
    <t>15.35</t>
  </si>
  <si>
    <t>15.36</t>
  </si>
  <si>
    <t>15.37</t>
  </si>
  <si>
    <t>15.38</t>
  </si>
  <si>
    <t>15.39</t>
  </si>
  <si>
    <t>15.40</t>
  </si>
  <si>
    <t>15.41</t>
  </si>
  <si>
    <t>15.42</t>
  </si>
  <si>
    <t>15.43</t>
  </si>
  <si>
    <t>15.44</t>
  </si>
  <si>
    <t>Hh</t>
  </si>
  <si>
    <t>Kg</t>
  </si>
  <si>
    <t>BASE DATOS SAE-OCCIDENTE Después de febrero de 2021</t>
  </si>
  <si>
    <t>METRIC CONSTRUCCIONES</t>
  </si>
  <si>
    <t>M&amp;H CONSTRUCCIONES</t>
  </si>
  <si>
    <t>CIMENTAR &amp; CONSTRUIR SAS</t>
  </si>
  <si>
    <t>ARQUITECTURA JEB SAS</t>
  </si>
  <si>
    <t>OCCIDENTE</t>
  </si>
  <si>
    <t xml:space="preserve">Suministro e instalacion de cerca lámina con base h =2.25m;  incluye estacones, listones o parales, amarras y todo lo necesario para su correcta construcción. Retiro, limpieza y la disposicion final de residuos. </t>
  </si>
  <si>
    <t>Suministro, transporte e Instalación Provisional de Energía y Agua, incluye todo lo necesario para su correcta ejecución.</t>
  </si>
  <si>
    <t>gl</t>
  </si>
  <si>
    <t>Suministro, transporte e Instalación Provisional de Teléfono e Internet, incluye todo lo necesario para su correcta ejecución.</t>
  </si>
  <si>
    <t>Malla protectora para fachadas</t>
  </si>
  <si>
    <t>m²</t>
  </si>
  <si>
    <t>Avisos y señalizaciones preventivas y de seguridad</t>
  </si>
  <si>
    <t>Suministro, trransporte e instalación de Cerramiento en teja de zinc H=2,40m, incluye estacones, listones o parales, tornillos y todo lo necesario para su correcta construcción. Incluye el retiro, limpieza y la disposicion final de residuos.</t>
  </si>
  <si>
    <t>Desmonte de cerramiento existente en madera y alambre de pua</t>
  </si>
  <si>
    <t>Suministro e instalación de concertina de 45 cm de diametro</t>
  </si>
  <si>
    <t>Suministro e instalacion de cerca en alambre de puas H2,5m - 20 hilos. Incluye el retiro, limpieza y la disposicion final de residuos.</t>
  </si>
  <si>
    <t>Localizacion y Replanteo</t>
  </si>
  <si>
    <t>Descapote y Limpieza</t>
  </si>
  <si>
    <t>Campamento de 18 m2 lista de precios ICCU</t>
  </si>
  <si>
    <t>1.16</t>
  </si>
  <si>
    <t>1.17</t>
  </si>
  <si>
    <t>1.18</t>
  </si>
  <si>
    <t>1.19</t>
  </si>
  <si>
    <t>1.20</t>
  </si>
  <si>
    <t>1.21</t>
  </si>
  <si>
    <t>1.22</t>
  </si>
  <si>
    <t>1.23</t>
  </si>
  <si>
    <t>1.24</t>
  </si>
  <si>
    <t>1.25</t>
  </si>
  <si>
    <t>1.26</t>
  </si>
  <si>
    <t>1.27</t>
  </si>
  <si>
    <t>1.28</t>
  </si>
  <si>
    <t>no aplica</t>
  </si>
  <si>
    <t>1,200,000</t>
  </si>
  <si>
    <t>Demolición de pañete</t>
  </si>
  <si>
    <t>Desmonte y Demolición INTEGRAL TOTAL (estructura + mamposteria + acabados + carpinteria + cubiertas + instalacones) de construcciónes existente de cualquier tipo entre 1, 2 y 3 pisos, incluido cualquier elemento interno y externo ligado con la edificación. Incluye cargue, retiro, disposición de escombros y transporte hasta el sitio autorizado por las autoridades ambientales de el municipio</t>
  </si>
  <si>
    <t>Demolición y restauración de anden para verificación de ruta tuberias para instalación de medidores de acueducto. Incluye el retiro, limpieza y la disposicion final de residuos.</t>
  </si>
  <si>
    <t>glb</t>
  </si>
  <si>
    <t>Demolición enchape interior y restauración de céramica existente para verificación de ruta tuberias para instalación de medidores de acueducto. Incluye el retiro, limpieza y la disposicion final de residuos.</t>
  </si>
  <si>
    <t xml:space="preserve">Desmonte total de claraboya existente. </t>
  </si>
  <si>
    <t>Demolición muro en piedra existente.</t>
  </si>
  <si>
    <t>m3</t>
  </si>
  <si>
    <t>Demolición tabique y murete provisional</t>
  </si>
  <si>
    <t>Demolición guardaescobas ceramico</t>
  </si>
  <si>
    <t>2.20</t>
  </si>
  <si>
    <t>2.21</t>
  </si>
  <si>
    <t>2.22</t>
  </si>
  <si>
    <t>2.23</t>
  </si>
  <si>
    <t>2.24</t>
  </si>
  <si>
    <t>2.25</t>
  </si>
  <si>
    <t>2.26</t>
  </si>
  <si>
    <t>2.27</t>
  </si>
  <si>
    <t>hay que revisar el sitio</t>
  </si>
  <si>
    <t>Desmonte orinal existente</t>
  </si>
  <si>
    <t>Desmonte de griferia de lavaplatos</t>
  </si>
  <si>
    <t>Desmonte de mezclador para grifería de lavamanos</t>
  </si>
  <si>
    <t>Desmonte de Division para ducha existentes con perfiles en Aluminio y Vidrio templado incluye el retiro, limpieza y la disposicion final de residuos</t>
  </si>
  <si>
    <t>Desmonte de Poceta en Acero inoxidable</t>
  </si>
  <si>
    <t xml:space="preserve">Desmonte de tuberia </t>
  </si>
  <si>
    <t>Desmonte de campana extractora existente, incluye desmonte y la disposición final de residuos.</t>
  </si>
  <si>
    <t>Desmonte de escalera metálica en caracol. Incluye el retiro, limpieza y disposición final de residuos.</t>
  </si>
  <si>
    <t>Desmonte de canal metalica existente un mal estado incluye  Retiro, disposicion final de residuos y limpieza de las areas afectadas.</t>
  </si>
  <si>
    <t>Desmonte de cubierta de teja traslucida. Incluye estructura madera</t>
  </si>
  <si>
    <t>Desmonte de salida electrica. Incluye el retiro lampara, cableado, tuberia y cajas, limpieza y la disposicion final de residuos.</t>
  </si>
  <si>
    <t>Desmonte de baldosa, retiro de pegante endurecido y reinstalacion de baldosa existente</t>
  </si>
  <si>
    <t xml:space="preserve">Desmonte de manto existente. Incluye el retiro, limpieza y la disposicion final de residuos. </t>
  </si>
  <si>
    <t>Desmonte de cubierta de teja existente</t>
  </si>
  <si>
    <t xml:space="preserve">Desmonte canal en làmina desarrollo de 20 cm a 40 ccm incluye retiro y disposiciòn final </t>
  </si>
  <si>
    <t>m</t>
  </si>
  <si>
    <t xml:space="preserve">Desmonte de alfajia existente de cualquier material. Incluye el retiro, limpieza y la disposicion final de residuos. </t>
  </si>
  <si>
    <t xml:space="preserve">Desmonte de reja existente. Incluye el retiro, limpieza y la disposicion final de residuos. </t>
  </si>
  <si>
    <t>Desmonte y retiro de calentador de agua existente</t>
  </si>
  <si>
    <t xml:space="preserve">Desmonte de desague de lavamanos </t>
  </si>
  <si>
    <t>Desmonte y reinstalacion de guardaescoba en madera</t>
  </si>
  <si>
    <t>Desmonte y resinstalación de cubierta de teja existente.Incluye reparación de filtraciones y cambio de tejas afectadas</t>
  </si>
  <si>
    <t>Desmonte de cubierta de empotrar existente, incluye desmonte y la disposición final de residuos.</t>
  </si>
  <si>
    <t>Demolicion total del area construida. (Incluye demolicion total de la cosntruccion dejando la losa de contrapiso totalmente limpia libre de escombros y retiro del material a un botadero certificado).</t>
  </si>
  <si>
    <t>m2</t>
  </si>
  <si>
    <t>Regatas (canchada) de muros para la instalación de tuberia</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</si>
  <si>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</si>
  <si>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</si>
  <si>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</si>
  <si>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</si>
  <si>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</si>
  <si>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</si>
  <si>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</si>
  <si>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</si>
  <si>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</si>
  <si>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</si>
  <si>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</si>
  <si>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</si>
  <si>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</si>
  <si>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</si>
  <si>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</si>
  <si>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</si>
  <si>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</si>
  <si>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</si>
  <si>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</si>
  <si>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</si>
  <si>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</si>
  <si>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</si>
  <si>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</si>
  <si>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</si>
  <si>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</si>
  <si>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Pintura acrílica base de agua para exteriores o impermeabilizante.</t>
  </si>
  <si>
    <t xml:space="preserve">Suministro y aplicación de pintura vinilo Tipo I, dos manos para muros. Incluye todos los materiales necesarios para su correcta aplicación, resane de grietas y adecuacion de la superficie a intervenir, el retiro, limpieza y la disposicion final de residuos. </t>
  </si>
  <si>
    <t>Suministro y aplicación de pintura acrilica, dos manos para baños, cocinas y cafeterias. Incluye todos los materiales necesarios para su correcta aplicación, resane de grietas y adecuacion de la superficie a intervenir, el retiro, limpieza y la disposicion final de residuos.</t>
  </si>
  <si>
    <t xml:space="preserve">Pintura tipo 1 a dos manos para muros y techos para anchos inferiores a 60 cm, incluye todo los materiale necesarios para su correcta aplicación </t>
  </si>
  <si>
    <t xml:space="preserve">Lijado de muros para pintura para anchos inferiores a 60 cm. Incluye todos los materiales neesarios para su correca ejecución </t>
  </si>
  <si>
    <t>Pintura en esmalte para guardaescoba en madera. Incluye lijado y preparacion de la superficie</t>
  </si>
  <si>
    <t xml:space="preserve">Suministro e instalacion de esquinero plastico en L para filos </t>
  </si>
  <si>
    <t>Pintura en esmalte para guardaescobas en madera, Incluye lijado y preparacion de la superficie</t>
  </si>
  <si>
    <t xml:space="preserve">Pintura  en madera </t>
  </si>
  <si>
    <t>4.26</t>
  </si>
  <si>
    <t>4.27</t>
  </si>
  <si>
    <t>4.28</t>
  </si>
  <si>
    <t>4.29</t>
  </si>
  <si>
    <t>4.31</t>
  </si>
  <si>
    <t>4.32</t>
  </si>
  <si>
    <t>4.33</t>
  </si>
  <si>
    <t>4.34</t>
  </si>
  <si>
    <t>4.35</t>
  </si>
  <si>
    <t>4.36</t>
  </si>
  <si>
    <t>Suministro e instalación bajante aguas lluvas PVC 3"</t>
  </si>
  <si>
    <t>Suministro e instalacion de desague 3" canal galvanizado Cal 22 D  (incluye was primer + esmalte + anclaje de muro + sika flex 1A + soldadura en estaño)</t>
  </si>
  <si>
    <t>suministro e instalacion bajante aguas lluvias PVC 2"</t>
  </si>
  <si>
    <t>Sistema drenaje en 4"</t>
  </si>
  <si>
    <t>Mantenimiento preventivo y/o correctivo de caja de aguas lluvias. Incluye accesorios, limpieza y la disposicion final de residuos.</t>
  </si>
  <si>
    <t xml:space="preserve">Mantenimiento de bajantes. Incluye limpieza y la disposicion final de residuos. </t>
  </si>
  <si>
    <t>Arreglo de punto sanitario de 1/2" a 4". Incluye accesorios, limpieza y la disposicion final de residuos.</t>
  </si>
  <si>
    <t>Sondeo de salida sanitaria de 2" a 4"</t>
  </si>
  <si>
    <t>Conexión de sanitario a red hidraúlica</t>
  </si>
  <si>
    <t>Destaqueo tubería lavaplatos</t>
  </si>
  <si>
    <t>INSTALACION MEDIDOR ACUEDUCTO Conexión = incluye (contador mas servicio Suministro e instalación de mano de obra para ruptura en ande pegue a tubería existente para cada piso en andén suministro y montaje de sistema de bombeo para 4 piso suministro e instalación de medidores suministro e instalación de tapa plástica o gabinete suministro e instalación de válvulas de cortes suministro e instalaciones medias universal accesorios para pegues en pvc de 1” y ¾ soldadura limpiador suministro de instalación de flauta)</t>
  </si>
  <si>
    <t>Atencion emergencia (Fuga de agua). Incluye localizacion regatas y materiales.</t>
  </si>
  <si>
    <t>Arreglo de punto hidraulico para medidor. Incluye accesorios, limpieza y la disposicion final de residuos.</t>
  </si>
  <si>
    <t>Suministro e instalacion de tapon para lavadero con sosco. Incluye todo lo necesario para su correcta instalacion.</t>
  </si>
  <si>
    <t>Recamaras en cobre 1/2'' para red hidraulica</t>
  </si>
  <si>
    <t>Suministro e instalación Válvula Cortina 3/4 x 200psi</t>
  </si>
  <si>
    <t>Suministro e instalación Medidores de velocidad 3/4 calibrado</t>
  </si>
  <si>
    <t>Suministro e instalación cheque 1''</t>
  </si>
  <si>
    <t>Control de llenado tanque 3/4'' (sensor tipo flotador)</t>
  </si>
  <si>
    <t>Suministro y construccion de red CVCP de 3/4". Incluye accesorios, limpieza y la disposicion final de residuos.</t>
  </si>
  <si>
    <t>Suministro y construccion de red CVCP de 1/2". Incluye accesorios, limpieza y la disposicion final de residuos.</t>
  </si>
  <si>
    <t>Suminitro e instalación de rejilla c 4 x 2 aluminio cúpula</t>
  </si>
  <si>
    <t>Revisión de sistema electrico general</t>
  </si>
  <si>
    <t>Revisión y mantenimiento de tablero eléctrico de 4 a 6 circuitos</t>
  </si>
  <si>
    <t>Suministro e instalación de interruptor eléctrico sencillo</t>
  </si>
  <si>
    <t>Suministro e instalación de toma eléctrica con polo a tierra</t>
  </si>
  <si>
    <t>Suministro e instalacion de Tapaciega para salida electrica</t>
  </si>
  <si>
    <t>Instalacion de toma electrica existente</t>
  </si>
  <si>
    <t xml:space="preserve">Mantenimiento General de Instalaciones Electricas incluye puntos electricos, como tomas, tomacorrientes, interruptores,luminarias y tableros electricos </t>
  </si>
  <si>
    <t>Suministro e instalación de Plafón 1 luz redondo</t>
  </si>
  <si>
    <t>Suministro e instalacion de interruptor electrico doble</t>
  </si>
  <si>
    <t>suministro e  instalacion de bala LED  Con Vidrio Redondo 510 Lúmenes 30.000 Horas Vida Útil 6w Luz Fría Osaky</t>
  </si>
  <si>
    <t>Revision y mantenimiento de tablero electrico de 12 circuitos</t>
  </si>
  <si>
    <t xml:space="preserve">Suministro e instalacion de interruptor triple electrico </t>
  </si>
  <si>
    <t>SUMINISTRO E INSTALACION DE ROSETA PORCELANA</t>
  </si>
  <si>
    <t>Instalacion de Citofono existente</t>
  </si>
  <si>
    <t>Suministro e instalacion de acometida electrica en cable 3No.4+6+8T AWG</t>
  </si>
  <si>
    <t>Suministro e instalacion de caja De Breaker Industrial Interior 30x19x11 F.r</t>
  </si>
  <si>
    <t>Regatas para tuberias  electricas o hidraulicas en mamposteria o concreto incluye los dos cortes, limpieza y retiro de escombros</t>
  </si>
  <si>
    <t>Suministro e instalacion de luminaria fluorescente 2X28 W T5 en techo</t>
  </si>
  <si>
    <t>Suministro, transporte e instalacion de tablero trifasico de 12 circuitos con espacio para totalizador, 5 hilos (3F + N + T) - Barraje225A, puerta, chapa y llave, TNSOT. Incluye todos los elementos y accesorios necesarios para su correcto funcionamiento.</t>
  </si>
  <si>
    <t>Suministro de cableado 3 # 8 + 1 # 10.</t>
  </si>
  <si>
    <t>Suministro e instalacion de breaker monopolar de 20-50A, 10 KA, tipo enchufable</t>
  </si>
  <si>
    <t>Reparación citofono. Incluye reforma tablero amplificador, restructuración de cable y mantenimiento de 5 citofonos y todo lo necesario para su correcto funcionamiento</t>
  </si>
  <si>
    <t>Suministro e instalacion de timbre inalambrico. Incluye todo lo necesario para su correcta instalacion.</t>
  </si>
  <si>
    <t>6.60</t>
  </si>
  <si>
    <t>6.61</t>
  </si>
  <si>
    <t>6.62</t>
  </si>
  <si>
    <t>6.63</t>
  </si>
  <si>
    <t>6.64</t>
  </si>
  <si>
    <t>6.65</t>
  </si>
  <si>
    <t>6.66</t>
  </si>
  <si>
    <t>6.67</t>
  </si>
  <si>
    <t>6.68</t>
  </si>
  <si>
    <t>6.69</t>
  </si>
  <si>
    <t>6.70</t>
  </si>
  <si>
    <t>6.71</t>
  </si>
  <si>
    <t>6.72</t>
  </si>
  <si>
    <t>6.73</t>
  </si>
  <si>
    <t>6.74</t>
  </si>
  <si>
    <t>6.75</t>
  </si>
  <si>
    <t>6.76</t>
  </si>
  <si>
    <t>6.77</t>
  </si>
  <si>
    <t>6.78</t>
  </si>
  <si>
    <t>6.79</t>
  </si>
  <si>
    <t>6.80</t>
  </si>
  <si>
    <t>Construccion de elementos en concreto grava común de 1500 psi. Incluye todos los materiales y herramientas necesarias para su correcta construccion, mano de obra, vibrado, formaletas, retiro, limpieza y la disposicion final de residuos.</t>
  </si>
  <si>
    <t>m³</t>
  </si>
  <si>
    <t>Construccion de elementos en concreto  grava común de 2000 psi. Incluye todos los materiales y herramientas necesarias para su correcta construccion, mano de obra, vibrado, formaletas, retiro, limpieza y la disposicion final de residuos.</t>
  </si>
  <si>
    <t>Construccion de elementos en concreto grava común de 2500 psi. Incluye todos los materiales y herramientas necesarias para su correcta construccion, mano de obra, vibrado, formaletas, retiro, limpieza y la disposicion final de residuos</t>
  </si>
  <si>
    <t>Construccion de elementos en concreto grava común. de 3000 psi. Incluye todos los materiales y herramientas necesarias para su correcta construccion,mano de obra, vibrado, formaletas, retiro, limpieza y la disposicion final de residuos.</t>
  </si>
  <si>
    <t>Construccion de elementos en concreto grava común. de 3500 psi. Incluye todos los materiales y herramientas necesarias para su correcta construccion, mano de obra, vibrado, formaletas, retiro, limpieza y la disposicion final de residuos.</t>
  </si>
  <si>
    <t>Construccion de elementos en concreto  grava fina de 2000 psi. Incluye todos los materiales y herramientas necesarias para su correcta construccion, mano de obra, vibrado, formaletas, retiro, limpieza y la disposicion final de residuos.</t>
  </si>
  <si>
    <t>Construccion de elementos en concreto  grava fina de 3000 psi. Incluye todos los materiales y herramientas necesarias para su correcta construccion, mano de obra, vibrado, formaletas, retiro, limpieza y la disposicion final de residuos.</t>
  </si>
  <si>
    <t>Construccion de piso en concreto industrial liviano e= 10 cms. Incluye todos los materiales necesarios para su correcta construccion, juntas, mano de obra, vaciado, vibrado, formaleta y todos los elementos necesarios para su correcta ejecución. No Incluye refuerzo, según diseño., el retiro, limpieza y la disposicion final de residuos.</t>
  </si>
  <si>
    <t xml:space="preserve">Construcción de placa aligerada caseton de icopor recuperable incluye  alambre, acero figurado, casetón, malla electrosoldada, mano de obra, vaciado, vibrado, todo lo necesario para su  correcta construcción, el retiro, limpieza y la disposicion final de residuos. </t>
  </si>
  <si>
    <t xml:space="preserve">Construcción de placa aligerada caseton de guadua. Incluye  alambre, acero figurado, casetón, malla electrosoldada, mano de obra, vaciado, vibrado, todo lo necesario para su  correcta construcción, el retiro, limpieza y la disposicion final de residuos. </t>
  </si>
  <si>
    <t xml:space="preserve">Construcción de placa en concreto 3000 psi 10 cm malla elect. entrepiso incluye  alambre, acero figurado, casetón, malla electrosoldada,  mano de obra, vaciado, vibrado, todo lo necesario para su  correcta construcción, el retiro, limpieza y la disposicion final de residuos. </t>
  </si>
  <si>
    <t xml:space="preserve">Construcción de muro en concreto 3000 psi 10 cm. Incluye  formaleta, malla electrosoldada,  mano de obra, vaciado, vibrado, todo lo necesario para su  correcta construcción, el retiro, limpieza y la disposicion final de residuos. </t>
  </si>
  <si>
    <t xml:space="preserve">Construcción de columna 40x30cm  Incluye  formaleta, acero figurado, alambre,  mano de obra, vaciado, vibrado, todo lo necesario para su  correcta construcción, el retiro, limpieza y la disposicion final de residuos. </t>
  </si>
  <si>
    <t>Muro ciclópeo 50x50</t>
  </si>
  <si>
    <t>Muro contención de 20cm</t>
  </si>
  <si>
    <t xml:space="preserve">Vigas de Cimentacion de 30 x 30 cm en concreto de 3000 psi de 6" fluido. Incluye enconfrado, suministro, transporte, acero de refuerzo flejes c/30 cm 1/2" y 3/8" longitudinal c/10 cm </t>
  </si>
  <si>
    <t>Arreglo Escalera</t>
  </si>
  <si>
    <t>Reparacion de juntas, grietas y fisuras en placas de concreto. Incluye todos los materiales necesarios para su correcta reparacion, el retiro, limpieza y la disposicion final de residuos.</t>
  </si>
  <si>
    <t>Mantenimiento de baranda en concreto, incluye lijado, resane, tratamiento de fisuras, pintura blanca en esmalte para interperie, cambio de postes rotos, retiro y la disposición final de residuos.</t>
  </si>
  <si>
    <t>Cinta de confinamiento horinzontal de .12X.20 (Incluye concreto de 3000 PSI Y 3,6 kilos de acero por ml)</t>
  </si>
  <si>
    <t>Cinta de confinamiento horizontal 12x15 (incluye concreto de 3000 psi y acero de 60000 psi)</t>
  </si>
  <si>
    <t>Columneta de confinamiento vertical de 15x20 inc. concreto 3000 psi y acero 60000 psi</t>
  </si>
  <si>
    <t xml:space="preserve">Mantenimiento de columna existente </t>
  </si>
  <si>
    <t>Muro ciclopeo 50x50</t>
  </si>
  <si>
    <t>Reparacion placa aligerada e=0,45.</t>
  </si>
  <si>
    <t>Fabricación lagrimal en concreto vaciado en obra.Incluye, refuerzo, formaleta para acabado a la vista.</t>
  </si>
  <si>
    <t>Construccion de Dados en Concreto de f'c = 3,000 PSI (0,4 x 0,3 x 1) para Cimentacion, NO incluye formaleta ni acero de refuerzo. Incluye todos los elementos para su correcta instalacion.</t>
  </si>
  <si>
    <t xml:space="preserve">Zapata para muro de conteción según diseño. </t>
  </si>
  <si>
    <t>Muro de contención según diseño.</t>
  </si>
  <si>
    <t>Muro ciclópeo cerramiento</t>
  </si>
  <si>
    <t xml:space="preserve"> </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</si>
  <si>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</si>
  <si>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</si>
  <si>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</si>
  <si>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</si>
  <si>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</si>
  <si>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</si>
  <si>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</si>
  <si>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</si>
  <si>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</si>
  <si>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</si>
  <si>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</si>
  <si>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</si>
  <si>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</si>
  <si>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</si>
  <si>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</si>
  <si>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</si>
  <si>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</si>
  <si>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</si>
  <si>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</si>
  <si>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</si>
  <si>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</si>
  <si>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</si>
  <si>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</si>
  <si>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</si>
  <si>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</si>
  <si>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</si>
  <si>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</si>
  <si>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</si>
  <si>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</si>
  <si>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</si>
  <si>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8.5</t>
  </si>
  <si>
    <t>8.6</t>
  </si>
  <si>
    <t>8.7</t>
  </si>
  <si>
    <t>8.8</t>
  </si>
  <si>
    <t>8.9</t>
  </si>
  <si>
    <t>8.10</t>
  </si>
  <si>
    <t>8.11</t>
  </si>
  <si>
    <t>8.12</t>
  </si>
  <si>
    <t>8.13</t>
  </si>
  <si>
    <t>8.14</t>
  </si>
  <si>
    <t>8.15</t>
  </si>
  <si>
    <t>8.16</t>
  </si>
  <si>
    <t>Suministro e inslatación de tela asfáltica n°15 (40m²) . incluye impermeabilizante emultexsa (22 kg) , manto asfá l.4mm ref.pe  ,monocapa manto asfáltico pentaflex 4mm  y todo lo necesario para su correcta construcción, retiro limpieza y disposición final de residuos.</t>
  </si>
  <si>
    <t>Suministro e inslatación de  bicapa manto asfáltico pentaflex 6.2mm foil al.ref.polie. incluye manto asfál 3.2mm foil aluminio ref.pe , impermeabilizante emultexsa (22 kg) ,manto asfál.3mm ref.pe y todo lo necesario para su correcta construcción, retiro limpieza y disposición final de residuos.</t>
  </si>
  <si>
    <t xml:space="preserve">Aplicación de mortero impermeabilizado con XYPEX e= 4 cms. Incluye la limpieza de las areas afectadas. </t>
  </si>
  <si>
    <t xml:space="preserve">Aplicación de pañete impermeabilizado muros 1:3. Para anchos inferiores a 60 cm. Incluye la limpieza de las areas afectadas. </t>
  </si>
  <si>
    <t xml:space="preserve">Aplicación de alistado para piso e=  0.04 impermeabilizante. ACELERADO Incluye la limpieza de las areas afectadas y nivelacion.  </t>
  </si>
  <si>
    <t>Impermeabilización posterior muro de contención</t>
  </si>
  <si>
    <t>8.17</t>
  </si>
  <si>
    <t>8.18</t>
  </si>
  <si>
    <t>8.19</t>
  </si>
  <si>
    <t>8.20</t>
  </si>
  <si>
    <t>8.21</t>
  </si>
  <si>
    <t>8.22</t>
  </si>
  <si>
    <t>9.13</t>
  </si>
  <si>
    <t>9.14</t>
  </si>
  <si>
    <t>9.15</t>
  </si>
  <si>
    <t>9.16</t>
  </si>
  <si>
    <t>9.17</t>
  </si>
  <si>
    <t>9.18</t>
  </si>
  <si>
    <t>9.19</t>
  </si>
  <si>
    <t> Suministro y construccion de muro en ladrillo macizo recocido e= 12 cms. Incluye todos los materiales necesarios para su correcta construccion, mano de obra, mortero de pega, corte de piezas con cortadora de disco adiamantado, revitado en ambas caras y demás elementos necesarios para su correcta ejecución, retiro, disposicion final de residuos y limpieza de las areas afectadas.</t>
  </si>
  <si>
    <t> Suministro y construccion de muro  ladrillo estructural  portante 30cm. Incluye todos los materiales necesarios para su correcta construccion, mano de obra, mortero de pega, corte de piezas con cortadora de disco adiamantado, revitado en ambas caras y demás elementos necesarios para su correcta ejecución, retiro, disposicion final de residuos y limpieza de las areas afectadas.</t>
  </si>
  <si>
    <t>Suministro y construccion de muro divisorio bloque estriado No. 4  Incluye todos los materiales necesarios para su correcta construccion, mano de obra, mortero de pega, corte de piezas con cortadora de disco adiamantado, revitado en ambas caras y demás elementos necesarios para su correcta ejecución, retiro, disposicion final de residuos y limpieza de las areas afectadas.</t>
  </si>
  <si>
    <t>Suministro y construccion de muro divisorio bloque estriado No. 5 Incluye todos los materiales necesarios para su correcta construccion, mano de obra, mortero de pega, corte de piezas con cortadora de disco adiamantado, revitado en ambas caras y demás elementos necesarios para su correcta ejecución, retiro, disposicion final de residuos y limpieza de las areas afectadas.</t>
  </si>
  <si>
    <t>Suministro y construccion de muro fachada ladrillo tollete granformato Incluye todos los materiales necesarios para su correcta construccion, mano de obra, mortero de pega, corte de piezas con cortadora de disco adiamantado, revitado en ambas caras y demás elementos necesarios para su correcta ejecución, retiro, disposicion final de residuos y limpieza de las areas afectadas.</t>
  </si>
  <si>
    <t>Suministro y construccion de muro fachada ladrillo prensado liviano.Incluye todos los materiales necesarios para su correcta construccion, mano de obra, mortero de pega, corte de piezas con cortadora de disco adiamantado, revitado en ambas caras y demás elementos necesarios para su correcta ejecución, retiro, disposicion final de residuos y limpieza de las areas afectadas.</t>
  </si>
  <si>
    <t>Suministro y construccion columna de confinamiento 20x 12.Incluye todos los materiales necesarios para su correcta construccion, mano de obra, mortero de pega, corte de piezas con cortadora de disco adiamantado y demás elementos necesarios para su correcta ejecución,  retiro, disposicion final de residuos y limpieza de las areas afectadas.</t>
  </si>
  <si>
    <t>Suministro y construccion muro bloque concreto estructural 19 cm. Incluye todos los materiales necesarios para su correcta construccion, mano de obra, mortero de pega, corte de piezas con cortadora de disco adiamantado, revitado en ambas caras y demás elementos necesarios para su correcta ejecución, retiro, disposicion final de residuos y limpieza de las areas afectadas.</t>
  </si>
  <si>
    <t>Muro acustico en Eterboard una cara Incluye perfileria cal 22, Eterboard 20 mm, frescasa de 3" acustica</t>
  </si>
  <si>
    <t xml:space="preserve">Suministro e instalación muro en ladrillo con anclaje tipo grafil </t>
  </si>
  <si>
    <t>9.20</t>
  </si>
  <si>
    <t>9.21</t>
  </si>
  <si>
    <t>9.22</t>
  </si>
  <si>
    <t>9.23</t>
  </si>
  <si>
    <t>9.24</t>
  </si>
  <si>
    <t>9.25</t>
  </si>
  <si>
    <t>9.26</t>
  </si>
  <si>
    <t>9.27</t>
  </si>
  <si>
    <t>9.28</t>
  </si>
  <si>
    <t>9.29</t>
  </si>
  <si>
    <t>Mantenimiento de ventana metalica y madera existente. Incluye, raspado, lijado, resane, inmunizado, pintura, cambio de bisagras y tornillos en ambas caras, retiro, disposicion final de residuos y limpieza de las areas afectadas.</t>
  </si>
  <si>
    <t xml:space="preserve">Suministro e instalacion de divisiones para baño en cristal laminado templado 5+5, con pelicula PVB de color tipo pannel. Incluye anclajes, silicona de sellado anti-hongos para las juntas y accesorios en acero inoxidable. </t>
  </si>
  <si>
    <t>Suministro e instalacion de ventanas exteriores en aluminio</t>
  </si>
  <si>
    <t>Suministro e instalacion de vidrio templado de 10 mm</t>
  </si>
  <si>
    <t>Suministro e instalación de puerta en vidrio templado de 1,95 x 0,98 e=10 mm incoloro con zocalo inferior y chapeta superior. Inlcuye manijas tipo roma y una chapa central con sus porta chapas. ( o similar)</t>
  </si>
  <si>
    <t>Suministro e Instalacion de Perfil en Aluminio 20 x 20 para divisiones de ducha Incluye accesorios de fijacion</t>
  </si>
  <si>
    <t>Tratamiento de estructura en madera con inmunizante tipo MERULEX (Inmunizante insecticida y fungicida contra hongos, termitas y gorgojos)</t>
  </si>
  <si>
    <t>Suministro e instalacion de escalera en madera similar a la existente de .80X4.50 mtrs (En casa verde)</t>
  </si>
  <si>
    <t>Mantenimiento de escalera en madera similar a la existente (En casa azul)</t>
  </si>
  <si>
    <t>Mantenimiento de reja. Incluye desmonte de reja, resortes para cortina enrollable e instalaciòn de la reja existente.</t>
  </si>
  <si>
    <t>Estructura metalica para cubierta</t>
  </si>
  <si>
    <t>Suministro e instalación de baranda con 4 tubos estructurales circulares de 2 pulgadasx2,5mm de 1,5m de largo y 1 poste en tubular rectangular estructural de 100x50x3mm cada 1,50m, a 2 metros de altura (1,50m a la vista y 0,50 embebido en el dado) pintura en ambas caras, alalquidica 3mills y todo lo necesario para su instalación, la disposicion final de residuos y limpieza de las areas afectadas.</t>
  </si>
  <si>
    <t>Suministro e instalacion de viga 0,10 X 0,20 en madera</t>
  </si>
  <si>
    <t>Suministro e instalación mueble en madecor RH para vestier 2,60 x h=1,80 según diseño. Incluye suministro de entrepaño, divisiones internas y cajones.</t>
  </si>
  <si>
    <t>Suministro e instalación de mueble en madecor RH para vestier 3,25x h=1,80 según diseño. Incluye suministro de entrepaños, divisiones internas y cajones.</t>
  </si>
  <si>
    <t>Suministro e instalación de mueble en madecor RH para vestier 7,56 x h=1,80 según diseño. Incluye suministro de entrepaño, divisiones internas y cajones.</t>
  </si>
  <si>
    <t>Suministro e instalación Cerramiento en tuberia cuadrada 2''. Incluye pintura todas las caras y todo lo necesario para su correcta instalación.</t>
  </si>
  <si>
    <t>10.76</t>
  </si>
  <si>
    <t>10.77</t>
  </si>
  <si>
    <t>10.78</t>
  </si>
  <si>
    <t>10.79</t>
  </si>
  <si>
    <t>10.80</t>
  </si>
  <si>
    <t>10.81</t>
  </si>
  <si>
    <t>10.82</t>
  </si>
  <si>
    <t>10.83</t>
  </si>
  <si>
    <t>10.84</t>
  </si>
  <si>
    <t>10.85</t>
  </si>
  <si>
    <t>10.86</t>
  </si>
  <si>
    <t>10.87</t>
  </si>
  <si>
    <t>10.88</t>
  </si>
  <si>
    <t>10.89</t>
  </si>
  <si>
    <t>10.90</t>
  </si>
  <si>
    <t>10.91</t>
  </si>
  <si>
    <t>10.92</t>
  </si>
  <si>
    <t xml:space="preserve">Mantenimiento de cubiertas en teja. Incluye el remplazo de piezas y pintura de proteccion. </t>
  </si>
  <si>
    <t xml:space="preserve">Suministro e instalación de cieloraso Dry Wall  antihumedad 1/2". Incluye retiro, aplicación de pintura vinilo o acrilica, 2 manos bajo placa. </t>
  </si>
  <si>
    <t xml:space="preserve">Suministro e instalación de cieloraso en bandeja aglomerado 60x 60 cm. Incluye retiro,  y todo lo necesario para su correcta instalación. </t>
  </si>
  <si>
    <t xml:space="preserve">Suministro e instalación de cieloraso en lámina de policarbonato. Incluye retiro,  y todo lo necesario para su correcta instalación. </t>
  </si>
  <si>
    <t>Reparación de filtraciónes en cubierta. Incluye el cambio de tejas, incluye el cambio de elementos estructurales.</t>
  </si>
  <si>
    <t xml:space="preserve">Mantenimiento de cubierta en teja tipo eternit. Incluye limpieza, remplazo de piezas afectadas. No incluye la estructura. </t>
  </si>
  <si>
    <t xml:space="preserve">Suministro e instalacion de cubierta en teja SHINGLE. Incluye estructura - triplex marino, vigas, correas y entramado en madera en cedro canadiense con tratamiento inmunizante y antihongos. No incluye su estructura. </t>
  </si>
  <si>
    <t xml:space="preserve">Suministro e instalacion de caballete UPVC con fibra de carbono de 3 mm. </t>
  </si>
  <si>
    <t>Suministro e instalación cubierta en barro. Incluye materiales</t>
  </si>
  <si>
    <t>Suministro e instalacion de cielo raso en yeso de 60 X 60, tipo STYLE GYSUM o similar.</t>
  </si>
  <si>
    <t xml:space="preserve">Suministro e instalacion de cielo raso para baños tipo LAY IN DE HunTER DOUGLAS o similar. Incluye su estructura. </t>
  </si>
  <si>
    <t>Cubierta en Teja Traslucida Incluye estructura en madera y elementos de fijacion</t>
  </si>
  <si>
    <t>Suministro e instalación de flanche galvanizado Cal 20 D =30 cm (incluye washprimer +esmalete + anclaje de muro + sika flex 1A + soldadura de estaño)</t>
  </si>
  <si>
    <t>Mantenimiento de marquesina o calaraboya, incluye limpieza, aplicación de siliconas, ajuste de vidrios exsitentes y tratamiento en fisuras de vidrios</t>
  </si>
  <si>
    <t xml:space="preserve">Desmonte de cubiert de teja de barro </t>
  </si>
  <si>
    <t>instalaciòn de teja de barro existente</t>
  </si>
  <si>
    <t>Mantenimiento de Cielo raso existente en Drywall, invluye desmonte y suministro en áreas averiadas, tratamiento de dilatadores en juntas, masillado, lijado y pintura</t>
  </si>
  <si>
    <t>cubierta en teja eternit incluye elementos de fijaciòn y  mano de obra</t>
  </si>
  <si>
    <t>Suministro e instalacion de ruana adhesiva en foil de aluminio D = 60 cm en lamina prepintada</t>
  </si>
  <si>
    <t>Suministro e instalacion de flanche galvanizado Cal 20 D = 25 cm (incluye was primer + esmalte + anclaje de muro + sika flex 1A + soldadura en estaño)</t>
  </si>
  <si>
    <t>Cubierta en teja traslucida incluye elementos fijaciòn</t>
  </si>
  <si>
    <t>Cubierta en teja traslucida incluye estructura en madera y elementos de fijación</t>
  </si>
  <si>
    <t xml:space="preserve">Suministro e instalación paneles Cielo raso en lámina de policarbonato todo lo necesario para su correcta instalación </t>
  </si>
  <si>
    <t>Mantenimiento de Cielo raso existente en Drywall. Incluye desmonte y suministro en areas averiadas, tratamiento de dilatadores en juntas, masillado, lijado y pintura</t>
  </si>
  <si>
    <t>Suministro e instalación de molduras en cielo raso y muro en yeso interior incluye todos los elementos para su correcta ejecución.</t>
  </si>
  <si>
    <t xml:space="preserve">Cielo raso en madera machimbre en Pino Incluye perfiles y elementos de fijacion </t>
  </si>
  <si>
    <t>Suministro e instalacion de teja galvanizadas  pre-pintadas en colores rojo, verde o azul y por debajo blanco; calibre 24 trapezoidal.(Incluye todos los elementos de fijacion)</t>
  </si>
  <si>
    <t>Suministro e instalación de cieloraso entablilla zapán. Incluye desmontaje cieloraso entablilla en mal estado y todo lo necesario para su correcta instalación.</t>
  </si>
  <si>
    <t>Cubierta de zinc Incluye estructura metalica para protección zonas húmedas</t>
  </si>
  <si>
    <t>Suministro e instalación de cubierta en policarbonato alveolar de e= 6 mm. Incluye su estructura y todo lo necesario para su correcta instalación</t>
  </si>
  <si>
    <t>Suministro e instalacion de cubierta con manta termica flotante para piscina. Incluye enrollador y todolo necesario para su correcta instalacion.</t>
  </si>
  <si>
    <t>Suministro e instalación  de estructura para cubierta en perfil PHR de 150x50x 2,5 mm.</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</si>
  <si>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</si>
  <si>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</si>
  <si>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</si>
  <si>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</si>
  <si>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</si>
  <si>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</si>
  <si>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</si>
  <si>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</si>
  <si>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</si>
  <si>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</si>
  <si>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</si>
  <si>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</si>
  <si>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</si>
  <si>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</si>
  <si>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</si>
  <si>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</si>
  <si>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</si>
  <si>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</si>
  <si>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</si>
  <si>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</si>
  <si>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</si>
  <si>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</si>
  <si>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</si>
  <si>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</si>
  <si>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</si>
  <si>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</si>
  <si>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</si>
  <si>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</si>
  <si>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</si>
  <si>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</si>
  <si>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</si>
  <si>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</si>
  <si>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</si>
  <si>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 xml:space="preserve">Resane, suministro y aplicación de pintura vinilo tipo 1 para muros y techos, dos manos. Incluye la limpieza de las areas afectadas. </t>
  </si>
  <si>
    <t xml:space="preserve">Aplicación de estuco y resane en muros.  Incluye la limpieza de las areas afectadas. </t>
  </si>
  <si>
    <t xml:space="preserve">Impermeabilización de Canales. Incluye la limpieza de las areas afectadas. </t>
  </si>
  <si>
    <t xml:space="preserve">Suministro y aplicación de poliurea tipo SIKALASTIC 841, con textura rugosa color a elegir e= 80 A 100 MILS, Elongacion de 350 A 450%, Esfuerzo a la rotura de 3000 A 3500 PSI, 100% Certificada o similar. Incluye la limpieza de las areas afectadas. </t>
  </si>
  <si>
    <t xml:space="preserve">Construcción de elementos de protección para columnas en mortero impermeabilizado 1.3 de 0.2x0.2 x0.4 </t>
  </si>
  <si>
    <t xml:space="preserve">Aplicación de pañete impermeabilizado muros 1:3 bajo placa. </t>
  </si>
  <si>
    <t>Resane de muros para ruanas. Incluye todos los materiales necesarios para su correcta ejecucion</t>
  </si>
  <si>
    <t>Suministro e instalación pañetes cielo raso en ICOPOR, incluye retiro y todo lo neesario para su correcta instalación</t>
  </si>
  <si>
    <t>Aplicación de estuco y resane en muros. Incluye la limpieza de las areas afectadas.</t>
  </si>
  <si>
    <t>Lavado de fachadas en ladrillo. Incluye el desmanchado, hidrofugado, reemboquillado y sellado.</t>
  </si>
  <si>
    <t>Suministro e instalacion de estuco veneciano en muro. Incluye estuco, pintura, pigmento, cera y herramienta menor</t>
  </si>
  <si>
    <t xml:space="preserve">Suministro e instalacion de estuco veneciano mayor color en muro. Incluye estuco, pintura, pigmento, cera y herramienta menor </t>
  </si>
  <si>
    <t>12.39</t>
  </si>
  <si>
    <t>12.40</t>
  </si>
  <si>
    <t>12.41</t>
  </si>
  <si>
    <t>12.42</t>
  </si>
  <si>
    <t>12.43</t>
  </si>
  <si>
    <t>12.44</t>
  </si>
  <si>
    <t>12.45</t>
  </si>
  <si>
    <t>12.46</t>
  </si>
  <si>
    <t>12.47</t>
  </si>
  <si>
    <t>12.48</t>
  </si>
  <si>
    <t>12.49</t>
  </si>
  <si>
    <t>12.50</t>
  </si>
  <si>
    <t>Suministro e instalación de enchape para piso exterior de características similares al existente</t>
  </si>
  <si>
    <t>Suministro e instalacion de guardaescoba para piso trafico alto (duro) similar al existente. Incluye boquillas, pegacor y dilataciones</t>
  </si>
  <si>
    <t xml:space="preserve">Sellado de fisuras en piso tableta de piedra </t>
  </si>
  <si>
    <t>Mantenimiento de piso en madera tipo granadillo o similar Incluye pegacor boquillado membrana antifractura reemplazo de piezas afectadas y accesorios de instalacion</t>
  </si>
  <si>
    <t>Suministro e instalacion de piso laminado granadillo inc guardaescoba</t>
  </si>
  <si>
    <t>Suministro e instalacion de ceramica caracteristicas similares al existente</t>
  </si>
  <si>
    <t>Suministro e instalación de piso laminado .Incluye retiro piso laminado existente y todo lo necesario para su correcta instalación</t>
  </si>
  <si>
    <t>Aplicación de resina acrílica adhesiva entre diferentes materiales</t>
  </si>
  <si>
    <t>Suministro e instalacion de zocalos en porcelanato</t>
  </si>
  <si>
    <t>Suministro e instalacion de piso laminado. Inlcuye todo lo necesario para su correcta instalacion.</t>
  </si>
  <si>
    <t>13.37</t>
  </si>
  <si>
    <t>13.38</t>
  </si>
  <si>
    <t>13.39</t>
  </si>
  <si>
    <t>13.40</t>
  </si>
  <si>
    <t>13.41</t>
  </si>
  <si>
    <t>13.42</t>
  </si>
  <si>
    <t>13.43</t>
  </si>
  <si>
    <t>13.44</t>
  </si>
  <si>
    <t>13.45</t>
  </si>
  <si>
    <t>13.46</t>
  </si>
  <si>
    <t>13.47</t>
  </si>
  <si>
    <t>Cambio, suministro e instalación de kit de instalación lavaplatos GRIVAL. Incluye todos los accesorios y lo necesario para su correcta instalación</t>
  </si>
  <si>
    <t>Suministro e instalacion de meson en lamina de cuarzo de 2 cms de espesor, ancho de 0,60 cms, Quartz Stone tipo TOP TILE o similar, canto y salpicadero de 0,10 cms del mismo material, se debe instalar sobre una estructura resistente metalica pintada con anticorrosivo y esmalte del color del cuarzo (color por seleccionar). Incluye las aperturas para griferia y lavamanos, pulida y brillado de las partes, los empalmes entre las laminas deben estar acolilladas a 45°, de union exacta y brillado debe ser acolillado,  sellado de juntas con silicona anti-hongos, la limpieza de las areas afectadas y nivelacion..</t>
  </si>
  <si>
    <t xml:space="preserve">Suministro e instalacion de aparato sanitario nacional. Incluye, Griferia, emboquillado,  sellado de juntas con silicona anti-hongos, nivelacion y limpieza de las areas afectadas. </t>
  </si>
  <si>
    <t xml:space="preserve">Suministro e instalacion de lavamanos con pedestal estilo o similar al existente.  Incluye, Griferia ahorradora, emboquillado, nivelacion, sellado de juntas con silicona anti-hongos y limpieza de las areas afectadas. </t>
  </si>
  <si>
    <t xml:space="preserve">Suministro e instalacion de meson en acero inoxidable. Incluye la poseta, griferia, accesorios, emboquillado, sellado de juntas con silicona anti-hongos, nivelacion y limpieza de las areas afectadas. </t>
  </si>
  <si>
    <t xml:space="preserve">Suministro e instalacion de baranda en tuberia galvanizada de 2" horizontales y verticales de 1 3/4" cada 1.5 mts. Incluye, pintura, anticorrosivo, soldadura, anclajes, nivelacion y limpieza de las areas afectadas.  </t>
  </si>
  <si>
    <t xml:space="preserve">Suministro e instalacion de pelicula de seguridad control solar para vidrios de 3M o similar. Incluye nivelacion y limpieza de las areas afectadas. </t>
  </si>
  <si>
    <t xml:space="preserve">Suministro e instalacion de cinta anti deslizante para escaleras. Incluye nivelacion y limpieza de las areas afectadas. </t>
  </si>
  <si>
    <t>Revision y mantenimiento de griferias para lavamanos. Incluye desmonte, revision, cambio de empaques o piezas averiadas y reinstalacio</t>
  </si>
  <si>
    <t>Mantenimiento de meson de cocina, incluye cambio de siliconas y arreglo de filtraciones</t>
  </si>
  <si>
    <t>Instalacion de vidrio o espejo</t>
  </si>
  <si>
    <t xml:space="preserve">Mantenimiento de tina, bañera o jazuci. Incluye reemboquillado y arreglo de filtraciones. </t>
  </si>
  <si>
    <t>Instalacion de lavamanos de colgar, incluye todos los elementos para su debida instalacion</t>
  </si>
  <si>
    <t>Mantenimiento de lavamanos existente, incluye aseo, emboquillado, acoples y arreglo de grifería existente</t>
  </si>
  <si>
    <t>Mantenimiento de sanitario existente, incluye aseo, emboquillado, acoples y arreglo de grifería existente</t>
  </si>
  <si>
    <t>Suministro e instalacion de Tanque Septico de 1650 Lt Incluye tanque, excavacion y compactacion, recebo granular B600 h 10 cm, campo de infiltracion y las intalaciones sanitarias para su correcto funcionamiento</t>
  </si>
  <si>
    <t>Suministro e instalación de grifería para sanitario</t>
  </si>
  <si>
    <t>Suministro e instalación de Plafón</t>
  </si>
  <si>
    <t>Suministro e instalacion de ESPEJO CRISTAL 4mm</t>
  </si>
  <si>
    <t xml:space="preserve">Mantenimiento sanitario </t>
  </si>
  <si>
    <t>Mantenimiento lavamanos</t>
  </si>
  <si>
    <t>Suministro e instalacion de rejilla 2" con sosco en aluminio</t>
  </si>
  <si>
    <t>Suministro e instalacion de griferia cuello de ganso sencilla dos llaves para lavaplatos</t>
  </si>
  <si>
    <t>Suministro e instalacion de Cubierta de empotrar en acero inoxidable a gas, para meson de cocina</t>
  </si>
  <si>
    <t>Suministro e instalacion de Horno a gas para cocina integral</t>
  </si>
  <si>
    <t xml:space="preserve">Mantenimiento de horno eléctrico, incluye todos los materiales para su correcta ejecuión </t>
  </si>
  <si>
    <t>Mantenimiento calentador a gas, incluye todos los materiales para su correcta ejecución</t>
  </si>
  <si>
    <t>Mantenimiento estufa a gas. Incluye todos los materiales para su correcta ejecución</t>
  </si>
  <si>
    <t>Suministro e instalación de campana extractora, incluye filtros, tornillos chazos y todo los elementos necesarios  para su debida instalación</t>
  </si>
  <si>
    <t>Mantenimiento de sanitario existente</t>
  </si>
  <si>
    <t>Suministro e instalacion de griferia mezclador para lavamanos Corona Nogal 8"</t>
  </si>
  <si>
    <t xml:space="preserve">Suministro e instalación de estufa de 3 boquillas a gas y 1 boquilla eléctrica de sobre proner medidas (0.65 x 0,53). Incluye mano de obra y accesorios de instalación.  </t>
  </si>
  <si>
    <t xml:space="preserve">Reparación de filtracion de lavadero </t>
  </si>
  <si>
    <t>Suministro e instalación de mezclador para lavamanos</t>
  </si>
  <si>
    <t>Suministro e instalación de vidrio 5 mm para ventana</t>
  </si>
  <si>
    <t xml:space="preserve">Suministro e instalación de calentador de pago Gas Natural Therm 1000f 12 lt tiro forado a gas natural </t>
  </si>
  <si>
    <t>Mantenimiento de orianl existente, incluye aseo, emboquillado, acoples y arreglo de grifería existente</t>
  </si>
  <si>
    <t>Revisión y mantenimiento de grifería para ducha . Incluye desmonte, revisión, cambio de empaques o piezas averiadas y reinstalación</t>
  </si>
  <si>
    <t>Suministro e instalación de ducha para grifería de mezclador gama baja 6" piscis creom , Incluye cinta teflon y accesorios de instalación sin salida para bañera</t>
  </si>
  <si>
    <t>Revisión de Cubierta a gas, incluye desmonte, limpieza, revisión del sistema eléctrico y conexiones e instalación</t>
  </si>
  <si>
    <t>Reparación de filtración en desague de lavaplatos, incluye cambio de empaques</t>
  </si>
  <si>
    <t>Suministro e instalación de viga en madera de 0.1X0.1 m</t>
  </si>
  <si>
    <t>Suministro e instalación de columnas en madera similar existente</t>
  </si>
  <si>
    <t>Mantenimiento, transporte e instalacion de Puerta en madera, incluye ajuste de bisagras y/o cepillado para su correcto funcionamiento</t>
  </si>
  <si>
    <t>Transporte de muebles en madera, inlcuye traslado a taller para su manteniemiento y devolución al sitio para su instalación</t>
  </si>
  <si>
    <t>Reinstalacion de Puertas en Madera Incluye accesorios de instalacion</t>
  </si>
  <si>
    <t>Retiro, suministro e instalación de bisaga parche o semiparche para mueble de madera</t>
  </si>
  <si>
    <t>Mantenimiento de meson de cocina. Incluye cambio de siliconas y arreglo de filtraciones</t>
  </si>
  <si>
    <t>Suministro e instalacion de mueble en madera para lavamanos existente incluye accesorios de fijacion y mano de obra</t>
  </si>
  <si>
    <t>Suministro e instalacion de canal metalica para un desarrollo de 1,22 mts. Incluye,  disposicion final de residuos y limpieza de las areas afectadas.</t>
  </si>
  <si>
    <t>Suministro e instalacion de mueble bajo interno en madecor  para cocina existente y mantenimiento de fachada del mueble existente</t>
  </si>
  <si>
    <t>Mantenimiento de puertas de corredera en aluminio</t>
  </si>
  <si>
    <t>Mantenimiento de ventana metálica liviana existente. Incluye, lijado, resane, cambio de rodamientos, empaquetaduras y cerraduras en ambas caras, retiro, disposición final de residuos y limpieza de las áreas afectadas.</t>
  </si>
  <si>
    <t>Suministro e instalación de cerradura para puerta principal en madera. Tipo yale o equivalente incluye todos los elementos necesarios para su instalación.</t>
  </si>
  <si>
    <t>Suministro e instalacion de mueble alto interno en madecor  para cocina existente y mantenimiento de fachada del mueble existente</t>
  </si>
  <si>
    <t>Suministro e instalación de herrajes para mueble de cocina (incluye bisagras, rieles y manijas para cajones y puertas)</t>
  </si>
  <si>
    <t>Suministro e instalación de Escalera metálica en Caracol en lámina alfajor. Incluye todos los materiales necesarios para su correcto funcionamiento, ademas de la limpieza</t>
  </si>
  <si>
    <t>Suministro e instalación paso madera abarco 0,25x1,95x2,5 cm incluye inmunizado y pintura</t>
  </si>
  <si>
    <t>Mantenimiento de mueble de cocina. Incluye cambio de siliconas y arreglo de filtraciones</t>
  </si>
  <si>
    <t>Mantenimiento de closet en madera, incluye suministro de entrepaño, rieles, bisagras y desmonte y ajuste de cajones y puertas</t>
  </si>
  <si>
    <t>Suminsitro e instalación de diviones en acero y vidrio templado de 8 mm. Inluye bisagras, manijas y accesorios de instalación</t>
  </si>
  <si>
    <t>Mantenimiento de ventana en Aluminio. Incluye cambio de bisagras y tornillos en ambas caras para su correcto funcionamiento</t>
  </si>
  <si>
    <t>Mantenimiento de cabina y división de baño para ducha en aluminio. Incluye desmonte, reintalación y cambio de piezas aplome y silicona</t>
  </si>
  <si>
    <t>Suministro e instalacion de marco en lamina Cold rolled Cal 18</t>
  </si>
  <si>
    <t>Suministro e instalación de canal metálica en lámina galvanizada, desarrollo hasta 40 cm (incluye washprimer + esmalte +anclaje de muro + sika flez 1A + soldadura en estaño)</t>
  </si>
  <si>
    <t>Instalación de muebles de cocina</t>
  </si>
  <si>
    <t>Revisión y reparación de cerradura de acceso principal. Incluye cambio de empaques, grasa y elementos de fijación</t>
  </si>
  <si>
    <t>Mantenimiento de puerta y/o ventana en Aluminio. Incluye desmonte, transporte, ajuste, pintura e instalacion en ambas caras para su correcto funcionamiento</t>
  </si>
  <si>
    <t>Mantenimiento, transporte e instalacion de Marco en madera, incluye ajuste de bisagras y/o cepillado para su correcto funcionamiento</t>
  </si>
  <si>
    <t>Suministro de cajonero 3 gabetas en madecor para mueble de cocina para anchos de 60 cm a 65 cm</t>
  </si>
  <si>
    <t xml:space="preserve">Mantenimiento de closet en madera, incluye bisagras y desmonte y ajuste de cajones y puertas. </t>
  </si>
  <si>
    <t>Mantenimiento de Baranda Metalica. Incluye cambio de tornillos, soldaduras, anticorrosivo y pintura para su correcto funcionamiento</t>
  </si>
  <si>
    <t>Suministro e instalacion de lavadero prefabricado con tanque de agua 1X0,60</t>
  </si>
  <si>
    <t>Cubierta en vidrio para empotrar 0,86*0,52 a gas</t>
  </si>
  <si>
    <t>Suministro e Instalación Grifería lavaplatos monocontrol</t>
  </si>
  <si>
    <t>Mezclador en tuberia de cobre 1/2'' para ducha</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</si>
  <si>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</si>
  <si>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</si>
  <si>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</si>
  <si>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</si>
  <si>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</si>
  <si>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</si>
  <si>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</si>
  <si>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</si>
  <si>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</si>
  <si>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</si>
  <si>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</si>
  <si>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</si>
  <si>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</si>
  <si>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</si>
  <si>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</si>
  <si>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</si>
  <si>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</si>
  <si>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</si>
  <si>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</si>
  <si>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</si>
  <si>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</si>
  <si>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</si>
  <si>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</si>
  <si>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</si>
  <si>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</si>
  <si>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</si>
  <si>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</si>
  <si>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</si>
  <si>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</si>
  <si>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</si>
  <si>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</si>
  <si>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</si>
  <si>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</si>
  <si>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</si>
  <si>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</si>
  <si>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</si>
  <si>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</si>
  <si>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</si>
  <si>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</si>
  <si>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14.100</t>
  </si>
  <si>
    <t>14.101</t>
  </si>
  <si>
    <t>14.102</t>
  </si>
  <si>
    <t>14.103</t>
  </si>
  <si>
    <t>14.104</t>
  </si>
  <si>
    <t>14.105</t>
  </si>
  <si>
    <t>14.106</t>
  </si>
  <si>
    <t>14.107</t>
  </si>
  <si>
    <t>14.108</t>
  </si>
  <si>
    <t>14.109</t>
  </si>
  <si>
    <t>14.110</t>
  </si>
  <si>
    <t>14.111</t>
  </si>
  <si>
    <t>14.112</t>
  </si>
  <si>
    <t>14.113</t>
  </si>
  <si>
    <t>14.114</t>
  </si>
  <si>
    <t>14.115</t>
  </si>
  <si>
    <t>14.116</t>
  </si>
  <si>
    <t>14.117</t>
  </si>
  <si>
    <t>14.118</t>
  </si>
  <si>
    <t>14.119</t>
  </si>
  <si>
    <t>14.120</t>
  </si>
  <si>
    <t>14.121</t>
  </si>
  <si>
    <t>14.122</t>
  </si>
  <si>
    <t>14.123</t>
  </si>
  <si>
    <t>14.124</t>
  </si>
  <si>
    <t>14.125</t>
  </si>
  <si>
    <t>14.126</t>
  </si>
  <si>
    <t>14.127</t>
  </si>
  <si>
    <t>14.128</t>
  </si>
  <si>
    <t>14.129</t>
  </si>
  <si>
    <t>14.130</t>
  </si>
  <si>
    <t>14.131</t>
  </si>
  <si>
    <t>14.132</t>
  </si>
  <si>
    <t>14.133</t>
  </si>
  <si>
    <t>14.134</t>
  </si>
  <si>
    <t>MOVIMIENTOS DE TIERRA Y LLENOS</t>
  </si>
  <si>
    <t xml:space="preserve">Relleno piedra media zonga (muerta) </t>
  </si>
  <si>
    <t>Excavación a mano 80cmx50cm</t>
  </si>
  <si>
    <t>Excavación manual en material común incluye retiro y disposición final de escombros</t>
  </si>
  <si>
    <t>RELLENO BASE GRANULAR B-200 (Suministro, Trasiego, Extendido, Nivelación, Humedecimiento y Compactación).</t>
  </si>
  <si>
    <t>Trasiego manual de escombros  (escaleras edificio)</t>
  </si>
  <si>
    <t>bto</t>
  </si>
  <si>
    <t>Filtro tipo frances A 35 cm H 50 cm Incluye excavacion, manguera microperforada, geotextil y grava</t>
  </si>
  <si>
    <t>Explanación  y  nivelación  del  terreno a máquina.  Medido in situ. Incluye cargue, transporte y botada de material, donde lo indique la interventoria.</t>
  </si>
  <si>
    <t xml:space="preserve">Excavación a mano de 0 a 2 m en material heterogéneo bajo cualquier grado de humedad. medido en sitio. Incluye entibado temporal, cargue, transporte y botada de material. </t>
  </si>
  <si>
    <t>Excavación en Roca</t>
  </si>
  <si>
    <t>Llenos compactados manualmente en  material  seleccionado  proveniente de las excavaciones. Incluye transporte local. La densidad la determinará la Interventoría.</t>
  </si>
  <si>
    <t>Llenos en entresuelo compactados manualmente. Incluye transporte local. La densidad la determinará la Interventoría. E=0,20 m</t>
  </si>
  <si>
    <t>Llenos en arenilla compactados manualmente. Incluye transporte local. La densidad la determinará la Interventoría. E=0.15m</t>
  </si>
  <si>
    <t>Excavación con máquina (Incl. Retiro volqueta)</t>
  </si>
  <si>
    <t>Perfilado de taludes a mano</t>
  </si>
  <si>
    <t>Excavaciónes manuales para zapatas y vigas</t>
  </si>
  <si>
    <t>Rellenos para muros de contención con material importado</t>
  </si>
  <si>
    <t>Base compactada 95% PM para pavimentos según Estudio de Suelos</t>
  </si>
  <si>
    <t>Relleno para zapatas y vigas de amarre  con material de sitio seleccionado</t>
  </si>
  <si>
    <t>Relleno en ciclopeo bebajo de nivelacion con concreto de 3000 psi y piedra media zonga.</t>
  </si>
  <si>
    <t>17.1</t>
  </si>
  <si>
    <t>17.2</t>
  </si>
  <si>
    <t>17.3</t>
  </si>
  <si>
    <t>17.4</t>
  </si>
  <si>
    <t>17.5</t>
  </si>
  <si>
    <t>17.6</t>
  </si>
  <si>
    <t>17.7</t>
  </si>
  <si>
    <t>17.8</t>
  </si>
  <si>
    <t>17.9</t>
  </si>
  <si>
    <t>17.10</t>
  </si>
  <si>
    <t>17.11</t>
  </si>
  <si>
    <t>17.12</t>
  </si>
  <si>
    <t>17.13</t>
  </si>
  <si>
    <t>17.14</t>
  </si>
  <si>
    <t>17.15</t>
  </si>
  <si>
    <t>17.16</t>
  </si>
  <si>
    <t>17.17</t>
  </si>
  <si>
    <t>17.18</t>
  </si>
  <si>
    <t>17.19</t>
  </si>
  <si>
    <t>MORTEROS</t>
  </si>
  <si>
    <t>Solados de limpieza para zapatas</t>
  </si>
  <si>
    <t>Solados de limpieza para vigas</t>
  </si>
  <si>
    <t>Suminsitro e intalación de mortero impermeabilizado</t>
  </si>
  <si>
    <t>18.1</t>
  </si>
  <si>
    <t>18.2</t>
  </si>
  <si>
    <t>18.3</t>
  </si>
  <si>
    <t>18.4</t>
  </si>
  <si>
    <t>EQUIPOS Y SISTEMAS ESPECIALES</t>
  </si>
  <si>
    <t>MANTENIMIENTO DE PICINA (Filtros de arena, arena sílice para filtro, filtros de 24”, trampa de pelo . 3. Hacer revisión y mantenimiento de la bomba existente, cambio de sellos y rodamientos, revisión de la parte eléctrica del sistema de funcionamiento del cuarto de máquinas, arrancadores, contactores, guarda motores, mantenimiento válvula multipropósito para  filtro; válvulas de seis posiciones, Suministrar todo el kit para mantenimiento y limpieza de las piscinas, tratamiento de agua  con sus respectivos químicos; hacer limpieza de las piscinas en los muros internos de la piscinas)</t>
  </si>
  <si>
    <t>Mantenimiento de trampa de grasas incluye disposición final de residuos y todo lo necesario para habilitar el servicio.</t>
  </si>
  <si>
    <t xml:space="preserve">Mantneimiento de Pozo Séptico. De 25m3 de capacidad.  Inlcuye Remoción de sólidos y aguas residuales, Lavado de paredes  y accesorios, inoculación de bacterias, certificado de disposición de residuos, y todo lo necesario para habilitar el servicio. </t>
  </si>
  <si>
    <t>Drenaje de agua piscina</t>
  </si>
  <si>
    <t>Suministro e instalación de sistema séptico integrado semienterrado, capacidad 12,500 litros, incluye excavación y todos los materiales para su correcta instalación</t>
  </si>
  <si>
    <t>Suministro e instalación y puesta en funcionamiento de equipo bombeo incluye mantenimiento de bomba 3 hp y lavado de tanques</t>
  </si>
  <si>
    <t>Actualización tecnológica y mantenimiento de ascensor de 3 paradas incluye instalación, sistema de cargas y nivelación.</t>
  </si>
  <si>
    <t>Suministro, transporte e instalación de filtro de 40*60,incluye tuberia , geotextil NT 1600 y triturado de 3/4"</t>
  </si>
  <si>
    <t>Mantenimiento preventivo - correctivo Ascensor 8 paradas correctivo en puertas y freno se generara un poliza de Resposabilidad Civil, Accesorios y mantenimiento global atencion de emergencia por home center aseo ajuste y lubricacion general equpo</t>
  </si>
  <si>
    <t>ms</t>
  </si>
  <si>
    <t>Anclaje Epoxico 1/2" H = 15 cm Incluye acero 1/2" corrugado y sikadur anchorfix - 4 compresor y accesorios de instalacion</t>
  </si>
  <si>
    <t>Ascensor otis suministro de materiales y mano de obra requeridos para realizar cambio del sistema de traccion.</t>
  </si>
  <si>
    <t>Tratamiento de agua con duracion de una semana para piscina con cantidad mayor a 50 m3 con quimicos necesarios para su correcto servicio.</t>
  </si>
  <si>
    <t>Suministro de kit de aseo para piscina el cual incluye los 7 elementos mas comunes para su limpieza.</t>
  </si>
  <si>
    <t>Suministro e instalacion de filtro y motobomba para piscina con mas de 60 m3. Incluye todo lo necesario para su correcta instalacion.</t>
  </si>
  <si>
    <t>Suministrro e instalacion de persiana para local. Incluye todo lo necesario su correcta instalacion. No incluye candado. Instaladas y pintadas en color escogido., con un  malacate pára subir y bajar la cortina</t>
  </si>
  <si>
    <t>Construcción de filtro. Incluye excavacion, manguera microperforada, geotextil y grava</t>
  </si>
  <si>
    <t>Empradización zonas verdes</t>
  </si>
  <si>
    <t>Suministro e instalación de red para control de aves</t>
  </si>
  <si>
    <t>Suministro e instalación Motobomba centrifuga multietapas de 1,5HP 220v 3600 RPM</t>
  </si>
  <si>
    <t>Suministro e instalación Tablero de arrancadores directo 2 motobombas monofasicas a 220v</t>
  </si>
  <si>
    <t>Suministro e instalación Tanque metalico 200 lts, swiche de presión, swiche flotador,, manometro, accesorios, base, montaje</t>
  </si>
  <si>
    <t>Suministro e instalación Tanque de almacenamiento 2000 lts</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</si>
  <si>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</si>
  <si>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</si>
  <si>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</si>
  <si>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</si>
  <si>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</si>
  <si>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</si>
  <si>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</si>
  <si>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</si>
  <si>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</si>
  <si>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</si>
  <si>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</si>
  <si>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</si>
  <si>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</si>
  <si>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</si>
  <si>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</si>
  <si>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</si>
  <si>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</si>
  <si>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</si>
  <si>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</si>
  <si>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</si>
  <si>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</si>
  <si>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</si>
  <si>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Limpieza y aseo (cuadrilla de aseo KK)</t>
  </si>
  <si>
    <t>Poda y corte cesped. Incluye retiro de material sobrante sin insecticida</t>
  </si>
  <si>
    <t xml:space="preserve">Lavado y secado de pisos Incluye jabon y desengrasante </t>
  </si>
  <si>
    <t>Mantenimiento de Jardineras Existente. Incluye retiro de maleza, poda de plantas, insecticida y todos los elementos para su debida instalacion</t>
  </si>
  <si>
    <t xml:space="preserve">Trabajo en Alturas superiores a 3 m </t>
  </si>
  <si>
    <t>Rocería y retiro manual y con guaduaña de zonas exteriores para altura entre 1,5 y 2 m</t>
  </si>
  <si>
    <t>Corte y retiro de arbol incl. raíces h &gt;= 3.0 m</t>
  </si>
  <si>
    <t>Retiro material sobrante</t>
  </si>
  <si>
    <t>Levantamiento de áreas, registro fotográfico, diagnóstico, presupuesto y cronograma para los casos no aprobados para su ejecución. Predios Urbanos</t>
  </si>
  <si>
    <t>Levantamiento de áreas, registro fotográfico, diagnóstico, presupuesto y cronograma para los casos no aprobados para su ejecución. Predios Rurales</t>
  </si>
  <si>
    <t>Limpieza y aseo (Cuadrilla de aseo incluye seguridad social y suministro de productos de limpieza)</t>
  </si>
  <si>
    <t>hr</t>
  </si>
  <si>
    <t>Fumigación control de plagas que atacan la madera</t>
  </si>
  <si>
    <t>Lavado de piso incluye aplicación de hidrofugo en superficies de hormigón, gres, pizarra, reemboquilada y sellada.</t>
  </si>
  <si>
    <t>Fumigacion, control general de plagas y desinfección ambiental.</t>
  </si>
  <si>
    <t>Aplicación de herbicida para el control de las malezas</t>
  </si>
  <si>
    <t>Limpieza y aseo ( personal aseo incluye seguridad social y suministro de productos de limpieza)</t>
  </si>
  <si>
    <t>dia</t>
  </si>
  <si>
    <t>Suministro e instalación de polietileno</t>
  </si>
  <si>
    <t>Limpieza y aseo (3) personas incl  seguridad social y sum  productos de limpieza</t>
  </si>
  <si>
    <t>15.45</t>
  </si>
  <si>
    <t>15.46</t>
  </si>
  <si>
    <t>15.47</t>
  </si>
  <si>
    <t>15.48</t>
  </si>
  <si>
    <t>15.49</t>
  </si>
  <si>
    <t>15.50</t>
  </si>
  <si>
    <t>15.51</t>
  </si>
  <si>
    <t>15.52</t>
  </si>
  <si>
    <t>15.53</t>
  </si>
  <si>
    <t>15.54</t>
  </si>
  <si>
    <t>15.55</t>
  </si>
  <si>
    <t>15.56</t>
  </si>
  <si>
    <t>15.57</t>
  </si>
  <si>
    <t>15.58</t>
  </si>
  <si>
    <t>15.59</t>
  </si>
  <si>
    <t>15.60</t>
  </si>
  <si>
    <t>15.61</t>
  </si>
  <si>
    <t>15.62</t>
  </si>
  <si>
    <t>15.63</t>
  </si>
  <si>
    <t>15.64</t>
  </si>
  <si>
    <t>INFORMES, TRAMITES Y ESTUDIOS</t>
  </si>
  <si>
    <t>20.1</t>
  </si>
  <si>
    <t>Estudio de Suelos</t>
  </si>
  <si>
    <t>20.2</t>
  </si>
  <si>
    <t>Informe Técnico Edificio meritage estado estructural en términos de durabilidad y los correctivos</t>
  </si>
  <si>
    <t>20.3</t>
  </si>
  <si>
    <t>Revisión con geófono para detección de fugas de agua.</t>
  </si>
  <si>
    <t>20.4</t>
  </si>
  <si>
    <t>Levantamiento de información tecnica para inspección de instalaciones electricas</t>
  </si>
  <si>
    <t>20.5</t>
  </si>
  <si>
    <t xml:space="preserve">Ejecución de diseños. Incluye elaboracion de planos electricos de los Pisos 2 Y 3 ( diseños electricos Para salidas de iluminacion, tomas, cocina, oficina, baños) </t>
  </si>
  <si>
    <t>20.6</t>
  </si>
  <si>
    <t>Tramite para certificación RETIE para legalización de la cuenta ante EPM</t>
  </si>
  <si>
    <t>20.7</t>
  </si>
  <si>
    <t>Diseño de red hidraulica. Incluye el calculo para 15 apartamentos.</t>
  </si>
  <si>
    <t>20.8</t>
  </si>
  <si>
    <t>Tramites ante epm, planeación y/o curaduria. Incluye desenglobe.</t>
  </si>
  <si>
    <t>ACERO</t>
  </si>
  <si>
    <t>21.1</t>
  </si>
  <si>
    <t>Acero de Refuerzo de f'y 420 Mpa incluye figuracion y alambra</t>
  </si>
  <si>
    <t>kg</t>
  </si>
  <si>
    <t>21.2</t>
  </si>
  <si>
    <t>Suministro e instalación acero de refuerzo  para zapata y muro de contención según diseño estructural.</t>
  </si>
  <si>
    <t>BASE DATOS SAE-SUR Después de febrero de 2021</t>
  </si>
  <si>
    <t>CANAGLO</t>
  </si>
  <si>
    <t>TENSODISEÑOS INGENIEROS+ ARQUITECTOS</t>
  </si>
  <si>
    <t>PROVEEDORA DE MATERIALES DEL RIO</t>
  </si>
  <si>
    <t xml:space="preserve">CALCULO MATEMATICO PROMEDIO PRECIOS Y RANGOS DE DESVIACIÓN EMPRESAS                                             </t>
  </si>
  <si>
    <t>SUR</t>
  </si>
  <si>
    <t>2.28</t>
  </si>
  <si>
    <t>Corte y demolición de pavimento asfalto e=20cm, incluye cargue, retiro y disposición final.</t>
  </si>
  <si>
    <t xml:space="preserve">Desmonte de mezanine en madera, iIncluye el retiro, limpieza y la disposicion final de residuos. </t>
  </si>
  <si>
    <t xml:space="preserve">Desmonte de cubierta en teja termoacustica existente. Incluye el retiro, limpieza y la disposicion final de residuos. </t>
  </si>
  <si>
    <t xml:space="preserve">Desmonte de cielo raso en madera (machimbre), incluye elementos de fijación. Incluye el retiro, limpieza y la disposicion final de residuos. </t>
  </si>
  <si>
    <t>3.60</t>
  </si>
  <si>
    <t>3.61</t>
  </si>
  <si>
    <t>3.62</t>
  </si>
  <si>
    <t>3.63</t>
  </si>
  <si>
    <t>3.64</t>
  </si>
  <si>
    <t>3.65</t>
  </si>
  <si>
    <t xml:space="preserve">Pintura de muebles de W.C y mantenimiento de bisagras, tornilleria, raspado, lijado, resane e inmunizado.Incluye todo lo necesario para el correcto funcionamiento del mueble, el retiro, limpieza y la disposicion final de residuos. </t>
  </si>
  <si>
    <t>4.37</t>
  </si>
  <si>
    <t>5.65</t>
  </si>
  <si>
    <t>5.66</t>
  </si>
  <si>
    <t>5.67</t>
  </si>
  <si>
    <t>5.68</t>
  </si>
  <si>
    <t>5.69</t>
  </si>
  <si>
    <t>5.70</t>
  </si>
  <si>
    <t>5.71</t>
  </si>
  <si>
    <t>5.72</t>
  </si>
  <si>
    <t>5.73</t>
  </si>
  <si>
    <t>5.74</t>
  </si>
  <si>
    <t>5.75</t>
  </si>
  <si>
    <t>5.76</t>
  </si>
  <si>
    <t>5.77</t>
  </si>
  <si>
    <t>5.78</t>
  </si>
  <si>
    <t>5.79</t>
  </si>
  <si>
    <t>5.80</t>
  </si>
  <si>
    <t>5.81</t>
  </si>
  <si>
    <t>5.82</t>
  </si>
  <si>
    <t>5.83</t>
  </si>
  <si>
    <t>5.84</t>
  </si>
  <si>
    <t>5.85</t>
  </si>
  <si>
    <t>5.86</t>
  </si>
  <si>
    <t>Suministro e instalación de muebles para cocina integral alto, línea económica, incluye accesorios de fijación y mano de obra,  disposición final de residuos y limpieza de las areas afectadas.</t>
  </si>
  <si>
    <t>Suministro e instalación de muebles para cocina integral bajo, línea económica incluye accesorios de fijación y mano de obra, disposición final de residuos y limpieza de las areas afectadas.</t>
  </si>
  <si>
    <t>Suministro e instalación de mueble de baño en madera, 2 entrepaños con puertas y bisagras. incluye accesorios de fijación y mano de obra,  disposición final de residuos y limpieza de las areas afectadas.</t>
  </si>
  <si>
    <t xml:space="preserve">Desmonte e instalación de mueble en madera bajo, alto, areas de almacenamiento. Incluye retiro, limpieza y disposición final de residuos. </t>
  </si>
  <si>
    <t xml:space="preserve"> Suministro e instalación de vidrio crudo para ventana. Incluye accesorios de instalación, limpieza y disposición final de residuos. </t>
  </si>
  <si>
    <t xml:space="preserve">Suministro e instalacion de cubierta termo acustica UPVC con fibra de carbono. No incluye su estructura. </t>
  </si>
  <si>
    <t>Suministro e instalacion de flanche galvanizado.</t>
  </si>
  <si>
    <t>Suministro e instalación teja traslucida Ajover.Incluye todo lo necesario para su instalación, la disposicion final de residuos y limpieza de las areas afectadas.</t>
  </si>
  <si>
    <t>Caballete para teja termoacustica Ajover, incluye elementos de  Incluye todo lo necesario para su instalación, la disposicion final de residuos y limpieza de las areas afectadas.fijación y mano de obra.</t>
  </si>
  <si>
    <t>Cielo raso en madera machimbre en pino, incluye perfiles y elementos de fijación. Incluye todo lo necesario para su instalación, la disposicion final de residuos y limpieza de las areas afectadas.</t>
  </si>
  <si>
    <t>Suministro e instalación de flanche galvanizado cal: 20  d = 50 cm (incluye wash primer + esmalte + anclaje de muro + sika flex 1A + soldadura de estaño)</t>
  </si>
  <si>
    <t>11.76</t>
  </si>
  <si>
    <t>11.77</t>
  </si>
  <si>
    <t>11.78</t>
  </si>
  <si>
    <t>11.79</t>
  </si>
  <si>
    <t>11.80</t>
  </si>
  <si>
    <t>11.81</t>
  </si>
  <si>
    <t xml:space="preserve">Suministro e instalación de estufa de 3 boquillas a gas y 1 boquilla eléctrica de sobre poner. Medidas (0,65x0,53 m). Incluye mano de obra y accesorios de instalación. Incluye,  todo lo necesaio para su correcta insstlaación y limpieza de las areas afectadas. </t>
  </si>
  <si>
    <t xml:space="preserve">Suministro e instalación de horno a gas 58x50 cm empotrable, línea económica. Incluye,  todo lo necesario para su correcta instalación y limpieza de las areas afectadas. </t>
  </si>
  <si>
    <t>Suministro e instalación de campana extractora 60x48 cm, empotrable, línea económica. Incluye,  todo lo necesaio para su correcta instalación y limpieza de las areas afectadas.</t>
  </si>
  <si>
    <t>Suministro e instalación de grifería tipo push para lavamanos en vidrio. Incluye,  todo lo necesario para su correcta insstlaación y limpieza de las areas afectadas.</t>
  </si>
  <si>
    <t>Suministro e instalación de cerradura para puerta principal en madera, incluye todos los elementos necesarios para su instalación.</t>
  </si>
  <si>
    <t>14.135</t>
  </si>
  <si>
    <t>14.136</t>
  </si>
  <si>
    <t>14.137</t>
  </si>
  <si>
    <t>14.138</t>
  </si>
  <si>
    <t>14.139</t>
  </si>
  <si>
    <t>1</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</si>
  <si>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</si>
  <si>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</si>
  <si>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</si>
  <si>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</si>
  <si>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</si>
  <si>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</si>
  <si>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</si>
  <si>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</si>
  <si>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</si>
  <si>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</si>
  <si>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</si>
  <si>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</si>
  <si>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</si>
  <si>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</si>
  <si>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</si>
  <si>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</si>
  <si>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</si>
  <si>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</si>
  <si>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</si>
  <si>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</si>
  <si>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</si>
  <si>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</si>
  <si>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</si>
  <si>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</si>
  <si>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</si>
  <si>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</si>
  <si>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</si>
  <si>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</si>
  <si>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</si>
  <si>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</si>
  <si>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</si>
  <si>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</si>
  <si>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</si>
  <si>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</si>
  <si>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</si>
  <si>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</si>
  <si>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</si>
  <si>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</si>
  <si>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</si>
  <si>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</si>
  <si>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</si>
  <si>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</si>
  <si>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</si>
  <si>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</si>
  <si>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</si>
  <si>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</si>
  <si>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</si>
  <si>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</si>
  <si>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</si>
  <si>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</si>
  <si>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</si>
  <si>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</si>
  <si>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</si>
  <si>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</si>
  <si>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</si>
  <si>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</si>
  <si>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</si>
  <si>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</si>
  <si>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</si>
  <si>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</si>
  <si>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</si>
  <si>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</si>
  <si>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</si>
  <si>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</si>
  <si>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</si>
  <si>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</si>
  <si>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</si>
  <si>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</si>
  <si>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</si>
  <si>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</si>
  <si>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</si>
  <si>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</si>
  <si>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</si>
  <si>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</si>
  <si>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</si>
  <si>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</si>
  <si>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</si>
  <si>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</si>
  <si>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</si>
  <si>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</si>
  <si>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</si>
  <si>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</si>
  <si>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</si>
  <si>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</si>
  <si>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</si>
  <si>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</si>
  <si>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</si>
  <si>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</si>
  <si>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</si>
  <si>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</si>
  <si>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</si>
  <si>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</si>
  <si>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</si>
  <si>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</si>
  <si>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</si>
  <si>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</si>
  <si>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</si>
  <si>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</si>
  <si>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</si>
  <si>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</si>
  <si>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</si>
  <si>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</si>
  <si>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</si>
  <si>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</si>
  <si>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</si>
  <si>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</si>
  <si>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</si>
  <si>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</si>
  <si>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</si>
  <si>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</si>
  <si>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</si>
  <si>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</si>
  <si>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</si>
  <si>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</si>
  <si>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</si>
  <si>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</si>
  <si>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</si>
  <si>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</si>
  <si>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</si>
  <si>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</si>
  <si>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</si>
  <si>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</si>
  <si>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</si>
  <si>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</si>
  <si>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</si>
  <si>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</si>
  <si>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</si>
  <si>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</si>
  <si>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</si>
  <si>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</si>
  <si>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</si>
  <si>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</si>
  <si>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</si>
  <si>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</si>
  <si>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</si>
  <si>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</si>
  <si>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</si>
  <si>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</si>
  <si>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</si>
  <si>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</si>
  <si>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</si>
  <si>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</si>
  <si>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</si>
  <si>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</si>
  <si>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</si>
  <si>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</si>
  <si>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</si>
  <si>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</si>
  <si>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</si>
  <si>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</si>
  <si>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</si>
  <si>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</si>
  <si>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</si>
  <si>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</si>
  <si>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</si>
  <si>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</si>
  <si>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</si>
  <si>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</si>
  <si>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</si>
  <si>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</si>
  <si>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</si>
  <si>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</si>
  <si>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</si>
  <si>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</si>
  <si>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</si>
  <si>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</si>
  <si>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</si>
  <si>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</si>
  <si>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</si>
  <si>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</si>
  <si>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</si>
  <si>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</si>
  <si>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</si>
  <si>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</si>
  <si>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</si>
  <si>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</si>
  <si>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</si>
  <si>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</si>
  <si>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</si>
  <si>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</si>
  <si>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</si>
  <si>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</si>
  <si>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</si>
  <si>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</si>
  <si>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</si>
  <si>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</si>
  <si>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</si>
  <si>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</si>
  <si>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</si>
  <si>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</si>
  <si>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</si>
  <si>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</si>
  <si>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</si>
  <si>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</si>
  <si>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</si>
  <si>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</si>
  <si>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</si>
  <si>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</si>
  <si>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</si>
  <si>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</si>
  <si>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</si>
  <si>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</si>
  <si>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</si>
  <si>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</si>
  <si>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</si>
  <si>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</si>
  <si>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</si>
  <si>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</si>
  <si>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</si>
  <si>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</si>
  <si>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</si>
  <si>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</si>
  <si>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</si>
  <si>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</si>
  <si>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</si>
  <si>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</si>
  <si>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</si>
  <si>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</si>
  <si>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</si>
  <si>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</si>
  <si>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</si>
  <si>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</si>
  <si>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</si>
  <si>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</si>
  <si>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</si>
  <si>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</si>
  <si>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</si>
  <si>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</si>
  <si>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</si>
  <si>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</si>
  <si>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</si>
  <si>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</si>
  <si>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</si>
  <si>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</si>
  <si>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</si>
  <si>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</si>
  <si>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</si>
  <si>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</si>
  <si>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</si>
  <si>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</si>
  <si>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</si>
  <si>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</si>
  <si>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</si>
  <si>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</si>
  <si>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</si>
  <si>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</si>
  <si>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</si>
  <si>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</si>
  <si>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</si>
  <si>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</si>
  <si>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</si>
  <si>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</si>
  <si>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</si>
  <si>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</si>
  <si>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</si>
  <si>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</si>
  <si>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</si>
  <si>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</si>
  <si>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</si>
  <si>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</si>
  <si>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</si>
  <si>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</si>
  <si>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</si>
  <si>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</si>
  <si>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</si>
  <si>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</si>
  <si>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</si>
  <si>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</si>
  <si>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</si>
  <si>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</si>
  <si>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</si>
  <si>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</si>
  <si>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</si>
  <si>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</si>
  <si>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</si>
  <si>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</si>
  <si>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</si>
  <si>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</si>
  <si>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</si>
  <si>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</si>
  <si>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</si>
  <si>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</si>
  <si>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</si>
  <si>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</si>
  <si>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</si>
  <si>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</si>
  <si>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</si>
  <si>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</si>
  <si>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</si>
  <si>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</si>
  <si>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</si>
  <si>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</si>
  <si>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</si>
  <si>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</si>
  <si>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</si>
  <si>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</si>
  <si>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</si>
  <si>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</si>
  <si>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</si>
  <si>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</si>
  <si>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</si>
  <si>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</si>
  <si>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</si>
  <si>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</si>
  <si>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</si>
  <si>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</si>
  <si>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</si>
  <si>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</si>
  <si>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</si>
  <si>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</si>
  <si>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</si>
  <si>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</si>
  <si>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</si>
  <si>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</si>
  <si>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</si>
  <si>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</si>
  <si>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</si>
  <si>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</si>
  <si>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</si>
  <si>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</si>
  <si>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</si>
  <si>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</si>
  <si>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</si>
  <si>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</si>
  <si>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</si>
  <si>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</si>
  <si>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</si>
  <si>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</si>
  <si>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</si>
  <si>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</si>
  <si>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</si>
  <si>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</si>
  <si>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</si>
  <si>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</si>
  <si>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</si>
  <si>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</si>
  <si>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</si>
  <si>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</si>
  <si>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</si>
  <si>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</si>
  <si>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</si>
  <si>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</si>
  <si>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</si>
  <si>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</si>
  <si>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</si>
  <si>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</si>
  <si>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</si>
  <si>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</si>
  <si>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</si>
  <si>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</si>
  <si>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</si>
  <si>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</si>
  <si>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</si>
  <si>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</si>
  <si>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</si>
  <si>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</si>
  <si>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</si>
  <si>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</si>
  <si>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</si>
  <si>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</si>
  <si>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</si>
  <si>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</si>
  <si>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</si>
  <si>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</si>
  <si>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</si>
  <si>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</si>
  <si>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</si>
  <si>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</si>
  <si>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</si>
  <si>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</si>
  <si>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</si>
  <si>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</si>
  <si>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</si>
  <si>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</si>
  <si>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</si>
  <si>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</si>
  <si>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</si>
  <si>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</si>
  <si>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</si>
  <si>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</si>
  <si>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</si>
  <si>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</si>
  <si>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</si>
  <si>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</si>
  <si>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</si>
  <si>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</si>
  <si>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</si>
  <si>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</si>
  <si>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</si>
  <si>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</si>
  <si>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</si>
  <si>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</si>
  <si>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</si>
  <si>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</si>
  <si>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</si>
  <si>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</si>
  <si>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</si>
  <si>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</si>
  <si>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</si>
  <si>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</si>
  <si>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</si>
  <si>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</si>
  <si>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</si>
  <si>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</si>
  <si>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</si>
  <si>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</si>
  <si>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</si>
  <si>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</si>
  <si>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</si>
  <si>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</si>
  <si>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</si>
  <si>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</si>
  <si>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</si>
  <si>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</si>
  <si>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</si>
  <si>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</si>
  <si>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</si>
  <si>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</si>
  <si>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</si>
  <si>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</si>
  <si>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</si>
  <si>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</si>
  <si>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</si>
  <si>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</si>
  <si>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</si>
  <si>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</si>
  <si>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</si>
  <si>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</si>
  <si>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</si>
  <si>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</si>
  <si>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</si>
  <si>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</si>
  <si>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</si>
  <si>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</si>
  <si>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</si>
  <si>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</si>
  <si>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</si>
  <si>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</si>
  <si>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</si>
  <si>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</si>
  <si>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</si>
  <si>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</si>
  <si>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</si>
  <si>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</si>
  <si>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</si>
  <si>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</si>
  <si>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</si>
  <si>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</si>
  <si>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</si>
  <si>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</si>
  <si>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</si>
  <si>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</si>
  <si>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</si>
  <si>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</si>
  <si>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</si>
  <si>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</si>
  <si>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</si>
  <si>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</si>
  <si>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</si>
  <si>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</si>
  <si>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</si>
  <si>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</si>
  <si>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</si>
  <si>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</si>
  <si>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</si>
  <si>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</si>
  <si>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</si>
  <si>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</si>
  <si>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</si>
  <si>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</si>
  <si>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</si>
  <si>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</si>
  <si>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</si>
  <si>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</si>
  <si>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</si>
  <si>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</si>
  <si>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</si>
  <si>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</si>
  <si>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</si>
  <si>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</si>
  <si>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</si>
  <si>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</si>
  <si>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</si>
  <si>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</si>
  <si>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</si>
  <si>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</si>
  <si>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</si>
  <si>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</si>
  <si>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</si>
  <si>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</si>
  <si>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</si>
  <si>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</si>
  <si>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</si>
  <si>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</si>
  <si>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</si>
  <si>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</si>
  <si>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</si>
  <si>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</si>
  <si>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</si>
  <si>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</si>
  <si>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</si>
  <si>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</si>
  <si>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</si>
  <si>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</si>
  <si>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</si>
  <si>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</si>
  <si>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</si>
  <si>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</si>
  <si>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</si>
  <si>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</si>
  <si>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</si>
  <si>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</si>
  <si>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</si>
  <si>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</si>
  <si>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</si>
  <si>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</si>
  <si>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</si>
  <si>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</si>
  <si>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</si>
  <si>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</si>
  <si>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</si>
  <si>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</si>
  <si>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</si>
  <si>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</si>
  <si>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</si>
  <si>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</si>
  <si>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</si>
  <si>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</si>
  <si>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</si>
  <si>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</si>
  <si>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</si>
  <si>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</si>
  <si>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</si>
  <si>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</si>
  <si>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</si>
  <si>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</si>
  <si>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</si>
  <si>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</si>
  <si>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</si>
  <si>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</si>
  <si>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</si>
  <si>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</si>
  <si>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</si>
  <si>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</si>
  <si>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</si>
  <si>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</si>
  <si>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</si>
  <si>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</si>
  <si>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</si>
  <si>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</si>
  <si>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</si>
  <si>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</si>
  <si>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</si>
  <si>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</si>
  <si>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</si>
  <si>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</si>
  <si>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</si>
  <si>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</si>
  <si>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</si>
  <si>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</si>
  <si>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</si>
  <si>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</si>
  <si>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</si>
  <si>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</si>
  <si>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</si>
  <si>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</si>
  <si>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</si>
  <si>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</si>
  <si>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</si>
  <si>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</si>
  <si>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</si>
  <si>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</si>
  <si>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</si>
  <si>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</si>
  <si>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</si>
  <si>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</si>
  <si>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</si>
  <si>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</si>
  <si>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</si>
  <si>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</si>
  <si>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</si>
  <si>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</si>
  <si>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</si>
  <si>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</si>
  <si>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</si>
  <si>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</si>
  <si>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</si>
  <si>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</si>
  <si>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</si>
  <si>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</si>
  <si>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</si>
  <si>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</si>
  <si>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</si>
  <si>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</si>
  <si>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</si>
  <si>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</si>
  <si>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</si>
  <si>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</si>
  <si>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</si>
  <si>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</si>
  <si>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</si>
  <si>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</si>
  <si>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</si>
  <si>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</si>
  <si>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</si>
  <si>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</si>
  <si>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</si>
  <si>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</si>
  <si>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</si>
  <si>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</si>
  <si>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</si>
  <si>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</si>
  <si>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</si>
  <si>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</si>
  <si>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</si>
  <si>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</si>
  <si>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</si>
  <si>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</si>
  <si>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</si>
  <si>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</si>
  <si>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</si>
  <si>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</si>
  <si>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</si>
  <si>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</si>
  <si>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</si>
  <si>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</si>
  <si>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</si>
  <si>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</si>
  <si>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</si>
  <si>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</si>
  <si>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</si>
  <si>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</si>
  <si>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</si>
  <si>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</si>
  <si>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</si>
  <si>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</si>
  <si>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</si>
  <si>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</si>
  <si>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</si>
  <si>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</si>
  <si>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</si>
  <si>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</si>
  <si>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</si>
  <si>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</si>
  <si>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</si>
  <si>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</si>
  <si>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</si>
  <si>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</si>
  <si>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</si>
  <si>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</si>
  <si>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</si>
  <si>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</si>
  <si>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</si>
  <si>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</si>
  <si>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</si>
  <si>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</si>
  <si>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</si>
  <si>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</si>
  <si>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</si>
  <si>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</si>
  <si>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</si>
  <si>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</si>
  <si>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</si>
  <si>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</si>
  <si>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</si>
  <si>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</si>
  <si>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</si>
  <si>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</si>
  <si>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</si>
  <si>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</si>
  <si>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</si>
  <si>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</si>
  <si>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</si>
  <si>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</si>
  <si>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</si>
  <si>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</si>
  <si>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</si>
  <si>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</si>
  <si>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</si>
  <si>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</si>
  <si>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</si>
  <si>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</si>
  <si>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</si>
  <si>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</si>
  <si>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</si>
  <si>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</si>
  <si>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</si>
  <si>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</si>
  <si>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</si>
  <si>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</si>
  <si>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</si>
  <si>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</si>
  <si>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</si>
  <si>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</si>
  <si>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</si>
  <si>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</si>
  <si>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</si>
  <si>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</si>
  <si>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</si>
  <si>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</si>
  <si>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</si>
  <si>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</si>
  <si>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</si>
  <si>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</si>
  <si>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</si>
  <si>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</si>
  <si>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</si>
  <si>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</si>
  <si>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</si>
  <si>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</si>
  <si>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</si>
  <si>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</si>
  <si>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</si>
  <si>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</si>
  <si>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</si>
  <si>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</si>
  <si>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</si>
  <si>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</si>
  <si>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</si>
  <si>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</si>
  <si>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</si>
  <si>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</si>
  <si>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</si>
  <si>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</si>
  <si>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</si>
  <si>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</si>
  <si>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</si>
  <si>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</si>
  <si>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</si>
  <si>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</si>
  <si>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</si>
  <si>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</si>
  <si>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</si>
  <si>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</si>
  <si>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</si>
  <si>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</si>
  <si>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</si>
  <si>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</si>
  <si>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</si>
  <si>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</si>
  <si>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</si>
  <si>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</si>
  <si>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</si>
  <si>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</si>
  <si>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</si>
  <si>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</si>
  <si>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</si>
  <si>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</si>
  <si>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</si>
  <si>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</si>
  <si>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</si>
  <si>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</si>
  <si>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</si>
  <si>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</si>
  <si>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</si>
  <si>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</si>
  <si>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</si>
  <si>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</si>
  <si>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</si>
  <si>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</si>
  <si>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</si>
  <si>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</si>
  <si>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</si>
  <si>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</si>
  <si>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</si>
  <si>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</si>
  <si>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</si>
  <si>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</si>
  <si>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</si>
  <si>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</si>
  <si>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</si>
  <si>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</si>
  <si>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</si>
  <si>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</si>
  <si>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</si>
  <si>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</si>
  <si>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</si>
  <si>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</si>
  <si>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</si>
  <si>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</si>
  <si>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</si>
  <si>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</si>
  <si>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</si>
  <si>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</si>
  <si>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</si>
  <si>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</si>
  <si>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</si>
  <si>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</si>
  <si>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</si>
  <si>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</si>
  <si>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</si>
  <si>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</si>
  <si>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</si>
  <si>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</si>
  <si>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</si>
  <si>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</si>
  <si>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</si>
  <si>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</si>
  <si>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</si>
  <si>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</si>
  <si>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</si>
  <si>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</si>
  <si>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</si>
  <si>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</si>
  <si>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</si>
  <si>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</si>
  <si>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</si>
  <si>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</si>
  <si>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</si>
  <si>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</si>
  <si>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</si>
  <si>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</si>
  <si>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</si>
  <si>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</si>
  <si>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</si>
  <si>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</si>
  <si>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</si>
  <si>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</si>
  <si>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</si>
  <si>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</si>
  <si>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</si>
  <si>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</si>
  <si>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</si>
  <si>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</si>
  <si>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</si>
  <si>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</si>
  <si>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</si>
  <si>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</si>
  <si>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</si>
  <si>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</si>
  <si>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</si>
  <si>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</si>
  <si>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</si>
  <si>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</si>
  <si>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</si>
  <si>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</si>
  <si>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</si>
  <si>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</si>
  <si>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</si>
  <si>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</si>
  <si>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</si>
  <si>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</si>
  <si>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</si>
  <si>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</si>
  <si>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</si>
  <si>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</si>
  <si>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</si>
  <si>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</si>
  <si>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</si>
  <si>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</si>
  <si>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</si>
  <si>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</si>
  <si>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</si>
  <si>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</si>
  <si>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</si>
  <si>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</si>
  <si>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</si>
  <si>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</si>
  <si>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</si>
  <si>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</si>
  <si>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</si>
  <si>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</si>
  <si>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</si>
  <si>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</si>
  <si>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</si>
  <si>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</si>
  <si>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</si>
  <si>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</si>
  <si>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</si>
  <si>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</si>
  <si>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</si>
  <si>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</si>
  <si>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</si>
  <si>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</si>
  <si>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</si>
  <si>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</si>
  <si>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</si>
  <si>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</si>
  <si>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</si>
  <si>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</si>
  <si>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</si>
  <si>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</si>
  <si>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</si>
  <si>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899</t>
  </si>
  <si>
    <t>900</t>
  </si>
  <si>
    <t>901</t>
  </si>
  <si>
    <t>902</t>
  </si>
  <si>
    <t>903</t>
  </si>
  <si>
    <t>904</t>
  </si>
  <si>
    <t>905</t>
  </si>
  <si>
    <t>906</t>
  </si>
  <si>
    <t>907</t>
  </si>
  <si>
    <t>908</t>
  </si>
  <si>
    <t>909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</si>
  <si>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</si>
  <si>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</si>
  <si>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</si>
  <si>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</si>
  <si>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</si>
  <si>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</si>
  <si>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</si>
  <si>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</si>
  <si>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</si>
  <si>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</si>
  <si>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</si>
  <si>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</si>
  <si>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</si>
  <si>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</si>
  <si>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</si>
  <si>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</si>
  <si>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</si>
  <si>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</si>
  <si>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</si>
  <si>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</si>
  <si>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</si>
  <si>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</si>
  <si>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</si>
  <si>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</si>
  <si>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</si>
  <si>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</si>
  <si>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</si>
  <si>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</si>
  <si>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</si>
  <si>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</si>
  <si>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</si>
  <si>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</si>
  <si>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</si>
  <si>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</si>
  <si>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</si>
  <si>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</si>
  <si>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</si>
  <si>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</si>
  <si>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</si>
  <si>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</si>
  <si>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</si>
  <si>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</si>
  <si>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</si>
  <si>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</si>
  <si>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</si>
  <si>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</si>
  <si>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</si>
  <si>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</si>
  <si>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</si>
  <si>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</si>
  <si>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</si>
  <si>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</si>
  <si>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</si>
  <si>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</si>
  <si>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</si>
  <si>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</si>
  <si>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</si>
  <si>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</si>
  <si>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</si>
  <si>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</si>
  <si>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</si>
  <si>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</si>
  <si>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</si>
  <si>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</si>
  <si>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</si>
  <si>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</si>
  <si>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</si>
  <si>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</si>
  <si>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</si>
  <si>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</si>
  <si>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</si>
  <si>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</si>
  <si>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</si>
  <si>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</si>
  <si>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</si>
  <si>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</si>
  <si>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</si>
  <si>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</si>
  <si>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</si>
  <si>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</si>
  <si>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</si>
  <si>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</si>
  <si>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</si>
  <si>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</si>
  <si>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</si>
  <si>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</si>
  <si>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</si>
  <si>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</si>
  <si>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</si>
  <si>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999</t>
  </si>
  <si>
    <t>1000</t>
  </si>
  <si>
    <t>1001</t>
  </si>
  <si>
    <t>1002</t>
  </si>
  <si>
    <t>1003</t>
  </si>
  <si>
    <t>1004</t>
  </si>
  <si>
    <t>1005</t>
  </si>
  <si>
    <t>1006</t>
  </si>
  <si>
    <t>1007</t>
  </si>
  <si>
    <t>1008</t>
  </si>
  <si>
    <t>1009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</si>
  <si>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</si>
  <si>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</si>
  <si>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</si>
  <si>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</si>
  <si>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</si>
  <si>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</si>
  <si>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</si>
  <si>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</si>
  <si>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</si>
  <si>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</si>
  <si>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</si>
  <si>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</si>
  <si>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</si>
  <si>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</si>
  <si>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</si>
  <si>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</si>
  <si>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</si>
  <si>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</si>
  <si>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</si>
  <si>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</si>
  <si>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</si>
  <si>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</si>
  <si>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</si>
  <si>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</si>
  <si>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</si>
  <si>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</si>
  <si>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</si>
  <si>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</si>
  <si>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</si>
  <si>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</si>
  <si>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</si>
  <si>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</si>
  <si>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</si>
  <si>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</si>
  <si>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</si>
  <si>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</si>
  <si>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</si>
  <si>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</si>
  <si>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</si>
  <si>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</si>
  <si>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</si>
  <si>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</si>
  <si>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</si>
  <si>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</si>
  <si>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</si>
  <si>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</si>
  <si>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</si>
  <si>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</si>
  <si>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</si>
  <si>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</si>
  <si>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</si>
  <si>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</si>
  <si>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</si>
  <si>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</si>
  <si>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</si>
  <si>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</si>
  <si>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</si>
  <si>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</si>
  <si>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Regional Occidente: Antioquia, chochó, Risaralda, caldas, Quindío</t>
  </si>
  <si>
    <t>Regional San Andrés y Providencia</t>
  </si>
  <si>
    <t>Regional Sur - Occidente: Valle del Cauca, Cauca, Nariño</t>
  </si>
  <si>
    <t xml:space="preserve">Regional Centro Oriente 1: Norte de Santander, Santander, Arauca, Casanare, Boyacá </t>
  </si>
  <si>
    <t>Regional Centro Oriente 2.1: Bogotá, Cundinamarca, Meta, Vichada.
Regional Centro Oriente 2.2: Tolima, Huila, Amazonas, Putumayo, Guaviare, Vaupés y Caquetá.</t>
  </si>
  <si>
    <t>CÁLCULOS MATEMÁTICOS</t>
  </si>
  <si>
    <t>CÁLCULOS MATEMÁTICOS
(Se descrata Ingeniarq MS por las desviaciones cnsiderables en sus precios)</t>
  </si>
  <si>
    <t>Regional Norte: Guajira, Cesar Magdalena, Atlántico, Bolívar, Sucre y Córdoba</t>
  </si>
  <si>
    <t>SAN ANDRÉS Y PROVIDENCIA</t>
  </si>
  <si>
    <t>CENTRO ORIENTE 1</t>
  </si>
  <si>
    <t>BASE DATOS SAE-OCCIDENTE Después de febrero de 2022</t>
  </si>
  <si>
    <t xml:space="preserve">IPC </t>
  </si>
  <si>
    <t>BASE DATOS SAE- CENTRO ORIENTE SAI Después de febrero de 2022</t>
  </si>
  <si>
    <t>BASE DATOS SAE-SUR Después de febrero de 2022</t>
  </si>
  <si>
    <t>BASE DATOS SAE-CENTRO ORIENTE Después de febrero de 2022</t>
  </si>
  <si>
    <t>BASE DATOS SAE-NORTE Después de febrero de 2022</t>
  </si>
  <si>
    <t>Se mantiene en de la sae</t>
  </si>
  <si>
    <t>Sube considerablemente</t>
  </si>
  <si>
    <t>INGENIARQ MS SAS (no se tuvo en cuenta)</t>
  </si>
  <si>
    <t>CÁLCULOS MATEMÁTICOS
(Se descarta Ingeniarq MS por las desviaciones considerables en sus precios)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</si>
</sst>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quot;$&quot;#,##0;[Red]\-&quot;$&quot;#,##0"/>
    <numFmt numFmtId="165" formatCode="&quot;$&quot;#,##0.00;[Red]\-&quot;$&quot;#,##0.00"/>
    <numFmt numFmtId="166" formatCode="_-&quot;$&quot;* #,##0_-;\-&quot;$&quot;* #,##0_-;_-&quot;$&quot;* &quot;-&quot;_-;_-@_-"/>
    <numFmt numFmtId="167" formatCode="_(&quot;$&quot;\ * #,##0.00_);_(&quot;$&quot;\ * \(#,##0.00\);_(&quot;$&quot;\ * &quot;-&quot;??_);_(@_)"/>
    <numFmt numFmtId="168" formatCode="&quot;$&quot;\ #,##0"/>
    <numFmt numFmtId="169" formatCode="&quot;$&quot;#,##0"/>
    <numFmt numFmtId="170" formatCode="_(&quot;$&quot;\ * #,##0_);_(&quot;$&quot;\ * \(#,##0\);_(&quot;$&quot;\ * &quot;-&quot;??_);_(@_)"/>
    <numFmt numFmtId="171" formatCode="\$\ #,##0"/>
    <numFmt numFmtId="172" formatCode="\$\ #,##0.00"/>
    <numFmt numFmtId="173" formatCode="&quot;$&quot;\ #,##0.00"/>
    <numFmt numFmtId="174" formatCode="&quot;$&quot;#,##0.0;[Red]\-&quot;$&quot;#,##0.0"/>
  </numFmts>
  <fonts count="23">
    <font>
      <sz val="11"/>
      <color rgb="FF000000"/>
      <name val="Calibri"/>
    </font>
    <font>
      <sz val="11"/>
      <name val="Calibri"/>
      <family val="2"/>
    </font>
    <font>
      <b/>
      <sz val="13"/>
      <color rgb="FF000000"/>
      <name val="Arial"/>
      <family val="2"/>
    </font>
    <font>
      <sz val="10"/>
      <color rgb="FF000000"/>
      <name val="Arial"/>
      <family val="2"/>
    </font>
    <font>
      <b/>
      <sz val="10"/>
      <color rgb="FF000000"/>
      <name val="Arial"/>
      <family val="2"/>
    </font>
    <font>
      <b/>
      <sz val="11"/>
      <color rgb="FF000000"/>
      <name val="Calibri"/>
      <family val="2"/>
    </font>
    <font>
      <sz val="11"/>
      <color rgb="FF000000"/>
      <name val="Calibri"/>
      <family val="2"/>
    </font>
    <font>
      <sz val="11"/>
      <color theme="1"/>
      <name val="Helvetica Neue"/>
      <family val="2"/>
      <scheme val="minor"/>
    </font>
    <font>
      <sz val="11"/>
      <color rgb="FF000000"/>
      <name val="Arial"/>
      <family val="2"/>
    </font>
    <font>
      <sz val="11"/>
      <name val="Arial"/>
      <family val="2"/>
    </font>
    <font>
      <sz val="11"/>
      <color rgb="FF000000"/>
      <name val="Calibri"/>
      <family val="2"/>
    </font>
    <font>
      <sz val="14"/>
      <color rgb="FF000000"/>
      <name val="Calibri"/>
      <family val="2"/>
    </font>
    <font>
      <sz val="11"/>
      <color theme="1"/>
      <name val="Calibri"/>
      <family val="2"/>
    </font>
    <font>
      <b/>
      <sz val="11"/>
      <name val="Calibri"/>
      <family val="2"/>
    </font>
    <font>
      <sz val="10"/>
      <name val="Arial"/>
      <family val="2"/>
    </font>
    <font>
      <sz val="10"/>
      <color theme="1"/>
      <name val="Arial"/>
      <family val="2"/>
    </font>
    <font>
      <sz val="11"/>
      <color rgb="FFFF0000"/>
      <name val="Calibri"/>
      <family val="2"/>
    </font>
    <font>
      <sz val="11"/>
      <color indexed="8"/>
      <name val="Calibri"/>
      <family val="2"/>
    </font>
    <font>
      <sz val="11"/>
      <color rgb="FFFFFFFF"/>
      <name val="Calibri"/>
      <family val="2"/>
    </font>
    <font>
      <b/>
      <sz val="11"/>
      <color indexed="8"/>
      <name val="Calibri"/>
      <family val="2"/>
    </font>
    <font>
      <sz val="13"/>
      <color rgb="FF000000"/>
      <name val="Arial"/>
      <family val="2"/>
    </font>
    <font>
      <sz val="8"/>
      <name val="Calibri"/>
    </font>
    <font>
      <sz val="10"/>
      <color rgb="FF000000"/>
      <name val="Calibri"/>
      <family val="2"/>
    </font>
  </fonts>
  <fills count="42">
    <fill>
      <patternFill patternType="none"/>
    </fill>
    <fill>
      <patternFill patternType="gray125"/>
    </fill>
    <fill>
      <patternFill patternType="solid">
        <fgColor rgb="FFFFFFFF"/>
        <bgColor rgb="FFFFFFFF"/>
      </patternFill>
    </fill>
    <fill>
      <patternFill patternType="solid">
        <fgColor rgb="FFD9E2F3"/>
        <bgColor rgb="FFD9E2F3"/>
      </patternFill>
    </fill>
    <fill>
      <patternFill patternType="solid">
        <fgColor theme="4" tint="0.79998168889431442"/>
        <bgColor rgb="FFD9E2F3"/>
      </patternFill>
    </fill>
    <fill>
      <patternFill patternType="solid">
        <fgColor theme="5" tint="0.79998168889431442"/>
        <bgColor indexed="64"/>
      </patternFill>
    </fill>
    <fill>
      <patternFill patternType="solid">
        <fgColor theme="6" tint="0.59999389629810485"/>
        <bgColor rgb="FFD8D8D8"/>
      </patternFill>
    </fill>
    <fill>
      <patternFill patternType="solid">
        <fgColor theme="6" tint="0.59999389629810485"/>
        <bgColor indexed="64"/>
      </patternFill>
    </fill>
    <fill>
      <patternFill patternType="solid">
        <fgColor theme="4" tint="0.79998168889431442"/>
        <bgColor rgb="FFF2F2F2"/>
      </patternFill>
    </fill>
    <fill>
      <patternFill patternType="solid">
        <fgColor theme="9" tint="0.79998168889431442"/>
        <bgColor rgb="FFF2F2F2"/>
      </patternFill>
    </fill>
    <fill>
      <patternFill patternType="solid">
        <fgColor theme="7" tint="0.59999389629810485"/>
        <bgColor rgb="FFF2F2F2"/>
      </patternFill>
    </fill>
    <fill>
      <patternFill patternType="solid">
        <fgColor rgb="FF66FFCC"/>
        <bgColor rgb="FFF2F2F2"/>
      </patternFill>
    </fill>
    <fill>
      <patternFill patternType="solid">
        <fgColor theme="9" tint="0.59999389629810485"/>
        <bgColor rgb="FFF2F2F2"/>
      </patternFill>
    </fill>
    <fill>
      <patternFill patternType="solid">
        <fgColor rgb="FF66FFFF"/>
        <bgColor indexed="64"/>
      </patternFill>
    </fill>
    <fill>
      <patternFill patternType="solid">
        <fgColor theme="4" tint="0.59999389629810485"/>
        <bgColor rgb="FFF2F2F2"/>
      </patternFill>
    </fill>
    <fill>
      <patternFill patternType="solid">
        <fgColor theme="0"/>
        <bgColor indexed="64"/>
      </patternFill>
    </fill>
    <fill>
      <patternFill patternType="solid">
        <fgColor theme="7" tint="0.59999389629810485"/>
        <bgColor indexed="64"/>
      </patternFill>
    </fill>
    <fill>
      <patternFill patternType="solid">
        <fgColor theme="7" tint="0.79998168889431442"/>
        <bgColor rgb="FFFFFFFF"/>
      </patternFill>
    </fill>
    <fill>
      <patternFill patternType="solid">
        <fgColor rgb="FFFFFF99"/>
        <bgColor rgb="FFF2F2F2"/>
      </patternFill>
    </fill>
    <fill>
      <patternFill patternType="solid">
        <fgColor rgb="FFD9E1F2"/>
        <bgColor rgb="FF000000"/>
      </patternFill>
    </fill>
    <fill>
      <patternFill patternType="solid">
        <fgColor rgb="FFFFFFFF"/>
        <bgColor auto="1"/>
      </patternFill>
    </fill>
    <fill>
      <patternFill patternType="solid">
        <fgColor theme="4" tint="0.79998168889431442"/>
        <bgColor indexed="64"/>
      </patternFill>
    </fill>
    <fill>
      <patternFill patternType="solid">
        <fgColor indexed="9"/>
        <bgColor auto="1"/>
      </patternFill>
    </fill>
    <fill>
      <patternFill patternType="solid">
        <fgColor rgb="FFD9E1F2"/>
        <bgColor rgb="FFFFFFFF"/>
      </patternFill>
    </fill>
    <fill>
      <patternFill patternType="solid">
        <fgColor theme="7" tint="0.39997558519241921"/>
        <bgColor indexed="64"/>
      </patternFill>
    </fill>
    <fill>
      <patternFill patternType="solid">
        <fgColor theme="4" tint="0.79998168889431442"/>
        <bgColor rgb="FFFFFFFF"/>
      </patternFill>
    </fill>
    <fill>
      <patternFill patternType="solid">
        <fgColor rgb="FFFFFF61"/>
        <bgColor indexed="64"/>
      </patternFill>
    </fill>
    <fill>
      <patternFill patternType="solid">
        <fgColor rgb="FFFFFF61"/>
        <bgColor rgb="FF000000"/>
      </patternFill>
    </fill>
    <fill>
      <patternFill patternType="solid">
        <fgColor rgb="FFFA6E48"/>
        <bgColor rgb="FF000000"/>
      </patternFill>
    </fill>
    <fill>
      <patternFill patternType="solid">
        <fgColor rgb="FFFF0000"/>
        <bgColor rgb="FF000000"/>
      </patternFill>
    </fill>
    <fill>
      <patternFill patternType="solid">
        <fgColor rgb="FFFFB547"/>
        <bgColor rgb="FF000000"/>
      </patternFill>
    </fill>
    <fill>
      <patternFill patternType="solid">
        <fgColor rgb="FF99FFCC"/>
        <bgColor rgb="FFF2F2F2"/>
      </patternFill>
    </fill>
    <fill>
      <patternFill patternType="solid">
        <fgColor rgb="FFFFFFFF"/>
        <bgColor indexed="64"/>
      </patternFill>
    </fill>
    <fill>
      <patternFill patternType="solid">
        <fgColor rgb="FFFFFFFF"/>
        <bgColor rgb="FF000000"/>
      </patternFill>
    </fill>
    <fill>
      <patternFill patternType="solid">
        <fgColor rgb="FFFF0000"/>
        <bgColor indexed="64"/>
      </patternFill>
    </fill>
    <fill>
      <patternFill patternType="solid">
        <fgColor rgb="FFFF0000"/>
        <bgColor rgb="FFD9E2F3"/>
      </patternFill>
    </fill>
    <fill>
      <patternFill patternType="solid">
        <fgColor rgb="FFFFCC66"/>
        <bgColor indexed="64"/>
      </patternFill>
    </fill>
    <fill>
      <patternFill patternType="solid">
        <fgColor rgb="FFFFCC66"/>
        <bgColor rgb="FFFFFFFF"/>
      </patternFill>
    </fill>
    <fill>
      <patternFill patternType="solid">
        <fgColor rgb="FFFFCC66"/>
        <bgColor auto="1"/>
      </patternFill>
    </fill>
    <fill>
      <patternFill patternType="solid">
        <fgColor rgb="FFC00000"/>
        <bgColor indexed="64"/>
      </patternFill>
    </fill>
    <fill>
      <patternFill patternType="solid">
        <fgColor rgb="FF7030A0"/>
        <bgColor indexed="64"/>
      </patternFill>
    </fill>
    <fill>
      <patternFill patternType="solid">
        <fgColor rgb="FFFFB547"/>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rgb="FF000000"/>
      </left>
      <right style="medium">
        <color indexed="64"/>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style="thin">
        <color indexed="64"/>
      </top>
      <bottom/>
      <diagonal/>
    </border>
    <border>
      <left style="medium">
        <color indexed="64"/>
      </left>
      <right style="thin">
        <color rgb="FF000000"/>
      </right>
      <top style="thin">
        <color rgb="FF000000"/>
      </top>
      <bottom style="thin">
        <color rgb="FF000000"/>
      </bottom>
      <diagonal/>
    </border>
    <border>
      <left style="thin">
        <color indexed="64"/>
      </left>
      <right style="medium">
        <color indexed="64"/>
      </right>
      <top style="thin">
        <color indexed="64"/>
      </top>
      <bottom/>
      <diagonal/>
    </border>
    <border>
      <left style="thin">
        <color theme="1"/>
      </left>
      <right style="thin">
        <color theme="1"/>
      </right>
      <top style="thin">
        <color theme="1"/>
      </top>
      <bottom style="thin">
        <color theme="1"/>
      </bottom>
      <diagonal/>
    </border>
    <border>
      <left style="medium">
        <color indexed="64"/>
      </left>
      <right style="medium">
        <color theme="1"/>
      </right>
      <top style="thin">
        <color indexed="64"/>
      </top>
      <bottom style="thin">
        <color indexed="64"/>
      </bottom>
      <diagonal/>
    </border>
    <border>
      <left/>
      <right/>
      <top style="thin">
        <color indexed="64"/>
      </top>
      <bottom/>
      <diagonal/>
    </border>
    <border>
      <left/>
      <right/>
      <top style="thin">
        <color theme="1"/>
      </top>
      <bottom style="thin">
        <color theme="1"/>
      </bottom>
      <diagonal/>
    </border>
    <border>
      <left style="thin">
        <color rgb="FF000000"/>
      </left>
      <right/>
      <top style="thin">
        <color rgb="FF000000"/>
      </top>
      <bottom style="thin">
        <color rgb="FF000000"/>
      </bottom>
      <diagonal/>
    </border>
  </borders>
  <cellStyleXfs count="5">
    <xf numFmtId="0" fontId="0" fillId="0" borderId="0"/>
    <xf numFmtId="167" fontId="6" fillId="0" borderId="0" applyFont="0" applyFill="0" applyBorder="0" applyAlignment="0" applyProtection="0"/>
    <xf numFmtId="166" fontId="6" fillId="0" borderId="0" applyFont="0" applyFill="0" applyBorder="0" applyAlignment="0" applyProtection="0"/>
    <xf numFmtId="167" fontId="7" fillId="0" borderId="0" applyFont="0" applyFill="0" applyBorder="0" applyAlignment="0" applyProtection="0"/>
    <xf numFmtId="9" fontId="10" fillId="0" borderId="0" applyFont="0" applyFill="0" applyBorder="0" applyAlignment="0" applyProtection="0"/>
  </cellStyleXfs>
  <cellXfs count="694">
    <xf numFmtId="0" fontId="0" fillId="0" borderId="0" xfId="0" applyFont="1" applyAlignment="1"/>
    <xf numFmtId="0" fontId="0" fillId="0" borderId="0" xfId="0" applyFont="1" applyAlignment="1"/>
    <xf numFmtId="9" fontId="5" fillId="5" borderId="2" xfId="0" applyNumberFormat="1" applyFont="1" applyFill="1" applyBorder="1" applyAlignment="1">
      <alignment horizontal="center" vertical="center" wrapText="1"/>
    </xf>
    <xf numFmtId="0" fontId="0" fillId="0" borderId="0" xfId="0" applyFont="1" applyBorder="1" applyAlignment="1"/>
    <xf numFmtId="0" fontId="0" fillId="0" borderId="0" xfId="0" applyFont="1" applyAlignment="1">
      <alignment horizontal="center"/>
    </xf>
    <xf numFmtId="0" fontId="6" fillId="0" borderId="0" xfId="0" applyFont="1" applyFill="1" applyBorder="1" applyAlignment="1">
      <alignment horizontal="center" vertical="center"/>
    </xf>
    <xf numFmtId="0" fontId="6" fillId="0" borderId="0" xfId="0" applyFont="1" applyFill="1" applyAlignment="1">
      <alignment horizontal="center" vertical="center"/>
    </xf>
    <xf numFmtId="168" fontId="1" fillId="0" borderId="0" xfId="1" applyNumberFormat="1" applyFont="1" applyBorder="1" applyAlignment="1">
      <alignment horizontal="center" vertical="center" wrapText="1"/>
    </xf>
    <xf numFmtId="0" fontId="6" fillId="0" borderId="0" xfId="0" applyFont="1" applyBorder="1" applyAlignment="1">
      <alignment horizontal="center" vertical="center"/>
    </xf>
    <xf numFmtId="0" fontId="6" fillId="0" borderId="0" xfId="0" applyFont="1" applyAlignment="1">
      <alignment horizontal="center" vertical="center"/>
    </xf>
    <xf numFmtId="168" fontId="1" fillId="0" borderId="1" xfId="1" applyNumberFormat="1" applyFont="1" applyBorder="1" applyAlignment="1">
      <alignment horizontal="center" vertical="center" wrapText="1"/>
    </xf>
    <xf numFmtId="168" fontId="9" fillId="0" borderId="0" xfId="1" applyNumberFormat="1" applyFont="1" applyBorder="1" applyAlignment="1">
      <alignment horizontal="center" vertical="center" wrapText="1"/>
    </xf>
    <xf numFmtId="168" fontId="5" fillId="10" borderId="3" xfId="0" applyNumberFormat="1" applyFont="1" applyFill="1" applyBorder="1" applyAlignment="1">
      <alignment horizontal="center" vertical="center" wrapText="1"/>
    </xf>
    <xf numFmtId="168" fontId="4" fillId="8" borderId="6" xfId="0" applyNumberFormat="1" applyFont="1" applyFill="1" applyBorder="1" applyAlignment="1">
      <alignment horizontal="center" vertical="center" wrapText="1"/>
    </xf>
    <xf numFmtId="9" fontId="0" fillId="0" borderId="0" xfId="4" applyFont="1" applyAlignment="1">
      <alignment horizontal="center" vertical="center" wrapText="1"/>
    </xf>
    <xf numFmtId="0" fontId="6" fillId="0" borderId="4" xfId="0" applyFont="1" applyBorder="1" applyAlignment="1">
      <alignment horizontal="center" vertical="center"/>
    </xf>
    <xf numFmtId="0" fontId="0" fillId="0" borderId="0" xfId="0" applyFont="1" applyAlignment="1">
      <alignment horizontal="center" vertical="center"/>
    </xf>
    <xf numFmtId="0" fontId="0" fillId="0" borderId="0" xfId="0" pivotButton="1" applyFont="1" applyAlignment="1"/>
    <xf numFmtId="0" fontId="0" fillId="0" borderId="0" xfId="0" applyFont="1" applyAlignment="1">
      <alignment horizontal="left"/>
    </xf>
    <xf numFmtId="0" fontId="0" fillId="0" borderId="0" xfId="0" applyNumberFormat="1" applyFont="1" applyAlignment="1"/>
    <xf numFmtId="9" fontId="0" fillId="0" borderId="0" xfId="4" applyFont="1" applyAlignment="1"/>
    <xf numFmtId="166" fontId="0" fillId="0" borderId="0" xfId="2" applyFont="1" applyAlignment="1"/>
    <xf numFmtId="49" fontId="2" fillId="2" borderId="0" xfId="0" applyNumberFormat="1" applyFont="1" applyFill="1" applyBorder="1" applyAlignment="1">
      <alignment vertical="center"/>
    </xf>
    <xf numFmtId="49" fontId="2" fillId="2" borderId="8" xfId="0" applyNumberFormat="1" applyFont="1" applyFill="1" applyBorder="1" applyAlignment="1">
      <alignment vertical="center"/>
    </xf>
    <xf numFmtId="168" fontId="0" fillId="0" borderId="1" xfId="0" applyNumberFormat="1" applyBorder="1" applyAlignment="1">
      <alignment horizontal="center" vertical="center" wrapText="1"/>
    </xf>
    <xf numFmtId="9" fontId="0" fillId="0" borderId="1" xfId="4" applyFont="1" applyBorder="1" applyAlignment="1">
      <alignment horizontal="center" vertical="center" wrapText="1"/>
    </xf>
    <xf numFmtId="49" fontId="3" fillId="4" borderId="12" xfId="0" applyNumberFormat="1" applyFont="1" applyFill="1" applyBorder="1" applyAlignment="1">
      <alignment horizontal="center" vertical="center" wrapText="1"/>
    </xf>
    <xf numFmtId="0" fontId="0" fillId="0" borderId="0" xfId="0" applyFont="1" applyBorder="1"/>
    <xf numFmtId="49" fontId="2" fillId="2" borderId="9" xfId="0" applyNumberFormat="1" applyFont="1" applyFill="1" applyBorder="1" applyAlignment="1">
      <alignment vertical="center"/>
    </xf>
    <xf numFmtId="170" fontId="0" fillId="0" borderId="15" xfId="1" applyNumberFormat="1" applyFont="1" applyBorder="1" applyAlignment="1">
      <alignment horizontal="center" vertical="center" wrapText="1"/>
    </xf>
    <xf numFmtId="0" fontId="11" fillId="0" borderId="0" xfId="0" pivotButton="1" applyFont="1" applyAlignment="1">
      <alignment horizontal="center" vertical="center"/>
    </xf>
    <xf numFmtId="171" fontId="1" fillId="0" borderId="1" xfId="1" applyNumberFormat="1" applyFont="1" applyBorder="1" applyAlignment="1">
      <alignment horizontal="center" vertical="center"/>
    </xf>
    <xf numFmtId="169" fontId="6" fillId="0" borderId="5" xfId="2" applyNumberFormat="1" applyFont="1" applyBorder="1" applyAlignment="1">
      <alignment horizontal="center" vertical="center"/>
    </xf>
    <xf numFmtId="164" fontId="1" fillId="0" borderId="1" xfId="1" applyNumberFormat="1" applyFont="1" applyBorder="1" applyAlignment="1">
      <alignment horizontal="center" vertical="center"/>
    </xf>
    <xf numFmtId="164" fontId="6" fillId="0" borderId="5" xfId="0" applyNumberFormat="1" applyFont="1" applyBorder="1" applyAlignment="1">
      <alignment horizontal="center" vertical="center"/>
    </xf>
    <xf numFmtId="165" fontId="6" fillId="0" borderId="5" xfId="0" applyNumberFormat="1" applyFont="1" applyBorder="1" applyAlignment="1">
      <alignment horizontal="center" vertical="center"/>
    </xf>
    <xf numFmtId="172" fontId="6" fillId="0" borderId="5" xfId="0" applyNumberFormat="1" applyFont="1" applyFill="1" applyBorder="1" applyAlignment="1">
      <alignment horizontal="center" vertical="center" shrinkToFit="1"/>
    </xf>
    <xf numFmtId="171" fontId="1" fillId="0" borderId="5" xfId="1" applyNumberFormat="1" applyFont="1" applyBorder="1" applyAlignment="1">
      <alignment horizontal="center" vertical="center"/>
    </xf>
    <xf numFmtId="171" fontId="6" fillId="0" borderId="1" xfId="0" applyNumberFormat="1" applyFont="1" applyFill="1" applyBorder="1" applyAlignment="1">
      <alignment horizontal="center" vertical="center" shrinkToFit="1"/>
    </xf>
    <xf numFmtId="164" fontId="6" fillId="0" borderId="1" xfId="0" applyNumberFormat="1" applyFont="1" applyFill="1" applyBorder="1" applyAlignment="1">
      <alignment horizontal="center" vertical="center"/>
    </xf>
    <xf numFmtId="165" fontId="1" fillId="0" borderId="5" xfId="1" applyNumberFormat="1" applyFont="1" applyBorder="1" applyAlignment="1">
      <alignment horizontal="center" vertical="center"/>
    </xf>
    <xf numFmtId="164" fontId="1" fillId="0" borderId="1" xfId="0" applyNumberFormat="1" applyFont="1" applyFill="1" applyBorder="1" applyAlignment="1">
      <alignment horizontal="center" vertical="center"/>
    </xf>
    <xf numFmtId="171" fontId="6" fillId="0" borderId="1" xfId="0" applyNumberFormat="1" applyFont="1" applyFill="1" applyBorder="1" applyAlignment="1">
      <alignment horizontal="center" vertical="center"/>
    </xf>
    <xf numFmtId="171" fontId="6" fillId="0" borderId="1" xfId="0" applyNumberFormat="1" applyFont="1" applyBorder="1" applyAlignment="1">
      <alignment horizontal="center" vertical="center"/>
    </xf>
    <xf numFmtId="171" fontId="1" fillId="0" borderId="1" xfId="1" applyNumberFormat="1" applyFont="1" applyBorder="1" applyAlignment="1">
      <alignment horizontal="center" vertical="center" wrapText="1"/>
    </xf>
    <xf numFmtId="168" fontId="12" fillId="0" borderId="1" xfId="1" applyNumberFormat="1" applyFont="1" applyBorder="1" applyAlignment="1">
      <alignment horizontal="center" vertical="center" wrapText="1"/>
    </xf>
    <xf numFmtId="0" fontId="6" fillId="3" borderId="4" xfId="0" applyFont="1" applyFill="1" applyBorder="1" applyAlignment="1">
      <alignment horizontal="center" vertical="center" wrapText="1"/>
    </xf>
    <xf numFmtId="49" fontId="6" fillId="4" borderId="1" xfId="0" applyNumberFormat="1" applyFont="1" applyFill="1" applyBorder="1" applyAlignment="1">
      <alignment vertical="center" wrapText="1"/>
    </xf>
    <xf numFmtId="0" fontId="12" fillId="0" borderId="1" xfId="0" applyFont="1" applyBorder="1" applyAlignment="1">
      <alignment horizontal="center" vertical="center" wrapText="1"/>
    </xf>
    <xf numFmtId="2" fontId="12" fillId="0" borderId="1" xfId="0" applyNumberFormat="1" applyFont="1" applyBorder="1" applyAlignment="1">
      <alignment horizontal="center" vertical="center" wrapText="1"/>
    </xf>
    <xf numFmtId="0" fontId="6"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1" fillId="0" borderId="0" xfId="0" applyFont="1" applyBorder="1" applyAlignment="1">
      <alignment horizontal="center" vertical="center"/>
    </xf>
    <xf numFmtId="0" fontId="1" fillId="0" borderId="7" xfId="0" applyFont="1" applyBorder="1" applyAlignment="1">
      <alignment horizontal="center" vertical="center"/>
    </xf>
    <xf numFmtId="0" fontId="0" fillId="0" borderId="0" xfId="0"/>
    <xf numFmtId="0" fontId="0" fillId="0" borderId="0" xfId="0" applyAlignment="1">
      <alignment horizontal="center" vertical="center"/>
    </xf>
    <xf numFmtId="168" fontId="3" fillId="2" borderId="16" xfId="0" applyNumberFormat="1" applyFont="1" applyFill="1" applyBorder="1" applyAlignment="1">
      <alignment horizontal="center" vertical="center" wrapText="1"/>
    </xf>
    <xf numFmtId="168" fontId="14" fillId="2" borderId="17" xfId="0" applyNumberFormat="1" applyFont="1" applyFill="1" applyBorder="1" applyAlignment="1">
      <alignment horizontal="center" vertical="center" wrapText="1"/>
    </xf>
    <xf numFmtId="168" fontId="15" fillId="0" borderId="17" xfId="0" applyNumberFormat="1" applyFont="1" applyBorder="1" applyAlignment="1">
      <alignment horizontal="center" vertical="center" wrapText="1"/>
    </xf>
    <xf numFmtId="168" fontId="1" fillId="2" borderId="17" xfId="0" applyNumberFormat="1" applyFont="1" applyFill="1" applyBorder="1" applyAlignment="1">
      <alignment horizontal="center" vertical="center" wrapText="1"/>
    </xf>
    <xf numFmtId="168" fontId="1" fillId="0" borderId="1" xfId="1" applyNumberFormat="1" applyFont="1" applyFill="1" applyBorder="1" applyAlignment="1">
      <alignment horizontal="center" vertical="center" wrapText="1"/>
    </xf>
    <xf numFmtId="168" fontId="15"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170" fontId="0" fillId="0" borderId="15" xfId="1" applyNumberFormat="1" applyFont="1" applyFill="1" applyBorder="1" applyAlignment="1">
      <alignment horizontal="center" vertical="center" wrapText="1"/>
    </xf>
    <xf numFmtId="9" fontId="0" fillId="0" borderId="1" xfId="4" applyFont="1" applyFill="1" applyBorder="1" applyAlignment="1">
      <alignment horizontal="center" vertical="center" wrapText="1"/>
    </xf>
    <xf numFmtId="0" fontId="12" fillId="0" borderId="1" xfId="0" applyFont="1" applyFill="1" applyBorder="1" applyAlignment="1">
      <alignment horizontal="center" vertical="center" wrapText="1"/>
    </xf>
    <xf numFmtId="171" fontId="1" fillId="0" borderId="1" xfId="1" applyNumberFormat="1" applyFont="1" applyFill="1" applyBorder="1" applyAlignment="1">
      <alignment horizontal="center" vertical="center"/>
    </xf>
    <xf numFmtId="168" fontId="0" fillId="0" borderId="1" xfId="0" applyNumberFormat="1" applyFill="1" applyBorder="1" applyAlignment="1">
      <alignment horizontal="center" vertical="center" wrapText="1"/>
    </xf>
    <xf numFmtId="0" fontId="0" fillId="0" borderId="0" xfId="0" applyFont="1" applyFill="1" applyAlignment="1"/>
    <xf numFmtId="166" fontId="0" fillId="0" borderId="18" xfId="2" applyFont="1" applyBorder="1" applyAlignment="1">
      <alignment horizontal="center" vertical="center"/>
    </xf>
    <xf numFmtId="0" fontId="6" fillId="0" borderId="1" xfId="0" applyFont="1" applyBorder="1" applyAlignment="1">
      <alignment horizontal="center" vertical="center"/>
    </xf>
    <xf numFmtId="0" fontId="0" fillId="0" borderId="1" xfId="0" applyBorder="1"/>
    <xf numFmtId="0" fontId="0" fillId="0" borderId="1" xfId="0" applyBorder="1" applyAlignment="1">
      <alignment horizontal="center" vertical="center"/>
    </xf>
    <xf numFmtId="168" fontId="1" fillId="2" borderId="1" xfId="0" applyNumberFormat="1" applyFont="1" applyFill="1" applyBorder="1" applyAlignment="1">
      <alignment horizontal="center" vertical="center" wrapText="1"/>
    </xf>
    <xf numFmtId="168" fontId="14" fillId="2" borderId="1" xfId="0" applyNumberFormat="1" applyFont="1" applyFill="1" applyBorder="1" applyAlignment="1">
      <alignment horizontal="center" vertical="center" wrapText="1"/>
    </xf>
    <xf numFmtId="168" fontId="3" fillId="2" borderId="1" xfId="0" applyNumberFormat="1" applyFont="1" applyFill="1" applyBorder="1" applyAlignment="1">
      <alignment horizontal="center" vertical="center" wrapText="1"/>
    </xf>
    <xf numFmtId="170" fontId="0" fillId="0" borderId="1" xfId="1" applyNumberFormat="1" applyFont="1" applyBorder="1" applyAlignment="1">
      <alignment horizontal="center" vertical="center" wrapText="1"/>
    </xf>
    <xf numFmtId="166" fontId="0" fillId="0" borderId="1" xfId="2" applyFont="1" applyBorder="1" applyAlignment="1">
      <alignment horizontal="center" vertical="center"/>
    </xf>
    <xf numFmtId="166" fontId="0" fillId="0" borderId="18" xfId="2" applyFont="1" applyFill="1" applyBorder="1" applyAlignment="1">
      <alignment horizontal="center" vertical="center"/>
    </xf>
    <xf numFmtId="168" fontId="6" fillId="2" borderId="1" xfId="0" applyNumberFormat="1" applyFont="1" applyFill="1" applyBorder="1" applyAlignment="1">
      <alignment horizontal="center" vertical="center" wrapText="1"/>
    </xf>
    <xf numFmtId="168" fontId="16" fillId="2" borderId="1" xfId="0" applyNumberFormat="1" applyFont="1" applyFill="1" applyBorder="1" applyAlignment="1">
      <alignment horizontal="center" vertical="center" wrapText="1"/>
    </xf>
    <xf numFmtId="166" fontId="0" fillId="0" borderId="1" xfId="2" applyFont="1" applyFill="1" applyBorder="1" applyAlignment="1">
      <alignment horizontal="center" vertical="center"/>
    </xf>
    <xf numFmtId="168" fontId="1" fillId="0" borderId="1" xfId="0" applyNumberFormat="1" applyFont="1" applyFill="1" applyBorder="1" applyAlignment="1">
      <alignment horizontal="center" vertical="center" wrapText="1"/>
    </xf>
    <xf numFmtId="168" fontId="14" fillId="0" borderId="1" xfId="0" applyNumberFormat="1" applyFont="1" applyFill="1" applyBorder="1" applyAlignment="1">
      <alignment horizontal="center" vertical="center" wrapText="1"/>
    </xf>
    <xf numFmtId="168" fontId="3" fillId="0" borderId="1" xfId="0" applyNumberFormat="1" applyFont="1" applyFill="1" applyBorder="1" applyAlignment="1">
      <alignment horizontal="center" vertical="center" wrapText="1"/>
    </xf>
    <xf numFmtId="168" fontId="15" fillId="0" borderId="1" xfId="0" applyNumberFormat="1" applyFont="1" applyFill="1" applyBorder="1" applyAlignment="1">
      <alignment horizontal="center" vertical="center" wrapText="1"/>
    </xf>
    <xf numFmtId="170" fontId="0" fillId="0" borderId="1" xfId="1" applyNumberFormat="1" applyFont="1" applyFill="1" applyBorder="1" applyAlignment="1">
      <alignment horizontal="center" vertical="center" wrapText="1"/>
    </xf>
    <xf numFmtId="168" fontId="1" fillId="0" borderId="1" xfId="0" applyNumberFormat="1" applyFont="1" applyBorder="1" applyAlignment="1">
      <alignment horizontal="center" vertical="center" wrapText="1"/>
    </xf>
    <xf numFmtId="168" fontId="14" fillId="0" borderId="1" xfId="0" applyNumberFormat="1" applyFont="1" applyBorder="1" applyAlignment="1">
      <alignment horizontal="center" vertical="center" wrapText="1"/>
    </xf>
    <xf numFmtId="168" fontId="3" fillId="0" borderId="1" xfId="0" applyNumberFormat="1" applyFont="1" applyBorder="1" applyAlignment="1">
      <alignment horizontal="center" vertical="center" wrapText="1"/>
    </xf>
    <xf numFmtId="172" fontId="6" fillId="0" borderId="5" xfId="0" applyNumberFormat="1" applyFont="1" applyBorder="1" applyAlignment="1">
      <alignment horizontal="center" vertical="center" shrinkToFit="1"/>
    </xf>
    <xf numFmtId="49" fontId="6" fillId="4" borderId="12" xfId="0" applyNumberFormat="1" applyFont="1" applyFill="1" applyBorder="1" applyAlignment="1">
      <alignment vertical="center" wrapText="1"/>
    </xf>
    <xf numFmtId="164" fontId="1" fillId="0" borderId="1" xfId="1" applyNumberFormat="1" applyFont="1" applyFill="1" applyBorder="1" applyAlignment="1">
      <alignment horizontal="center" vertical="center"/>
    </xf>
    <xf numFmtId="171" fontId="1" fillId="0" borderId="1" xfId="1" applyNumberFormat="1" applyFont="1" applyFill="1" applyBorder="1" applyAlignment="1">
      <alignment horizontal="center" vertical="center" wrapText="1"/>
    </xf>
    <xf numFmtId="165" fontId="6" fillId="0" borderId="5"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0" fillId="0" borderId="1" xfId="0" applyFill="1" applyBorder="1"/>
    <xf numFmtId="0" fontId="0" fillId="0" borderId="1" xfId="0" applyFill="1" applyBorder="1" applyAlignment="1">
      <alignment horizontal="center" vertical="center"/>
    </xf>
    <xf numFmtId="172" fontId="6" fillId="0" borderId="1" xfId="0" applyNumberFormat="1" applyFont="1" applyFill="1" applyBorder="1" applyAlignment="1">
      <alignment horizontal="center" vertical="center" shrinkToFit="1"/>
    </xf>
    <xf numFmtId="0" fontId="6" fillId="0" borderId="1" xfId="0" applyFont="1" applyBorder="1" applyAlignment="1">
      <alignment vertical="top" wrapText="1"/>
    </xf>
    <xf numFmtId="49" fontId="6" fillId="4" borderId="1" xfId="0" applyNumberFormat="1" applyFont="1" applyFill="1" applyBorder="1" applyAlignment="1">
      <alignment vertical="top" wrapText="1"/>
    </xf>
    <xf numFmtId="0" fontId="6" fillId="0" borderId="1" xfId="0" applyFont="1" applyFill="1" applyBorder="1" applyAlignment="1">
      <alignment vertical="top" wrapText="1"/>
    </xf>
    <xf numFmtId="0" fontId="6" fillId="15" borderId="1" xfId="0" applyFont="1" applyFill="1" applyBorder="1" applyAlignment="1">
      <alignment vertical="top" wrapText="1"/>
    </xf>
    <xf numFmtId="49" fontId="6" fillId="4" borderId="1" xfId="0" applyNumberFormat="1" applyFont="1" applyFill="1" applyBorder="1" applyAlignment="1">
      <alignment horizontal="left" vertical="top" wrapText="1"/>
    </xf>
    <xf numFmtId="0" fontId="0" fillId="0" borderId="0" xfId="0" applyAlignment="1">
      <alignment vertical="center"/>
    </xf>
    <xf numFmtId="170" fontId="0" fillId="0" borderId="1" xfId="1" applyNumberFormat="1" applyFont="1" applyBorder="1" applyAlignment="1">
      <alignment vertical="center" wrapText="1"/>
    </xf>
    <xf numFmtId="166" fontId="0" fillId="0" borderId="1" xfId="2" applyFont="1" applyBorder="1" applyAlignment="1">
      <alignment vertical="center"/>
    </xf>
    <xf numFmtId="168" fontId="0" fillId="0" borderId="1" xfId="2" applyNumberFormat="1" applyFont="1" applyBorder="1" applyAlignment="1">
      <alignment vertical="center"/>
    </xf>
    <xf numFmtId="166" fontId="0" fillId="0" borderId="1" xfId="2" applyFont="1" applyFill="1" applyBorder="1" applyAlignment="1">
      <alignment vertical="center"/>
    </xf>
    <xf numFmtId="166" fontId="0" fillId="0" borderId="1" xfId="2" applyFont="1" applyBorder="1" applyAlignment="1">
      <alignment vertical="center" wrapText="1"/>
    </xf>
    <xf numFmtId="0" fontId="0" fillId="0" borderId="1" xfId="0" applyFill="1" applyBorder="1" applyAlignment="1">
      <alignment vertical="center"/>
    </xf>
    <xf numFmtId="0" fontId="0" fillId="0" borderId="1" xfId="0" applyBorder="1" applyAlignment="1">
      <alignment vertical="center"/>
    </xf>
    <xf numFmtId="168" fontId="4" fillId="8" borderId="2" xfId="0" applyNumberFormat="1" applyFont="1" applyFill="1" applyBorder="1" applyAlignment="1">
      <alignment horizontal="center" vertical="center" wrapText="1"/>
    </xf>
    <xf numFmtId="9" fontId="5" fillId="13" borderId="2" xfId="0" applyNumberFormat="1" applyFont="1" applyFill="1" applyBorder="1" applyAlignment="1">
      <alignment horizontal="center" vertical="center" wrapText="1"/>
    </xf>
    <xf numFmtId="9" fontId="5" fillId="16" borderId="2" xfId="0" applyNumberFormat="1" applyFont="1" applyFill="1" applyBorder="1" applyAlignment="1">
      <alignment horizontal="center" vertical="center" wrapText="1"/>
    </xf>
    <xf numFmtId="168" fontId="5" fillId="9" borderId="2" xfId="0" applyNumberFormat="1" applyFont="1" applyFill="1" applyBorder="1" applyAlignment="1">
      <alignment horizontal="center" vertical="center" wrapText="1"/>
    </xf>
    <xf numFmtId="171" fontId="6" fillId="0" borderId="1" xfId="0" applyNumberFormat="1" applyFont="1" applyBorder="1" applyAlignment="1">
      <alignment horizontal="center" vertical="center" shrinkToFit="1"/>
    </xf>
    <xf numFmtId="0" fontId="0" fillId="0" borderId="1" xfId="0" applyFont="1" applyFill="1" applyBorder="1" applyAlignment="1"/>
    <xf numFmtId="49" fontId="6" fillId="4" borderId="23" xfId="0" applyNumberFormat="1" applyFont="1" applyFill="1" applyBorder="1" applyAlignment="1">
      <alignment vertical="center" wrapText="1"/>
    </xf>
    <xf numFmtId="49" fontId="6" fillId="4" borderId="11" xfId="0" applyNumberFormat="1" applyFont="1" applyFill="1" applyBorder="1" applyAlignment="1">
      <alignment vertical="center" wrapText="1"/>
    </xf>
    <xf numFmtId="0" fontId="0" fillId="0" borderId="1" xfId="0" applyFont="1" applyBorder="1" applyAlignment="1"/>
    <xf numFmtId="166" fontId="0" fillId="0" borderId="1" xfId="2" applyFont="1" applyBorder="1" applyAlignment="1">
      <alignment horizontal="center" vertical="center" wrapText="1"/>
    </xf>
    <xf numFmtId="166" fontId="6" fillId="0" borderId="1" xfId="2" applyFont="1" applyBorder="1" applyAlignment="1">
      <alignment horizontal="center" vertical="center" wrapText="1"/>
    </xf>
    <xf numFmtId="0" fontId="6" fillId="0" borderId="1" xfId="0" applyFont="1" applyBorder="1" applyAlignment="1">
      <alignment horizontal="center" vertical="center" wrapText="1"/>
    </xf>
    <xf numFmtId="170" fontId="6" fillId="0" borderId="14" xfId="1" applyNumberFormat="1" applyFont="1" applyFill="1" applyBorder="1" applyAlignment="1">
      <alignment horizontal="center" vertical="center" wrapText="1"/>
    </xf>
    <xf numFmtId="168" fontId="6" fillId="0" borderId="11" xfId="0" applyNumberFormat="1" applyFont="1" applyFill="1" applyBorder="1" applyAlignment="1">
      <alignment horizontal="center" vertical="center" wrapText="1"/>
    </xf>
    <xf numFmtId="9" fontId="6" fillId="0" borderId="11" xfId="4" applyFont="1" applyFill="1" applyBorder="1" applyAlignment="1">
      <alignment horizontal="center" vertical="center" wrapText="1"/>
    </xf>
    <xf numFmtId="168" fontId="6" fillId="0" borderId="1" xfId="0" applyNumberFormat="1" applyFont="1" applyFill="1" applyBorder="1" applyAlignment="1">
      <alignment horizontal="center" vertical="center" wrapText="1"/>
    </xf>
    <xf numFmtId="168" fontId="6" fillId="20" borderId="1" xfId="0" applyNumberFormat="1" applyFont="1" applyFill="1" applyBorder="1" applyAlignment="1">
      <alignment horizontal="center" vertical="center" wrapText="1"/>
    </xf>
    <xf numFmtId="170" fontId="6" fillId="0" borderId="26" xfId="1" applyNumberFormat="1" applyFont="1" applyFill="1" applyBorder="1" applyAlignment="1">
      <alignment horizontal="center" vertical="center" wrapText="1"/>
    </xf>
    <xf numFmtId="168" fontId="6" fillId="0" borderId="23" xfId="0" applyNumberFormat="1" applyFont="1" applyFill="1" applyBorder="1" applyAlignment="1">
      <alignment horizontal="center" vertical="center" wrapText="1"/>
    </xf>
    <xf numFmtId="9" fontId="6" fillId="0" borderId="23" xfId="4" applyFont="1" applyFill="1" applyBorder="1" applyAlignment="1">
      <alignment horizontal="center" vertical="center" wrapText="1"/>
    </xf>
    <xf numFmtId="170" fontId="6" fillId="0" borderId="1" xfId="0" applyNumberFormat="1" applyFont="1" applyFill="1" applyBorder="1" applyAlignment="1">
      <alignment horizontal="center" vertical="center"/>
    </xf>
    <xf numFmtId="170" fontId="6" fillId="0" borderId="15" xfId="1" applyNumberFormat="1" applyFont="1" applyFill="1" applyBorder="1" applyAlignment="1">
      <alignment horizontal="center" vertical="center" wrapText="1"/>
    </xf>
    <xf numFmtId="9" fontId="6" fillId="0" borderId="1" xfId="4" applyFont="1" applyFill="1" applyBorder="1" applyAlignment="1">
      <alignment horizontal="center" vertical="center" wrapText="1"/>
    </xf>
    <xf numFmtId="0" fontId="0" fillId="21" borderId="1" xfId="0" applyFont="1" applyFill="1" applyBorder="1" applyAlignment="1"/>
    <xf numFmtId="168" fontId="4" fillId="8" borderId="1" xfId="0" applyNumberFormat="1" applyFont="1" applyFill="1" applyBorder="1" applyAlignment="1">
      <alignment horizontal="center" vertical="center"/>
    </xf>
    <xf numFmtId="0" fontId="0" fillId="21" borderId="1" xfId="0" applyFont="1" applyFill="1" applyBorder="1" applyAlignment="1">
      <alignment horizontal="center" vertical="center"/>
    </xf>
    <xf numFmtId="170" fontId="0" fillId="0" borderId="14" xfId="1" applyNumberFormat="1" applyFont="1" applyBorder="1" applyAlignment="1">
      <alignment horizontal="center" vertical="center" wrapText="1"/>
    </xf>
    <xf numFmtId="168" fontId="0" fillId="0" borderId="11" xfId="0" applyNumberFormat="1" applyBorder="1" applyAlignment="1">
      <alignment horizontal="center" vertical="center" wrapText="1"/>
    </xf>
    <xf numFmtId="9" fontId="0" fillId="0" borderId="11" xfId="4" applyFont="1" applyBorder="1" applyAlignment="1">
      <alignment horizontal="center" vertical="center" wrapText="1"/>
    </xf>
    <xf numFmtId="0" fontId="0" fillId="0" borderId="1" xfId="0" applyFont="1" applyBorder="1" applyAlignment="1">
      <alignment horizontal="center" vertical="center"/>
    </xf>
    <xf numFmtId="168" fontId="17" fillId="22" borderId="1" xfId="0" applyNumberFormat="1" applyFont="1" applyFill="1" applyBorder="1" applyAlignment="1">
      <alignment horizontal="center" vertical="center" wrapText="1"/>
    </xf>
    <xf numFmtId="170" fontId="0" fillId="0" borderId="26" xfId="1" applyNumberFormat="1" applyFont="1" applyBorder="1" applyAlignment="1">
      <alignment horizontal="center" vertical="center" wrapText="1"/>
    </xf>
    <xf numFmtId="168" fontId="0" fillId="0" borderId="23" xfId="0" applyNumberFormat="1" applyBorder="1" applyAlignment="1">
      <alignment horizontal="center" vertical="center" wrapText="1"/>
    </xf>
    <xf numFmtId="9" fontId="0" fillId="0" borderId="23" xfId="4" applyFont="1" applyBorder="1" applyAlignment="1">
      <alignment horizontal="center" vertical="center" wrapText="1"/>
    </xf>
    <xf numFmtId="170" fontId="0" fillId="0" borderId="1" xfId="0" applyNumberFormat="1" applyFont="1" applyBorder="1" applyAlignment="1">
      <alignment horizontal="center" vertical="center"/>
    </xf>
    <xf numFmtId="168" fontId="1" fillId="23" borderId="1" xfId="0" applyNumberFormat="1" applyFont="1" applyFill="1" applyBorder="1" applyAlignment="1">
      <alignment horizontal="center" vertical="center" wrapText="1"/>
    </xf>
    <xf numFmtId="168" fontId="6" fillId="23" borderId="1" xfId="0" applyNumberFormat="1" applyFont="1" applyFill="1" applyBorder="1" applyAlignment="1">
      <alignment horizontal="center" vertical="center" wrapText="1"/>
    </xf>
    <xf numFmtId="168" fontId="6" fillId="19" borderId="1" xfId="0" applyNumberFormat="1" applyFont="1" applyFill="1" applyBorder="1" applyAlignment="1">
      <alignment horizontal="center" vertical="center" wrapText="1"/>
    </xf>
    <xf numFmtId="0" fontId="0" fillId="24" borderId="0" xfId="0" applyFont="1" applyFill="1" applyAlignment="1"/>
    <xf numFmtId="17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68" fontId="1" fillId="25" borderId="1" xfId="0" applyNumberFormat="1" applyFont="1" applyFill="1" applyBorder="1" applyAlignment="1">
      <alignment horizontal="center" vertical="center" wrapText="1"/>
    </xf>
    <xf numFmtId="168" fontId="6" fillId="25" borderId="1" xfId="0" applyNumberFormat="1" applyFont="1" applyFill="1" applyBorder="1" applyAlignment="1">
      <alignment horizontal="center" vertical="center" wrapText="1"/>
    </xf>
    <xf numFmtId="168" fontId="6" fillId="21" borderId="1" xfId="0" applyNumberFormat="1" applyFont="1" applyFill="1" applyBorder="1" applyAlignment="1">
      <alignment horizontal="center" vertical="center" wrapText="1"/>
    </xf>
    <xf numFmtId="170" fontId="0" fillId="0" borderId="27" xfId="1" applyNumberFormat="1" applyFont="1" applyBorder="1" applyAlignment="1">
      <alignment horizontal="center" vertical="center" wrapText="1"/>
    </xf>
    <xf numFmtId="168" fontId="0" fillId="0" borderId="28" xfId="0" applyNumberFormat="1" applyBorder="1" applyAlignment="1">
      <alignment horizontal="center" vertical="center" wrapText="1"/>
    </xf>
    <xf numFmtId="9" fontId="0" fillId="0" borderId="28" xfId="4" applyFont="1" applyBorder="1" applyAlignment="1">
      <alignment horizontal="center" vertical="center" wrapText="1"/>
    </xf>
    <xf numFmtId="168" fontId="4" fillId="8" borderId="25" xfId="0" applyNumberFormat="1" applyFont="1" applyFill="1" applyBorder="1" applyAlignment="1">
      <alignment horizontal="center" vertical="center" wrapText="1"/>
    </xf>
    <xf numFmtId="9" fontId="5" fillId="5" borderId="25" xfId="0" applyNumberFormat="1" applyFont="1" applyFill="1" applyBorder="1" applyAlignment="1">
      <alignment horizontal="center" vertical="center" wrapText="1"/>
    </xf>
    <xf numFmtId="168" fontId="5" fillId="10" borderId="29" xfId="0" applyNumberFormat="1" applyFont="1" applyFill="1" applyBorder="1" applyAlignment="1">
      <alignment horizontal="center" vertical="center" wrapText="1"/>
    </xf>
    <xf numFmtId="168" fontId="5" fillId="9" borderId="25" xfId="0" applyNumberFormat="1" applyFont="1" applyFill="1" applyBorder="1" applyAlignment="1">
      <alignment horizontal="center" vertical="center" wrapText="1"/>
    </xf>
    <xf numFmtId="169" fontId="6" fillId="0" borderId="12" xfId="2" applyNumberFormat="1" applyFont="1" applyBorder="1" applyAlignment="1">
      <alignment horizontal="center" vertical="center"/>
    </xf>
    <xf numFmtId="0" fontId="6" fillId="21" borderId="1" xfId="0" applyFont="1" applyFill="1" applyBorder="1" applyAlignment="1">
      <alignment horizontal="center" vertical="center"/>
    </xf>
    <xf numFmtId="0" fontId="6" fillId="21" borderId="5" xfId="0" applyFont="1" applyFill="1" applyBorder="1" applyAlignment="1">
      <alignment horizontal="center" vertical="center"/>
    </xf>
    <xf numFmtId="169" fontId="6" fillId="0" borderId="1" xfId="2" applyNumberFormat="1" applyFont="1" applyBorder="1" applyAlignment="1">
      <alignment horizontal="center" vertical="center" wrapText="1"/>
    </xf>
    <xf numFmtId="168" fontId="16" fillId="0" borderId="1" xfId="1" applyNumberFormat="1" applyFont="1" applyBorder="1" applyAlignment="1">
      <alignment horizontal="center" vertical="center" wrapText="1"/>
    </xf>
    <xf numFmtId="168" fontId="1" fillId="0" borderId="5" xfId="1" applyNumberFormat="1" applyFont="1" applyBorder="1" applyAlignment="1">
      <alignment horizontal="center" vertical="center" wrapText="1"/>
    </xf>
    <xf numFmtId="9" fontId="0" fillId="0" borderId="5" xfId="4" applyFont="1" applyBorder="1" applyAlignment="1">
      <alignment horizontal="center" vertical="center" wrapText="1"/>
    </xf>
    <xf numFmtId="170" fontId="0" fillId="0" borderId="5" xfId="0" applyNumberFormat="1" applyFont="1" applyBorder="1" applyAlignment="1">
      <alignment horizontal="center" vertical="center"/>
    </xf>
    <xf numFmtId="0" fontId="6" fillId="0" borderId="34" xfId="0" applyFont="1" applyBorder="1" applyAlignment="1">
      <alignment horizontal="center" vertical="center"/>
    </xf>
    <xf numFmtId="0" fontId="16" fillId="21" borderId="1" xfId="0" applyFont="1" applyFill="1" applyBorder="1" applyAlignment="1">
      <alignment horizontal="center" vertical="center"/>
    </xf>
    <xf numFmtId="168" fontId="6" fillId="21" borderId="1" xfId="0" applyNumberFormat="1" applyFont="1" applyFill="1" applyBorder="1" applyAlignment="1">
      <alignment horizontal="center" vertical="center"/>
    </xf>
    <xf numFmtId="168" fontId="16" fillId="21" borderId="1" xfId="0" applyNumberFormat="1" applyFont="1" applyFill="1" applyBorder="1" applyAlignment="1">
      <alignment horizontal="center" vertical="center"/>
    </xf>
    <xf numFmtId="168" fontId="6" fillId="21" borderId="5" xfId="0" applyNumberFormat="1" applyFont="1" applyFill="1" applyBorder="1" applyAlignment="1">
      <alignment horizontal="center" vertical="center"/>
    </xf>
    <xf numFmtId="172" fontId="6" fillId="0" borderId="12" xfId="0" applyNumberFormat="1" applyFont="1" applyBorder="1" applyAlignment="1">
      <alignment horizontal="center" vertical="center" shrinkToFit="1"/>
    </xf>
    <xf numFmtId="0" fontId="6" fillId="0" borderId="1" xfId="0" applyFont="1" applyBorder="1" applyAlignment="1">
      <alignment horizontal="left" vertical="center" wrapText="1"/>
    </xf>
    <xf numFmtId="0" fontId="12" fillId="0" borderId="1" xfId="0" applyFont="1" applyFill="1" applyBorder="1" applyAlignment="1">
      <alignment vertical="top" wrapText="1"/>
    </xf>
    <xf numFmtId="172" fontId="6" fillId="0" borderId="12" xfId="0" applyNumberFormat="1" applyFont="1" applyFill="1" applyBorder="1" applyAlignment="1">
      <alignment horizontal="center" vertical="center" shrinkToFit="1"/>
    </xf>
    <xf numFmtId="9" fontId="0" fillId="0" borderId="1" xfId="4" applyNumberFormat="1" applyFont="1" applyBorder="1" applyAlignment="1">
      <alignment horizontal="center" vertical="center" wrapText="1"/>
    </xf>
    <xf numFmtId="9" fontId="0" fillId="0" borderId="5" xfId="4" applyNumberFormat="1" applyFont="1" applyBorder="1" applyAlignment="1">
      <alignment horizontal="center" vertical="center" wrapText="1"/>
    </xf>
    <xf numFmtId="171" fontId="1" fillId="0" borderId="12" xfId="1" applyNumberFormat="1" applyFont="1" applyBorder="1" applyAlignment="1">
      <alignment horizontal="center" vertical="center"/>
    </xf>
    <xf numFmtId="165" fontId="6" fillId="0" borderId="12" xfId="0" applyNumberFormat="1" applyFont="1" applyBorder="1" applyAlignment="1">
      <alignment horizontal="center" vertical="center"/>
    </xf>
    <xf numFmtId="166" fontId="0" fillId="0" borderId="23" xfId="2" applyFont="1" applyBorder="1" applyAlignment="1">
      <alignment vertical="center"/>
    </xf>
    <xf numFmtId="0" fontId="0" fillId="0" borderId="23" xfId="0" applyFont="1" applyBorder="1" applyAlignment="1"/>
    <xf numFmtId="170" fontId="0" fillId="0" borderId="0" xfId="1" applyNumberFormat="1" applyFont="1" applyBorder="1" applyAlignment="1">
      <alignment horizontal="center" vertical="center" wrapText="1"/>
    </xf>
    <xf numFmtId="168" fontId="0" fillId="0" borderId="0" xfId="0" applyNumberFormat="1" applyBorder="1" applyAlignment="1">
      <alignment horizontal="center" vertical="center" wrapText="1"/>
    </xf>
    <xf numFmtId="9" fontId="0" fillId="0" borderId="0" xfId="4" applyFont="1" applyBorder="1" applyAlignment="1">
      <alignment horizontal="center" vertical="center" wrapText="1"/>
    </xf>
    <xf numFmtId="9" fontId="6" fillId="0" borderId="12" xfId="4" applyFont="1" applyFill="1" applyBorder="1" applyAlignment="1">
      <alignment horizontal="center" vertical="center" wrapText="1"/>
    </xf>
    <xf numFmtId="168" fontId="1" fillId="2" borderId="0" xfId="0" applyNumberFormat="1" applyFont="1" applyFill="1" applyBorder="1" applyAlignment="1">
      <alignment horizontal="center" vertical="center" wrapText="1"/>
    </xf>
    <xf numFmtId="168" fontId="14" fillId="2" borderId="0" xfId="0" applyNumberFormat="1" applyFont="1" applyFill="1" applyBorder="1" applyAlignment="1">
      <alignment horizontal="center" vertical="center" wrapText="1"/>
    </xf>
    <xf numFmtId="168" fontId="3" fillId="2" borderId="0" xfId="0" applyNumberFormat="1" applyFont="1" applyFill="1" applyBorder="1" applyAlignment="1">
      <alignment horizontal="center" vertical="center" wrapText="1"/>
    </xf>
    <xf numFmtId="168" fontId="15" fillId="0" borderId="0" xfId="0" applyNumberFormat="1" applyFont="1" applyBorder="1" applyAlignment="1">
      <alignment horizontal="center" vertical="center" wrapText="1"/>
    </xf>
    <xf numFmtId="166" fontId="0" fillId="0" borderId="11" xfId="2" applyFont="1" applyBorder="1" applyAlignment="1">
      <alignment vertical="center"/>
    </xf>
    <xf numFmtId="168" fontId="1" fillId="2" borderId="11" xfId="0" applyNumberFormat="1" applyFont="1" applyFill="1" applyBorder="1" applyAlignment="1">
      <alignment horizontal="center" vertical="center" wrapText="1"/>
    </xf>
    <xf numFmtId="168" fontId="14" fillId="0" borderId="11" xfId="0" applyNumberFormat="1" applyFont="1" applyBorder="1" applyAlignment="1">
      <alignment horizontal="center" vertical="center" wrapText="1"/>
    </xf>
    <xf numFmtId="171" fontId="6" fillId="0" borderId="11" xfId="0" applyNumberFormat="1" applyFont="1" applyBorder="1" applyAlignment="1">
      <alignment horizontal="center" vertical="center" shrinkToFit="1"/>
    </xf>
    <xf numFmtId="168" fontId="14" fillId="2" borderId="11" xfId="0" applyNumberFormat="1" applyFont="1" applyFill="1" applyBorder="1" applyAlignment="1">
      <alignment horizontal="center" vertical="center" wrapText="1"/>
    </xf>
    <xf numFmtId="170" fontId="0" fillId="0" borderId="11" xfId="1" applyNumberFormat="1" applyFont="1" applyBorder="1" applyAlignment="1">
      <alignment horizontal="center" vertical="center" wrapText="1"/>
    </xf>
    <xf numFmtId="166" fontId="0" fillId="0" borderId="11" xfId="2" applyFont="1" applyBorder="1" applyAlignment="1">
      <alignment horizontal="center" vertical="center"/>
    </xf>
    <xf numFmtId="168" fontId="1" fillId="0" borderId="5" xfId="1" applyNumberFormat="1" applyFont="1" applyFill="1" applyBorder="1" applyAlignment="1">
      <alignment horizontal="center" vertical="center" wrapText="1"/>
    </xf>
    <xf numFmtId="9" fontId="0" fillId="0" borderId="5" xfId="4" applyFont="1" applyFill="1" applyBorder="1" applyAlignment="1">
      <alignment horizontal="center" vertical="center" wrapText="1"/>
    </xf>
    <xf numFmtId="170" fontId="0" fillId="0" borderId="5" xfId="0" applyNumberFormat="1" applyFont="1" applyFill="1" applyBorder="1" applyAlignment="1">
      <alignment horizontal="center" vertical="center"/>
    </xf>
    <xf numFmtId="0" fontId="6" fillId="0" borderId="15" xfId="0" applyFont="1" applyBorder="1" applyAlignment="1">
      <alignment horizontal="center" vertical="center"/>
    </xf>
    <xf numFmtId="0" fontId="6" fillId="0" borderId="11" xfId="0" applyFont="1" applyBorder="1" applyAlignment="1">
      <alignment horizontal="left" vertical="center" wrapText="1"/>
    </xf>
    <xf numFmtId="0" fontId="6" fillId="0" borderId="14" xfId="0" applyFont="1" applyBorder="1" applyAlignment="1">
      <alignment horizontal="center" vertical="center"/>
    </xf>
    <xf numFmtId="9" fontId="0" fillId="26" borderId="1" xfId="4" applyNumberFormat="1" applyFont="1" applyFill="1" applyBorder="1" applyAlignment="1">
      <alignment horizontal="center" vertical="center" wrapText="1"/>
    </xf>
    <xf numFmtId="168" fontId="1" fillId="0" borderId="15" xfId="0" applyNumberFormat="1" applyFont="1" applyBorder="1" applyAlignment="1">
      <alignment horizontal="center" vertical="center" wrapText="1"/>
    </xf>
    <xf numFmtId="170" fontId="6" fillId="0" borderId="15" xfId="0" applyNumberFormat="1" applyFont="1" applyBorder="1" applyAlignment="1">
      <alignment horizontal="center" vertical="center" wrapText="1"/>
    </xf>
    <xf numFmtId="168" fontId="6" fillId="0" borderId="15" xfId="0" applyNumberFormat="1" applyFont="1" applyBorder="1" applyAlignment="1">
      <alignment horizontal="center" vertical="center" wrapText="1"/>
    </xf>
    <xf numFmtId="9" fontId="6" fillId="27" borderId="1" xfId="0" applyNumberFormat="1" applyFont="1" applyFill="1" applyBorder="1" applyAlignment="1">
      <alignment horizontal="center" vertical="center" wrapText="1"/>
    </xf>
    <xf numFmtId="168" fontId="1" fillId="0" borderId="11" xfId="0" applyNumberFormat="1" applyFont="1" applyBorder="1" applyAlignment="1">
      <alignment horizontal="center" vertical="center" wrapText="1"/>
    </xf>
    <xf numFmtId="168" fontId="1" fillId="0" borderId="14" xfId="0" applyNumberFormat="1" applyFont="1" applyBorder="1" applyAlignment="1">
      <alignment horizontal="center" vertical="center" wrapText="1"/>
    </xf>
    <xf numFmtId="170" fontId="6" fillId="0" borderId="14" xfId="0" applyNumberFormat="1" applyFont="1" applyBorder="1" applyAlignment="1">
      <alignment horizontal="center" vertical="center" wrapText="1"/>
    </xf>
    <xf numFmtId="168" fontId="6" fillId="0" borderId="14" xfId="0" applyNumberFormat="1" applyFont="1" applyBorder="1" applyAlignment="1">
      <alignment horizontal="center" vertical="center" wrapText="1"/>
    </xf>
    <xf numFmtId="9" fontId="6" fillId="30" borderId="1" xfId="0" applyNumberFormat="1" applyFont="1" applyFill="1" applyBorder="1" applyAlignment="1">
      <alignment horizontal="center" vertical="center" wrapText="1"/>
    </xf>
    <xf numFmtId="9" fontId="18" fillId="29" borderId="1" xfId="0" applyNumberFormat="1" applyFont="1" applyFill="1" applyBorder="1" applyAlignment="1">
      <alignment horizontal="center" vertical="center" wrapText="1"/>
    </xf>
    <xf numFmtId="9" fontId="6" fillId="28" borderId="1" xfId="0" applyNumberFormat="1" applyFont="1" applyFill="1" applyBorder="1" applyAlignment="1">
      <alignment horizontal="center" vertical="center" wrapText="1"/>
    </xf>
    <xf numFmtId="165" fontId="1" fillId="0" borderId="12" xfId="1" applyNumberFormat="1" applyFont="1" applyBorder="1" applyAlignment="1">
      <alignment horizontal="center" vertical="center"/>
    </xf>
    <xf numFmtId="170" fontId="0" fillId="0" borderId="5" xfId="0" applyNumberFormat="1" applyFont="1" applyBorder="1" applyAlignment="1">
      <alignment horizontal="center" vertical="center" wrapText="1"/>
    </xf>
    <xf numFmtId="0" fontId="3" fillId="3" borderId="4" xfId="0" applyFont="1" applyFill="1" applyBorder="1" applyAlignment="1">
      <alignment horizontal="center" vertical="center" wrapText="1"/>
    </xf>
    <xf numFmtId="49" fontId="3" fillId="4" borderId="1" xfId="0" applyNumberFormat="1" applyFont="1" applyFill="1" applyBorder="1" applyAlignment="1">
      <alignment horizontal="center" vertical="center" wrapText="1"/>
    </xf>
    <xf numFmtId="168" fontId="9" fillId="0" borderId="37" xfId="1" applyNumberFormat="1" applyFont="1" applyBorder="1" applyAlignment="1">
      <alignment horizontal="center" vertical="center" wrapText="1"/>
    </xf>
    <xf numFmtId="168" fontId="1" fillId="0" borderId="37" xfId="1" applyNumberFormat="1" applyFont="1" applyBorder="1" applyAlignment="1">
      <alignment horizontal="center" vertical="center" wrapText="1"/>
    </xf>
    <xf numFmtId="168" fontId="16" fillId="0" borderId="37" xfId="1" applyNumberFormat="1" applyFont="1" applyBorder="1" applyAlignment="1">
      <alignment horizontal="center" vertical="center" wrapText="1"/>
    </xf>
    <xf numFmtId="168" fontId="1" fillId="0" borderId="38" xfId="1" applyNumberFormat="1" applyFont="1" applyBorder="1" applyAlignment="1">
      <alignment horizontal="center" vertical="center" wrapText="1"/>
    </xf>
    <xf numFmtId="170" fontId="0" fillId="0" borderId="39" xfId="1" applyNumberFormat="1" applyFont="1" applyBorder="1" applyAlignment="1">
      <alignment horizontal="center" vertical="center" wrapText="1"/>
    </xf>
    <xf numFmtId="168" fontId="0" fillId="0" borderId="37" xfId="0" applyNumberFormat="1" applyBorder="1" applyAlignment="1">
      <alignment horizontal="center" vertical="center" wrapText="1"/>
    </xf>
    <xf numFmtId="9" fontId="0" fillId="0" borderId="37" xfId="4" applyFont="1" applyBorder="1" applyAlignment="1">
      <alignment horizontal="center" vertical="center" wrapText="1"/>
    </xf>
    <xf numFmtId="9" fontId="0" fillId="0" borderId="38" xfId="4" applyFont="1" applyBorder="1" applyAlignment="1">
      <alignment horizontal="center" vertical="center" wrapText="1"/>
    </xf>
    <xf numFmtId="49" fontId="6" fillId="0" borderId="12" xfId="0" applyNumberFormat="1" applyFont="1" applyFill="1" applyBorder="1" applyAlignment="1">
      <alignment vertical="center" wrapText="1"/>
    </xf>
    <xf numFmtId="168" fontId="4" fillId="8" borderId="30" xfId="0" applyNumberFormat="1" applyFont="1" applyFill="1" applyBorder="1" applyAlignment="1">
      <alignment horizontal="center" vertical="center" wrapText="1"/>
    </xf>
    <xf numFmtId="9" fontId="5" fillId="5" borderId="30" xfId="0" applyNumberFormat="1" applyFont="1" applyFill="1" applyBorder="1" applyAlignment="1">
      <alignment horizontal="center" vertical="center" wrapText="1"/>
    </xf>
    <xf numFmtId="168" fontId="5" fillId="9" borderId="30" xfId="0" applyNumberFormat="1" applyFont="1" applyFill="1" applyBorder="1" applyAlignment="1">
      <alignment horizontal="center" vertical="center" wrapText="1"/>
    </xf>
    <xf numFmtId="168" fontId="5" fillId="10" borderId="31" xfId="0" applyNumberFormat="1" applyFont="1" applyFill="1" applyBorder="1" applyAlignment="1">
      <alignment horizontal="center" vertical="center" wrapText="1"/>
    </xf>
    <xf numFmtId="0" fontId="0" fillId="0" borderId="40" xfId="0" applyFont="1" applyBorder="1" applyAlignment="1">
      <alignment horizontal="center" vertical="center"/>
    </xf>
    <xf numFmtId="0" fontId="0" fillId="0" borderId="30" xfId="0" applyFont="1" applyBorder="1" applyAlignment="1">
      <alignment horizontal="center" vertical="center" wrapText="1"/>
    </xf>
    <xf numFmtId="168" fontId="5" fillId="11" borderId="30" xfId="0" applyNumberFormat="1" applyFont="1" applyFill="1" applyBorder="1" applyAlignment="1">
      <alignment horizontal="center" vertical="center" wrapText="1"/>
    </xf>
    <xf numFmtId="168" fontId="5" fillId="12" borderId="30" xfId="0" applyNumberFormat="1" applyFont="1" applyFill="1" applyBorder="1" applyAlignment="1">
      <alignment horizontal="center" vertical="center" wrapText="1"/>
    </xf>
    <xf numFmtId="9" fontId="5" fillId="13" borderId="30" xfId="0" applyNumberFormat="1" applyFont="1" applyFill="1" applyBorder="1" applyAlignment="1">
      <alignment horizontal="center" vertical="center" wrapText="1"/>
    </xf>
    <xf numFmtId="168" fontId="13" fillId="14" borderId="30" xfId="0" applyNumberFormat="1" applyFont="1" applyFill="1" applyBorder="1" applyAlignment="1">
      <alignment horizontal="center" vertical="center" wrapText="1"/>
    </xf>
    <xf numFmtId="0" fontId="0" fillId="0" borderId="40" xfId="0" applyBorder="1" applyAlignment="1">
      <alignment horizontal="center" vertical="center"/>
    </xf>
    <xf numFmtId="0" fontId="0" fillId="0" borderId="32" xfId="0" applyBorder="1" applyAlignment="1">
      <alignment horizontal="center" vertical="center" wrapText="1"/>
    </xf>
    <xf numFmtId="0" fontId="0" fillId="0" borderId="30" xfId="0" applyBorder="1" applyAlignment="1">
      <alignment horizontal="center" vertical="center"/>
    </xf>
    <xf numFmtId="0" fontId="0" fillId="0" borderId="30" xfId="0" applyBorder="1" applyAlignment="1">
      <alignment horizontal="center" vertical="center" wrapText="1"/>
    </xf>
    <xf numFmtId="49" fontId="5" fillId="17" borderId="30" xfId="0" applyNumberFormat="1" applyFont="1" applyFill="1" applyBorder="1" applyAlignment="1">
      <alignment horizontal="center" vertical="center" wrapText="1"/>
    </xf>
    <xf numFmtId="168" fontId="4" fillId="9" borderId="30" xfId="0" applyNumberFormat="1" applyFont="1" applyFill="1" applyBorder="1" applyAlignment="1">
      <alignment horizontal="center" vertical="center" wrapText="1"/>
    </xf>
    <xf numFmtId="168" fontId="4" fillId="18" borderId="30" xfId="0" applyNumberFormat="1" applyFont="1" applyFill="1" applyBorder="1" applyAlignment="1">
      <alignment horizontal="center" vertical="center" wrapText="1"/>
    </xf>
    <xf numFmtId="0" fontId="6" fillId="0" borderId="30" xfId="0" applyFont="1" applyBorder="1" applyAlignment="1">
      <alignment horizontal="center" vertical="center" wrapText="1"/>
    </xf>
    <xf numFmtId="0" fontId="0" fillId="24" borderId="0" xfId="0" applyFont="1" applyFill="1" applyBorder="1" applyAlignment="1"/>
    <xf numFmtId="0" fontId="0" fillId="24" borderId="41" xfId="0" applyFont="1" applyFill="1" applyBorder="1" applyAlignment="1"/>
    <xf numFmtId="49" fontId="6" fillId="4" borderId="4" xfId="0" applyNumberFormat="1" applyFont="1" applyFill="1" applyBorder="1" applyAlignment="1">
      <alignment horizontal="center" vertical="center" wrapText="1"/>
    </xf>
    <xf numFmtId="0" fontId="0" fillId="0" borderId="5" xfId="0" applyFont="1" applyBorder="1" applyAlignment="1"/>
    <xf numFmtId="0" fontId="0" fillId="0" borderId="0" xfId="0" applyFont="1" applyBorder="1" applyAlignment="1">
      <alignment horizontal="center" vertical="center"/>
    </xf>
    <xf numFmtId="168" fontId="5" fillId="8" borderId="2" xfId="0" applyNumberFormat="1" applyFont="1" applyFill="1" applyBorder="1" applyAlignment="1">
      <alignment horizontal="center" vertical="center" wrapText="1"/>
    </xf>
    <xf numFmtId="168" fontId="5" fillId="10" borderId="2" xfId="0" applyNumberFormat="1" applyFont="1" applyFill="1" applyBorder="1" applyAlignment="1">
      <alignment horizontal="center" vertical="center" wrapText="1"/>
    </xf>
    <xf numFmtId="168" fontId="5" fillId="31" borderId="2" xfId="0" applyNumberFormat="1" applyFont="1" applyFill="1" applyBorder="1" applyAlignment="1">
      <alignment horizontal="center" vertical="center" wrapText="1"/>
    </xf>
    <xf numFmtId="0" fontId="6" fillId="21" borderId="1" xfId="0" applyFont="1" applyFill="1" applyBorder="1" applyAlignment="1">
      <alignment vertical="center"/>
    </xf>
    <xf numFmtId="166" fontId="0" fillId="0" borderId="5" xfId="2" applyFont="1" applyBorder="1" applyAlignment="1">
      <alignment horizontal="center" vertical="center"/>
    </xf>
    <xf numFmtId="169" fontId="1" fillId="0" borderId="1" xfId="1" applyNumberFormat="1" applyFont="1" applyBorder="1" applyAlignment="1">
      <alignment horizontal="center" vertical="center" wrapText="1"/>
    </xf>
    <xf numFmtId="169" fontId="1" fillId="32"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2" fontId="9" fillId="0" borderId="1" xfId="0" applyNumberFormat="1" applyFont="1" applyBorder="1" applyAlignment="1">
      <alignment horizontal="center" vertical="center" wrapText="1"/>
    </xf>
    <xf numFmtId="0" fontId="1" fillId="0" borderId="1" xfId="0" applyFont="1" applyBorder="1" applyAlignment="1">
      <alignment vertical="center" wrapText="1"/>
    </xf>
    <xf numFmtId="166" fontId="0" fillId="0" borderId="5" xfId="2" applyFont="1" applyBorder="1" applyAlignment="1">
      <alignment horizontal="center" vertical="center" wrapText="1"/>
    </xf>
    <xf numFmtId="173" fontId="6" fillId="21" borderId="1" xfId="0" applyNumberFormat="1" applyFont="1" applyFill="1" applyBorder="1" applyAlignment="1">
      <alignment horizontal="center" vertical="center"/>
    </xf>
    <xf numFmtId="164" fontId="1" fillId="21" borderId="1" xfId="0" applyNumberFormat="1" applyFont="1" applyFill="1" applyBorder="1" applyAlignment="1">
      <alignment horizontal="center" vertical="center"/>
    </xf>
    <xf numFmtId="168" fontId="1" fillId="32" borderId="1" xfId="0" applyNumberFormat="1" applyFont="1" applyFill="1" applyBorder="1" applyAlignment="1">
      <alignment horizontal="center" vertical="center" wrapText="1"/>
    </xf>
    <xf numFmtId="168" fontId="1" fillId="0" borderId="1" xfId="0" applyNumberFormat="1" applyFont="1" applyBorder="1" applyAlignment="1">
      <alignment horizontal="center" vertical="center"/>
    </xf>
    <xf numFmtId="164" fontId="6" fillId="0" borderId="12" xfId="0" applyNumberFormat="1" applyFont="1" applyBorder="1" applyAlignment="1">
      <alignment horizontal="center" vertical="center"/>
    </xf>
    <xf numFmtId="0" fontId="6" fillId="0" borderId="43" xfId="0" applyFont="1" applyFill="1" applyBorder="1" applyAlignment="1">
      <alignment horizontal="center" vertical="center"/>
    </xf>
    <xf numFmtId="174" fontId="1" fillId="21" borderId="1" xfId="0" applyNumberFormat="1" applyFont="1" applyFill="1" applyBorder="1" applyAlignment="1">
      <alignment horizontal="center" vertical="center"/>
    </xf>
    <xf numFmtId="168" fontId="1" fillId="32" borderId="0" xfId="0" applyNumberFormat="1" applyFont="1" applyFill="1" applyBorder="1" applyAlignment="1">
      <alignment horizontal="center" vertical="center" wrapText="1"/>
    </xf>
    <xf numFmtId="168" fontId="1" fillId="21" borderId="1" xfId="0" applyNumberFormat="1" applyFont="1" applyFill="1" applyBorder="1" applyAlignment="1">
      <alignment horizontal="center" vertical="center"/>
    </xf>
    <xf numFmtId="168" fontId="1" fillId="33" borderId="15" xfId="0" applyNumberFormat="1" applyFont="1" applyFill="1" applyBorder="1" applyAlignment="1">
      <alignment horizontal="center" vertical="center" wrapText="1"/>
    </xf>
    <xf numFmtId="166" fontId="6" fillId="0" borderId="35" xfId="0" applyNumberFormat="1" applyFont="1" applyBorder="1" applyAlignment="1">
      <alignment horizontal="center" vertical="center"/>
    </xf>
    <xf numFmtId="168" fontId="1" fillId="33" borderId="14" xfId="0" applyNumberFormat="1" applyFont="1" applyFill="1" applyBorder="1" applyAlignment="1">
      <alignment horizontal="center" vertical="center" wrapText="1"/>
    </xf>
    <xf numFmtId="166" fontId="6" fillId="0" borderId="36" xfId="0" applyNumberFormat="1" applyFont="1" applyBorder="1" applyAlignment="1">
      <alignment horizontal="center" vertical="center"/>
    </xf>
    <xf numFmtId="168" fontId="6" fillId="2" borderId="17" xfId="0" applyNumberFormat="1" applyFont="1" applyFill="1" applyBorder="1" applyAlignment="1">
      <alignment horizontal="center" vertical="center" wrapText="1"/>
    </xf>
    <xf numFmtId="168" fontId="1" fillId="0" borderId="12" xfId="1" applyNumberFormat="1" applyFont="1" applyBorder="1" applyAlignment="1">
      <alignment horizontal="center" vertical="center" wrapText="1"/>
    </xf>
    <xf numFmtId="9" fontId="0" fillId="0" borderId="12" xfId="4" applyFont="1" applyBorder="1" applyAlignment="1">
      <alignment horizontal="center" vertical="center" wrapText="1"/>
    </xf>
    <xf numFmtId="0" fontId="6" fillId="0" borderId="44" xfId="0" applyFont="1" applyBorder="1" applyAlignment="1">
      <alignment horizontal="center" vertical="center"/>
    </xf>
    <xf numFmtId="166" fontId="0" fillId="0" borderId="23" xfId="2" applyFont="1" applyBorder="1" applyAlignment="1">
      <alignment horizontal="center" vertical="center"/>
    </xf>
    <xf numFmtId="0" fontId="6" fillId="0" borderId="23" xfId="0" applyFont="1" applyBorder="1" applyAlignment="1">
      <alignment horizontal="center" vertical="center"/>
    </xf>
    <xf numFmtId="0" fontId="0" fillId="0" borderId="23" xfId="0" applyBorder="1"/>
    <xf numFmtId="0" fontId="0" fillId="0" borderId="23" xfId="0" applyBorder="1" applyAlignment="1">
      <alignment horizontal="center" vertical="center"/>
    </xf>
    <xf numFmtId="0" fontId="0" fillId="0" borderId="23" xfId="0" applyBorder="1" applyAlignment="1">
      <alignment vertical="center"/>
    </xf>
    <xf numFmtId="0" fontId="0" fillId="0" borderId="23" xfId="0" applyFont="1" applyFill="1" applyBorder="1" applyAlignment="1"/>
    <xf numFmtId="0" fontId="0" fillId="0" borderId="23" xfId="0" applyFont="1" applyBorder="1" applyAlignment="1">
      <alignment horizontal="center" vertical="center"/>
    </xf>
    <xf numFmtId="0" fontId="1" fillId="21" borderId="11" xfId="0" applyFont="1" applyFill="1" applyBorder="1" applyAlignment="1">
      <alignment vertical="center" wrapText="1"/>
    </xf>
    <xf numFmtId="0" fontId="9" fillId="21" borderId="11" xfId="0" applyFont="1" applyFill="1" applyBorder="1" applyAlignment="1">
      <alignment horizontal="center" vertical="center" wrapText="1"/>
    </xf>
    <xf numFmtId="0" fontId="6" fillId="0" borderId="11" xfId="0" applyFont="1" applyBorder="1" applyAlignment="1">
      <alignment horizontal="center" vertical="center"/>
    </xf>
    <xf numFmtId="0" fontId="0" fillId="24" borderId="1" xfId="0" applyFont="1" applyFill="1" applyBorder="1" applyAlignment="1"/>
    <xf numFmtId="173" fontId="1" fillId="21" borderId="1" xfId="1" applyNumberFormat="1" applyFont="1" applyFill="1" applyBorder="1" applyAlignment="1">
      <alignment horizontal="center" vertical="center" wrapText="1"/>
    </xf>
    <xf numFmtId="168" fontId="1" fillId="21" borderId="1" xfId="1" applyNumberFormat="1" applyFont="1" applyFill="1" applyBorder="1" applyAlignment="1">
      <alignment horizontal="center" vertical="center" wrapText="1"/>
    </xf>
    <xf numFmtId="174" fontId="1" fillId="21" borderId="1" xfId="1" applyNumberFormat="1" applyFont="1" applyFill="1" applyBorder="1" applyAlignment="1">
      <alignment horizontal="center" vertical="center" wrapText="1"/>
    </xf>
    <xf numFmtId="0" fontId="6" fillId="21" borderId="12" xfId="0" applyFont="1" applyFill="1" applyBorder="1" applyAlignment="1">
      <alignment horizontal="center" vertical="center"/>
    </xf>
    <xf numFmtId="0" fontId="6" fillId="0" borderId="12" xfId="0" applyFont="1" applyFill="1" applyBorder="1" applyAlignment="1">
      <alignment horizontal="center" vertical="center"/>
    </xf>
    <xf numFmtId="49" fontId="3" fillId="4" borderId="1" xfId="0" applyNumberFormat="1" applyFont="1" applyFill="1" applyBorder="1" applyAlignment="1">
      <alignment horizontal="left" vertical="center" wrapText="1"/>
    </xf>
    <xf numFmtId="168" fontId="6" fillId="0" borderId="1" xfId="0" applyNumberFormat="1" applyFont="1" applyBorder="1" applyAlignment="1">
      <alignment horizontal="center" vertical="center"/>
    </xf>
    <xf numFmtId="0" fontId="1" fillId="0" borderId="37" xfId="0" applyFont="1" applyBorder="1" applyAlignment="1">
      <alignment vertical="center" wrapText="1"/>
    </xf>
    <xf numFmtId="0" fontId="9" fillId="0" borderId="37" xfId="0" applyFont="1" applyBorder="1" applyAlignment="1">
      <alignment horizontal="center" vertical="center" wrapText="1"/>
    </xf>
    <xf numFmtId="168" fontId="6" fillId="0" borderId="37" xfId="0" applyNumberFormat="1" applyFont="1" applyBorder="1" applyAlignment="1">
      <alignment horizontal="center" vertical="center"/>
    </xf>
    <xf numFmtId="170" fontId="0" fillId="0" borderId="37" xfId="1" applyNumberFormat="1" applyFont="1" applyBorder="1" applyAlignment="1">
      <alignment horizontal="center" vertical="center" wrapText="1"/>
    </xf>
    <xf numFmtId="170" fontId="0" fillId="0" borderId="12" xfId="0" applyNumberFormat="1" applyFont="1" applyBorder="1" applyAlignment="1">
      <alignment horizontal="center" vertical="center"/>
    </xf>
    <xf numFmtId="170" fontId="0" fillId="0" borderId="45" xfId="0" applyNumberFormat="1" applyFont="1" applyBorder="1" applyAlignment="1">
      <alignment horizontal="center" vertical="center"/>
    </xf>
    <xf numFmtId="0" fontId="6" fillId="21" borderId="1" xfId="0" applyFont="1" applyFill="1" applyBorder="1" applyAlignment="1">
      <alignment horizontal="center" wrapText="1"/>
    </xf>
    <xf numFmtId="166" fontId="0" fillId="0" borderId="35" xfId="2" applyFont="1" applyBorder="1" applyAlignment="1">
      <alignment horizontal="center" vertical="center"/>
    </xf>
    <xf numFmtId="166" fontId="0" fillId="0" borderId="12" xfId="2" applyFont="1" applyBorder="1" applyAlignment="1">
      <alignment horizontal="center" vertical="center"/>
    </xf>
    <xf numFmtId="166" fontId="0" fillId="0" borderId="12" xfId="2" applyFont="1" applyBorder="1" applyAlignment="1">
      <alignment horizontal="center" vertical="center" wrapText="1"/>
    </xf>
    <xf numFmtId="0" fontId="19" fillId="21" borderId="1" xfId="0" applyFont="1" applyFill="1" applyBorder="1" applyAlignment="1">
      <alignment horizontal="center" vertical="center"/>
    </xf>
    <xf numFmtId="168" fontId="19" fillId="21" borderId="1" xfId="0" applyNumberFormat="1" applyFont="1" applyFill="1" applyBorder="1" applyAlignment="1">
      <alignment horizontal="center" vertical="center"/>
    </xf>
    <xf numFmtId="2" fontId="12" fillId="0" borderId="1" xfId="0" applyNumberFormat="1" applyFont="1" applyBorder="1" applyAlignment="1">
      <alignment vertical="center" wrapText="1"/>
    </xf>
    <xf numFmtId="0" fontId="17" fillId="21" borderId="1" xfId="0" applyFont="1" applyFill="1" applyBorder="1" applyAlignment="1">
      <alignment horizontal="center" vertical="center"/>
    </xf>
    <xf numFmtId="168" fontId="17" fillId="21" borderId="1" xfId="0" applyNumberFormat="1" applyFont="1" applyFill="1" applyBorder="1" applyAlignment="1">
      <alignment horizontal="center" vertical="center"/>
    </xf>
    <xf numFmtId="168" fontId="12" fillId="15" borderId="1" xfId="1" applyNumberFormat="1" applyFont="1" applyFill="1" applyBorder="1" applyAlignment="1">
      <alignment horizontal="center" vertical="center" wrapText="1"/>
    </xf>
    <xf numFmtId="168" fontId="12" fillId="0" borderId="1" xfId="1" applyNumberFormat="1" applyFont="1" applyFill="1" applyBorder="1" applyAlignment="1">
      <alignment horizontal="center" vertical="center" wrapText="1"/>
    </xf>
    <xf numFmtId="0" fontId="12" fillId="0" borderId="1" xfId="0" applyFont="1" applyBorder="1" applyAlignment="1">
      <alignment vertical="center" wrapText="1"/>
    </xf>
    <xf numFmtId="168" fontId="6" fillId="0" borderId="1" xfId="0" applyNumberFormat="1" applyFont="1" applyFill="1" applyBorder="1" applyAlignment="1">
      <alignment horizontal="center" vertical="center"/>
    </xf>
    <xf numFmtId="2" fontId="12" fillId="21" borderId="1" xfId="0" applyNumberFormat="1" applyFont="1" applyFill="1" applyBorder="1" applyAlignment="1">
      <alignment vertical="center" wrapText="1"/>
    </xf>
    <xf numFmtId="168" fontId="12" fillId="21" borderId="1" xfId="0" applyNumberFormat="1" applyFont="1" applyFill="1" applyBorder="1" applyAlignment="1">
      <alignment vertical="center" wrapText="1"/>
    </xf>
    <xf numFmtId="0" fontId="12" fillId="0" borderId="1" xfId="0" applyFont="1" applyBorder="1" applyAlignment="1">
      <alignment wrapText="1"/>
    </xf>
    <xf numFmtId="0" fontId="12" fillId="21" borderId="1" xfId="0" applyFont="1" applyFill="1" applyBorder="1" applyAlignment="1">
      <alignment horizontal="center" vertical="center" wrapText="1"/>
    </xf>
    <xf numFmtId="168" fontId="12" fillId="21" borderId="1" xfId="0" applyNumberFormat="1" applyFont="1" applyFill="1" applyBorder="1" applyAlignment="1">
      <alignment horizontal="center" vertical="center" wrapText="1"/>
    </xf>
    <xf numFmtId="168" fontId="12" fillId="0" borderId="1" xfId="3" applyNumberFormat="1" applyFont="1" applyBorder="1" applyAlignment="1">
      <alignment horizontal="center" vertical="center" wrapText="1"/>
    </xf>
    <xf numFmtId="166" fontId="0" fillId="0" borderId="35" xfId="2" applyFont="1" applyBorder="1" applyAlignment="1">
      <alignment horizontal="center" vertical="center" wrapText="1"/>
    </xf>
    <xf numFmtId="0" fontId="0" fillId="24" borderId="12" xfId="0" applyFont="1" applyFill="1" applyBorder="1" applyAlignment="1"/>
    <xf numFmtId="166" fontId="6" fillId="0" borderId="12" xfId="2" applyFont="1" applyBorder="1" applyAlignment="1">
      <alignment horizontal="center" vertical="center" wrapText="1"/>
    </xf>
    <xf numFmtId="166" fontId="0" fillId="0" borderId="45" xfId="2" applyFont="1" applyBorder="1" applyAlignment="1">
      <alignment horizontal="center" vertical="center"/>
    </xf>
    <xf numFmtId="49" fontId="20" fillId="2" borderId="0" xfId="0" applyNumberFormat="1" applyFont="1" applyFill="1" applyBorder="1" applyAlignment="1">
      <alignment vertical="center"/>
    </xf>
    <xf numFmtId="0" fontId="6" fillId="0" borderId="23" xfId="0" applyFont="1" applyBorder="1" applyAlignment="1">
      <alignment horizontal="left" vertical="center" wrapText="1"/>
    </xf>
    <xf numFmtId="0" fontId="6" fillId="0" borderId="0" xfId="0" applyFont="1" applyAlignment="1">
      <alignment vertical="center"/>
    </xf>
    <xf numFmtId="0" fontId="6" fillId="0" borderId="0" xfId="0" applyFont="1" applyAlignment="1">
      <alignment horizontal="center" vertical="center" wrapText="1"/>
    </xf>
    <xf numFmtId="49" fontId="3" fillId="6" borderId="10" xfId="0" applyNumberFormat="1" applyFont="1" applyFill="1" applyBorder="1" applyAlignment="1">
      <alignment horizontal="center" vertical="center" wrapText="1"/>
    </xf>
    <xf numFmtId="0" fontId="3" fillId="6" borderId="11" xfId="0" applyFont="1" applyFill="1" applyBorder="1" applyAlignment="1">
      <alignment horizontal="center" vertical="center" wrapText="1"/>
    </xf>
    <xf numFmtId="0" fontId="8" fillId="6" borderId="11" xfId="0" applyFont="1" applyFill="1" applyBorder="1" applyAlignment="1">
      <alignment horizontal="center" vertical="center" wrapText="1"/>
    </xf>
    <xf numFmtId="0" fontId="6" fillId="7" borderId="11" xfId="0" applyFont="1" applyFill="1" applyBorder="1" applyAlignment="1">
      <alignment horizontal="center" vertical="center" wrapText="1"/>
    </xf>
    <xf numFmtId="0" fontId="6" fillId="6" borderId="11" xfId="0" applyFont="1" applyFill="1" applyBorder="1" applyAlignment="1">
      <alignment horizontal="center" vertical="center" wrapText="1"/>
    </xf>
    <xf numFmtId="0" fontId="6" fillId="6" borderId="13" xfId="0" applyFont="1" applyFill="1" applyBorder="1" applyAlignment="1">
      <alignment horizontal="center" vertical="center" wrapText="1"/>
    </xf>
    <xf numFmtId="0" fontId="3" fillId="6" borderId="14" xfId="0" applyFont="1" applyFill="1" applyBorder="1" applyAlignment="1">
      <alignment horizontal="center" vertical="center" wrapText="1"/>
    </xf>
    <xf numFmtId="0" fontId="3" fillId="6" borderId="22"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3" fillId="6" borderId="15"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8" fillId="6" borderId="30" xfId="0" applyFont="1" applyFill="1" applyBorder="1" applyAlignment="1">
      <alignment horizontal="center" vertical="center" wrapText="1"/>
    </xf>
    <xf numFmtId="0" fontId="6" fillId="7" borderId="30" xfId="0" applyFont="1" applyFill="1" applyBorder="1" applyAlignment="1">
      <alignment horizontal="center" vertical="center" wrapText="1"/>
    </xf>
    <xf numFmtId="0" fontId="6" fillId="6" borderId="30" xfId="0" applyFont="1" applyFill="1" applyBorder="1" applyAlignment="1">
      <alignment horizontal="center" vertical="center" wrapText="1"/>
    </xf>
    <xf numFmtId="0" fontId="6" fillId="6" borderId="31" xfId="0" applyFont="1" applyFill="1" applyBorder="1" applyAlignment="1">
      <alignment horizontal="center" vertical="center" wrapText="1"/>
    </xf>
    <xf numFmtId="0" fontId="3" fillId="6" borderId="32" xfId="0" applyFont="1" applyFill="1" applyBorder="1" applyAlignment="1">
      <alignment horizontal="center" vertical="center" wrapText="1"/>
    </xf>
    <xf numFmtId="0" fontId="3" fillId="6" borderId="30" xfId="0" applyFont="1" applyFill="1" applyBorder="1" applyAlignment="1">
      <alignment horizontal="center" vertical="center" wrapText="1"/>
    </xf>
    <xf numFmtId="0" fontId="3" fillId="6" borderId="31"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42" xfId="0" applyFont="1" applyFill="1" applyBorder="1" applyAlignment="1">
      <alignment horizontal="center" vertical="center" wrapText="1"/>
    </xf>
    <xf numFmtId="0" fontId="0" fillId="0" borderId="0" xfId="0" applyFont="1" applyAlignment="1">
      <alignment horizontal="center" vertical="center" wrapText="1"/>
    </xf>
    <xf numFmtId="49" fontId="3" fillId="4" borderId="18" xfId="0" applyNumberFormat="1" applyFont="1" applyFill="1" applyBorder="1" applyAlignment="1">
      <alignment horizontal="center" vertical="center" wrapText="1"/>
    </xf>
    <xf numFmtId="49" fontId="6" fillId="35" borderId="12" xfId="0" applyNumberFormat="1" applyFont="1" applyFill="1" applyBorder="1" applyAlignment="1">
      <alignment vertical="center" wrapText="1"/>
    </xf>
    <xf numFmtId="49" fontId="3" fillId="35" borderId="18" xfId="0" applyNumberFormat="1" applyFont="1" applyFill="1" applyBorder="1" applyAlignment="1">
      <alignment horizontal="center" vertical="center" wrapText="1"/>
    </xf>
    <xf numFmtId="0" fontId="6" fillId="34" borderId="4" xfId="0" applyFont="1" applyFill="1" applyBorder="1" applyAlignment="1">
      <alignment horizontal="center" vertical="center"/>
    </xf>
    <xf numFmtId="0" fontId="6" fillId="34" borderId="1" xfId="0" applyFont="1" applyFill="1" applyBorder="1" applyAlignment="1">
      <alignment vertical="top" wrapText="1"/>
    </xf>
    <xf numFmtId="0" fontId="12" fillId="34" borderId="1" xfId="0" applyFont="1" applyFill="1" applyBorder="1" applyAlignment="1">
      <alignment horizontal="center" vertical="center" wrapText="1"/>
    </xf>
    <xf numFmtId="168" fontId="12" fillId="34" borderId="1" xfId="1" applyNumberFormat="1" applyFont="1" applyFill="1" applyBorder="1" applyAlignment="1">
      <alignment horizontal="center" vertical="center" wrapText="1"/>
    </xf>
    <xf numFmtId="171" fontId="1" fillId="34" borderId="1" xfId="1" applyNumberFormat="1" applyFont="1" applyFill="1" applyBorder="1" applyAlignment="1">
      <alignment horizontal="center" vertical="center"/>
    </xf>
    <xf numFmtId="172" fontId="6" fillId="34" borderId="1" xfId="0" applyNumberFormat="1" applyFont="1" applyFill="1" applyBorder="1" applyAlignment="1">
      <alignment horizontal="center" vertical="center" shrinkToFit="1"/>
    </xf>
    <xf numFmtId="170" fontId="0" fillId="34" borderId="1" xfId="1" applyNumberFormat="1" applyFont="1" applyFill="1" applyBorder="1" applyAlignment="1">
      <alignment horizontal="center" vertical="center" wrapText="1"/>
    </xf>
    <xf numFmtId="168" fontId="0" fillId="34" borderId="1" xfId="0" applyNumberFormat="1" applyFill="1" applyBorder="1" applyAlignment="1">
      <alignment horizontal="center" vertical="center" wrapText="1"/>
    </xf>
    <xf numFmtId="9" fontId="0" fillId="34" borderId="1" xfId="4" applyFont="1" applyFill="1" applyBorder="1" applyAlignment="1">
      <alignment horizontal="center" vertical="center" wrapText="1"/>
    </xf>
    <xf numFmtId="166" fontId="0" fillId="34" borderId="1" xfId="2" applyFont="1" applyFill="1" applyBorder="1" applyAlignment="1">
      <alignment horizontal="center" vertical="center"/>
    </xf>
    <xf numFmtId="0" fontId="6" fillId="34" borderId="1" xfId="0" applyFont="1" applyFill="1" applyBorder="1" applyAlignment="1">
      <alignment horizontal="center" vertical="center"/>
    </xf>
    <xf numFmtId="0" fontId="0" fillId="34" borderId="1" xfId="0" applyFill="1" applyBorder="1"/>
    <xf numFmtId="0" fontId="0" fillId="34" borderId="1" xfId="0" applyFill="1" applyBorder="1" applyAlignment="1">
      <alignment horizontal="center" vertical="center"/>
    </xf>
    <xf numFmtId="0" fontId="0" fillId="34" borderId="1" xfId="0" applyFill="1" applyBorder="1" applyAlignment="1">
      <alignment vertical="center"/>
    </xf>
    <xf numFmtId="0" fontId="0" fillId="34" borderId="1" xfId="0" applyFont="1" applyFill="1" applyBorder="1" applyAlignment="1"/>
    <xf numFmtId="0" fontId="0" fillId="34" borderId="0" xfId="0" applyFont="1" applyFill="1" applyBorder="1" applyAlignment="1"/>
    <xf numFmtId="168" fontId="1" fillId="34" borderId="1" xfId="1" applyNumberFormat="1" applyFont="1" applyFill="1" applyBorder="1" applyAlignment="1">
      <alignment horizontal="center" vertical="center" wrapText="1"/>
    </xf>
    <xf numFmtId="168" fontId="16" fillId="34" borderId="1" xfId="1" applyNumberFormat="1" applyFont="1" applyFill="1" applyBorder="1" applyAlignment="1">
      <alignment horizontal="center" vertical="center" wrapText="1"/>
    </xf>
    <xf numFmtId="168" fontId="1" fillId="34" borderId="5" xfId="1" applyNumberFormat="1" applyFont="1" applyFill="1" applyBorder="1" applyAlignment="1">
      <alignment horizontal="center" vertical="center" wrapText="1"/>
    </xf>
    <xf numFmtId="170" fontId="0" fillId="34" borderId="15" xfId="1" applyNumberFormat="1" applyFont="1" applyFill="1" applyBorder="1" applyAlignment="1">
      <alignment horizontal="center" vertical="center" wrapText="1"/>
    </xf>
    <xf numFmtId="9" fontId="0" fillId="34" borderId="5" xfId="4" applyFont="1" applyFill="1" applyBorder="1" applyAlignment="1">
      <alignment horizontal="center" vertical="center" wrapText="1"/>
    </xf>
    <xf numFmtId="170" fontId="0" fillId="34" borderId="5" xfId="0" applyNumberFormat="1" applyFont="1" applyFill="1" applyBorder="1" applyAlignment="1">
      <alignment horizontal="center" vertical="center"/>
    </xf>
    <xf numFmtId="0" fontId="0" fillId="34" borderId="0" xfId="0" applyFont="1" applyFill="1" applyAlignment="1"/>
    <xf numFmtId="0" fontId="0" fillId="0" borderId="12" xfId="0" applyFont="1" applyBorder="1" applyAlignment="1">
      <alignment horizontal="center" vertical="center"/>
    </xf>
    <xf numFmtId="0" fontId="0" fillId="0" borderId="12" xfId="0" applyFont="1" applyBorder="1" applyAlignment="1">
      <alignment horizontal="center" vertical="center" wrapText="1"/>
    </xf>
    <xf numFmtId="0" fontId="1" fillId="0" borderId="12" xfId="0" applyFont="1" applyBorder="1" applyAlignment="1">
      <alignment horizontal="center" vertical="center"/>
    </xf>
    <xf numFmtId="49" fontId="2" fillId="2" borderId="18" xfId="0" applyNumberFormat="1" applyFont="1" applyFill="1" applyBorder="1" applyAlignment="1">
      <alignment vertical="center"/>
    </xf>
    <xf numFmtId="9" fontId="5" fillId="5" borderId="1" xfId="0" applyNumberFormat="1" applyFont="1" applyFill="1" applyBorder="1" applyAlignment="1">
      <alignment horizontal="center" vertical="center" wrapText="1"/>
    </xf>
    <xf numFmtId="168" fontId="5" fillId="10" borderId="1" xfId="0" applyNumberFormat="1" applyFont="1" applyFill="1" applyBorder="1" applyAlignment="1">
      <alignment horizontal="center" vertical="center" wrapText="1"/>
    </xf>
    <xf numFmtId="0" fontId="3" fillId="6" borderId="46" xfId="0" applyFont="1" applyFill="1" applyBorder="1" applyAlignment="1">
      <alignment horizontal="center" vertical="center" wrapText="1"/>
    </xf>
    <xf numFmtId="0" fontId="12" fillId="0" borderId="12" xfId="0" applyFont="1" applyBorder="1" applyAlignment="1">
      <alignment horizontal="center" vertical="center" wrapText="1"/>
    </xf>
    <xf numFmtId="2" fontId="12" fillId="0" borderId="12" xfId="0" applyNumberFormat="1" applyFont="1" applyBorder="1" applyAlignment="1">
      <alignment horizontal="center" vertical="center" wrapText="1"/>
    </xf>
    <xf numFmtId="0" fontId="9" fillId="0" borderId="12" xfId="0" applyFont="1" applyBorder="1" applyAlignment="1">
      <alignment horizontal="center" vertical="center" wrapText="1"/>
    </xf>
    <xf numFmtId="2" fontId="9" fillId="0" borderId="12" xfId="0" applyNumberFormat="1" applyFont="1" applyBorder="1" applyAlignment="1">
      <alignment horizontal="center" vertical="center" wrapText="1"/>
    </xf>
    <xf numFmtId="0" fontId="12" fillId="0" borderId="12" xfId="0" applyFont="1" applyFill="1" applyBorder="1" applyAlignment="1">
      <alignment horizontal="center" vertical="center"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2" fillId="34" borderId="12" xfId="0" applyFont="1" applyFill="1" applyBorder="1" applyAlignment="1">
      <alignment horizontal="center" vertical="center" wrapText="1"/>
    </xf>
    <xf numFmtId="0" fontId="0" fillId="0" borderId="47" xfId="0" applyFont="1" applyBorder="1" applyAlignment="1">
      <alignment horizontal="center" vertical="center"/>
    </xf>
    <xf numFmtId="0" fontId="9" fillId="21" borderId="46" xfId="0" applyFont="1" applyFill="1" applyBorder="1" applyAlignment="1">
      <alignment horizontal="center" vertical="center" wrapText="1"/>
    </xf>
    <xf numFmtId="0" fontId="0" fillId="21" borderId="12" xfId="0" applyFont="1" applyFill="1" applyBorder="1" applyAlignment="1">
      <alignment horizontal="center" vertical="center"/>
    </xf>
    <xf numFmtId="0" fontId="9" fillId="0" borderId="45" xfId="0" applyFont="1" applyBorder="1" applyAlignment="1">
      <alignment horizontal="center" vertical="center" wrapText="1"/>
    </xf>
    <xf numFmtId="168" fontId="4" fillId="8" borderId="4" xfId="0" applyNumberFormat="1" applyFont="1" applyFill="1" applyBorder="1" applyAlignment="1">
      <alignment horizontal="center" vertical="center" wrapText="1"/>
    </xf>
    <xf numFmtId="0" fontId="8" fillId="6" borderId="4"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6" fillId="21" borderId="4" xfId="0" applyFont="1" applyFill="1" applyBorder="1" applyAlignment="1">
      <alignment horizontal="center" wrapText="1"/>
    </xf>
    <xf numFmtId="169" fontId="6" fillId="0" borderId="4" xfId="2" applyNumberFormat="1" applyFont="1" applyBorder="1" applyAlignment="1">
      <alignment horizontal="center" vertical="center" wrapText="1"/>
    </xf>
    <xf numFmtId="0" fontId="0" fillId="24" borderId="4" xfId="0" applyFont="1" applyFill="1" applyBorder="1" applyAlignment="1"/>
    <xf numFmtId="0" fontId="6" fillId="21" borderId="4" xfId="0" applyFont="1" applyFill="1" applyBorder="1" applyAlignment="1">
      <alignment horizontal="center" vertical="center"/>
    </xf>
    <xf numFmtId="168" fontId="1" fillId="0" borderId="4" xfId="1" applyNumberFormat="1" applyFont="1" applyBorder="1" applyAlignment="1">
      <alignment horizontal="center" vertical="center" wrapText="1"/>
    </xf>
    <xf numFmtId="168" fontId="6" fillId="21" borderId="4" xfId="0" applyNumberFormat="1" applyFont="1" applyFill="1" applyBorder="1" applyAlignment="1">
      <alignment horizontal="center" vertical="center"/>
    </xf>
    <xf numFmtId="0" fontId="0" fillId="0" borderId="4" xfId="0" applyFont="1" applyBorder="1" applyAlignment="1"/>
    <xf numFmtId="49" fontId="6" fillId="4" borderId="4" xfId="0" applyNumberFormat="1" applyFont="1" applyFill="1" applyBorder="1" applyAlignment="1">
      <alignment vertical="center" wrapText="1"/>
    </xf>
    <xf numFmtId="49" fontId="6" fillId="4" borderId="5" xfId="0" applyNumberFormat="1" applyFont="1" applyFill="1" applyBorder="1" applyAlignment="1">
      <alignment vertical="center" wrapText="1"/>
    </xf>
    <xf numFmtId="168" fontId="1" fillId="34" borderId="4" xfId="1" applyNumberFormat="1" applyFont="1" applyFill="1" applyBorder="1" applyAlignment="1">
      <alignment horizontal="center" vertical="center" wrapText="1"/>
    </xf>
    <xf numFmtId="168" fontId="9" fillId="0" borderId="4" xfId="1" applyNumberFormat="1" applyFont="1" applyBorder="1" applyAlignment="1">
      <alignment horizontal="center" vertical="center" wrapText="1"/>
    </xf>
    <xf numFmtId="0" fontId="0" fillId="0" borderId="48" xfId="0" applyFont="1" applyBorder="1" applyAlignment="1"/>
    <xf numFmtId="0" fontId="0" fillId="0" borderId="37" xfId="0" applyFont="1" applyBorder="1" applyAlignment="1"/>
    <xf numFmtId="0" fontId="6" fillId="21" borderId="12" xfId="0" applyFont="1" applyFill="1" applyBorder="1" applyAlignment="1">
      <alignment horizontal="center" wrapText="1"/>
    </xf>
    <xf numFmtId="9" fontId="0" fillId="0" borderId="12" xfId="4" applyNumberFormat="1" applyFont="1" applyBorder="1" applyAlignment="1">
      <alignment horizontal="center" vertical="center" wrapText="1"/>
    </xf>
    <xf numFmtId="9" fontId="0" fillId="0" borderId="12" xfId="4" applyFont="1" applyFill="1" applyBorder="1" applyAlignment="1">
      <alignment horizontal="center" vertical="center" wrapText="1"/>
    </xf>
    <xf numFmtId="0" fontId="0" fillId="0" borderId="12" xfId="0" applyFont="1" applyBorder="1" applyAlignment="1"/>
    <xf numFmtId="9" fontId="0" fillId="26" borderId="12" xfId="4" applyNumberFormat="1" applyFont="1" applyFill="1" applyBorder="1" applyAlignment="1">
      <alignment horizontal="center" vertical="center" wrapText="1"/>
    </xf>
    <xf numFmtId="9" fontId="0" fillId="34" borderId="12" xfId="4" applyFont="1" applyFill="1" applyBorder="1" applyAlignment="1">
      <alignment horizontal="center" vertical="center" wrapText="1"/>
    </xf>
    <xf numFmtId="0" fontId="0" fillId="0" borderId="45" xfId="0" applyFont="1" applyBorder="1" applyAlignment="1"/>
    <xf numFmtId="0" fontId="3" fillId="6" borderId="51" xfId="0" applyFont="1" applyFill="1" applyBorder="1" applyAlignment="1">
      <alignment horizontal="center" vertical="center" wrapText="1"/>
    </xf>
    <xf numFmtId="168" fontId="3" fillId="8" borderId="4" xfId="0" applyNumberFormat="1" applyFont="1" applyFill="1" applyBorder="1" applyAlignment="1">
      <alignment horizontal="center" vertical="center" wrapText="1"/>
    </xf>
    <xf numFmtId="0" fontId="5" fillId="0" borderId="43" xfId="0" applyFont="1" applyBorder="1" applyAlignment="1">
      <alignment horizontal="center" vertical="center"/>
    </xf>
    <xf numFmtId="0" fontId="3" fillId="6" borderId="43" xfId="0" applyFont="1" applyFill="1" applyBorder="1" applyAlignment="1">
      <alignment horizontal="center" vertical="center" wrapText="1"/>
    </xf>
    <xf numFmtId="0" fontId="6" fillId="21" borderId="43" xfId="0" applyFont="1" applyFill="1" applyBorder="1" applyAlignment="1">
      <alignment horizontal="center" wrapText="1"/>
    </xf>
    <xf numFmtId="170" fontId="0" fillId="0" borderId="43" xfId="0" applyNumberFormat="1" applyFont="1" applyBorder="1" applyAlignment="1">
      <alignment horizontal="center" vertical="center"/>
    </xf>
    <xf numFmtId="0" fontId="0" fillId="24" borderId="43" xfId="0" applyFont="1" applyFill="1" applyBorder="1" applyAlignment="1">
      <alignment horizontal="center"/>
    </xf>
    <xf numFmtId="49" fontId="2" fillId="2" borderId="43" xfId="0" applyNumberFormat="1" applyFont="1" applyFill="1" applyBorder="1" applyAlignment="1">
      <alignment vertical="center" wrapText="1"/>
    </xf>
    <xf numFmtId="0" fontId="0" fillId="0" borderId="49" xfId="0" applyFont="1" applyBorder="1" applyAlignment="1">
      <alignment vertical="center"/>
    </xf>
    <xf numFmtId="170" fontId="0" fillId="0" borderId="43" xfId="0" applyNumberFormat="1" applyFont="1" applyFill="1" applyBorder="1" applyAlignment="1">
      <alignment horizontal="center" vertical="center"/>
    </xf>
    <xf numFmtId="0" fontId="0" fillId="0" borderId="43" xfId="0" applyFont="1" applyBorder="1" applyAlignment="1">
      <alignment horizontal="center"/>
    </xf>
    <xf numFmtId="170" fontId="0" fillId="0" borderId="43" xfId="0" applyNumberFormat="1" applyFont="1" applyBorder="1" applyAlignment="1">
      <alignment horizontal="center" vertical="center" wrapText="1"/>
    </xf>
    <xf numFmtId="49" fontId="6" fillId="4" borderId="43" xfId="0" applyNumberFormat="1" applyFont="1" applyFill="1" applyBorder="1" applyAlignment="1">
      <alignment horizontal="center" vertical="center" wrapText="1"/>
    </xf>
    <xf numFmtId="170" fontId="0" fillId="34" borderId="43" xfId="0" applyNumberFormat="1" applyFont="1" applyFill="1" applyBorder="1" applyAlignment="1">
      <alignment horizontal="center" vertical="center"/>
    </xf>
    <xf numFmtId="0" fontId="0" fillId="0" borderId="53" xfId="0" applyFont="1" applyBorder="1" applyAlignment="1">
      <alignment horizontal="center"/>
    </xf>
    <xf numFmtId="0" fontId="6" fillId="6" borderId="4" xfId="0" applyFont="1" applyFill="1" applyBorder="1" applyAlignment="1">
      <alignment horizontal="center" vertical="center" wrapText="1"/>
    </xf>
    <xf numFmtId="169" fontId="1" fillId="0" borderId="4" xfId="1" applyNumberFormat="1" applyFont="1" applyBorder="1" applyAlignment="1">
      <alignment horizontal="center" vertical="center" wrapText="1"/>
    </xf>
    <xf numFmtId="0" fontId="0" fillId="24" borderId="54" xfId="0" applyFont="1" applyFill="1" applyBorder="1" applyAlignment="1"/>
    <xf numFmtId="173" fontId="6" fillId="21" borderId="4" xfId="0" applyNumberFormat="1" applyFont="1" applyFill="1" applyBorder="1" applyAlignment="1">
      <alignment horizontal="center" vertical="center"/>
    </xf>
    <xf numFmtId="168" fontId="1" fillId="0" borderId="4" xfId="0" applyNumberFormat="1" applyFont="1" applyBorder="1" applyAlignment="1">
      <alignment horizontal="center" vertical="center" wrapText="1"/>
    </xf>
    <xf numFmtId="168" fontId="1" fillId="0" borderId="10" xfId="0" applyNumberFormat="1" applyFont="1" applyBorder="1" applyAlignment="1">
      <alignment horizontal="center" vertical="center" wrapText="1"/>
    </xf>
    <xf numFmtId="0" fontId="0" fillId="0" borderId="54" xfId="0" applyFont="1" applyBorder="1" applyAlignment="1"/>
    <xf numFmtId="168" fontId="1" fillId="0" borderId="54" xfId="1" applyNumberFormat="1" applyFont="1" applyBorder="1" applyAlignment="1">
      <alignment horizontal="center" vertical="center" wrapText="1"/>
    </xf>
    <xf numFmtId="0" fontId="0" fillId="34" borderId="54" xfId="0" applyFont="1" applyFill="1" applyBorder="1" applyAlignment="1"/>
    <xf numFmtId="173" fontId="1" fillId="21" borderId="4" xfId="1" applyNumberFormat="1" applyFont="1" applyFill="1" applyBorder="1" applyAlignment="1">
      <alignment horizontal="center" vertical="center" wrapText="1"/>
    </xf>
    <xf numFmtId="168" fontId="1" fillId="0" borderId="48" xfId="1" applyNumberFormat="1" applyFont="1" applyBorder="1" applyAlignment="1">
      <alignment horizontal="center" vertical="center" wrapText="1"/>
    </xf>
    <xf numFmtId="9" fontId="6" fillId="30" borderId="12" xfId="0" applyNumberFormat="1" applyFont="1" applyFill="1" applyBorder="1" applyAlignment="1">
      <alignment horizontal="center" vertical="center" wrapText="1"/>
    </xf>
    <xf numFmtId="9" fontId="18" fillId="29" borderId="12" xfId="0" applyNumberFormat="1" applyFont="1" applyFill="1" applyBorder="1" applyAlignment="1">
      <alignment horizontal="center" vertical="center" wrapText="1"/>
    </xf>
    <xf numFmtId="9" fontId="6" fillId="27" borderId="12" xfId="0" applyNumberFormat="1" applyFont="1" applyFill="1" applyBorder="1" applyAlignment="1">
      <alignment horizontal="center" vertical="center" wrapText="1"/>
    </xf>
    <xf numFmtId="9" fontId="6" fillId="28" borderId="12" xfId="0" applyNumberFormat="1" applyFont="1" applyFill="1" applyBorder="1" applyAlignment="1">
      <alignment horizontal="center" vertical="center" wrapText="1"/>
    </xf>
    <xf numFmtId="9" fontId="0" fillId="0" borderId="45" xfId="4" applyFont="1" applyBorder="1" applyAlignment="1">
      <alignment horizontal="center" vertical="center" wrapText="1"/>
    </xf>
    <xf numFmtId="49" fontId="6" fillId="4" borderId="51" xfId="0" applyNumberFormat="1" applyFont="1" applyFill="1" applyBorder="1" applyAlignment="1">
      <alignment vertical="center" wrapText="1"/>
    </xf>
    <xf numFmtId="9" fontId="22" fillId="5" borderId="1" xfId="0" applyNumberFormat="1" applyFont="1" applyFill="1" applyBorder="1" applyAlignment="1">
      <alignment horizontal="center" vertical="center" wrapText="1"/>
    </xf>
    <xf numFmtId="168" fontId="22" fillId="9" borderId="1" xfId="0" applyNumberFormat="1" applyFont="1" applyFill="1" applyBorder="1" applyAlignment="1">
      <alignment horizontal="center" vertical="center" wrapText="1"/>
    </xf>
    <xf numFmtId="168" fontId="22" fillId="10" borderId="1" xfId="0" applyNumberFormat="1" applyFont="1" applyFill="1" applyBorder="1" applyAlignment="1">
      <alignment horizontal="center" vertical="center" wrapText="1"/>
    </xf>
    <xf numFmtId="168" fontId="22" fillId="31" borderId="1" xfId="0" applyNumberFormat="1" applyFont="1" applyFill="1" applyBorder="1" applyAlignment="1">
      <alignment horizontal="center" vertical="center" wrapText="1"/>
    </xf>
    <xf numFmtId="166" fontId="0" fillId="0" borderId="43" xfId="2" applyFont="1" applyBorder="1" applyAlignment="1">
      <alignment horizontal="center" vertical="center"/>
    </xf>
    <xf numFmtId="0" fontId="0" fillId="24" borderId="43" xfId="0" applyFont="1" applyFill="1" applyBorder="1" applyAlignment="1"/>
    <xf numFmtId="166" fontId="0" fillId="0" borderId="43" xfId="2" applyFont="1" applyBorder="1" applyAlignment="1">
      <alignment horizontal="center" vertical="center" wrapText="1"/>
    </xf>
    <xf numFmtId="166" fontId="6" fillId="0" borderId="43" xfId="0" applyNumberFormat="1" applyFont="1" applyBorder="1" applyAlignment="1">
      <alignment horizontal="center" vertical="center"/>
    </xf>
    <xf numFmtId="166" fontId="6" fillId="0" borderId="57" xfId="0" applyNumberFormat="1" applyFont="1" applyBorder="1" applyAlignment="1">
      <alignment horizontal="center" vertical="center"/>
    </xf>
    <xf numFmtId="49" fontId="6" fillId="4" borderId="43" xfId="0" applyNumberFormat="1" applyFont="1" applyFill="1" applyBorder="1" applyAlignment="1">
      <alignment vertical="center" wrapText="1"/>
    </xf>
    <xf numFmtId="166" fontId="6" fillId="0" borderId="43" xfId="2" applyFont="1" applyBorder="1" applyAlignment="1">
      <alignment horizontal="center" vertical="center" wrapText="1"/>
    </xf>
    <xf numFmtId="166" fontId="0" fillId="0" borderId="53" xfId="2" applyFont="1" applyBorder="1" applyAlignment="1">
      <alignment horizontal="center" vertical="center"/>
    </xf>
    <xf numFmtId="169" fontId="6" fillId="0" borderId="1" xfId="2" applyNumberFormat="1" applyFont="1" applyBorder="1" applyAlignment="1">
      <alignment horizontal="center" vertical="center"/>
    </xf>
    <xf numFmtId="164" fontId="6" fillId="0" borderId="1" xfId="0" applyNumberFormat="1" applyFont="1" applyBorder="1" applyAlignment="1">
      <alignment horizontal="center" vertical="center"/>
    </xf>
    <xf numFmtId="165" fontId="6" fillId="0" borderId="1" xfId="0" applyNumberFormat="1" applyFont="1" applyBorder="1" applyAlignment="1">
      <alignment horizontal="center" vertical="center"/>
    </xf>
    <xf numFmtId="172" fontId="6" fillId="0" borderId="1" xfId="0" applyNumberFormat="1" applyFont="1" applyBorder="1" applyAlignment="1">
      <alignment horizontal="center" vertical="center" shrinkToFit="1"/>
    </xf>
    <xf numFmtId="165" fontId="1" fillId="0" borderId="1" xfId="1" applyNumberFormat="1" applyFont="1" applyBorder="1" applyAlignment="1">
      <alignment horizontal="center" vertical="center"/>
    </xf>
    <xf numFmtId="165" fontId="6" fillId="0" borderId="1" xfId="0" applyNumberFormat="1" applyFont="1" applyFill="1" applyBorder="1" applyAlignment="1">
      <alignment horizontal="center" vertical="center"/>
    </xf>
    <xf numFmtId="0" fontId="9" fillId="21" borderId="1" xfId="0" applyFont="1" applyFill="1" applyBorder="1" applyAlignment="1">
      <alignment horizontal="center" vertical="center" wrapText="1"/>
    </xf>
    <xf numFmtId="168" fontId="1" fillId="0" borderId="4" xfId="1" applyNumberFormat="1" applyFont="1" applyFill="1" applyBorder="1" applyAlignment="1">
      <alignment horizontal="center" vertical="center" wrapText="1"/>
    </xf>
    <xf numFmtId="166" fontId="0" fillId="0" borderId="5" xfId="2" applyFont="1" applyFill="1" applyBorder="1" applyAlignment="1">
      <alignment horizontal="center" vertical="center"/>
    </xf>
    <xf numFmtId="168" fontId="12" fillId="34" borderId="4" xfId="1" applyNumberFormat="1" applyFont="1" applyFill="1" applyBorder="1" applyAlignment="1">
      <alignment horizontal="center" vertical="center" wrapText="1"/>
    </xf>
    <xf numFmtId="168" fontId="12" fillId="0" borderId="4" xfId="1" applyNumberFormat="1" applyFont="1" applyBorder="1" applyAlignment="1">
      <alignment horizontal="center" vertical="center" wrapText="1"/>
    </xf>
    <xf numFmtId="0" fontId="0" fillId="21" borderId="5" xfId="0" applyFont="1" applyFill="1" applyBorder="1" applyAlignment="1">
      <alignment horizontal="center" vertical="center"/>
    </xf>
    <xf numFmtId="0" fontId="6" fillId="0" borderId="48" xfId="0" applyFont="1" applyBorder="1" applyAlignment="1">
      <alignment horizontal="center" vertical="center"/>
    </xf>
    <xf numFmtId="0" fontId="6" fillId="0" borderId="37" xfId="0" applyFont="1" applyFill="1" applyBorder="1" applyAlignment="1">
      <alignment horizontal="center" vertical="center"/>
    </xf>
    <xf numFmtId="0" fontId="6" fillId="0" borderId="37" xfId="0" applyFont="1" applyBorder="1" applyAlignment="1">
      <alignment horizontal="center" vertical="center"/>
    </xf>
    <xf numFmtId="0" fontId="5" fillId="0" borderId="43" xfId="0" applyFont="1" applyBorder="1" applyAlignment="1">
      <alignment horizontal="center" vertical="center" wrapText="1"/>
    </xf>
    <xf numFmtId="166" fontId="0" fillId="0" borderId="12" xfId="2" applyFont="1" applyFill="1" applyBorder="1" applyAlignment="1">
      <alignment horizontal="center" vertical="center"/>
    </xf>
    <xf numFmtId="166" fontId="0" fillId="34" borderId="12" xfId="2" applyFont="1" applyFill="1" applyBorder="1" applyAlignment="1">
      <alignment horizontal="center" vertical="center"/>
    </xf>
    <xf numFmtId="0" fontId="0" fillId="0" borderId="45" xfId="0" applyFont="1" applyBorder="1" applyAlignment="1">
      <alignment horizontal="center" vertical="center"/>
    </xf>
    <xf numFmtId="0" fontId="0" fillId="21" borderId="51" xfId="0" applyFont="1" applyFill="1" applyBorder="1" applyAlignment="1">
      <alignment horizontal="center" vertical="center"/>
    </xf>
    <xf numFmtId="166" fontId="0" fillId="0" borderId="43" xfId="2" applyFont="1" applyFill="1" applyBorder="1" applyAlignment="1">
      <alignment horizontal="center" vertical="center"/>
    </xf>
    <xf numFmtId="170" fontId="0" fillId="0" borderId="43" xfId="1" applyNumberFormat="1" applyFont="1" applyBorder="1" applyAlignment="1">
      <alignment horizontal="center" vertical="center" wrapText="1"/>
    </xf>
    <xf numFmtId="166" fontId="0" fillId="34" borderId="43" xfId="2" applyFont="1" applyFill="1" applyBorder="1" applyAlignment="1">
      <alignment horizontal="center" vertical="center"/>
    </xf>
    <xf numFmtId="0" fontId="9" fillId="21" borderId="43" xfId="0" applyFont="1" applyFill="1" applyBorder="1" applyAlignment="1">
      <alignment horizontal="center" vertical="center" wrapText="1"/>
    </xf>
    <xf numFmtId="0" fontId="0" fillId="0" borderId="43" xfId="0" applyFont="1" applyBorder="1" applyAlignment="1">
      <alignment horizontal="center" vertical="center"/>
    </xf>
    <xf numFmtId="0" fontId="0" fillId="21" borderId="43" xfId="0" applyFont="1" applyFill="1" applyBorder="1" applyAlignment="1">
      <alignment horizontal="center" vertical="center"/>
    </xf>
    <xf numFmtId="0" fontId="0" fillId="0" borderId="53" xfId="0" applyFont="1" applyBorder="1" applyAlignment="1">
      <alignment horizontal="center" vertical="center"/>
    </xf>
    <xf numFmtId="0" fontId="19" fillId="21" borderId="4" xfId="0" applyFont="1" applyFill="1" applyBorder="1" applyAlignment="1">
      <alignment horizontal="center" vertical="center"/>
    </xf>
    <xf numFmtId="0" fontId="17" fillId="21" borderId="4" xfId="0" applyFont="1" applyFill="1" applyBorder="1" applyAlignment="1">
      <alignment horizontal="center" vertical="center"/>
    </xf>
    <xf numFmtId="168" fontId="6" fillId="0" borderId="4" xfId="0" applyNumberFormat="1" applyFont="1" applyFill="1" applyBorder="1" applyAlignment="1">
      <alignment horizontal="center" vertical="center"/>
    </xf>
    <xf numFmtId="2" fontId="12" fillId="21" borderId="4" xfId="0" applyNumberFormat="1" applyFont="1" applyFill="1" applyBorder="1" applyAlignment="1">
      <alignment vertical="center" wrapText="1"/>
    </xf>
    <xf numFmtId="0" fontId="12" fillId="21" borderId="4" xfId="0" applyFont="1" applyFill="1" applyBorder="1" applyAlignment="1">
      <alignment horizontal="center" vertical="center" wrapText="1"/>
    </xf>
    <xf numFmtId="0" fontId="0" fillId="34" borderId="4" xfId="0" applyFont="1" applyFill="1" applyBorder="1" applyAlignment="1"/>
    <xf numFmtId="0" fontId="0" fillId="24" borderId="48" xfId="0" applyFont="1" applyFill="1" applyBorder="1" applyAlignment="1"/>
    <xf numFmtId="0" fontId="0" fillId="24" borderId="37" xfId="0" applyFont="1" applyFill="1" applyBorder="1" applyAlignment="1"/>
    <xf numFmtId="0" fontId="0" fillId="0" borderId="19" xfId="0" applyFont="1" applyBorder="1" applyAlignment="1">
      <alignment vertical="center"/>
    </xf>
    <xf numFmtId="0" fontId="0" fillId="34" borderId="12" xfId="0" applyFont="1" applyFill="1" applyBorder="1" applyAlignment="1"/>
    <xf numFmtId="0" fontId="0" fillId="24" borderId="45" xfId="0" applyFont="1" applyFill="1" applyBorder="1" applyAlignment="1"/>
    <xf numFmtId="0" fontId="0" fillId="0" borderId="43" xfId="0" applyFont="1" applyBorder="1" applyAlignment="1"/>
    <xf numFmtId="0" fontId="0" fillId="34" borderId="43" xfId="0" applyFont="1" applyFill="1" applyBorder="1" applyAlignment="1"/>
    <xf numFmtId="0" fontId="0" fillId="24" borderId="53" xfId="0" applyFont="1" applyFill="1" applyBorder="1" applyAlignment="1"/>
    <xf numFmtId="9" fontId="5" fillId="13" borderId="1" xfId="0" applyNumberFormat="1" applyFont="1" applyFill="1" applyBorder="1" applyAlignment="1">
      <alignment horizontal="center" vertical="center" wrapText="1"/>
    </xf>
    <xf numFmtId="168" fontId="6" fillId="2" borderId="4" xfId="0" applyNumberFormat="1" applyFont="1" applyFill="1" applyBorder="1" applyAlignment="1">
      <alignment horizontal="center" vertical="center" wrapText="1"/>
    </xf>
    <xf numFmtId="168" fontId="1" fillId="2" borderId="4" xfId="0" applyNumberFormat="1" applyFont="1" applyFill="1" applyBorder="1" applyAlignment="1">
      <alignment horizontal="center" vertical="center" wrapText="1"/>
    </xf>
    <xf numFmtId="168" fontId="16" fillId="2" borderId="4" xfId="0" applyNumberFormat="1" applyFont="1" applyFill="1" applyBorder="1" applyAlignment="1">
      <alignment horizontal="center" vertical="center" wrapText="1"/>
    </xf>
    <xf numFmtId="168" fontId="1" fillId="0" borderId="4" xfId="0" applyNumberFormat="1" applyFont="1" applyFill="1" applyBorder="1" applyAlignment="1">
      <alignment horizontal="center" vertical="center" wrapText="1"/>
    </xf>
    <xf numFmtId="0" fontId="9" fillId="21" borderId="4" xfId="0" applyFont="1" applyFill="1" applyBorder="1" applyAlignment="1">
      <alignment horizontal="center" vertical="center" wrapText="1"/>
    </xf>
    <xf numFmtId="0" fontId="0" fillId="21" borderId="4" xfId="0" applyFont="1" applyFill="1" applyBorder="1" applyAlignment="1">
      <alignment horizontal="center" vertical="center"/>
    </xf>
    <xf numFmtId="0" fontId="0" fillId="0" borderId="12" xfId="0" applyFont="1" applyFill="1" applyBorder="1" applyAlignment="1"/>
    <xf numFmtId="0" fontId="9" fillId="21" borderId="12" xfId="0" applyFont="1" applyFill="1" applyBorder="1" applyAlignment="1">
      <alignment horizontal="center" vertical="center" wrapText="1"/>
    </xf>
    <xf numFmtId="0" fontId="0" fillId="0" borderId="51" xfId="0" applyBorder="1" applyAlignment="1">
      <alignment horizontal="center" vertical="center" wrapText="1"/>
    </xf>
    <xf numFmtId="9" fontId="22" fillId="13" borderId="1" xfId="0" applyNumberFormat="1" applyFont="1" applyFill="1" applyBorder="1" applyAlignment="1">
      <alignment horizontal="center" vertical="center" wrapText="1"/>
    </xf>
    <xf numFmtId="9" fontId="22" fillId="16" borderId="1" xfId="0" applyNumberFormat="1" applyFont="1" applyFill="1" applyBorder="1" applyAlignment="1">
      <alignment horizontal="center" vertical="center" wrapText="1"/>
    </xf>
    <xf numFmtId="0" fontId="8" fillId="6" borderId="4" xfId="0" applyFont="1" applyFill="1" applyBorder="1" applyAlignment="1">
      <alignment horizontal="center" vertical="center"/>
    </xf>
    <xf numFmtId="168" fontId="5" fillId="11" borderId="1" xfId="0" applyNumberFormat="1" applyFont="1" applyFill="1" applyBorder="1" applyAlignment="1">
      <alignment horizontal="center" vertical="center" wrapText="1"/>
    </xf>
    <xf numFmtId="168" fontId="5" fillId="12" borderId="1" xfId="0" applyNumberFormat="1" applyFont="1" applyFill="1" applyBorder="1" applyAlignment="1">
      <alignment horizontal="center" vertical="center" wrapText="1"/>
    </xf>
    <xf numFmtId="168" fontId="13" fillId="14" borderId="1" xfId="0" applyNumberFormat="1" applyFont="1" applyFill="1" applyBorder="1" applyAlignment="1">
      <alignment horizontal="center" vertical="center" wrapText="1"/>
    </xf>
    <xf numFmtId="49" fontId="5" fillId="17" borderId="1" xfId="0" applyNumberFormat="1" applyFont="1" applyFill="1" applyBorder="1" applyAlignment="1">
      <alignment horizontal="center" vertical="center" wrapText="1"/>
    </xf>
    <xf numFmtId="168" fontId="4" fillId="9" borderId="1" xfId="0" applyNumberFormat="1" applyFont="1" applyFill="1" applyBorder="1" applyAlignment="1">
      <alignment horizontal="center" vertical="center" wrapText="1"/>
    </xf>
    <xf numFmtId="168" fontId="4" fillId="18" borderId="1" xfId="0" applyNumberFormat="1" applyFont="1" applyFill="1" applyBorder="1" applyAlignment="1">
      <alignment horizontal="center" vertical="center" wrapText="1"/>
    </xf>
    <xf numFmtId="0" fontId="0" fillId="0" borderId="50" xfId="0" applyFont="1" applyBorder="1" applyAlignment="1">
      <alignment vertical="center" wrapText="1"/>
    </xf>
    <xf numFmtId="0" fontId="0" fillId="0" borderId="55" xfId="0" applyBorder="1" applyAlignment="1">
      <alignment vertical="center"/>
    </xf>
    <xf numFmtId="170" fontId="0" fillId="0" borderId="51" xfId="1" applyNumberFormat="1" applyFont="1" applyBorder="1" applyAlignment="1">
      <alignment vertical="center" wrapText="1"/>
    </xf>
    <xf numFmtId="166" fontId="0" fillId="0" borderId="51" xfId="2" applyFont="1" applyBorder="1" applyAlignment="1">
      <alignment vertical="center"/>
    </xf>
    <xf numFmtId="168" fontId="0" fillId="0" borderId="51" xfId="2" applyNumberFormat="1" applyFont="1" applyBorder="1" applyAlignment="1">
      <alignment vertical="center"/>
    </xf>
    <xf numFmtId="166" fontId="0" fillId="0" borderId="51" xfId="2" applyFont="1" applyFill="1" applyBorder="1" applyAlignment="1">
      <alignment vertical="center"/>
    </xf>
    <xf numFmtId="166" fontId="0" fillId="0" borderId="51" xfId="2" applyFont="1" applyBorder="1" applyAlignment="1">
      <alignment vertical="center" wrapText="1"/>
    </xf>
    <xf numFmtId="166" fontId="0" fillId="0" borderId="58" xfId="2" applyFont="1" applyBorder="1" applyAlignment="1">
      <alignment vertical="center"/>
    </xf>
    <xf numFmtId="49" fontId="6" fillId="4" borderId="58" xfId="0" applyNumberFormat="1" applyFont="1" applyFill="1" applyBorder="1" applyAlignment="1">
      <alignment vertical="center" wrapText="1"/>
    </xf>
    <xf numFmtId="166" fontId="0" fillId="0" borderId="56" xfId="2" applyFont="1" applyBorder="1" applyAlignment="1">
      <alignment vertical="center"/>
    </xf>
    <xf numFmtId="49" fontId="6" fillId="4" borderId="56" xfId="0" applyNumberFormat="1" applyFont="1" applyFill="1" applyBorder="1" applyAlignment="1">
      <alignment vertical="center" wrapText="1"/>
    </xf>
    <xf numFmtId="0" fontId="0" fillId="0" borderId="51" xfId="0" applyFill="1" applyBorder="1" applyAlignment="1">
      <alignment vertical="center"/>
    </xf>
    <xf numFmtId="0" fontId="0" fillId="0" borderId="51" xfId="0" applyBorder="1" applyAlignment="1">
      <alignment vertical="center"/>
    </xf>
    <xf numFmtId="0" fontId="0" fillId="34" borderId="51" xfId="0" applyFill="1" applyBorder="1" applyAlignment="1">
      <alignment vertical="center"/>
    </xf>
    <xf numFmtId="0" fontId="0" fillId="0" borderId="58" xfId="0" applyBorder="1" applyAlignment="1">
      <alignment vertical="center"/>
    </xf>
    <xf numFmtId="0" fontId="9" fillId="21" borderId="56" xfId="0" applyFont="1" applyFill="1" applyBorder="1" applyAlignment="1">
      <alignment horizontal="center" vertical="center" wrapText="1"/>
    </xf>
    <xf numFmtId="0" fontId="0" fillId="0" borderId="52" xfId="0" applyBorder="1" applyAlignment="1">
      <alignment vertical="center"/>
    </xf>
    <xf numFmtId="0" fontId="0" fillId="0" borderId="19" xfId="0" applyFont="1" applyBorder="1" applyAlignment="1">
      <alignment vertical="center" wrapText="1"/>
    </xf>
    <xf numFmtId="0" fontId="0" fillId="0" borderId="43" xfId="0" applyFont="1" applyFill="1" applyBorder="1" applyAlignment="1"/>
    <xf numFmtId="0" fontId="0" fillId="0" borderId="53" xfId="0" applyFont="1" applyBorder="1" applyAlignment="1"/>
    <xf numFmtId="0" fontId="0" fillId="0" borderId="5" xfId="0" applyBorder="1" applyAlignment="1">
      <alignment horizontal="center" vertical="center"/>
    </xf>
    <xf numFmtId="168" fontId="1" fillId="2" borderId="59" xfId="0" applyNumberFormat="1" applyFont="1" applyFill="1" applyBorder="1" applyAlignment="1">
      <alignment horizontal="center" vertical="center" wrapText="1"/>
    </xf>
    <xf numFmtId="168" fontId="1" fillId="2" borderId="54" xfId="0" applyNumberFormat="1" applyFont="1" applyFill="1" applyBorder="1" applyAlignment="1">
      <alignment horizontal="center" vertical="center" wrapText="1"/>
    </xf>
    <xf numFmtId="0" fontId="0" fillId="0" borderId="5" xfId="0" applyFill="1" applyBorder="1" applyAlignment="1">
      <alignment horizontal="center" vertical="center"/>
    </xf>
    <xf numFmtId="0" fontId="0" fillId="34" borderId="5" xfId="0" applyFill="1" applyBorder="1" applyAlignment="1">
      <alignment horizontal="center" vertical="center"/>
    </xf>
    <xf numFmtId="0" fontId="0" fillId="0" borderId="60" xfId="0" applyBorder="1" applyAlignment="1">
      <alignment horizontal="center" vertical="center"/>
    </xf>
    <xf numFmtId="0" fontId="9" fillId="21" borderId="10" xfId="0" applyFont="1" applyFill="1" applyBorder="1" applyAlignment="1">
      <alignment horizontal="center" vertical="center" wrapText="1"/>
    </xf>
    <xf numFmtId="0" fontId="9" fillId="21" borderId="13" xfId="0" applyFont="1" applyFill="1" applyBorder="1" applyAlignment="1">
      <alignment horizontal="center" vertical="center" wrapText="1"/>
    </xf>
    <xf numFmtId="0" fontId="0" fillId="0" borderId="37" xfId="0" applyBorder="1"/>
    <xf numFmtId="0" fontId="0" fillId="0" borderId="38" xfId="0" applyBorder="1" applyAlignment="1">
      <alignment horizontal="center" vertical="center"/>
    </xf>
    <xf numFmtId="170" fontId="0" fillId="36" borderId="1" xfId="1" applyNumberFormat="1" applyFont="1" applyFill="1" applyBorder="1" applyAlignment="1">
      <alignment horizontal="center" vertical="center" wrapText="1"/>
    </xf>
    <xf numFmtId="168" fontId="0" fillId="36" borderId="1" xfId="0" applyNumberFormat="1" applyFill="1" applyBorder="1" applyAlignment="1">
      <alignment horizontal="center" vertical="center" wrapText="1"/>
    </xf>
    <xf numFmtId="168" fontId="1" fillId="36" borderId="4" xfId="1" applyNumberFormat="1" applyFont="1" applyFill="1" applyBorder="1" applyAlignment="1">
      <alignment horizontal="center" vertical="center" wrapText="1"/>
    </xf>
    <xf numFmtId="168" fontId="1" fillId="36" borderId="1" xfId="1" applyNumberFormat="1" applyFont="1" applyFill="1" applyBorder="1" applyAlignment="1">
      <alignment horizontal="center" vertical="center" wrapText="1"/>
    </xf>
    <xf numFmtId="170" fontId="0" fillId="24" borderId="4" xfId="1" applyNumberFormat="1" applyFont="1" applyFill="1" applyBorder="1" applyAlignment="1">
      <alignment vertical="center"/>
    </xf>
    <xf numFmtId="170" fontId="0" fillId="24" borderId="1" xfId="1" applyNumberFormat="1" applyFont="1" applyFill="1" applyBorder="1" applyAlignment="1">
      <alignment vertical="center"/>
    </xf>
    <xf numFmtId="168" fontId="1" fillId="37" borderId="4" xfId="0" applyNumberFormat="1" applyFont="1" applyFill="1" applyBorder="1" applyAlignment="1">
      <alignment horizontal="center" vertical="center" wrapText="1"/>
    </xf>
    <xf numFmtId="168" fontId="14" fillId="37" borderId="1" xfId="0" applyNumberFormat="1" applyFont="1" applyFill="1" applyBorder="1" applyAlignment="1">
      <alignment horizontal="center" vertical="center" wrapText="1"/>
    </xf>
    <xf numFmtId="168" fontId="6" fillId="37" borderId="1" xfId="0" applyNumberFormat="1" applyFont="1" applyFill="1" applyBorder="1" applyAlignment="1">
      <alignment horizontal="center" vertical="center" wrapText="1"/>
    </xf>
    <xf numFmtId="168" fontId="15" fillId="36" borderId="1" xfId="0" applyNumberFormat="1" applyFont="1" applyFill="1" applyBorder="1" applyAlignment="1">
      <alignment horizontal="center" vertical="center" wrapText="1"/>
    </xf>
    <xf numFmtId="168" fontId="6" fillId="38" borderId="1" xfId="0" applyNumberFormat="1" applyFont="1" applyFill="1" applyBorder="1" applyAlignment="1">
      <alignment horizontal="center" vertical="center" wrapText="1"/>
    </xf>
    <xf numFmtId="0" fontId="0" fillId="36" borderId="54" xfId="0" applyFont="1" applyFill="1" applyBorder="1" applyAlignment="1"/>
    <xf numFmtId="168" fontId="6" fillId="36" borderId="1" xfId="0" applyNumberFormat="1" applyFont="1" applyFill="1" applyBorder="1" applyAlignment="1">
      <alignment horizontal="center" vertical="center" wrapText="1"/>
    </xf>
    <xf numFmtId="0" fontId="6" fillId="6" borderId="15" xfId="0" applyFont="1" applyFill="1" applyBorder="1" applyAlignment="1">
      <alignment horizontal="center" vertical="center" wrapText="1"/>
    </xf>
    <xf numFmtId="0" fontId="6" fillId="21" borderId="15" xfId="0" applyFont="1" applyFill="1" applyBorder="1" applyAlignment="1">
      <alignment horizontal="center" wrapText="1"/>
    </xf>
    <xf numFmtId="169" fontId="1" fillId="0" borderId="15" xfId="1" applyNumberFormat="1" applyFont="1" applyBorder="1" applyAlignment="1">
      <alignment horizontal="center" vertical="center" wrapText="1"/>
    </xf>
    <xf numFmtId="49" fontId="6" fillId="4" borderId="15" xfId="0" applyNumberFormat="1" applyFont="1" applyFill="1" applyBorder="1" applyAlignment="1">
      <alignment vertical="center" wrapText="1"/>
    </xf>
    <xf numFmtId="168" fontId="3" fillId="8" borderId="43" xfId="0" applyNumberFormat="1" applyFont="1" applyFill="1" applyBorder="1" applyAlignment="1">
      <alignment horizontal="center" vertical="center" wrapText="1"/>
    </xf>
    <xf numFmtId="10" fontId="6" fillId="0" borderId="0" xfId="0" applyNumberFormat="1" applyFont="1" applyAlignment="1">
      <alignment horizontal="left" vertical="center"/>
    </xf>
    <xf numFmtId="169" fontId="1" fillId="36" borderId="15" xfId="1" applyNumberFormat="1" applyFont="1" applyFill="1" applyBorder="1" applyAlignment="1">
      <alignment horizontal="center" vertical="center" wrapText="1"/>
    </xf>
    <xf numFmtId="168" fontId="4" fillId="8" borderId="1" xfId="0" applyNumberFormat="1" applyFont="1" applyFill="1" applyBorder="1" applyAlignment="1">
      <alignment horizontal="center" vertical="center" wrapText="1"/>
    </xf>
    <xf numFmtId="168" fontId="6" fillId="12" borderId="1" xfId="0" applyNumberFormat="1" applyFont="1" applyFill="1" applyBorder="1" applyAlignment="1">
      <alignment horizontal="center" vertical="center" wrapText="1"/>
    </xf>
    <xf numFmtId="9" fontId="6" fillId="13" borderId="1" xfId="0" applyNumberFormat="1" applyFont="1" applyFill="1" applyBorder="1" applyAlignment="1">
      <alignment horizontal="center" vertical="center" wrapText="1"/>
    </xf>
    <xf numFmtId="168" fontId="6" fillId="10" borderId="1" xfId="0" applyNumberFormat="1" applyFont="1" applyFill="1" applyBorder="1" applyAlignment="1">
      <alignment horizontal="center" vertical="center" wrapText="1"/>
    </xf>
    <xf numFmtId="168" fontId="1" fillId="14" borderId="1" xfId="0" applyNumberFormat="1" applyFont="1" applyFill="1" applyBorder="1" applyAlignment="1">
      <alignment horizontal="center" vertical="center" wrapText="1"/>
    </xf>
    <xf numFmtId="49" fontId="6" fillId="17" borderId="1" xfId="0" applyNumberFormat="1" applyFont="1" applyFill="1" applyBorder="1" applyAlignment="1">
      <alignment horizontal="center" vertical="center" wrapText="1"/>
    </xf>
    <xf numFmtId="9" fontId="6" fillId="5" borderId="1" xfId="0" applyNumberFormat="1" applyFont="1" applyFill="1" applyBorder="1" applyAlignment="1">
      <alignment horizontal="center" vertical="center" wrapText="1"/>
    </xf>
    <xf numFmtId="168" fontId="3" fillId="9" borderId="1" xfId="0" applyNumberFormat="1" applyFont="1" applyFill="1" applyBorder="1" applyAlignment="1">
      <alignment horizontal="center" vertical="center" wrapText="1"/>
    </xf>
    <xf numFmtId="168" fontId="3" fillId="18" borderId="1" xfId="0" applyNumberFormat="1" applyFont="1" applyFill="1" applyBorder="1" applyAlignment="1">
      <alignment horizontal="center" vertical="center" wrapText="1"/>
    </xf>
    <xf numFmtId="169" fontId="6" fillId="0" borderId="15" xfId="2" applyNumberFormat="1" applyFont="1" applyBorder="1" applyAlignment="1">
      <alignment horizontal="center" vertical="center" wrapText="1"/>
    </xf>
    <xf numFmtId="0" fontId="6" fillId="6" borderId="4" xfId="0" applyFont="1" applyFill="1" applyBorder="1" applyAlignment="1">
      <alignment horizontal="center" vertical="center"/>
    </xf>
    <xf numFmtId="49" fontId="6" fillId="6" borderId="10" xfId="0" applyNumberFormat="1" applyFont="1" applyFill="1" applyBorder="1" applyAlignment="1">
      <alignment horizontal="center" vertical="center" wrapText="1"/>
    </xf>
    <xf numFmtId="0" fontId="6" fillId="6" borderId="4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6" fillId="6" borderId="43" xfId="0" applyFont="1" applyFill="1" applyBorder="1" applyAlignment="1">
      <alignment horizontal="center" vertical="center" wrapText="1"/>
    </xf>
    <xf numFmtId="0" fontId="6" fillId="6" borderId="5" xfId="0" applyFont="1" applyFill="1" applyBorder="1" applyAlignment="1">
      <alignment horizontal="center" vertical="center" wrapText="1"/>
    </xf>
    <xf numFmtId="0" fontId="6" fillId="6" borderId="51" xfId="0" applyFont="1" applyFill="1" applyBorder="1" applyAlignment="1">
      <alignment horizontal="center" vertical="center" wrapText="1"/>
    </xf>
    <xf numFmtId="170" fontId="5" fillId="0" borderId="43" xfId="0" applyNumberFormat="1" applyFont="1" applyBorder="1" applyAlignment="1">
      <alignment horizontal="center" vertical="center"/>
    </xf>
    <xf numFmtId="0" fontId="0" fillId="40" borderId="0" xfId="0" applyFont="1" applyFill="1" applyAlignment="1"/>
    <xf numFmtId="0" fontId="6" fillId="0" borderId="0" xfId="0" applyFont="1" applyAlignment="1"/>
    <xf numFmtId="0" fontId="0" fillId="39" borderId="0" xfId="0" applyFont="1" applyFill="1" applyAlignment="1"/>
    <xf numFmtId="166" fontId="5" fillId="0" borderId="43" xfId="2" applyFont="1" applyBorder="1" applyAlignment="1">
      <alignment horizontal="center" vertical="center"/>
    </xf>
    <xf numFmtId="166" fontId="6" fillId="0" borderId="12" xfId="2" applyFont="1" applyBorder="1" applyAlignment="1">
      <alignment horizontal="center" vertical="center"/>
    </xf>
    <xf numFmtId="49" fontId="5" fillId="4" borderId="43" xfId="0" applyNumberFormat="1" applyFont="1" applyFill="1" applyBorder="1" applyAlignment="1">
      <alignment vertical="center" wrapText="1"/>
    </xf>
    <xf numFmtId="166" fontId="5" fillId="0" borderId="43" xfId="2" applyFont="1" applyFill="1" applyBorder="1" applyAlignment="1">
      <alignment horizontal="center" vertical="center"/>
    </xf>
    <xf numFmtId="166" fontId="6" fillId="0" borderId="12" xfId="2" applyFont="1" applyFill="1" applyBorder="1" applyAlignment="1">
      <alignment horizontal="center" vertical="center"/>
    </xf>
    <xf numFmtId="170" fontId="5" fillId="0" borderId="43" xfId="1" applyNumberFormat="1" applyFont="1" applyBorder="1" applyAlignment="1">
      <alignment horizontal="center" vertical="center" wrapText="1"/>
    </xf>
    <xf numFmtId="170" fontId="5" fillId="0" borderId="51" xfId="1" applyNumberFormat="1" applyFont="1" applyBorder="1" applyAlignment="1">
      <alignment vertical="center" wrapText="1"/>
    </xf>
    <xf numFmtId="170" fontId="6" fillId="0" borderId="1" xfId="1" applyNumberFormat="1" applyFont="1" applyBorder="1" applyAlignment="1">
      <alignment horizontal="center" vertical="center" wrapText="1"/>
    </xf>
    <xf numFmtId="170" fontId="5" fillId="0" borderId="43" xfId="0" applyNumberFormat="1" applyFont="1" applyFill="1" applyBorder="1" applyAlignment="1">
      <alignment horizontal="center" vertical="center"/>
    </xf>
    <xf numFmtId="167" fontId="0" fillId="36" borderId="54" xfId="1" applyFont="1" applyFill="1" applyBorder="1" applyAlignment="1">
      <alignment vertical="center"/>
    </xf>
    <xf numFmtId="168" fontId="12" fillId="36" borderId="1" xfId="1" applyNumberFormat="1" applyFont="1" applyFill="1" applyBorder="1" applyAlignment="1">
      <alignment horizontal="center" vertical="center" wrapText="1"/>
    </xf>
    <xf numFmtId="169" fontId="6" fillId="36" borderId="15" xfId="2" applyNumberFormat="1" applyFont="1" applyFill="1" applyBorder="1" applyAlignment="1">
      <alignment horizontal="center" vertical="center" wrapText="1"/>
    </xf>
    <xf numFmtId="168" fontId="6" fillId="21" borderId="43" xfId="0" applyNumberFormat="1" applyFont="1" applyFill="1" applyBorder="1" applyAlignment="1">
      <alignment horizontal="center" vertical="center"/>
    </xf>
    <xf numFmtId="168" fontId="6" fillId="21" borderId="15" xfId="0" applyNumberFormat="1" applyFont="1" applyFill="1" applyBorder="1" applyAlignment="1">
      <alignment horizontal="center" vertical="center"/>
    </xf>
    <xf numFmtId="170" fontId="5" fillId="0" borderId="62" xfId="0" applyNumberFormat="1" applyFont="1" applyBorder="1" applyAlignment="1">
      <alignment horizontal="center" vertical="center"/>
    </xf>
    <xf numFmtId="0" fontId="0" fillId="24" borderId="63" xfId="0" applyFont="1" applyFill="1" applyBorder="1" applyAlignment="1"/>
    <xf numFmtId="0" fontId="0" fillId="24" borderId="64" xfId="0" applyFont="1" applyFill="1" applyBorder="1" applyAlignment="1"/>
    <xf numFmtId="168" fontId="6" fillId="37" borderId="15" xfId="0" applyNumberFormat="1" applyFont="1" applyFill="1" applyBorder="1" applyAlignment="1">
      <alignment horizontal="center" vertical="center" wrapText="1"/>
    </xf>
    <xf numFmtId="169" fontId="1" fillId="0" borderId="26" xfId="1" applyNumberFormat="1" applyFont="1" applyBorder="1" applyAlignment="1">
      <alignment horizontal="center" vertical="center" wrapText="1"/>
    </xf>
    <xf numFmtId="168" fontId="1" fillId="0" borderId="23" xfId="1" applyNumberFormat="1" applyFont="1" applyBorder="1" applyAlignment="1">
      <alignment horizontal="center" vertical="center" wrapText="1"/>
    </xf>
    <xf numFmtId="169" fontId="1" fillId="0" borderId="14" xfId="1" applyNumberFormat="1" applyFont="1" applyBorder="1" applyAlignment="1">
      <alignment horizontal="center" vertical="center" wrapText="1"/>
    </xf>
    <xf numFmtId="169" fontId="1" fillId="36" borderId="61" xfId="1" applyNumberFormat="1" applyFont="1" applyFill="1" applyBorder="1" applyAlignment="1">
      <alignment horizontal="center" vertical="center" wrapText="1"/>
    </xf>
    <xf numFmtId="168" fontId="6" fillId="37" borderId="61" xfId="0" applyNumberFormat="1" applyFont="1" applyFill="1" applyBorder="1" applyAlignment="1">
      <alignment horizontal="center" vertical="center" wrapText="1"/>
    </xf>
    <xf numFmtId="168" fontId="14" fillId="2" borderId="65" xfId="0" applyNumberFormat="1" applyFont="1" applyFill="1" applyBorder="1" applyAlignment="1">
      <alignment horizontal="center" vertical="center" wrapText="1"/>
    </xf>
    <xf numFmtId="168" fontId="1" fillId="0" borderId="15" xfId="1" applyNumberFormat="1" applyFont="1" applyFill="1" applyBorder="1" applyAlignment="1">
      <alignment horizontal="center" vertical="center" wrapText="1"/>
    </xf>
    <xf numFmtId="168" fontId="6" fillId="21" borderId="11" xfId="0" applyNumberFormat="1" applyFont="1" applyFill="1" applyBorder="1" applyAlignment="1">
      <alignment horizontal="center" vertical="center"/>
    </xf>
    <xf numFmtId="168" fontId="3" fillId="2" borderId="61" xfId="0" applyNumberFormat="1" applyFont="1" applyFill="1" applyBorder="1" applyAlignment="1">
      <alignment horizontal="center" vertical="center" wrapText="1"/>
    </xf>
    <xf numFmtId="168" fontId="15" fillId="0" borderId="61" xfId="0" applyNumberFormat="1" applyFont="1" applyBorder="1" applyAlignment="1">
      <alignment horizontal="center" vertical="center" wrapText="1"/>
    </xf>
    <xf numFmtId="168" fontId="1" fillId="37" borderId="59" xfId="0" applyNumberFormat="1" applyFont="1" applyFill="1" applyBorder="1" applyAlignment="1">
      <alignment horizontal="center" vertical="center" wrapText="1"/>
    </xf>
    <xf numFmtId="168" fontId="6" fillId="11" borderId="15" xfId="0" applyNumberFormat="1" applyFont="1" applyFill="1" applyBorder="1" applyAlignment="1">
      <alignment horizontal="center" vertical="center" wrapText="1"/>
    </xf>
    <xf numFmtId="168" fontId="4" fillId="8" borderId="61" xfId="0" applyNumberFormat="1" applyFont="1" applyFill="1" applyBorder="1" applyAlignment="1">
      <alignment horizontal="center" vertical="center" wrapText="1"/>
    </xf>
    <xf numFmtId="168" fontId="17" fillId="38" borderId="1" xfId="0" applyNumberFormat="1" applyFont="1" applyFill="1" applyBorder="1" applyAlignment="1">
      <alignment horizontal="center" vertical="center" wrapText="1"/>
    </xf>
    <xf numFmtId="168" fontId="1" fillId="36" borderId="44" xfId="1" applyNumberFormat="1" applyFont="1" applyFill="1" applyBorder="1" applyAlignment="1">
      <alignment horizontal="center" vertical="center" wrapText="1"/>
    </xf>
    <xf numFmtId="169" fontId="1" fillId="36" borderId="26" xfId="1" applyNumberFormat="1" applyFont="1" applyFill="1" applyBorder="1" applyAlignment="1">
      <alignment horizontal="center" vertical="center" wrapText="1"/>
    </xf>
    <xf numFmtId="168" fontId="6" fillId="37" borderId="23" xfId="0" applyNumberFormat="1" applyFont="1" applyFill="1" applyBorder="1" applyAlignment="1">
      <alignment horizontal="center" vertical="center" wrapText="1"/>
    </xf>
    <xf numFmtId="168" fontId="6" fillId="36" borderId="23" xfId="0" applyNumberFormat="1" applyFont="1" applyFill="1" applyBorder="1" applyAlignment="1">
      <alignment horizontal="center" vertical="center" wrapText="1"/>
    </xf>
    <xf numFmtId="168" fontId="17" fillId="38" borderId="23" xfId="0" applyNumberFormat="1" applyFont="1" applyFill="1" applyBorder="1" applyAlignment="1">
      <alignment horizontal="center" vertical="center" wrapText="1"/>
    </xf>
    <xf numFmtId="170" fontId="0" fillId="36" borderId="23" xfId="1" applyNumberFormat="1" applyFont="1" applyFill="1" applyBorder="1" applyAlignment="1">
      <alignment horizontal="center" vertical="center" wrapText="1"/>
    </xf>
    <xf numFmtId="168" fontId="0" fillId="36" borderId="23" xfId="0" applyNumberFormat="1" applyFill="1" applyBorder="1" applyAlignment="1">
      <alignment horizontal="center" vertical="center" wrapText="1"/>
    </xf>
    <xf numFmtId="168" fontId="1" fillId="0" borderId="10" xfId="1" applyNumberFormat="1" applyFont="1" applyBorder="1" applyAlignment="1">
      <alignment horizontal="center" vertical="center" wrapText="1"/>
    </xf>
    <xf numFmtId="168" fontId="1" fillId="0" borderId="11" xfId="1" applyNumberFormat="1" applyFont="1" applyBorder="1" applyAlignment="1">
      <alignment horizontal="center" vertical="center" wrapText="1"/>
    </xf>
    <xf numFmtId="168" fontId="1" fillId="32" borderId="11" xfId="0" applyNumberFormat="1" applyFont="1" applyFill="1" applyBorder="1" applyAlignment="1">
      <alignment horizontal="center" vertical="center" wrapText="1"/>
    </xf>
    <xf numFmtId="168" fontId="0" fillId="36" borderId="61" xfId="0" applyNumberFormat="1" applyFill="1" applyBorder="1" applyAlignment="1">
      <alignment horizontal="center" vertical="center" wrapText="1"/>
    </xf>
    <xf numFmtId="168" fontId="17" fillId="38" borderId="12" xfId="0" applyNumberFormat="1" applyFont="1" applyFill="1" applyBorder="1" applyAlignment="1">
      <alignment horizontal="center" vertical="center" wrapText="1"/>
    </xf>
    <xf numFmtId="168" fontId="1" fillId="0" borderId="46" xfId="1" applyNumberFormat="1" applyFont="1" applyBorder="1" applyAlignment="1">
      <alignment horizontal="center" vertical="center" wrapText="1"/>
    </xf>
    <xf numFmtId="9" fontId="0" fillId="0" borderId="18" xfId="4" applyFont="1" applyBorder="1" applyAlignment="1">
      <alignment horizontal="center" vertical="center" wrapText="1"/>
    </xf>
    <xf numFmtId="170" fontId="0" fillId="36" borderId="61" xfId="1" applyNumberFormat="1" applyFont="1" applyFill="1" applyBorder="1" applyAlignment="1">
      <alignment horizontal="center" vertical="center" wrapText="1"/>
    </xf>
    <xf numFmtId="170" fontId="0" fillId="0" borderId="61" xfId="1" applyNumberFormat="1" applyFont="1" applyBorder="1" applyAlignment="1">
      <alignment horizontal="center" vertical="center" wrapText="1"/>
    </xf>
    <xf numFmtId="168" fontId="0" fillId="0" borderId="61" xfId="0" applyNumberFormat="1" applyBorder="1" applyAlignment="1">
      <alignment horizontal="center" vertical="center" wrapText="1"/>
    </xf>
    <xf numFmtId="170" fontId="0" fillId="36" borderId="11" xfId="1" applyNumberFormat="1" applyFont="1" applyFill="1" applyBorder="1" applyAlignment="1">
      <alignment horizontal="center" vertical="center" wrapText="1"/>
    </xf>
    <xf numFmtId="168" fontId="0" fillId="36" borderId="11" xfId="0" applyNumberFormat="1" applyFill="1" applyBorder="1" applyAlignment="1">
      <alignment horizontal="center" vertical="center" wrapText="1"/>
    </xf>
    <xf numFmtId="170" fontId="5" fillId="0" borderId="51" xfId="1" applyNumberFormat="1" applyFont="1" applyFill="1" applyBorder="1" applyAlignment="1">
      <alignment vertical="center" wrapText="1"/>
    </xf>
    <xf numFmtId="170" fontId="5" fillId="0" borderId="43" xfId="1" applyNumberFormat="1" applyFont="1" applyFill="1" applyBorder="1" applyAlignment="1">
      <alignment horizontal="center" vertical="center" wrapText="1"/>
    </xf>
    <xf numFmtId="169" fontId="0" fillId="24" borderId="1" xfId="0" applyNumberFormat="1" applyFont="1" applyFill="1" applyBorder="1" applyAlignment="1"/>
    <xf numFmtId="169" fontId="1" fillId="41" borderId="4" xfId="1" applyNumberFormat="1" applyFont="1" applyFill="1" applyBorder="1" applyAlignment="1">
      <alignment horizontal="center" vertical="center" wrapText="1"/>
    </xf>
    <xf numFmtId="169" fontId="1" fillId="41" borderId="15" xfId="1" applyNumberFormat="1" applyFont="1" applyFill="1" applyBorder="1" applyAlignment="1">
      <alignment horizontal="center" vertical="center" wrapText="1"/>
    </xf>
    <xf numFmtId="169" fontId="1" fillId="41" borderId="1" xfId="1" applyNumberFormat="1" applyFont="1" applyFill="1" applyBorder="1" applyAlignment="1">
      <alignment horizontal="center" vertical="center" wrapText="1"/>
    </xf>
    <xf numFmtId="169" fontId="1" fillId="41" borderId="1" xfId="0" applyNumberFormat="1" applyFont="1" applyFill="1" applyBorder="1" applyAlignment="1">
      <alignment horizontal="center" vertical="center" wrapText="1"/>
    </xf>
    <xf numFmtId="170" fontId="0" fillId="41" borderId="1" xfId="1" applyNumberFormat="1" applyFont="1" applyFill="1" applyBorder="1" applyAlignment="1">
      <alignment horizontal="center" vertical="center" wrapText="1"/>
    </xf>
    <xf numFmtId="168" fontId="0" fillId="41" borderId="1" xfId="0" applyNumberFormat="1" applyFill="1" applyBorder="1" applyAlignment="1">
      <alignment horizontal="center" vertical="center" wrapText="1"/>
    </xf>
    <xf numFmtId="49" fontId="2" fillId="2" borderId="19" xfId="0" applyNumberFormat="1" applyFont="1" applyFill="1" applyBorder="1" applyAlignment="1">
      <alignment horizontal="center" vertical="center" wrapText="1"/>
    </xf>
    <xf numFmtId="49" fontId="2" fillId="2" borderId="20" xfId="0" applyNumberFormat="1" applyFont="1" applyFill="1" applyBorder="1" applyAlignment="1">
      <alignment horizontal="center" vertical="center" wrapText="1"/>
    </xf>
    <xf numFmtId="49" fontId="2" fillId="2" borderId="21" xfId="0" applyNumberFormat="1" applyFont="1" applyFill="1" applyBorder="1" applyAlignment="1">
      <alignment horizontal="center" vertical="center" wrapText="1"/>
    </xf>
    <xf numFmtId="0" fontId="6" fillId="0" borderId="32"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5" xfId="0" applyFont="1" applyBorder="1" applyAlignment="1">
      <alignment horizontal="center" vertical="center" wrapText="1"/>
    </xf>
    <xf numFmtId="168" fontId="5" fillId="9" borderId="25" xfId="0" applyNumberFormat="1" applyFont="1" applyFill="1" applyBorder="1" applyAlignment="1">
      <alignment horizontal="center" vertical="center" wrapText="1"/>
    </xf>
    <xf numFmtId="168" fontId="5" fillId="9" borderId="33" xfId="0" applyNumberFormat="1" applyFont="1" applyFill="1" applyBorder="1" applyAlignment="1">
      <alignment horizontal="center" vertical="center" wrapText="1"/>
    </xf>
    <xf numFmtId="0" fontId="0" fillId="0" borderId="49" xfId="0" applyFont="1" applyBorder="1" applyAlignment="1">
      <alignment horizontal="center" vertical="center"/>
    </xf>
    <xf numFmtId="0" fontId="0" fillId="0" borderId="40" xfId="0" applyFont="1" applyBorder="1" applyAlignment="1">
      <alignment horizontal="center" vertical="center"/>
    </xf>
    <xf numFmtId="0" fontId="0" fillId="0" borderId="19" xfId="0" applyFont="1" applyBorder="1" applyAlignment="1">
      <alignment horizontal="center" vertical="center"/>
    </xf>
    <xf numFmtId="0" fontId="0" fillId="0" borderId="20" xfId="0" applyFont="1" applyBorder="1" applyAlignment="1">
      <alignment horizontal="center" vertical="center"/>
    </xf>
    <xf numFmtId="0" fontId="6" fillId="0" borderId="1" xfId="0" applyFont="1" applyBorder="1" applyAlignment="1">
      <alignment horizontal="center" vertical="center" wrapText="1"/>
    </xf>
    <xf numFmtId="0" fontId="6" fillId="0" borderId="12" xfId="0" applyFont="1" applyBorder="1" applyAlignment="1">
      <alignment horizontal="center" vertical="center" wrapText="1"/>
    </xf>
    <xf numFmtId="49" fontId="2" fillId="2" borderId="43" xfId="0" applyNumberFormat="1" applyFont="1" applyFill="1" applyBorder="1" applyAlignment="1">
      <alignment horizontal="center" vertical="center" wrapText="1"/>
    </xf>
    <xf numFmtId="49" fontId="2" fillId="2" borderId="18" xfId="0" applyNumberFormat="1" applyFont="1" applyFill="1" applyBorder="1" applyAlignment="1">
      <alignment horizontal="center" vertical="center" wrapText="1"/>
    </xf>
    <xf numFmtId="0" fontId="22" fillId="0" borderId="12" xfId="0" applyFont="1" applyBorder="1" applyAlignment="1">
      <alignment horizontal="center" vertical="center" wrapText="1"/>
    </xf>
    <xf numFmtId="0" fontId="22" fillId="0" borderId="18" xfId="0" applyFont="1" applyBorder="1" applyAlignment="1">
      <alignment horizontal="center" vertical="center" wrapText="1"/>
    </xf>
    <xf numFmtId="0" fontId="22" fillId="0" borderId="35" xfId="0" applyFont="1" applyBorder="1" applyAlignment="1">
      <alignment horizontal="center" vertical="center" wrapText="1"/>
    </xf>
    <xf numFmtId="0" fontId="0" fillId="0" borderId="49" xfId="0" applyFont="1" applyBorder="1" applyAlignment="1">
      <alignment horizontal="center" vertical="center" wrapText="1"/>
    </xf>
    <xf numFmtId="0" fontId="0" fillId="0" borderId="40" xfId="0" applyFont="1" applyBorder="1" applyAlignment="1">
      <alignment horizontal="center" vertical="center" wrapText="1"/>
    </xf>
    <xf numFmtId="0" fontId="0" fillId="0" borderId="42" xfId="0" applyFont="1" applyBorder="1" applyAlignment="1">
      <alignment horizontal="center" vertical="center" wrapText="1"/>
    </xf>
    <xf numFmtId="0" fontId="6" fillId="0" borderId="43" xfId="0" applyFont="1" applyBorder="1" applyAlignment="1">
      <alignment horizontal="center"/>
    </xf>
    <xf numFmtId="0" fontId="6" fillId="0" borderId="18" xfId="0" applyFont="1" applyBorder="1" applyAlignment="1">
      <alignment horizontal="center"/>
    </xf>
    <xf numFmtId="0" fontId="6" fillId="0" borderId="35" xfId="0" applyFont="1" applyBorder="1" applyAlignment="1">
      <alignment horizontal="center"/>
    </xf>
    <xf numFmtId="0" fontId="22" fillId="0" borderId="1" xfId="0" applyFont="1" applyBorder="1" applyAlignment="1">
      <alignment horizontal="center" vertical="center" wrapText="1"/>
    </xf>
    <xf numFmtId="0" fontId="0" fillId="0" borderId="19" xfId="0" applyFont="1" applyBorder="1" applyAlignment="1">
      <alignment horizontal="center" vertical="center" wrapText="1"/>
    </xf>
    <xf numFmtId="0" fontId="0" fillId="0" borderId="20" xfId="0" applyFont="1" applyBorder="1" applyAlignment="1">
      <alignment horizontal="center" vertical="center" wrapText="1"/>
    </xf>
    <xf numFmtId="0" fontId="6" fillId="0" borderId="63" xfId="0" applyFont="1" applyBorder="1" applyAlignment="1">
      <alignment horizontal="center"/>
    </xf>
  </cellXfs>
  <cellStyles count="5">
    <cellStyle name="Moneda" xfId="1" builtinId="4"/>
    <cellStyle name="Moneda [0]" xfId="2" builtinId="7"/>
    <cellStyle name="Moneda 2" xfId="3" xr:uid="{00000000-0005-0000-0000-000002000000}"/>
    <cellStyle name="Normal" xfId="0" builtinId="0"/>
    <cellStyle name="Porcentaje" xfId="4" builtinId="5"/>
  </cellStyles>
  <dxfs count="5651">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rgb="FFFFFFFF"/>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ill>
        <patternFill>
          <bgColor rgb="FFFFFF61"/>
        </patternFill>
      </fill>
    </dxf>
    <dxf>
      <fill>
        <patternFill>
          <bgColor rgb="FFFFB547"/>
        </patternFill>
      </fill>
    </dxf>
    <dxf>
      <fill>
        <patternFill>
          <bgColor rgb="FFFA6E48"/>
        </patternFill>
      </fill>
    </dxf>
    <dxf>
      <font>
        <color theme="0"/>
      </font>
      <fill>
        <patternFill>
          <bgColor rgb="FFFF0000"/>
        </patternFill>
      </fill>
    </dxf>
    <dxf>
      <fill>
        <patternFill>
          <bgColor rgb="FFCCFF66"/>
        </patternFill>
      </fill>
    </dxf>
    <dxf>
      <font>
        <sz val="14"/>
      </font>
    </dxf>
    <dxf>
      <alignment horizontal="center" readingOrder="0"/>
    </dxf>
    <dxf>
      <alignment horizontal="center" readingOrder="0"/>
    </dxf>
    <dxf>
      <alignment vertical="center" readingOrder="0"/>
    </dxf>
    <dxf>
      <alignment vertical="center" readingOrder="0"/>
    </dxf>
    <dxf>
      <alignment wrapText="1" readingOrder="0"/>
    </dxf>
  </dxfs>
  <tableStyles count="0" defaultTableStyle="TableStyleMedium2" defaultPivotStyle="PivotStyleLight16"/>
  <colors>
    <mruColors>
      <color rgb="FFFFB547"/>
      <color rgb="FFFFCC66"/>
      <color rgb="FFFA6E48"/>
      <color rgb="FFFFFF61"/>
      <color rgb="FFCCFF66"/>
      <color rgb="FFFFA82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[Resumen Estudio de Mercado.xlsx]Hoja2!Tabla dinámica2</c:name>
    <c:fmtId val="0"/>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Variación Promedio de precios mercado VS precios SAE</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pivotFmts>
      <c:pivotFmt>
        <c:idx val="0"/>
        <c:spPr>
          <a:gradFill rotWithShape="1">
            <a:gsLst>
              <a:gs pos="0">
                <a:schemeClr val="accent1">
                  <a:tint val="100000"/>
                  <a:shade val="100000"/>
                  <a:satMod val="129999"/>
                </a:schemeClr>
              </a:gs>
              <a:gs pos="100000">
                <a:schemeClr val="accent1">
                  <a:tint val="50000"/>
                  <a:shade val="100000"/>
                  <a:satMod val="350000"/>
                </a:schemeClr>
              </a:gs>
            </a:gsLst>
            <a:lin ang="16200000" scaled="0"/>
          </a:gra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Hoja2!$B$3</c:f>
              <c:strCache>
                <c:ptCount val="1"/>
                <c:pt idx="0">
                  <c:v>Total</c:v>
                </c:pt>
              </c:strCache>
            </c:strRef>
          </c:tx>
          <c:spPr>
            <a:gradFill rotWithShape="1">
              <a:gsLst>
                <a:gs pos="0">
                  <a:schemeClr val="accent1">
                    <a:tint val="100000"/>
                    <a:shade val="100000"/>
                    <a:satMod val="129999"/>
                  </a:schemeClr>
                </a:gs>
                <a:gs pos="100000">
                  <a:schemeClr val="accent1">
                    <a:tint val="50000"/>
                    <a:shade val="100000"/>
                    <a:satMod val="350000"/>
                  </a:schemeClr>
                </a:gs>
              </a:gsLst>
              <a:lin ang="162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Hoja2!$A$4:$A$20</c:f>
              <c:strCache>
                <c:ptCount val="16"/>
                <c:pt idx="0">
                  <c:v>OTROS</c:v>
                </c:pt>
                <c:pt idx="1">
                  <c:v>REDES ELECTRICAS</c:v>
                </c:pt>
                <c:pt idx="2">
                  <c:v>NO PREVISTOS</c:v>
                </c:pt>
                <c:pt idx="3">
                  <c:v>CUBIERTAS Y CIELO RASOS</c:v>
                </c:pt>
                <c:pt idx="4">
                  <c:v>DEMOLICIONES Y CANCELACIONES</c:v>
                </c:pt>
                <c:pt idx="5">
                  <c:v>IMPERMEABILIZACIÓN</c:v>
                </c:pt>
                <c:pt idx="6">
                  <c:v>PAÑETES, RESANES Y LIMPIEZAS </c:v>
                </c:pt>
                <c:pt idx="7">
                  <c:v>CONCRETOS</c:v>
                </c:pt>
                <c:pt idx="8">
                  <c:v>MAMPOSTERIA Y MUROS DIVISORIOS</c:v>
                </c:pt>
                <c:pt idx="9">
                  <c:v>CARPINTERIA EN MADERA Y METAL</c:v>
                </c:pt>
                <c:pt idx="10">
                  <c:v>BASES, PISOS Y ENCHAPES</c:v>
                </c:pt>
                <c:pt idx="11">
                  <c:v>DESMONTES Y RETIROS</c:v>
                </c:pt>
                <c:pt idx="12">
                  <c:v>SUMINISTRO Y APLICACIÓN DE PINTURAS</c:v>
                </c:pt>
                <c:pt idx="13">
                  <c:v>ACTIVIDADES PRELIMINARES</c:v>
                </c:pt>
                <c:pt idx="14">
                  <c:v>APARATOS Y ACCESORIOS</c:v>
                </c:pt>
                <c:pt idx="15">
                  <c:v>REDES HIDRO SANITARIAS</c:v>
                </c:pt>
              </c:strCache>
            </c:strRef>
          </c:cat>
          <c:val>
            <c:numRef>
              <c:f>Hoja2!$B$4:$B$20</c:f>
              <c:numCache>
                <c:formatCode>0%</c:formatCode>
                <c:ptCount val="16"/>
                <c:pt idx="0">
                  <c:v>2.6721188865781769</c:v>
                </c:pt>
                <c:pt idx="1">
                  <c:v>1.3033985352788435</c:v>
                </c:pt>
                <c:pt idx="2">
                  <c:v>1.2690048977833668</c:v>
                </c:pt>
                <c:pt idx="3">
                  <c:v>0.83877924687287431</c:v>
                </c:pt>
                <c:pt idx="4">
                  <c:v>0.79920840240740587</c:v>
                </c:pt>
                <c:pt idx="5">
                  <c:v>0.78030572435752155</c:v>
                </c:pt>
                <c:pt idx="6">
                  <c:v>0.66368955506582505</c:v>
                </c:pt>
                <c:pt idx="7">
                  <c:v>0.65435826726471547</c:v>
                </c:pt>
                <c:pt idx="8">
                  <c:v>0.632552604185326</c:v>
                </c:pt>
                <c:pt idx="9">
                  <c:v>0.56150070801084362</c:v>
                </c:pt>
                <c:pt idx="10">
                  <c:v>0.46083116276791403</c:v>
                </c:pt>
                <c:pt idx="11">
                  <c:v>0.45652195374224136</c:v>
                </c:pt>
                <c:pt idx="12">
                  <c:v>0.24268127210409571</c:v>
                </c:pt>
                <c:pt idx="13">
                  <c:v>0.23489871626038636</c:v>
                </c:pt>
                <c:pt idx="14">
                  <c:v>0.20184457742781373</c:v>
                </c:pt>
                <c:pt idx="15">
                  <c:v>0.16919700744968189</c:v>
                </c:pt>
              </c:numCache>
            </c:numRef>
          </c:val>
          <c:extLst>
            <c:ext xmlns:c16="http://schemas.microsoft.com/office/drawing/2014/chart" uri="{C3380CC4-5D6E-409C-BE32-E72D297353CC}">
              <c16:uniqueId val="{00000000-FF84-4E21-B684-7CA43090220F}"/>
            </c:ext>
          </c:extLst>
        </c:ser>
        <c:dLbls>
          <c:showLegendKey val="0"/>
          <c:showVal val="0"/>
          <c:showCatName val="0"/>
          <c:showSerName val="0"/>
          <c:showPercent val="0"/>
          <c:showBubbleSize val="0"/>
        </c:dLbls>
        <c:gapWidth val="115"/>
        <c:overlap val="-20"/>
        <c:axId val="-877077616"/>
        <c:axId val="-877087408"/>
      </c:barChart>
      <c:catAx>
        <c:axId val="-877077616"/>
        <c:scaling>
          <c:orientation val="minMax"/>
        </c:scaling>
        <c:delete val="0"/>
        <c:axPos val="l"/>
        <c:title>
          <c:tx>
            <c:rich>
              <a:bodyPr rot="-54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s-CO"/>
                  <a:t>CAPITULO</a:t>
                </a:r>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77087408"/>
        <c:crosses val="autoZero"/>
        <c:auto val="1"/>
        <c:lblAlgn val="ctr"/>
        <c:lblOffset val="100"/>
        <c:noMultiLvlLbl val="0"/>
      </c:catAx>
      <c:valAx>
        <c:axId val="-877087408"/>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s-CO"/>
                  <a:t>% DESVIACIÓN</a:t>
                </a:r>
              </a:p>
            </c:rich>
          </c:tx>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7707761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1">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ize="5"/>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297180</xdr:colOff>
      <xdr:row>1</xdr:row>
      <xdr:rowOff>152400</xdr:rowOff>
    </xdr:from>
    <xdr:to>
      <xdr:col>9</xdr:col>
      <xdr:colOff>716280</xdr:colOff>
      <xdr:row>23</xdr:row>
      <xdr:rowOff>68580</xdr:rowOff>
    </xdr:to>
    <xdr:graphicFrame macro="">
      <xdr:nvGraphicFramePr>
        <xdr:cNvPr id="2" name="Gráfico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40343</xdr:colOff>
      <xdr:row>1</xdr:row>
      <xdr:rowOff>161365</xdr:rowOff>
    </xdr:from>
    <xdr:to>
      <xdr:col>3</xdr:col>
      <xdr:colOff>760532</xdr:colOff>
      <xdr:row>1</xdr:row>
      <xdr:rowOff>840441</xdr:rowOff>
    </xdr:to>
    <xdr:pic>
      <xdr:nvPicPr>
        <xdr:cNvPr id="2" name="Imagen 1" descr="Puede ser una imagen de texto que dice &quot;R SAE Sociedad de Activos Especiales S.A.S.&quot;">
          <a:extLst>
            <a:ext uri="{FF2B5EF4-FFF2-40B4-BE49-F238E27FC236}">
              <a16:creationId xmlns:a16="http://schemas.microsoft.com/office/drawing/2014/main" id="{A139E244-2935-403A-8F68-0E703162CE7D}"/>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6608" b="31745"/>
        <a:stretch/>
      </xdr:blipFill>
      <xdr:spPr bwMode="auto">
        <a:xfrm>
          <a:off x="40343" y="358589"/>
          <a:ext cx="1589765" cy="6790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40343</xdr:colOff>
      <xdr:row>2</xdr:row>
      <xdr:rowOff>161365</xdr:rowOff>
    </xdr:from>
    <xdr:to>
      <xdr:col>3</xdr:col>
      <xdr:colOff>760532</xdr:colOff>
      <xdr:row>2</xdr:row>
      <xdr:rowOff>840441</xdr:rowOff>
    </xdr:to>
    <xdr:pic>
      <xdr:nvPicPr>
        <xdr:cNvPr id="2" name="Imagen 1" descr="Puede ser una imagen de texto que dice &quot;R SAE Sociedad de Activos Especiales S.A.S.&quot;">
          <a:extLst>
            <a:ext uri="{FF2B5EF4-FFF2-40B4-BE49-F238E27FC236}">
              <a16:creationId xmlns:a16="http://schemas.microsoft.com/office/drawing/2014/main" id="{FE6114DC-3DA9-438F-B1C7-53C3F1E8C05C}"/>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6608" b="31745"/>
        <a:stretch/>
      </xdr:blipFill>
      <xdr:spPr bwMode="auto">
        <a:xfrm>
          <a:off x="1926293" y="361390"/>
          <a:ext cx="1567914" cy="6790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40343</xdr:colOff>
      <xdr:row>2</xdr:row>
      <xdr:rowOff>161365</xdr:rowOff>
    </xdr:from>
    <xdr:to>
      <xdr:col>3</xdr:col>
      <xdr:colOff>760532</xdr:colOff>
      <xdr:row>2</xdr:row>
      <xdr:rowOff>840441</xdr:rowOff>
    </xdr:to>
    <xdr:pic>
      <xdr:nvPicPr>
        <xdr:cNvPr id="2" name="Imagen 1" descr="Puede ser una imagen de texto que dice &quot;R SAE Sociedad de Activos Especiales S.A.S.&quot;">
          <a:extLst>
            <a:ext uri="{FF2B5EF4-FFF2-40B4-BE49-F238E27FC236}">
              <a16:creationId xmlns:a16="http://schemas.microsoft.com/office/drawing/2014/main" id="{F73E194A-8E5E-4CBA-BC45-4AF5D63779DA}"/>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6608" b="31745"/>
        <a:stretch/>
      </xdr:blipFill>
      <xdr:spPr bwMode="auto">
        <a:xfrm>
          <a:off x="783293" y="961465"/>
          <a:ext cx="1567914" cy="6790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RQ" refreshedDate="44511.916912731482" createdVersion="5" refreshedVersion="5" minRefreshableVersion="3" recordCount="514" xr:uid="{00000000-000A-0000-FFFF-FFFF00000000}">
  <cacheSource type="worksheet">
    <worksheetSource ref="A3:L897" sheet="PRESUPUESTO"/>
  </cacheSource>
  <cacheFields count="11">
    <cacheField name="CAPITULO" numFmtId="49">
      <sharedItems count="16">
        <s v="ACTIVIDADES PRELIMINARES"/>
        <s v="DEMOLICIONES Y CANCELACIONES"/>
        <s v="DESMONTES Y RETIROS"/>
        <s v="SUMINISTRO Y APLICACIÓN DE PINTURAS"/>
        <s v="REDES HIDRO SANITARIAS"/>
        <s v="REDES ELECTRICAS"/>
        <s v="CONCRETOS"/>
        <s v="IMPERMEABILIZACIÓN"/>
        <s v="MAMPOSTERIA Y MUROS DIVISORIOS"/>
        <s v="CARPINTERIA EN MADERA Y METAL"/>
        <s v="CUBIERTAS Y CIELO RASOS"/>
        <s v="PAÑETES, RESANES Y LIMPIEZAS "/>
        <s v="BASES, PISOS Y ENCHAPES"/>
        <s v="APARATOS Y ACCESORIOS"/>
        <s v="OTROS"/>
        <s v="NO PREVISTOS"/>
      </sharedItems>
    </cacheField>
    <cacheField name="ITEM" numFmtId="0">
      <sharedItems containsMixedTypes="1" containsNumber="1" containsInteger="1" minValue="1" maxValue="16"/>
    </cacheField>
    <cacheField name="DESCRIPCIÓN DE LA REPARACIÓN OBRA O MANTENIMIENTO" numFmtId="0">
      <sharedItems longText="1"/>
    </cacheField>
    <cacheField name="UNIDAD" numFmtId="0">
      <sharedItems containsBlank="1"/>
    </cacheField>
    <cacheField name="VALOR TOTAL" numFmtId="0">
      <sharedItems containsString="0" containsBlank="1" containsNumber="1" containsInteger="1" minValue="1216" maxValue="24384768"/>
    </cacheField>
    <cacheField name="VALOR TOTAL2" numFmtId="0">
      <sharedItems containsString="0" containsBlank="1" containsNumber="1" minValue="0" maxValue="12500000"/>
    </cacheField>
    <cacheField name="VALOR TOTAL3" numFmtId="0">
      <sharedItems containsString="0" containsBlank="1" containsNumber="1" minValue="0" maxValue="8000000"/>
    </cacheField>
    <cacheField name="VALOR TOTAL4" numFmtId="0">
      <sharedItems containsString="0" containsBlank="1" containsNumber="1" containsInteger="1" minValue="0" maxValue="20000000"/>
    </cacheField>
    <cacheField name="Promedio " numFmtId="0">
      <sharedItems containsBlank="1" containsMixedTypes="1" containsNumber="1" minValue="0" maxValue="20000000"/>
    </cacheField>
    <cacheField name="Diferencia " numFmtId="0">
      <sharedItems containsString="0" containsBlank="1" containsNumber="1" minValue="-4384768" maxValue="7231394"/>
    </cacheField>
    <cacheField name="Porcentaje " numFmtId="0">
      <sharedItems containsString="0" containsBlank="1" containsNumber="1" minValue="-1" maxValue="15.86485250400183"/>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RQ" refreshedDate="44511.93179166667" createdVersion="5" refreshedVersion="5" minRefreshableVersion="3" recordCount="13" xr:uid="{00000000-000A-0000-FFFF-FFFF01000000}">
  <cacheSource type="worksheet">
    <worksheetSource ref="A3:L35" sheet="PRESUPUESTO"/>
  </cacheSource>
  <cacheFields count="11">
    <cacheField name="CAPITULO" numFmtId="49">
      <sharedItems count="1">
        <s v="ACTIVIDADES PRELIMINARES"/>
      </sharedItems>
    </cacheField>
    <cacheField name="ITEM" numFmtId="0">
      <sharedItems containsMixedTypes="1" containsNumber="1" containsInteger="1" minValue="1" maxValue="1" count="13">
        <n v="1"/>
        <s v="1.1"/>
        <s v="1.2"/>
        <s v="1.3"/>
        <s v="1.4"/>
        <s v="1.5"/>
        <s v="1.6"/>
        <s v="1.7"/>
        <s v="1.8"/>
        <s v="1.9"/>
        <s v="1.10"/>
        <s v="1.11"/>
        <s v="1.12"/>
      </sharedItems>
    </cacheField>
    <cacheField name="DESCRIPCIÓN DE LA REPARACIÓN OBRA O MANTENIMIENTO" numFmtId="0">
      <sharedItems longText="1"/>
    </cacheField>
    <cacheField name="UNIDAD" numFmtId="0">
      <sharedItems containsBlank="1"/>
    </cacheField>
    <cacheField name="VALOR TOTAL" numFmtId="0">
      <sharedItems containsString="0" containsBlank="1" containsNumber="1" containsInteger="1" minValue="3209" maxValue="522814" count="12">
        <m/>
        <n v="7879"/>
        <n v="15957"/>
        <n v="522814"/>
        <n v="50435"/>
        <n v="11857"/>
        <n v="59775"/>
        <n v="4112"/>
        <n v="3209"/>
        <n v="18711"/>
        <n v="21274"/>
        <n v="15939"/>
      </sharedItems>
    </cacheField>
    <cacheField name="VALOR TOTAL2" numFmtId="0">
      <sharedItems containsString="0" containsBlank="1" containsNumber="1" minValue="2812.32" maxValue="519230" count="13">
        <m/>
        <n v="8500"/>
        <n v="9000"/>
        <n v="519230"/>
        <n v="47893"/>
        <n v="11760"/>
        <n v="19231"/>
        <n v="2812.32"/>
        <n v="4522.12"/>
        <n v="7499.52"/>
        <n v="46872"/>
        <n v="35633.040000000001"/>
        <n v="59307.34"/>
      </sharedItems>
    </cacheField>
    <cacheField name="VALOR TOTAL3" numFmtId="0">
      <sharedItems containsString="0" containsBlank="1" containsNumber="1" minValue="8500" maxValue="1557690" count="13">
        <m/>
        <n v="8500"/>
        <n v="18000"/>
        <n v="1557690"/>
        <n v="191572"/>
        <n v="58800"/>
        <n v="115386"/>
        <n v="19686.240000000002"/>
        <n v="36176.959999999999"/>
        <n v="67495.680000000008"/>
        <n v="468720"/>
        <n v="391963.44"/>
        <n v="711688.08"/>
      </sharedItems>
    </cacheField>
    <cacheField name="VALOR TOTAL4" numFmtId="0">
      <sharedItems containsString="0" containsBlank="1" containsNumber="1" containsInteger="1" minValue="2050" maxValue="408700" count="12">
        <m/>
        <n v="8200"/>
        <n v="11500"/>
        <n v="408700"/>
        <n v="46050"/>
        <n v="6550"/>
        <n v="19185"/>
        <n v="2050"/>
        <n v="2900"/>
        <n v="42526"/>
        <n v="33650"/>
        <n v="39600"/>
      </sharedItems>
    </cacheField>
    <cacheField name="Promedio " numFmtId="0">
      <sharedItems containsString="0" containsBlank="1" containsNumber="1" minValue="2431.16" maxValue="463965"/>
    </cacheField>
    <cacheField name="Diferencia " numFmtId="0">
      <sharedItems containsString="0" containsBlank="1" containsNumber="1" minValue="-58849" maxValue="33514.67"/>
    </cacheField>
    <cacheField name="Porcentaje " numFmtId="0">
      <sharedItems containsString="0" containsBlank="1" containsNumber="1" minValue="-0.67866164784608951" maxValue="2.1026833552920507"/>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514">
  <r>
    <x v="0"/>
    <n v="1"/>
    <s v="ACTIVIDADES PRELIMINARES"/>
    <m/>
    <m/>
    <m/>
    <m/>
    <m/>
    <m/>
    <m/>
    <m/>
  </r>
  <r>
    <x v="0"/>
    <s v="1.1"/>
    <s v="Suministro e instalacion de cerramiento provisional con polisombra H=2m. Incluye el retiro, limpieza y la disposicion final de residuos. "/>
    <s v="Ml"/>
    <n v="7879"/>
    <n v="8500"/>
    <n v="8500"/>
    <n v="8200"/>
    <n v="8350"/>
    <n v="471"/>
    <n v="5.9779159791851756E-2"/>
  </r>
  <r>
    <x v="0"/>
    <s v="1.2"/>
    <s v="Suministro, trransporte e instalación de Cerramiento en zarán o tela verde  H=2m, incluye estacones, listones o parales, amarras y todo lo necesario para su correcta construcción. Incluye el retiro, limpieza y la disposicion final de residuos. "/>
    <s v="Ml"/>
    <n v="15957"/>
    <n v="9000"/>
    <n v="18000"/>
    <n v="11500"/>
    <n v="10250"/>
    <n v="-5707"/>
    <n v="-0.35764868082972989"/>
  </r>
  <r>
    <x v="0"/>
    <s v="1.3"/>
    <s v="Suministro e instalacion de cerca lámina con base h =2.25m. Incluye el retiro, limpieza y la disposicion final de residuos. "/>
    <s v="Ml"/>
    <n v="522814"/>
    <n v="519230"/>
    <n v="1557690"/>
    <n v="408700"/>
    <n v="463965"/>
    <n v="-58849"/>
    <n v="-0.11256202014483162"/>
  </r>
  <r>
    <x v="0"/>
    <s v="1.4"/>
    <s v="Suministro e instalacion de cerca tabla. Incluye el retiro, limpieza y la disposicion final de residuos. "/>
    <s v="M2"/>
    <n v="50435"/>
    <n v="47893"/>
    <n v="191572"/>
    <n v="46050"/>
    <n v="46971.5"/>
    <n v="-3463.5"/>
    <n v="-6.8672548825220586E-2"/>
  </r>
  <r>
    <x v="0"/>
    <s v="1.5"/>
    <s v="Suministro e instalacion de cerca en alambre de púas H1.60m- 3hilos. Incluye el retiro, limpieza y la disposicion final de residuos. "/>
    <s v="Ml"/>
    <n v="11857"/>
    <n v="11760"/>
    <n v="58800"/>
    <n v="6550"/>
    <n v="9155"/>
    <n v="-2702"/>
    <n v="-0.22788226364173061"/>
  </r>
  <r>
    <x v="0"/>
    <s v="1.6"/>
    <s v="Cargue y retiro  y disposición final de material o residuos"/>
    <s v="M3 "/>
    <n v="59775"/>
    <n v="19231"/>
    <n v="115386"/>
    <n v="19185"/>
    <n v="19208"/>
    <n v="-40567"/>
    <n v="-0.67866164784608951"/>
  </r>
  <r>
    <x v="0"/>
    <s v="1.7"/>
    <s v="Descapote a mano. Corte de maleza existente     "/>
    <s v="M²"/>
    <n v="4112"/>
    <n v="2812.32"/>
    <n v="19686.240000000002"/>
    <n v="2050"/>
    <n v="2431.16"/>
    <n v="-1680.8400000000001"/>
    <n v="-0.40876459143968874"/>
  </r>
  <r>
    <x v="0"/>
    <s v="1.8"/>
    <s v="Localizacion y replanteo"/>
    <s v="Ml"/>
    <n v="3209"/>
    <n v="4522.12"/>
    <n v="36176.959999999999"/>
    <n v="2900"/>
    <n v="3711.06"/>
    <n v="502.05999999999995"/>
    <n v="0.15645372390152693"/>
  </r>
  <r>
    <x v="0"/>
    <s v="1.9"/>
    <s v="Excavacion Manual para viga de cimentacion, Incluye el retiro, limpieza y la disposicion final de residuos.          "/>
    <s v="M3 "/>
    <n v="18711"/>
    <n v="7499.52"/>
    <n v="67495.680000000008"/>
    <n v="42526"/>
    <n v="25012.760000000002"/>
    <n v="6301.760000000002"/>
    <n v="0.33679439901662134"/>
  </r>
  <r>
    <x v="0"/>
    <s v="1.10"/>
    <s v="Excavacion manual,  Incluye el retiro, limpieza y la disposicion final de residuos.          "/>
    <s v="M³"/>
    <n v="18711"/>
    <n v="46872"/>
    <n v="468720"/>
    <n v="42526"/>
    <n v="44699"/>
    <n v="25988"/>
    <n v="1.3889156111378334"/>
  </r>
  <r>
    <x v="0"/>
    <s v="1.11"/>
    <s v="Relleno de material con material de excavación manual,  Incluye el retiro, limpieza y la disposicion final de residuos.          "/>
    <s v="M³"/>
    <n v="21274"/>
    <n v="35633.040000000001"/>
    <n v="391963.44"/>
    <n v="33650"/>
    <n v="34641.520000000004"/>
    <n v="13367.520000000004"/>
    <n v="0.62835009871204306"/>
  </r>
  <r>
    <x v="0"/>
    <s v="1.12"/>
    <s v="Suministro e Instalacion cerramiento en alambre de puas 4 hilos h=1,6 en vara redonda de 6 a 8 cms de diámetro incrustada en piso 50 cms, de madera teca o eucalipto inmunizado, incluye todas la herramientas para su correcta instalación, incluye trasnporte, garantía 20 años madera de REFOCOSTA. Incluye el retiro, limpieza y la disposicion final de residuos.          "/>
    <s v="Ml"/>
    <n v="15939"/>
    <n v="59307.34"/>
    <n v="711688.08"/>
    <n v="39600"/>
    <n v="49453.67"/>
    <n v="33514.67"/>
    <n v="2.1026833552920507"/>
  </r>
  <r>
    <x v="1"/>
    <n v="2"/>
    <s v="DEMOLICIONES Y CANCELACIONES"/>
    <m/>
    <m/>
    <m/>
    <m/>
    <m/>
    <e v="#DIV/0!"/>
    <m/>
    <m/>
  </r>
  <r>
    <x v="1"/>
    <s v="2.1"/>
    <s v="Demolición de dintel en drywall altura entre 0.15 a 0.25m. Incluye el retiro, limpieza y la disposicion final de residuos. "/>
    <s v="Ml"/>
    <n v="8924"/>
    <n v="11500"/>
    <n v="23000"/>
    <n v="7805"/>
    <n v="9652.5"/>
    <n v="728.5"/>
    <n v="8.1633796503809947E-2"/>
  </r>
  <r>
    <x v="1"/>
    <s v="2.2"/>
    <s v="Demolición de dintel en concreto y mampostería  entre e= 0.15 a 0.25m y altura entre 0.15 a 0.25m. Incluye el retiro, limpieza y la disposicion final de residuos. "/>
    <s v="Ml"/>
    <n v="12616"/>
    <n v="28500"/>
    <n v="114000"/>
    <n v="16500"/>
    <n v="22500"/>
    <n v="9884"/>
    <n v="0.78344958782498419"/>
  </r>
  <r>
    <x v="1"/>
    <s v="2.3"/>
    <s v="Demolición cualquier tipo de muros  entre e= 0.10 a 0.15m. Incluye el retiro, limpieza y la disposicion final de residuos. "/>
    <s v="M²"/>
    <n v="14125"/>
    <n v="6960"/>
    <n v="41760"/>
    <n v="15560"/>
    <n v="11260"/>
    <n v="-2865"/>
    <n v="-0.20283185840707965"/>
  </r>
  <r>
    <x v="1"/>
    <s v="2.4"/>
    <s v="Demolición de poyo de baño/cocina  entre e= 0.10 a 0.15m. Incluye el retiro, limpieza y la disposicion final de residuos. "/>
    <s v="Ml"/>
    <n v="7462"/>
    <n v="17100"/>
    <n v="119700"/>
    <n v="11500"/>
    <n v="14300"/>
    <n v="6838"/>
    <n v="0.91637630662020908"/>
  </r>
  <r>
    <x v="1"/>
    <s v="2.5"/>
    <s v="Demolición cualquier tipo de muros entre e= 0.15 a 0.25m. Incluye el retiro, limpieza y la disposicion final de residuos. "/>
    <s v="M²"/>
    <n v="22460"/>
    <n v="12125"/>
    <n v="48500"/>
    <n v="15560"/>
    <n v="13842.5"/>
    <n v="-8617.5"/>
    <n v="-0.38368210151380233"/>
  </r>
  <r>
    <x v="1"/>
    <s v="2.6"/>
    <s v="Demolición mortero de nivelacion entre e=0.03 a0.10m-. Incluye el retiro, limpieza y la disposicion final de residuos. "/>
    <s v="M²"/>
    <n v="6836"/>
    <n v="6000"/>
    <n v="30000"/>
    <n v="14500"/>
    <n v="10250"/>
    <n v="3414"/>
    <n v="0.4994148624926858"/>
  </r>
  <r>
    <x v="1"/>
    <s v="2.7"/>
    <s v="Demolición de enchapes en muros y pisos de baños, cocinas, cuartos en general y patios.Incluye el retiro, limpieza y la disposicion final de residuos. "/>
    <s v="M²"/>
    <n v="7083"/>
    <n v="9000"/>
    <n v="27000"/>
    <n v="6500"/>
    <n v="7750"/>
    <n v="667"/>
    <n v="9.4169137371170414E-2"/>
  </r>
  <r>
    <x v="1"/>
    <s v="2.8"/>
    <s v="Demolicion de pisos en granito. Incluye mediacaña, guardaescobas, el retiro y retiro, limpieza y la disposicion final de residuos. "/>
    <s v="M²"/>
    <n v="9408"/>
    <n v="11000"/>
    <n v="33000"/>
    <n v="7500"/>
    <n v="9250"/>
    <n v="-158"/>
    <n v="-1.6794217687074831E-2"/>
  </r>
  <r>
    <x v="1"/>
    <s v="2.9"/>
    <s v="Demolicion de pisos en piedra. Incluye mediacaña, guardaescobas, el retiro y retiro, limpieza y la disposicion final de residuos. "/>
    <s v="M²"/>
    <n v="9408"/>
    <n v="19200"/>
    <n v="38400"/>
    <n v="14560"/>
    <n v="16880"/>
    <n v="7472"/>
    <n v="0.79421768707482998"/>
  </r>
  <r>
    <x v="1"/>
    <s v="2.10"/>
    <s v="Demolicion de pisos en madera. Incluye mediacaña, guardas, el retiro y retiro, limpieza y la disposicion final de residuos. "/>
    <s v="M²"/>
    <n v="20675"/>
    <n v="4000"/>
    <n v="8000"/>
    <n v="5860"/>
    <n v="4930"/>
    <n v="-15745"/>
    <n v="-0.76154776299879079"/>
  </r>
  <r>
    <x v="1"/>
    <s v="2.11"/>
    <s v="Demolicion de pocetas y mesones en concreto, marmol, granito y otros materiales. Incluye el retiro, limpieza y la disposicion final de residuos. "/>
    <s v="M²"/>
    <n v="28118"/>
    <n v="48500"/>
    <n v="97000"/>
    <n v="35656"/>
    <n v="42078"/>
    <n v="13960"/>
    <n v="0.49647912369300806"/>
  </r>
  <r>
    <x v="1"/>
    <s v="2.12"/>
    <s v="Demolición Placas  aligeradas hasta e=0.25. Incluye el retiro, limpieza y la disposicion final de residuos. "/>
    <s v="M²"/>
    <n v="19584"/>
    <n v="28340"/>
    <n v="56680"/>
    <n v="27860"/>
    <n v="28100"/>
    <n v="8516"/>
    <n v="0.43484477124183007"/>
  </r>
  <r>
    <x v="1"/>
    <s v="2.13"/>
    <s v="Demolición placas macizas  e= 0.15m a. Incluye el retiro, limpieza y la disposicion final de residuos. "/>
    <s v="M²"/>
    <n v="36671"/>
    <n v="52300"/>
    <n v="209200"/>
    <n v="48500"/>
    <n v="50400"/>
    <n v="13729"/>
    <n v="0.37438302746039104"/>
  </r>
  <r>
    <x v="1"/>
    <s v="2.14"/>
    <s v="Demolición placas macizas entre e=0.30m. Incluye el retiro, limpieza y la disposicion final de residuos. "/>
    <s v="M²"/>
    <n v="73349"/>
    <n v="92600"/>
    <n v="370400"/>
    <n v="86952"/>
    <n v="89776"/>
    <n v="16427"/>
    <n v="0.22395670015951138"/>
  </r>
  <r>
    <x v="1"/>
    <s v="2.15"/>
    <s v="Cancelacion de punto hidraulico o sanitario. Incluye el retiro, limpieza y la disposicion final de residuos. "/>
    <s v="Un"/>
    <n v="16604"/>
    <n v="10000"/>
    <n v="40000"/>
    <n v="6500"/>
    <n v="8250"/>
    <n v="-8354"/>
    <n v="-0.50313177547578891"/>
  </r>
  <r>
    <x v="1"/>
    <s v="2.16"/>
    <s v="Cancelacion de salida electrica. Incluye el retiro, limpieza y la disposicion final de residuos. "/>
    <s v="Un"/>
    <n v="16394"/>
    <n v="28000"/>
    <n v="112000"/>
    <n v="22600"/>
    <n v="25300"/>
    <n v="8906"/>
    <n v="0.54324752958399414"/>
  </r>
  <r>
    <x v="1"/>
    <s v="2.17"/>
    <s v="Demolicion Base de muro existente,  Incluye todas las herramientas el retiro, limpieza y la disposicion final de residuos.          "/>
    <s v="Ml"/>
    <n v="8819"/>
    <n v="11061.79"/>
    <n v="33185.370000000003"/>
    <n v="10000"/>
    <n v="10530.895"/>
    <n v="1711.8950000000004"/>
    <n v="0.19411441206486002"/>
  </r>
  <r>
    <x v="1"/>
    <s v="2.18"/>
    <s v="Demolicion de Guardaescoba. Incluye todas las herramientas el retiro, limpieza y la disposicion final de residuos.          "/>
    <s v="Ml"/>
    <n v="2991"/>
    <n v="5400"/>
    <n v="16200"/>
    <n v="3850"/>
    <n v="4625"/>
    <n v="1634"/>
    <n v="0.54630558341691737"/>
  </r>
  <r>
    <x v="1"/>
    <s v="2.19"/>
    <s v="Demolicion de Cajas de Inspeccion,  Incluye todas las herramientas el retiro, limpieza y la disposicion final de residuos.          "/>
    <s v="Un"/>
    <n v="13471"/>
    <n v="209599.5"/>
    <n v="628798.5"/>
    <n v="115600"/>
    <n v="162599.75"/>
    <n v="149128.75"/>
    <n v="11.070354836315047"/>
  </r>
  <r>
    <x v="2"/>
    <n v="3"/>
    <s v="DESMONTES Y RETIROS"/>
    <m/>
    <m/>
    <m/>
    <m/>
    <m/>
    <e v="#DIV/0!"/>
    <m/>
    <m/>
  </r>
  <r>
    <x v="2"/>
    <s v="3.1"/>
    <s v="Desmonte y reinstalacion de divisiones existentes de ducha para baño. Incluye el retiro, limpieza y la disposicion final de residuos. "/>
    <s v="Un"/>
    <n v="29778"/>
    <n v="60000"/>
    <n v="60000"/>
    <n v="60000"/>
    <n v="60000"/>
    <n v="30222"/>
    <n v="1.0149103364900263"/>
  </r>
  <r>
    <x v="2"/>
    <s v="3.2"/>
    <s v="Desmonte de todo tipo de divisiones existentes de ducha para baño. Incluye el retiro, limpieza y la disposicion final de residuos. "/>
    <s v="M²"/>
    <n v="10557"/>
    <n v="4000"/>
    <n v="8000"/>
    <n v="3568"/>
    <n v="3784"/>
    <n v="-6773"/>
    <n v="-0.64156483849578483"/>
  </r>
  <r>
    <x v="2"/>
    <s v="3.3"/>
    <s v="Desmonte de aparato sanitario existente. Incluye el retiro, limpieza y la disposicion final de residuos. "/>
    <s v="Un"/>
    <n v="14050"/>
    <n v="18000"/>
    <n v="54000"/>
    <n v="12000"/>
    <n v="15000"/>
    <n v="950"/>
    <n v="6.7615658362989328E-2"/>
  </r>
  <r>
    <x v="2"/>
    <s v="3.4"/>
    <s v="Desmonte de todo tipo de lavamanos.  Incluye el retiro, limpieza y la disposicion final de residuos. "/>
    <s v="Un"/>
    <n v="14050"/>
    <n v="18000"/>
    <n v="72000"/>
    <n v="12000"/>
    <n v="15000"/>
    <n v="950"/>
    <n v="6.7615658362989328E-2"/>
  </r>
  <r>
    <x v="2"/>
    <s v="3.5"/>
    <s v="Desmonte de marcos y puertas existentes de madera o metálicas. Incluye el retiro, limpieza y la disposicion final de residuos. "/>
    <s v="Un"/>
    <n v="16101"/>
    <n v="5000"/>
    <n v="25000"/>
    <n v="5000"/>
    <n v="5000"/>
    <n v="-11101"/>
    <n v="-0.68946028197006393"/>
  </r>
  <r>
    <x v="2"/>
    <s v="3.6"/>
    <s v="Desmonte de puerta divisoria plegable en madera. Incluye el retiro, limpieza y la disposicion final de residuos. "/>
    <s v="M²"/>
    <n v="11420"/>
    <n v="40000"/>
    <n v="80000"/>
    <n v="35000"/>
    <n v="37500"/>
    <n v="26080"/>
    <n v="2.2837127845884413"/>
  </r>
  <r>
    <x v="2"/>
    <s v="3.7"/>
    <s v="Desmonte de cubiertas en asbesto cemento. Incluye el retiro, limpieza y la disposicion final de residuos. "/>
    <s v="M²"/>
    <n v="5583"/>
    <n v="22029.85"/>
    <n v="44059.7"/>
    <n v="18690"/>
    <n v="20359.924999999999"/>
    <n v="14776.924999999999"/>
    <n v="2.6467714490417338"/>
  </r>
  <r>
    <x v="2"/>
    <s v="3.8"/>
    <s v="Desmonte de mezanine en madera, iIncluye el retiro, limpieza y la disposicion final de residuos. "/>
    <s v="M²"/>
    <n v="23267"/>
    <n v="18200"/>
    <n v="36400"/>
    <n v="19600"/>
    <n v="18900"/>
    <n v="-4367"/>
    <n v="-0.18769072076331283"/>
  </r>
  <r>
    <x v="2"/>
    <s v="3.9"/>
    <s v="Desmonte de Tina y/o Jacuzi. Incluye el retiro, limpieza y la disposicion final de residuos. "/>
    <s v="Un"/>
    <n v="74450"/>
    <n v="55000"/>
    <n v="165000"/>
    <n v="55000"/>
    <n v="55000"/>
    <n v="-19450"/>
    <n v="-0.26124916051040969"/>
  </r>
  <r>
    <x v="2"/>
    <s v="3.10"/>
    <s v="Desmonte de reja existente. Incluye el retiro, limpieza y la disposicion final de residuos. "/>
    <s v="M²"/>
    <n v="11610"/>
    <n v="6000"/>
    <n v="18000"/>
    <n v="5000"/>
    <n v="5500"/>
    <n v="-6110"/>
    <n v="-0.52627045650301463"/>
  </r>
  <r>
    <x v="2"/>
    <s v="3.11"/>
    <s v="Desmonte de ventana existente. Incluye el retiro, limpieza y la disposicion final de residuos. "/>
    <s v="M²"/>
    <n v="12844"/>
    <n v="4000"/>
    <n v="12000"/>
    <n v="3500"/>
    <n v="3750"/>
    <n v="-9094"/>
    <n v="-0.70803488009965743"/>
  </r>
  <r>
    <x v="2"/>
    <s v="3.12"/>
    <s v="Desmonte y reinstalacion de lampara existente. Incluye el retiro, limpieza y la disposicion final de residuos. "/>
    <s v="Un"/>
    <n v="38512"/>
    <n v="3300"/>
    <n v="13200"/>
    <n v="8500"/>
    <n v="5900"/>
    <n v="-32612"/>
    <n v="-0.84680099709181555"/>
  </r>
  <r>
    <x v="2"/>
    <s v="3.13"/>
    <s v="Desmonte de lampara existente. Incluye el retiro lampara, cableado, tuberia sobre techo y cajas, limpieza y la disposicion final de residuos."/>
    <s v="Un"/>
    <n v="22242"/>
    <n v="4000"/>
    <n v="16000"/>
    <n v="4000"/>
    <n v="4000"/>
    <n v="-18242"/>
    <n v="-0.82016005754878163"/>
  </r>
  <r>
    <x v="2"/>
    <s v="3.14"/>
    <s v="Desmonte y reinstalacion de lampara existente. Incluye el retiro, limpieza y la disposicion final de residuos. "/>
    <s v="Un"/>
    <n v="37117"/>
    <n v="3300"/>
    <n v="13200"/>
    <n v="8500"/>
    <n v="5900"/>
    <n v="-31217"/>
    <n v="-0.84104318775763132"/>
  </r>
  <r>
    <x v="2"/>
    <s v="3.15"/>
    <s v="Desmonte de cielo raso existente. Incluye el retiro, limpieza y la disposicion final de residuos. "/>
    <s v="M²"/>
    <n v="8705"/>
    <n v="4600"/>
    <n v="23000"/>
    <n v="4562"/>
    <n v="4581"/>
    <n v="-4124"/>
    <n v="-0.47375071797817347"/>
  </r>
  <r>
    <x v="2"/>
    <s v="3.16"/>
    <s v="Desmonte y reinstalacion de cielo raso existente. Incluye el retiro, limpieza y la disposicion final de residuos. "/>
    <s v="M²"/>
    <n v="14591"/>
    <n v="12300"/>
    <n v="61500"/>
    <n v="12000"/>
    <n v="12150"/>
    <n v="-2441"/>
    <n v="-0.16729490781988898"/>
  </r>
  <r>
    <x v="2"/>
    <s v="3.17"/>
    <s v="Desmonte de vidrio existente o espejo. Incluye el retiro, limpieza y la disposicion final de residuos. "/>
    <s v="M²"/>
    <n v="9493"/>
    <n v="4000"/>
    <n v="20000"/>
    <n v="4000"/>
    <n v="4000"/>
    <n v="-5493"/>
    <n v="-0.57863689034025068"/>
  </r>
  <r>
    <x v="2"/>
    <s v="3.18"/>
    <s v="Desmonte de alfajia metalica existente. Incluye el retiro, limpieza y la disposicion final de residuos. "/>
    <s v="Ml"/>
    <n v="6152"/>
    <m/>
    <n v="0"/>
    <n v="6500"/>
    <n v="6500"/>
    <n v="348"/>
    <n v="5.6566970091027305E-2"/>
  </r>
  <r>
    <x v="2"/>
    <s v="3.19"/>
    <s v="Desmonte de manto existente. Incluye el retiro, limpieza y la disposicion final de residuos. "/>
    <s v="M²"/>
    <n v="6427"/>
    <n v="16000"/>
    <n v="96000"/>
    <n v="13850"/>
    <n v="14925"/>
    <n v="8498"/>
    <n v="1.3222343239458534"/>
  </r>
  <r>
    <x v="2"/>
    <s v="3.20"/>
    <s v="Desmonte de tablero general existente. Incluye marcacion de cableado existente, tramite ante la entidad competente, retiro, limpieza y la disposicion final de residuos. "/>
    <s v="Un"/>
    <n v="512116"/>
    <m/>
    <n v="12000"/>
    <n v="460500"/>
    <n v="460500"/>
    <n v="-51616"/>
    <n v="-0.10078966484155934"/>
  </r>
  <r>
    <x v="2"/>
    <s v="3.21"/>
    <s v="Desmonte de mueble bajo, mueble alto, areas de almacenamiento. Incluye el retiro, limpieza y la disposicion final de residuos. "/>
    <s v="Ml"/>
    <n v="36717"/>
    <n v="35000"/>
    <n v="70000"/>
    <n v="33502"/>
    <n v="34251"/>
    <n v="-2466"/>
    <n v="-6.7162349865185059E-2"/>
  </r>
  <r>
    <x v="2"/>
    <s v="3.22"/>
    <s v="Desmonte de interruptor o toma corriente. Incluye el retiro, limpieza y la disposicion final de residuos. "/>
    <s v="Un"/>
    <n v="4263"/>
    <n v="1000"/>
    <n v="2000"/>
    <n v="1500"/>
    <n v="1250"/>
    <n v="-3013"/>
    <n v="-0.7067792634295097"/>
  </r>
  <r>
    <x v="2"/>
    <s v="3.23"/>
    <s v="Desmonte y reinstalacion de soporte para extintor. Incluye el retiro, limpieza y la disposicion final de residuos. "/>
    <s v="Un"/>
    <n v="39091"/>
    <n v="800"/>
    <n v="2400"/>
    <n v="2600"/>
    <n v="1700"/>
    <n v="-37391"/>
    <n v="-0.9565117290424906"/>
  </r>
  <r>
    <x v="2"/>
    <s v="3.24"/>
    <s v="Desmonte de salida electrica. Incluye el retiro lampara, cableado, tuberia y cajas, limpieza y la disposicion final de residuos."/>
    <s v="Un"/>
    <n v="15559"/>
    <n v="1800"/>
    <n v="5400"/>
    <n v="3650"/>
    <n v="2725"/>
    <n v="-12834"/>
    <n v="-0.82486020952503369"/>
  </r>
  <r>
    <x v="2"/>
    <s v="3.25"/>
    <s v="Desmonte de alfomba o tapete existente. Incluye el retiro, limpieza y la disposicion final de residuos. "/>
    <s v="M²"/>
    <n v="1216"/>
    <n v="5200"/>
    <n v="20800"/>
    <n v="5000"/>
    <n v="5100"/>
    <n v="3884"/>
    <n v="3.1940789473684212"/>
  </r>
  <r>
    <x v="2"/>
    <s v="3.26"/>
    <s v="Retiro material sobrante"/>
    <s v="Vj"/>
    <n v="139596"/>
    <n v="30760.6"/>
    <n v="123042.4"/>
    <n v="160000"/>
    <n v="95380.3"/>
    <n v="-44215.7"/>
    <n v="-0.3167404510157884"/>
  </r>
  <r>
    <x v="2"/>
    <s v="3.27"/>
    <s v="Trasiego manual de escombros"/>
    <s v="Bt"/>
    <n v="1776"/>
    <n v="6000"/>
    <n v="24000"/>
    <n v="38000"/>
    <n v="22000"/>
    <n v="20224"/>
    <n v="11.387387387387387"/>
  </r>
  <r>
    <x v="3"/>
    <n v="4"/>
    <s v="SUMINISTRO Y APLICACIÓN DE PINTURAS"/>
    <m/>
    <m/>
    <m/>
    <m/>
    <m/>
    <e v="#DIV/0!"/>
    <m/>
    <m/>
  </r>
  <r>
    <x v="3"/>
    <s v="4.1"/>
    <s v="Suministro y aplicación de pintura de esmalte para rejas, todas las caras. Incluye raspado, lijada, resane, anticorrosivo, pintura de aceite, cambio de silicona y todos los materiales necesarios para su correcta aplicación, el retiro, limpieza y la disposicion final de residuos. "/>
    <s v="M²"/>
    <n v="9379"/>
    <n v="14000"/>
    <n v="28000"/>
    <n v="13650"/>
    <n v="13825"/>
    <n v="4446"/>
    <n v="0.47403774389593772"/>
  </r>
  <r>
    <x v="3"/>
    <s v="4.2"/>
    <s v="Suministro y aplicación de pintura sobre lamina, todas las caras. Incluye raspado, lijada, resane, anticorrosivo, pintura de aceite, cambio de silicona todos los materiales necesarios para su correcta aplicación, el retiro, limpieza y la disposicion final de residuos. "/>
    <s v="Ml"/>
    <n v="7282"/>
    <n v="6700"/>
    <n v="13400"/>
    <n v="6950"/>
    <n v="6825"/>
    <n v="-457"/>
    <n v="-6.2757484207635258E-2"/>
  </r>
  <r>
    <x v="3"/>
    <s v="4.3"/>
    <s v="Suministro y aplicación de pintura sobre lamina llena, todas las caras. Incluye raspado, lijada, resane, anticorrosivo, pintura de aceite, cambio de silicona y todos los materiales necesarios para su correcta aplicación, el retiro, limpieza y la disposicion final de residuos."/>
    <s v="M²"/>
    <n v="15493"/>
    <n v="16800"/>
    <n v="33600"/>
    <n v="14850"/>
    <n v="15825"/>
    <n v="332"/>
    <n v="2.1429032466275092E-2"/>
  </r>
  <r>
    <x v="3"/>
    <s v="4.4"/>
    <s v="Suministro y aplicación de pintura vinilo Tipo I, dos manos para muros. Incluye todos los materiales necesarios para su correcta aplicación, el retiro, limpieza y la disposicion final de residuos. "/>
    <s v="M²"/>
    <n v="11772"/>
    <n v="6000"/>
    <n v="12000"/>
    <n v="5904"/>
    <n v="5952"/>
    <n v="-5820"/>
    <n v="-0.49439347604485218"/>
  </r>
  <r>
    <x v="3"/>
    <s v="4.5"/>
    <s v="Suministro y aplicación de estuco. incluye todos los materiales necesarios para su correcta aplicación, el retiro, limpieza y la disposicion final de residuos. "/>
    <s v="M²"/>
    <n v="10605"/>
    <n v="12503.27"/>
    <n v="25006.54"/>
    <n v="10500"/>
    <n v="11501.635"/>
    <n v="896.63500000000022"/>
    <n v="8.4548326261197571E-2"/>
  </r>
  <r>
    <x v="3"/>
    <s v="4.6"/>
    <s v="Raspado o rasqueteado y lijado  sobre muro  incluye todos los materiales necesarios para su correcta ejecución, el retiro, limpieza y la disposicion final de residuos. "/>
    <s v="M²"/>
    <n v="3779"/>
    <n v="4500"/>
    <n v="9000"/>
    <n v="3500"/>
    <n v="4000"/>
    <n v="221"/>
    <n v="5.8481079650701241E-2"/>
  </r>
  <r>
    <x v="3"/>
    <s v="4.7"/>
    <s v="Suministro y aplicación de pintura vinilo tipo I, dos manos bajo placas. Incluye todos los materiales necesarios para su correcta aplicación, el retiro, limpieza y la disposicion final de residuos. "/>
    <s v="M²"/>
    <n v="8089"/>
    <n v="7000"/>
    <n v="21000"/>
    <n v="6855"/>
    <n v="6927.5"/>
    <n v="-1161.5"/>
    <n v="-0.143590060576091"/>
  </r>
  <r>
    <x v="3"/>
    <s v="4.8"/>
    <s v="Suministro y aplicación de pintura koraza para exteriores, dos manos para techos. Incluye hidrolavado todos los materiales necesarios para su correcta aplicación, el retiro, limpieza y la disposicion final de residuos."/>
    <s v="M²"/>
    <n v="14505"/>
    <n v="16000"/>
    <n v="48000"/>
    <n v="16000"/>
    <n v="16000"/>
    <n v="1495"/>
    <n v="0.10306790761806274"/>
  </r>
  <r>
    <x v="3"/>
    <s v="4.9"/>
    <s v="Suministro y aplicación de pintura koraza para exteriores, dos manos para muros. Incluye hidrolavado todos los materiales necesarios para su correcta aplicación, el retiro, limpieza y la disposicion final de residuos."/>
    <s v="M²"/>
    <n v="13661"/>
    <n v="16000"/>
    <n v="48000"/>
    <n v="16000"/>
    <n v="16000"/>
    <n v="2339"/>
    <n v="0.17121733401654343"/>
  </r>
  <r>
    <x v="3"/>
    <s v="4.10"/>
    <s v="Suministro y aplicación de pintura acrilica, dos manos para baños, cocinas y cafeterias. Incluye todos los materiales necesarios para su correcta aplicación, el retiro, limpieza y la disposicion final de residuos."/>
    <s v="M²"/>
    <n v="17220"/>
    <n v="7500"/>
    <n v="30000"/>
    <n v="10500"/>
    <n v="9000"/>
    <n v="-8220"/>
    <n v="-0.47735191637630664"/>
  </r>
  <r>
    <x v="3"/>
    <s v="4.11"/>
    <s v="Suministro y aplicación de pintura antihumedad fachada dos capas. Incluye andamio, herramienta menos , aplicación con Sika transparente 10 o similar y todo lo necesario para su aplicación, retiro, limpieza y la disposición final de residuos"/>
    <s v="M²"/>
    <n v="61095"/>
    <n v="68000"/>
    <n v="272000"/>
    <n v="63856"/>
    <n v="65928"/>
    <n v="4833"/>
    <n v="7.9106309845322853E-2"/>
  </r>
  <r>
    <x v="3"/>
    <s v="4.12"/>
    <s v="Suministro y aplicación de pintura para trafico, anchos menores a 60 cms. Incluye todos los materiales necesarios para su correcta aplicación, el retiro, limpieza y la disposicion final de residuos."/>
    <s v="Ml"/>
    <n v="6266"/>
    <n v="4800"/>
    <n v="19200"/>
    <n v="4200"/>
    <n v="4500"/>
    <n v="-1766"/>
    <n v="-0.28183849345675072"/>
  </r>
  <r>
    <x v="3"/>
    <s v="4.13"/>
    <s v="Suministro y aplicación de pintura poliuretano, dos manos para pisos en parqueaderos y accesos. Incluye todos los materiales necesarios para su correcta aplicación, el retiro, limpieza y la disposicion final de residuos."/>
    <s v="M²"/>
    <n v="41046"/>
    <n v="7680"/>
    <n v="38400"/>
    <n v="10500"/>
    <n v="9090"/>
    <n v="-31956"/>
    <n v="-0.77854114895483117"/>
  </r>
  <r>
    <x v="3"/>
    <s v="4.14"/>
    <s v="Suministro y aplicación de pintura para baños y cocinas. Incluye raspado lijada y todos los materiales necesarios para su correcta aplicación, el retiro y limpieza y la disposición final de residuos"/>
    <s v="M²"/>
    <n v="8867"/>
    <n v="7500"/>
    <n v="37500"/>
    <n v="9800"/>
    <n v="8650"/>
    <n v="-217"/>
    <n v="-2.4472764181797675E-2"/>
  </r>
  <r>
    <x v="3"/>
    <s v="4.15"/>
    <s v="Suministro y aplicación de tintilla sobre madera llena. Incluye raspado, lijada, resane, anticorrosivo, pintura de aceite, cambio de silicona y pisa vidrios en ambas caras y todos los materiales necesarios para su correcta aplicación, el retiro, limpieza y la disposicion final de residuos. "/>
    <s v="M²"/>
    <n v="22726"/>
    <n v="18609.349999999999"/>
    <n v="37218.699999999997"/>
    <n v="18000"/>
    <n v="18304.674999999999"/>
    <n v="-4421.3250000000007"/>
    <n v="-0.19454919475490631"/>
  </r>
  <r>
    <x v="3"/>
    <s v="4.16"/>
    <s v="Suminsitro y aplicación pintura graniplast para exteriores o impermeabilizante. Incluye todos los materiales, herramientas y disposición final de residuos."/>
    <s v="M²"/>
    <n v="18198"/>
    <n v="85000"/>
    <n v="170000"/>
    <n v="39800"/>
    <n v="62400"/>
    <n v="44202"/>
    <n v="2.428948236069898"/>
  </r>
  <r>
    <x v="3"/>
    <s v="4.17"/>
    <s v="Suminsitro y aplicación pintura acrilica base de agua para exteriores o impermeabilizante.Incluye todos los materiales, herramientas y disposición final de residuos."/>
    <s v="M²"/>
    <n v="6683"/>
    <n v="18000"/>
    <n v="36000"/>
    <n v="39000"/>
    <n v="28500"/>
    <n v="21817"/>
    <n v="3.2645518479724673"/>
  </r>
  <r>
    <x v="3"/>
    <s v="4.18"/>
    <s v="Retiro de capas de pinturas deterioradas por humedad (raspado y lijado) altura menor a 3 mts. Incluye todos los elementos necesarios para su correcta ejecución y disposición final de residuos."/>
    <s v="M²"/>
    <n v="9361"/>
    <n v="11500"/>
    <n v="4500"/>
    <n v="9850"/>
    <n v="10675"/>
    <n v="1314"/>
    <n v="0.14036961863048819"/>
  </r>
  <r>
    <x v="4"/>
    <n v="5"/>
    <s v="REDES HIDRO SANITARIAS"/>
    <m/>
    <m/>
    <m/>
    <m/>
    <m/>
    <e v="#DIV/0!"/>
    <m/>
    <m/>
  </r>
  <r>
    <x v="4"/>
    <s v="5.1"/>
    <s v="Mantenimiento de bajantes. Incluye limpieza y la disposicion final de residuos. "/>
    <s v="Ml"/>
    <n v="5962"/>
    <n v="7000"/>
    <n v="14000"/>
    <n v="6200"/>
    <n v="6600"/>
    <n v="638"/>
    <n v="0.1070110701107011"/>
  </r>
  <r>
    <x v="4"/>
    <s v="5.2"/>
    <s v="Arreglo de punto sanitario de 1/2&quot; a 4&quot;. Incluye accesorios, limpieza y la disposicion final de residuos."/>
    <s v="Un"/>
    <n v="17315"/>
    <n v="40000"/>
    <n v="80000"/>
    <n v="32850"/>
    <n v="36425"/>
    <n v="19110"/>
    <n v="1.1036673404562518"/>
  </r>
  <r>
    <x v="4"/>
    <s v="5.3"/>
    <s v="Suministro y construccion de red CPVC de 1/2&quot;. Incluye accesorios, limpieza y la disposicion final de residuos."/>
    <s v="Ml"/>
    <n v="12693"/>
    <n v="12360"/>
    <n v="24720"/>
    <n v="11200"/>
    <n v="11780"/>
    <n v="-913"/>
    <n v="-7.1929409910974559E-2"/>
  </r>
  <r>
    <x v="4"/>
    <s v="5.4"/>
    <s v="Suministro y construccion de red CPVC de 3/4&quot;. Incluye accesorios, limpieza y la disposicion final de residuos."/>
    <s v="Ml"/>
    <n v="47843"/>
    <n v="40336"/>
    <n v="80672"/>
    <n v="33500"/>
    <n v="36918"/>
    <n v="-10925"/>
    <n v="-0.22835106494157975"/>
  </r>
  <r>
    <x v="4"/>
    <s v="5.5"/>
    <s v="Suministro y construccion de red CPVC de 1&quot;. Incluye accesorios, limpieza y la disposicion final de residuos."/>
    <s v="Ml"/>
    <n v="78333"/>
    <n v="65118"/>
    <n v="130236"/>
    <n v="49566"/>
    <n v="57342"/>
    <n v="-20991"/>
    <n v="-0.26797135306958753"/>
  </r>
  <r>
    <x v="4"/>
    <s v="5.6"/>
    <s v="Suministro y construccion de red PVCP de 1/2&quot;. Incluye accesorios, limpieza y la disposicion final de residuos."/>
    <s v="Ml"/>
    <n v="8677"/>
    <n v="8956"/>
    <n v="17912"/>
    <n v="8500"/>
    <n v="8728"/>
    <n v="51"/>
    <n v="5.8776074680189005E-3"/>
  </r>
  <r>
    <x v="4"/>
    <s v="5.7"/>
    <s v="Suministro y construccion de red PVCP de 3/4&quot;. Incluye accesorios, limpieza y la disposicion final de residuos."/>
    <s v="Ml"/>
    <n v="10386"/>
    <n v="10433"/>
    <n v="20866"/>
    <n v="33500"/>
    <n v="21966.5"/>
    <n v="11580.5"/>
    <n v="1.1150105911804351"/>
  </r>
  <r>
    <x v="4"/>
    <s v="5.8"/>
    <s v="Suministro y construccion de red PVCP de 1&quot;. Incluye accesorios, limpieza y la disposicion final de residuos."/>
    <s v="Ml"/>
    <n v="12721"/>
    <n v="12437"/>
    <n v="37311"/>
    <n v="49566"/>
    <n v="31001.5"/>
    <n v="18280.5"/>
    <n v="1.4370332521028222"/>
  </r>
  <r>
    <x v="4"/>
    <s v="5.9"/>
    <s v="Suministro y construccion de punto hidro sanitario de 1/2&quot;. Incluye accesorios, limpieza y la disposicion final de residuos."/>
    <s v="Un"/>
    <n v="23799"/>
    <n v="24373"/>
    <n v="73119"/>
    <n v="18500"/>
    <n v="21436.5"/>
    <n v="-2362.5"/>
    <n v="-9.9268876843564849E-2"/>
  </r>
  <r>
    <x v="4"/>
    <s v="5.10"/>
    <s v="Suministro e instalacion de punto para lavadero o lavadora de 1/2&quot;. Incluye accesorios, limpieza y la disposicion final de residuos."/>
    <s v="Un"/>
    <n v="35692"/>
    <n v="33100"/>
    <n v="99300"/>
    <n v="18500"/>
    <n v="25800"/>
    <n v="-9892"/>
    <n v="-0.27714894093914605"/>
  </r>
  <r>
    <x v="4"/>
    <s v="5.11"/>
    <s v="Suministro e instalacion de punto para lavavamanos o lavaplatos de 1/2&quot;. Incluye accesorios, limpieza y la disposicion final de residuos."/>
    <s v="Un"/>
    <n v="24302"/>
    <n v="26302"/>
    <n v="78906"/>
    <n v="18500"/>
    <n v="22401"/>
    <n v="-1901"/>
    <n v="-7.822401448440458E-2"/>
  </r>
  <r>
    <x v="4"/>
    <s v="5.12"/>
    <s v="Suministro e instalacion de registro 1/2&quot;. Incluye accesorios, limpieza y la disposicion final de residuos."/>
    <s v="Un"/>
    <n v="23855"/>
    <n v="34254"/>
    <n v="102762"/>
    <n v="32655"/>
    <n v="33454.5"/>
    <n v="9599.5"/>
    <n v="0.40241039614336616"/>
  </r>
  <r>
    <x v="4"/>
    <s v="5.13"/>
    <s v="Suministro y construccion de punto hidraulico PVCP 1&quot;. Incluye accesorios, limpieza y la disposicion final de residuos."/>
    <s v="Un"/>
    <n v="28346"/>
    <n v="49651"/>
    <n v="148953"/>
    <n v="39680"/>
    <n v="44665.5"/>
    <n v="16319.5"/>
    <n v="0.57572497001340572"/>
  </r>
  <r>
    <x v="4"/>
    <s v="5.14"/>
    <s v="Suministro e instalacion de llave manguera. Incluye accesorios, limpieza y la disposicion final de residuos."/>
    <s v="Un"/>
    <n v="19840"/>
    <n v="34250"/>
    <n v="137000"/>
    <n v="33500"/>
    <n v="33875"/>
    <n v="14035"/>
    <n v="0.70740927419354838"/>
  </r>
  <r>
    <x v="4"/>
    <s v="5.15"/>
    <s v="Suministro e instalacion de registro 3/4. Incluye accesorios, limpieza y la disposicion final de residuos."/>
    <s v="Un"/>
    <n v="60629"/>
    <n v="34254"/>
    <n v="137016"/>
    <n v="33520"/>
    <n v="33887"/>
    <n v="-26742"/>
    <n v="-0.44107605271404771"/>
  </r>
  <r>
    <x v="4"/>
    <s v="5.16"/>
    <s v="Suministro y construccion de red galvanizada de 1&quot;. Incluye accesorios, limpieza y la disposicion final de residuos."/>
    <s v="Ml"/>
    <n v="15312"/>
    <n v="44475"/>
    <n v="177900"/>
    <n v="43522"/>
    <n v="43998.5"/>
    <n v="28686.5"/>
    <n v="1.8734652560083596"/>
  </r>
  <r>
    <x v="4"/>
    <s v="5.17"/>
    <s v="Suministro y construccion de red galvanizada de 2&quot;. Incluye accesorios, limpieza y la disposicion final de residuos."/>
    <s v="Ml"/>
    <n v="29057"/>
    <n v="31500"/>
    <n v="18000"/>
    <n v="49600"/>
    <n v="40550"/>
    <n v="11493"/>
    <n v="0.39553291805761093"/>
  </r>
  <r>
    <x v="4"/>
    <s v="5.18"/>
    <s v="Suministro y construccion de red galvanizada de 4&quot;. Incluye accesorios, limpieza y la disposicion final de residuos."/>
    <s v="Ml"/>
    <n v="72276"/>
    <n v="65000"/>
    <n v="18500"/>
    <n v="60523"/>
    <n v="62761.5"/>
    <n v="-9514.5"/>
    <n v="-0.13164120869998339"/>
  </r>
  <r>
    <x v="4"/>
    <s v="5.19"/>
    <s v="Suministro e instalacion de punto sanitario PVCS 4&quot;. Incluye accesorios, limpieza y la disposicion final de residuos."/>
    <s v="Un"/>
    <n v="87255"/>
    <n v="83775"/>
    <n v="418875"/>
    <n v="75500"/>
    <n v="79637.5"/>
    <n v="-7617.5"/>
    <n v="-8.7301587301587297E-2"/>
  </r>
  <r>
    <x v="4"/>
    <s v="5.20"/>
    <s v="Suministro e instalacion de red de desague PVCS 4&quot;. Incluye accesorios, limpieza y la disposicion final de residuos."/>
    <s v="Ml"/>
    <n v="48592"/>
    <n v="34760"/>
    <n v="173800"/>
    <n v="34000"/>
    <n v="34380"/>
    <n v="-14212"/>
    <n v="-0.29247612775765558"/>
  </r>
  <r>
    <x v="4"/>
    <s v="5.21"/>
    <s v="Suministro e instalacion de bajande de agua negras PVC 4&quot;. Incluye accesorios, limpieza y la disposicion final de residuos."/>
    <s v="Ml"/>
    <n v="40847"/>
    <n v="40864"/>
    <n v="204320"/>
    <n v="38500"/>
    <n v="39682"/>
    <n v="-1165"/>
    <n v="-2.8521066418586431E-2"/>
  </r>
  <r>
    <x v="4"/>
    <s v="5.22"/>
    <s v="Suministro e instalacion de rejilla con sosco de 3X2. Incluye accesorios, limpieza y la disposicion final de residuos."/>
    <s v="Un"/>
    <n v="9493"/>
    <n v="18500"/>
    <n v="92500"/>
    <n v="25500"/>
    <n v="22000"/>
    <n v="12507"/>
    <n v="1.3174971031286211"/>
  </r>
  <r>
    <x v="4"/>
    <s v="5.23"/>
    <s v="Suministro e instalacion de rejilla 3X2 anticucarachas. Incluye accesorios, limpieza y la disposicion final de residuos."/>
    <s v="Un"/>
    <n v="28972"/>
    <n v="10100"/>
    <n v="20200"/>
    <n v="13600"/>
    <n v="11850"/>
    <n v="-17122"/>
    <n v="-0.59098439872980812"/>
  </r>
  <r>
    <x v="4"/>
    <s v="5.24"/>
    <s v="Suministro e instalacion de tapa registro de 20X20. Incluye accesorios, limpieza y la disposicion final de residuos."/>
    <s v="Un"/>
    <n v="13746"/>
    <n v="16500"/>
    <n v="33000"/>
    <n v="20050"/>
    <n v="18275"/>
    <n v="4529"/>
    <n v="0.32947766623017605"/>
  </r>
  <r>
    <x v="4"/>
    <s v="5.25"/>
    <s v="Mantenimiento preventivo y/o correctivo de caja de aguas lluvias. Incluye accesorios, limpieza y la disposicion final de residuos."/>
    <s v="Un"/>
    <n v="118124"/>
    <m/>
    <n v="55000"/>
    <n v="89000"/>
    <n v="89000"/>
    <n v="-29124"/>
    <n v="-0.24655446818597407"/>
  </r>
  <r>
    <x v="4"/>
    <s v="5.26"/>
    <s v="Suministro e instalacion de salida sanitaria PVCS de 2&quot;. Incluye accesorios, limpieza y la disposicion final de residuos."/>
    <s v="Un"/>
    <n v="50529"/>
    <n v="51810"/>
    <n v="103620"/>
    <n v="50006"/>
    <n v="50908"/>
    <n v="379"/>
    <n v="7.5006431949969322E-3"/>
  </r>
  <r>
    <x v="4"/>
    <s v="5.27"/>
    <s v="Suministro e instalacion de salida sanitaria PVCS 2&quot;. Incluye accesorios, limpieza y la disposicion final de residuos."/>
    <s v="Un"/>
    <n v="52427"/>
    <n v="54955"/>
    <n v="109910"/>
    <n v="50006"/>
    <n v="52480.5"/>
    <n v="53.5"/>
    <n v="1.0204665534934289E-3"/>
  </r>
  <r>
    <x v="4"/>
    <s v="5.28"/>
    <s v="Suministro e instalacion de red de desague PVCS 2&quot;. Incluye accesorios, limpieza y la disposicion final de residuos."/>
    <s v="Ml"/>
    <n v="33424"/>
    <n v="19195"/>
    <n v="57585"/>
    <n v="17800"/>
    <n v="18497.5"/>
    <n v="-14926.5"/>
    <n v="-0.44658030157970319"/>
  </r>
  <r>
    <x v="4"/>
    <s v="5.29"/>
    <s v="Suministro y construccion de marco tapa para caja de inspeccion de 80x80. Incluye accesorios, limpieza y la disposicion final de residuos."/>
    <s v="Un"/>
    <n v="141647"/>
    <n v="125000"/>
    <n v="375000"/>
    <n v="118655"/>
    <n v="121827.5"/>
    <n v="-19819.5"/>
    <n v="-0.13992177737615338"/>
  </r>
  <r>
    <x v="4"/>
    <s v="5.30"/>
    <s v="Suministro e instalacion de red PVCP RD 21 2.  Incluye accesorios, limpieza y la disposicion final de residuos."/>
    <s v="Ml"/>
    <n v="33604"/>
    <n v="9358"/>
    <n v="28074"/>
    <n v="22560"/>
    <n v="15959"/>
    <n v="-17645"/>
    <n v="-0.52508629925008932"/>
  </r>
  <r>
    <x v="4"/>
    <s v="5.31"/>
    <s v="Suministro e instalacion de red de reventilacion PVC 2&quot;. Incluye accesorios, limpieza y la disposicion final de residuos."/>
    <s v="Ml"/>
    <n v="18150"/>
    <n v="18157"/>
    <n v="54471"/>
    <n v="16500"/>
    <n v="17328.5"/>
    <n v="-821.5"/>
    <n v="-4.5261707988980715E-2"/>
  </r>
  <r>
    <x v="4"/>
    <s v="5.32"/>
    <s v="Suministro e instalacion de red de desague PVCS 3&quot;. Incluye accesorios, limpieza y la disposicion final de residuos."/>
    <s v="Ml"/>
    <n v="42603"/>
    <n v="26500"/>
    <n v="79500"/>
    <n v="22560"/>
    <n v="24530"/>
    <n v="-18073"/>
    <n v="-0.42421895171701524"/>
  </r>
  <r>
    <x v="4"/>
    <s v="5.33"/>
    <s v="Suministro e intalacion de salida sanitaria PVCS 3&quot;. Incluye accesorios, limpieza y la disposicion final de residuos."/>
    <s v="Un"/>
    <n v="74944"/>
    <n v="64300"/>
    <n v="192900"/>
    <n v="52680"/>
    <n v="58490"/>
    <n v="-16454"/>
    <n v="-0.2195505977796755"/>
  </r>
  <r>
    <x v="4"/>
    <s v="5.34"/>
    <s v="Suministro e instalacion de red de reventilacion PVC 3&quot;. Incluye accesorios, limpieza y la disposicion final de residuos."/>
    <s v="Ml"/>
    <n v="26096"/>
    <n v="25936"/>
    <n v="77808"/>
    <n v="26355"/>
    <n v="26145.5"/>
    <n v="49.5"/>
    <n v="1.8968424279583078E-3"/>
  </r>
  <r>
    <x v="4"/>
    <s v="5.35"/>
    <s v="Suministro e instalacion de acometida en PVC 1/2 5 M. Incluye accesorios, limpieza y la disposicion final de residuos."/>
    <s v="Un"/>
    <n v="203566"/>
    <n v="8502"/>
    <n v="25000"/>
    <n v="25600"/>
    <n v="17051"/>
    <n v="-186515"/>
    <n v="-0.91623846811353571"/>
  </r>
  <r>
    <x v="4"/>
    <s v="5.36"/>
    <s v="Mantenimiento de punto sanitario de 6&quot;. Incluye accesorios, limpieza y la disposicion final de residuos."/>
    <s v="Un"/>
    <n v="181078"/>
    <n v="35364"/>
    <n v="106092"/>
    <n v="30000"/>
    <n v="32682"/>
    <n v="-148396"/>
    <n v="-0.81951424248114069"/>
  </r>
  <r>
    <x v="4"/>
    <s v="5.37"/>
    <s v="Mantenimiento de punto de aguas lluvias. Incluye accesorios, limpieza y la disposicion final de residuos."/>
    <s v="Un"/>
    <n v="65575"/>
    <n v="33000"/>
    <n v="30000"/>
    <n v="25000"/>
    <n v="29000"/>
    <n v="-36575"/>
    <n v="-0.55775829203202443"/>
  </r>
  <r>
    <x v="4"/>
    <s v="5.38"/>
    <s v="Suministro e instalacion de tanque plastico de 250 litros. Incluye accesorios, limpieza y la disposicion final de residuos."/>
    <s v="Un"/>
    <n v="617358"/>
    <n v="660054"/>
    <n v="1320108"/>
    <n v="505200"/>
    <n v="582627"/>
    <n v="-34731"/>
    <n v="-5.6257471353736405E-2"/>
  </r>
  <r>
    <x v="4"/>
    <s v="5.39"/>
    <s v="Suministro e instalacion de tanque plastico de 500 litros. Incluye accesorios, limpieza y la disposicion final de residuos."/>
    <s v="Un"/>
    <n v="776337"/>
    <n v="788500"/>
    <n v="1577000"/>
    <n v="650550"/>
    <n v="719525"/>
    <n v="-56812"/>
    <n v="-7.3179559907617445E-2"/>
  </r>
  <r>
    <x v="4"/>
    <s v="5.40"/>
    <s v="Suministro e instalación de caja de inspección 60cm x60cm ncluye accesorios y todo lo necesario para su correcta instalación, limpieza y la disposicion final de residuos."/>
    <s v="Un"/>
    <n v="402308"/>
    <n v="241500"/>
    <n v="483000"/>
    <n v="225650"/>
    <n v="233575"/>
    <n v="-168733"/>
    <n v="-0.41941248993308611"/>
  </r>
  <r>
    <x v="4"/>
    <s v="5.41"/>
    <s v="Suministro e instalación de caja de inspección 80cm x80cm ncluye accesorios y todo lo necesario para su correcta instalación, limpieza y la disposicion final de residuos."/>
    <s v="Un"/>
    <n v="402308"/>
    <n v="375300"/>
    <n v="750600"/>
    <n v="325680"/>
    <n v="350490"/>
    <n v="-51818"/>
    <n v="-0.12880181353589787"/>
  </r>
  <r>
    <x v="4"/>
    <s v="5.42"/>
    <s v="Suministro e instalación de caja de inspección drenaje 60cm x60cm ncluye accesorios y todo lo necesario para su correcta instalación, limpieza y la disposicion final de residuos."/>
    <s v="Un"/>
    <n v="402308"/>
    <n v="275200"/>
    <n v="550400"/>
    <n v="225650"/>
    <n v="250425"/>
    <n v="-151883"/>
    <n v="-0.37752915676546328"/>
  </r>
  <r>
    <x v="4"/>
    <s v="5.43"/>
    <s v="Suministro e instalación de caja de inspeccióndernaje 80cm x80cm ncluye accesorios y todo lo necesario para su correcta instalación, limpieza y la disposicion final de residuos."/>
    <s v="Un"/>
    <n v="581192"/>
    <n v="406300"/>
    <n v="406300"/>
    <n v="325680"/>
    <n v="365990"/>
    <n v="-215202"/>
    <n v="-0.37027694806535533"/>
  </r>
  <r>
    <x v="4"/>
    <s v="5.44"/>
    <s v="Sondeo y limpieza punto de sifones de 2&quot; a 4&quot;."/>
    <s v="Un"/>
    <n v="32570"/>
    <n v="110000"/>
    <n v="110000"/>
    <n v="95000"/>
    <n v="102500"/>
    <n v="69930"/>
    <n v="2.1470678538532391"/>
  </r>
  <r>
    <x v="4"/>
    <s v="5.45"/>
    <s v="Suministro e intalacion de salida sanitaria ducha 2&quot;. Incluye accesorios y todo lo necesario para la instalación, limpieza y la disposicion final de residuos."/>
    <s v="Un"/>
    <n v="64834"/>
    <n v="30029"/>
    <n v="60058"/>
    <n v="29650"/>
    <n v="29839.5"/>
    <n v="-34994.5"/>
    <n v="-0.5397553752660641"/>
  </r>
  <r>
    <x v="4"/>
    <s v="5.46"/>
    <s v="Suministro e intalacion de salida sanitaria inodoro 4&quot;. Incluye accesorios y todo lo necesario para la instalación, limpieza y la disposicion final de residuos."/>
    <s v="Un"/>
    <n v="94593"/>
    <n v="81044"/>
    <n v="162088"/>
    <n v="78950"/>
    <n v="79997"/>
    <n v="-14596"/>
    <n v="-0.15430317253919423"/>
  </r>
  <r>
    <x v="4"/>
    <s v="5.47"/>
    <s v="Suministro e intalacion de salida sanitaria lavadero 2&quot;. Incluye accesorios y todo lo necesario para la instalación, limpieza y la disposicion final de residuos."/>
    <s v="Un"/>
    <n v="96387"/>
    <n v="83775"/>
    <n v="251325"/>
    <n v="85000"/>
    <n v="84387.5"/>
    <n v="-11999.5"/>
    <n v="-0.12449292954444063"/>
  </r>
  <r>
    <x v="4"/>
    <s v="5.48"/>
    <s v="Suministro e intalacion de salida sanitaria lavadora 2&quot;. Incluye accesorios y todo lo necesario para la instalación, limpieza y la disposicion final de residuos."/>
    <s v="Un"/>
    <n v="72846"/>
    <n v="71797"/>
    <n v="215391"/>
    <n v="70000"/>
    <n v="70898.5"/>
    <n v="-1947.5"/>
    <n v="-2.6734480959833072E-2"/>
  </r>
  <r>
    <x v="4"/>
    <s v="5.49"/>
    <s v="Suministro e intalacion de salida sanitaria Lavaplatos 2&quot;. Incluye accesorios y todo lo necesario para la instalación, limpieza y la disposicion final de residuos."/>
    <s v="Un"/>
    <n v="47520"/>
    <n v="41163"/>
    <n v="123489"/>
    <n v="38950"/>
    <n v="40056.5"/>
    <n v="-7463.5"/>
    <n v="-0.15706018518518519"/>
  </r>
  <r>
    <x v="4"/>
    <s v="5.50"/>
    <s v="Suministro e intalacion de salida sanitaria Lavamanos 2&quot;. Incluye accesorios y todo lo necesario para la instalación, limpieza y la disposicion final de residuos."/>
    <s v="Un"/>
    <n v="70672"/>
    <n v="59950"/>
    <n v="239800"/>
    <n v="60050"/>
    <n v="60000"/>
    <n v="-10672"/>
    <n v="-0.15100747113425403"/>
  </r>
  <r>
    <x v="4"/>
    <s v="5.51"/>
    <s v="Suministro e intalacion de válcula de registro 1&quot;. Incluye accesorios y todo lo necesario para la instalación, limpieza y la disposicion final de residuos"/>
    <s v="Ml"/>
    <n v="35617"/>
    <n v="90000"/>
    <n v="180000"/>
    <n v="82560"/>
    <n v="86280"/>
    <n v="50663"/>
    <n v="1.4224387230816744"/>
  </r>
  <r>
    <x v="4"/>
    <s v="5.52"/>
    <s v="Retiro de tuberia exisitente, Incluye todas las herramientas para su correcta aplicación y limpieza y la disposicion final de residuos."/>
    <s v="Un"/>
    <n v="5990"/>
    <n v="45000"/>
    <n v="34000"/>
    <n v="30000"/>
    <n v="37500"/>
    <n v="31510"/>
    <n v="5.2604340567612686"/>
  </r>
  <r>
    <x v="4"/>
    <s v="5.53"/>
    <s v="Suministro e Instalacion de espejo de 4 mm, Incluye todas las herramientas para su correcta aplicación y limpieza y la disposicion final de residuos."/>
    <s v="M²"/>
    <n v="59803"/>
    <n v="92316"/>
    <n v="92316"/>
    <n v="78569"/>
    <n v="85442.5"/>
    <n v="25639.5"/>
    <n v="0.42873267227396616"/>
  </r>
  <r>
    <x v="4"/>
    <s v="5.54"/>
    <s v="Suministro e Instalacion de estufa con horno a gas, Incluye todas las herramientas para su correcta aplicación y limpieza y la disposicion final de residuos."/>
    <s v="Un"/>
    <n v="569545"/>
    <n v="27554"/>
    <n v="27554"/>
    <n v="1125000"/>
    <n v="576277"/>
    <n v="6732"/>
    <n v="1.1819961548253431E-2"/>
  </r>
  <r>
    <x v="5"/>
    <n v="6"/>
    <s v="REDES ELECTRICAS"/>
    <m/>
    <m/>
    <m/>
    <m/>
    <m/>
    <e v="#DIV/0!"/>
    <m/>
    <m/>
  </r>
  <r>
    <x v="5"/>
    <s v="6.1"/>
    <s v="Construcción de salida para toma corriente doble en muro, con polo a tierra. Incluye accesorios (ducteria, toma, tapa, cinta, conectores, cubierta transparente), limpieza y la disposicion final de residuos."/>
    <s v="Un"/>
    <n v="117650"/>
    <n v="148391"/>
    <n v="296782"/>
    <n v="112500"/>
    <n v="130445.5"/>
    <n v="12795.5"/>
    <n v="0.10875903102422439"/>
  </r>
  <r>
    <x v="5"/>
    <s v="6.2"/>
    <s v="Construcción de salida para toma corriente trifásica en muro EMT, con polo a tierra. Incluye accesorios (ducteria, toma, tapa, cinta, conectores, cubierta transparente), limpieza y la disposicion final de residuos."/>
    <s v="Un"/>
    <n v="206166"/>
    <n v="269095"/>
    <n v="538190"/>
    <n v="202670"/>
    <n v="235882.5"/>
    <n v="29716.5"/>
    <n v="0.1441387037629871"/>
  </r>
  <r>
    <x v="5"/>
    <s v="6.3"/>
    <s v="Construccion de salida de iluminacion en techo. Incluye caja, accesorios, ducteria PVC de 3/4&quot;, cableado en tres hilos calibre 12 (fase, neutro y tierra) de 6 metros lineales por salida, con interruptor sencillo, doble y triple, elementos de soporte y fijacion), limpieza y la disposicion final de residuos."/>
    <s v="Un"/>
    <n v="110549"/>
    <n v="137734"/>
    <n v="275468"/>
    <n v="115000"/>
    <n v="126367"/>
    <n v="15818"/>
    <n v="0.14308587142353166"/>
  </r>
  <r>
    <x v="5"/>
    <s v="6.4"/>
    <s v="Construccion de salida de iluminacion en techo. Incluye caja, accesorios, ducteria PVC de 3/4&quot;, cableado en tres hilos calibre 12 (fase, neutro y tierra) de 6 metros lineales por salida, con interruptor sencillo, roseta, doble y triple, elementos de soporte y fijacion), limpieza y la disposicion final de residuos."/>
    <s v="Un"/>
    <n v="113027"/>
    <n v="137734"/>
    <n v="275468"/>
    <n v="115000"/>
    <n v="126367"/>
    <n v="13340"/>
    <n v="0.11802489670609677"/>
  </r>
  <r>
    <x v="5"/>
    <s v="6.5"/>
    <s v="Construccion de salida electrica para greca. Incluye cableado de cobre aislado 10 AWG THHN tres lineas (fase, neutro y tierra) de 6 metros lineales, toma especial de 120V 20A, ducteria PVC de 3/4&quot; y accesorios, caja, elementos de soporte y fijacion, limpieza y la disposicion final de residuos."/>
    <s v="Un"/>
    <n v="104646"/>
    <n v="125012"/>
    <n v="250024"/>
    <n v="115000"/>
    <n v="120006"/>
    <n v="15360"/>
    <n v="0.14678057450834242"/>
  </r>
  <r>
    <x v="5"/>
    <s v="6.6"/>
    <s v="Construccion de salida de iluminacion. Incluye, ducteria PVC de 1/2 , cable No. 12 de tres metros lineales por salida con interruptor sencillo y marquillado, y accesorios, caja, elementos de soporte y fijacion, limpieza y la disposicion final de residuos."/>
    <s v="Un"/>
    <n v="115295"/>
    <n v="136000"/>
    <n v="13000"/>
    <n v="112000"/>
    <n v="124000"/>
    <n v="8705"/>
    <n v="7.5501973199184697E-2"/>
  </r>
  <r>
    <x v="5"/>
    <s v="6.7"/>
    <s v="Construccion de salida cantonera. Incluye ducteria PVC, cable, accesorios, caja, elementos de soporte y fijacion, limpieza y la disposicion final de residuos."/>
    <s v="Un"/>
    <n v="84758"/>
    <n v="120010"/>
    <n v="360030"/>
    <n v="108900"/>
    <n v="114455"/>
    <n v="29697"/>
    <n v="0.35037400599353452"/>
  </r>
  <r>
    <x v="5"/>
    <s v="6.8"/>
    <s v="Construccion de salida alarma. Incluye ducteria PVC, cable, accesorios, caja, elementos de soporte y fijacion, limpieza y la disposicion final de residuos."/>
    <s v="Un"/>
    <n v="88442"/>
    <n v="103463"/>
    <n v="310389"/>
    <n v="105000"/>
    <n v="104231.5"/>
    <n v="15789.5"/>
    <n v="0.17852943171796207"/>
  </r>
  <r>
    <x v="5"/>
    <s v="6.9"/>
    <s v="Suministro e instalacion de ducto para camara TV. Incluye ducteria PVC de 1/2&quot;, cable, accesorios, elementos de soporte y fijacion, limpieza y la disposicion final de residuos."/>
    <s v="Ml"/>
    <n v="4624"/>
    <n v="19214"/>
    <n v="57642"/>
    <n v="22300"/>
    <n v="20757"/>
    <n v="16133"/>
    <n v="3.4889705882352939"/>
  </r>
  <r>
    <x v="5"/>
    <s v="6.10"/>
    <s v="Construccion de salida para toma bifasica 20 A, tuberia EMT, cable, accesorios, caja, elementos de soporte y fijacion, limpieza y la disposicion final de residuos."/>
    <s v="Un"/>
    <n v="122102"/>
    <n v="102293.22"/>
    <n v="306879.66000000003"/>
    <n v="105600"/>
    <n v="103946.61"/>
    <n v="-18155.39"/>
    <n v="-0.14869035724230562"/>
  </r>
  <r>
    <x v="5"/>
    <s v="6.11"/>
    <s v="Construccion de salida electrica en caja metalica de 12X12. Incluye toma corriente trifasica, clavija trifasica, cablaedo encauchetado de tres metros lineales por salida, accesorios, elementos de soporte y fijacion, limpieza y la disposicion final de residuos."/>
    <s v="Un"/>
    <n v="37287"/>
    <n v="268365"/>
    <n v="1073460"/>
    <n v="265000"/>
    <n v="266682.5"/>
    <n v="229395.5"/>
    <n v="6.1521575884356476"/>
  </r>
  <r>
    <x v="5"/>
    <s v="6.12"/>
    <s v="Construccion de salida electrica toma corriente trifásico. Incluye tuberia EMT, cable, accesorios, caja, elementos de soporte y fijacion, limpieza y la disposicion final de residuos."/>
    <s v="Un"/>
    <n v="206166"/>
    <n v="156000"/>
    <n v="12000"/>
    <n v="139600"/>
    <n v="147800"/>
    <n v="-58366"/>
    <n v="-0.28310196637660912"/>
  </r>
  <r>
    <x v="5"/>
    <s v="6.13"/>
    <s v="Construccion de salida electrica toma sencilla de 20A. Incluye tuberia PVC, cable, accesorios, caja, elementos de soporte y fijacion, limpieza y la disposicion final de residuos."/>
    <s v="Un"/>
    <n v="78902"/>
    <n v="186000"/>
    <n v="12000"/>
    <n v="176000"/>
    <n v="181000"/>
    <n v="102098"/>
    <n v="1.2939849433474437"/>
  </r>
  <r>
    <x v="5"/>
    <s v="6.14"/>
    <s v="Construccion de salida toma corriente GFCI. Incluye tuberia PVC, cable, accesorios, caja, toma doble, elementos de soporte y fijacion, limpieza y la disposicion final de residuos."/>
    <s v="Un"/>
    <n v="162131"/>
    <n v="190852"/>
    <n v="954260"/>
    <n v="201500"/>
    <n v="196176"/>
    <n v="34045"/>
    <n v="0.20998451869167525"/>
  </r>
  <r>
    <x v="5"/>
    <s v="6.15"/>
    <s v="Suministro e instalacion luminaria de 60 X 60 de 48 W. Incluye, cable, accesorios, elementos de soporte y fijacion, limpieza y la disposicion final de residuos."/>
    <s v="Un"/>
    <n v="318671"/>
    <n v="185000"/>
    <n v="45000"/>
    <n v="205670"/>
    <n v="195335"/>
    <n v="-123336"/>
    <n v="-0.38703239391096145"/>
  </r>
  <r>
    <x v="5"/>
    <s v="6.16"/>
    <s v="Suministro e instalacion luminaria de 60 X 60 de 4 X 24 W  T-5. Incluye, cable, accesorios, elementos de soporte y fijacion, limpieza y la disposicion final de residuos."/>
    <s v="Un"/>
    <n v="207106"/>
    <n v="165000"/>
    <n v="45000"/>
    <n v="205670"/>
    <n v="185335"/>
    <n v="-21771"/>
    <n v="-0.10512008343553543"/>
  </r>
  <r>
    <x v="5"/>
    <s v="6.17"/>
    <s v="Reinstalacion de luminarias y lamparas existentes. Incluye, cable, accesorios, elementos de soporte y fijacion, limpieza y la disposicion final de residuos. "/>
    <s v="Un"/>
    <n v="14847"/>
    <n v="85000"/>
    <n v="9000"/>
    <n v="65000"/>
    <n v="75000"/>
    <n v="60153"/>
    <n v="4.0515255607193374"/>
  </r>
  <r>
    <x v="5"/>
    <s v="6.18"/>
    <s v="Suministro e instalacion de luminaria LED de 18 W redonda. Incluye, cable, accesorios, elementos de soporte y fijacion, limpieza y la disposicion final de residuos."/>
    <s v="Un"/>
    <n v="84968"/>
    <n v="34860"/>
    <n v="69720"/>
    <n v="49800"/>
    <n v="42330"/>
    <n v="-42638"/>
    <n v="-0.50181244703888528"/>
  </r>
  <r>
    <x v="5"/>
    <s v="6.19"/>
    <s v="Suministro e instalacion de lampara LED para alumbrado publico de 80 - 120 W. Incluye, cable, accesorios, elementos de soporte y fijacion, limpieza y la disposicion final de residuos."/>
    <s v="Un"/>
    <n v="1098130"/>
    <n v="185000"/>
    <n v="18000"/>
    <n v="190000"/>
    <n v="187500"/>
    <n v="-910630"/>
    <n v="-0.82925518836567624"/>
  </r>
  <r>
    <x v="5"/>
    <s v="6.20"/>
    <s v="Suministro e instalacion de lampara LED para alumbrado publico de 210 W. Incluye, cable, accesorios, elementos de soporte y fijacion, limpieza y la disposicion final de residuos."/>
    <s v="Un"/>
    <n v="1245481"/>
    <n v="258000"/>
    <n v="18000"/>
    <n v="255670"/>
    <n v="256835"/>
    <n v="-988646"/>
    <n v="-0.79378649694375103"/>
  </r>
  <r>
    <x v="5"/>
    <s v="6.21"/>
    <s v="Suministro e intalacion de luminaria LED de incrustar de 21 W 2100 LM. Incluye, cable, accesorios, elementos de soporte y fijacion, limpieza y la disposicion final de residuos."/>
    <s v="Un"/>
    <n v="121827"/>
    <m/>
    <n v="18000"/>
    <n v="79000"/>
    <n v="79000"/>
    <n v="-42827"/>
    <n v="-0.35153947811240532"/>
  </r>
  <r>
    <x v="5"/>
    <s v="6.22"/>
    <s v="Suministro e instalacion de luminaria LED de sobreponer de 25 W 2500 LM. Incluye, cable, accesorios, elementos de soporte y fijacion, limpieza y la disposicion final de residuos."/>
    <s v="Un"/>
    <n v="163498"/>
    <m/>
    <n v="18000"/>
    <n v="98000"/>
    <n v="98000"/>
    <n v="-65498"/>
    <n v="-0.40060428873747689"/>
  </r>
  <r>
    <x v="5"/>
    <s v="6.23"/>
    <s v="Suministro e instalacion de luminaria hermetica de 1X32W 120V 6.5K T8. Incluye, cable, accesorios, elementos de soporte y fijacion, limpieza y la disposicion final de residuos."/>
    <s v="Un"/>
    <n v="92257"/>
    <m/>
    <n v="18000"/>
    <m/>
    <m/>
    <m/>
    <m/>
  </r>
  <r>
    <x v="5"/>
    <s v="6.24"/>
    <s v="Suministro e instalación de bala 15/20W diámetro 8cm, incluye ojo de buey dirigible de 8 cm y toda la herramienta necesaria para la instalación, elementos de soporte y fijación, limpieza y la disposición final de residuos"/>
    <s v="Un"/>
    <n v="15369"/>
    <n v="31900"/>
    <n v="95700"/>
    <n v="45900"/>
    <n v="38900"/>
    <n v="23531"/>
    <n v="1.5310690350705967"/>
  </r>
  <r>
    <x v="5"/>
    <s v="6.25"/>
    <s v="Suministro e instalación de bala 35W diámetro 23cm, incluye toda la herramienta necesaria para la instalación, elementos de soporte y fijación, limpieza y la disposición final de residuos"/>
    <s v="Un"/>
    <n v="75485"/>
    <n v="56000"/>
    <n v="112000"/>
    <n v="80000"/>
    <n v="68000"/>
    <n v="-7485"/>
    <n v="-9.9158773266211836E-2"/>
  </r>
  <r>
    <x v="5"/>
    <s v="6.26"/>
    <s v="Suministro e instalación de bombillo fluorescente 60W, incluye toda la herramienta necesaria para la instalación, elementos de soporte y fijación, limpieza y la disposición final de residuos"/>
    <s v="Un"/>
    <n v="26514"/>
    <m/>
    <n v="22000"/>
    <n v="35000"/>
    <n v="35000"/>
    <n v="8486"/>
    <n v="0.32005732820396771"/>
  </r>
  <r>
    <x v="5"/>
    <s v="6.27"/>
    <s v="Suministro e instalacion de reflector LED de 100W. Incluye, cable, accesorios, elementos de soporte y fijacion, limpieza y la disposicion final de residuos."/>
    <s v="Un"/>
    <n v="353773"/>
    <m/>
    <n v="22000"/>
    <n v="125000"/>
    <n v="125000"/>
    <n v="-228773"/>
    <n v="-0.64666608248792301"/>
  </r>
  <r>
    <x v="5"/>
    <s v="6.28"/>
    <s v="Suministro e instalacion de reflector LED de 140W. Incluye, cable, accesorios, elementos de soporte y fijacion, limpieza y la disposicion final de residuos."/>
    <s v="Un"/>
    <n v="849087"/>
    <m/>
    <n v="22000"/>
    <n v="160000"/>
    <n v="160000"/>
    <n v="-689087"/>
    <n v="-0.81156230162515741"/>
  </r>
  <r>
    <x v="5"/>
    <s v="6.29"/>
    <s v="Suministro e instalacion de sensor de movimiento. Incluye, cable, accesorios, elementos de soporte y fijacion, limpieza y la disposicion final de residuos."/>
    <s v=" Un"/>
    <n v="97517"/>
    <n v="30786"/>
    <n v="61572"/>
    <n v="203000"/>
    <n v="116893"/>
    <n v="19376"/>
    <n v="0.19869356112267605"/>
  </r>
  <r>
    <x v="5"/>
    <s v="6.30"/>
    <s v="Suministro e instalacion de interruptor automatico enchufable de 1 X 20 A. Incluye, ducteria, cable, accesorios, elementos de soporte y fijacion, limpieza y la disposicion final de residuos."/>
    <s v="Un"/>
    <n v="13622"/>
    <m/>
    <n v="6000"/>
    <n v="78000"/>
    <n v="78000"/>
    <n v="64378"/>
    <n v="4.7260314197621494"/>
  </r>
  <r>
    <x v="5"/>
    <s v="6.31"/>
    <s v="Suministro e instalacion de interruptor automatico enchufable de 2 X 30 A. Incluye, ducteria, cable, accesorios, elementos de soporte y fijacion, limpieza y la disposicion final de residuos."/>
    <s v="Un"/>
    <n v="41559"/>
    <m/>
    <n v="6000"/>
    <n v="78000"/>
    <n v="78000"/>
    <n v="36441"/>
    <n v="0.87684977983108348"/>
  </r>
  <r>
    <x v="5"/>
    <s v="6.32"/>
    <s v="Suministro e instalacion de fotocelda para luminaria exterior. Incluye, ducteria, cable, accesorios, elementos de soporte y fijacion, limpieza y la disposicion final de residuos."/>
    <s v="Un"/>
    <n v="31459"/>
    <m/>
    <n v="6000"/>
    <n v="101000"/>
    <n v="101000"/>
    <n v="69541"/>
    <n v="2.2105279888108331"/>
  </r>
  <r>
    <x v="5"/>
    <s v="6.33"/>
    <s v="Suministro e instalacion de tablero electrico monofasico de 4 circuitos. Incluye, ducteria, cable, accesorios, elementos de soporte y fijacion, limpieza y la disposicion final de residuos."/>
    <s v="Un"/>
    <n v="61578"/>
    <n v="117645"/>
    <n v="352935"/>
    <n v="145000"/>
    <n v="131322.5"/>
    <n v="69744.5"/>
    <n v="1.1326204163824742"/>
  </r>
  <r>
    <x v="5"/>
    <s v="6.34"/>
    <s v="Suministro e instalacion de breaker termomagnetico industrial de 3 X 60A, 10 KA. Incluye, ducteria, cable, accesorios, elementos de soporte y fijacion, limpieza y la disposicion final de residuos."/>
    <s v="Un"/>
    <n v="132154"/>
    <n v="159460"/>
    <n v="318920"/>
    <n v="160000"/>
    <n v="159730"/>
    <n v="27576"/>
    <n v="0.20866564765349516"/>
  </r>
  <r>
    <x v="5"/>
    <s v="6.35"/>
    <s v="Suministro e instalacion de breaker termomagnetico industrial de 3 X 70A, 10 KA. Incluye, ducteria, cable, accesorios, elementos de soporte y fijacion, limpieza y la disposicion final de residuos."/>
    <s v="Un"/>
    <n v="179673"/>
    <n v="160860"/>
    <n v="321720"/>
    <n v="160000"/>
    <n v="160430"/>
    <n v="-19243"/>
    <n v="-0.10710012077496341"/>
  </r>
  <r>
    <x v="5"/>
    <s v="6.36"/>
    <s v="Suministro e instalacion de tablero trifasico. C/LLAVE, ESP. TOTAL, 18 CTOS. Incluye, ducteria, cable, accesorios, elementos de soporte y fijacion, limpieza y la disposicion final de residuos."/>
    <s v="Un"/>
    <n v="256201"/>
    <n v="317550"/>
    <n v="635100"/>
    <n v="315000"/>
    <n v="316275"/>
    <n v="60074"/>
    <n v="0.23447995909461711"/>
  </r>
  <r>
    <x v="5"/>
    <s v="6.37"/>
    <s v="Suministro e instalacion de salida para motor puerta. Incluye, ducteria, cable, accesorios, elementos de soporte y fijacion, limpieza y la disposicion final de residuos."/>
    <s v="Un"/>
    <n v="231749"/>
    <n v="281145"/>
    <n v="281145"/>
    <n v="260000"/>
    <n v="270572.5"/>
    <n v="38823.5"/>
    <n v="0.16752391596080243"/>
  </r>
  <r>
    <x v="5"/>
    <s v="6.38"/>
    <s v="Suministro e instalacion de alambre No. 12,Incluye todas las herramientas para su correcta aplicación y limpieza y la disposicion final de residuos."/>
    <s v="Ml"/>
    <n v="2156"/>
    <n v="4699.5200000000004"/>
    <n v="4699.5200000000004"/>
    <n v="4000"/>
    <n v="4349.76"/>
    <n v="2193.7600000000002"/>
    <n v="1.017513914656772"/>
  </r>
  <r>
    <x v="5"/>
    <s v="6.39"/>
    <s v="Suministro e instalacion de alambre No. 14,Incluye todas las herramientas para su correcta aplicación y limpieza y la disposicion final de residuos."/>
    <s v="Ml"/>
    <n v="1814"/>
    <n v="3328.84"/>
    <n v="6657.68"/>
    <n v="3000"/>
    <n v="3164.42"/>
    <n v="1350.42"/>
    <n v="0.74444321940463065"/>
  </r>
  <r>
    <x v="5"/>
    <s v="6.40"/>
    <s v="Suministro e Instalacion de tuberia pvc conduit 1/2&quot;,Incluye todas las herramientas para su correcta aplicación y limpieza y la disposicion final de residuos."/>
    <s v="Ml"/>
    <n v="3522"/>
    <n v="91000"/>
    <n v="12000"/>
    <n v="23400"/>
    <n v="57200"/>
    <n v="53678"/>
    <n v="15.240772288472458"/>
  </r>
  <r>
    <x v="5"/>
    <s v="6.41"/>
    <s v="Desmonte y retiro de cableado existente,Incluye todas las herramientas para su correcta aplicación y limpieza y la disposicion final de residuos."/>
    <s v="gb"/>
    <n v="440743"/>
    <m/>
    <n v="12000"/>
    <n v="300000"/>
    <n v="300000"/>
    <n v="-140743"/>
    <n v="-0.3193312202349215"/>
  </r>
  <r>
    <x v="5"/>
    <s v="6.42"/>
    <s v="Suministro e instalacion de alambre No. 10,Incluye todas las herramientas para su correcta aplicación y limpieza y la disposicion final de residuos."/>
    <s v="Ml"/>
    <n v="3542"/>
    <n v="7157"/>
    <n v="21471"/>
    <n v="6700"/>
    <n v="6928.5"/>
    <n v="3386.5"/>
    <n v="0.95609824957651046"/>
  </r>
  <r>
    <x v="5"/>
    <s v="6.43"/>
    <s v="Suministro e instalación de tablero de 8 circuitos. Incluye elementos de soporte y fijación , limpieza y la disposición final de residuos."/>
    <s v="Un"/>
    <n v="93881"/>
    <n v="783000"/>
    <n v="23000"/>
    <n v="680000"/>
    <n v="731500"/>
    <n v="637619"/>
    <n v="6.7917789542079863"/>
  </r>
  <r>
    <x v="5"/>
    <s v="6.44"/>
    <s v="Mantenimiento y revisión de salidas eléctricas para iluminación, Incluye cambio de cableado,Incluye todas las herramientas para su correcta aplicación y limpieza y la disposicion final de residuos."/>
    <s v="Un"/>
    <n v="47766"/>
    <m/>
    <n v="25000"/>
    <n v="125000"/>
    <n v="125000"/>
    <n v="77234"/>
    <n v="1.6169241720051919"/>
  </r>
  <r>
    <x v="5"/>
    <s v="6.45"/>
    <s v="Mantenimiento sistema electrico tanque subterraneo (Incluye revisión de motobomba, revisión conexiones eléctricas y cambio de flotador). Incluye todas las herramientas para su correcta aplicación y limpieza y la disposicion final de residuos."/>
    <s v="Un"/>
    <n v="281043"/>
    <m/>
    <n v="32000"/>
    <n v="350000"/>
    <n v="350000"/>
    <n v="68957"/>
    <n v="0.24536103016264416"/>
  </r>
  <r>
    <x v="5"/>
    <s v="6.46"/>
    <s v="Suministro e instalacion de contactor Schneider 95 amperios. Incluye desmonte de contactor en mal de estado.Incluye todas las herramientas para su correcta aplicación y limpieza y la disposicion final de residuos."/>
    <s v="Un"/>
    <n v="1347353"/>
    <n v="0"/>
    <n v="28000"/>
    <n v="0"/>
    <n v="0"/>
    <n v="-1347353"/>
    <n v="-1"/>
  </r>
  <r>
    <x v="5"/>
    <s v="6.47"/>
    <s v="Suminsitro e Instalacion de tomacorriente doble.Incluye todas las herramientas para su correcta aplicación y limpieza y la disposicion final de residuos."/>
    <s v="Un"/>
    <n v="19992"/>
    <n v="98200"/>
    <n v="196400"/>
    <n v="78900"/>
    <n v="88550"/>
    <n v="68558"/>
    <n v="3.4292717086834732"/>
  </r>
  <r>
    <x v="5"/>
    <s v="6.48"/>
    <s v="Suminsitro e Instalacion de interruptor sencillo,Incluye todas las herramientas para su correcta aplicación y limpieza y la disposicion final de residuos."/>
    <s v="Un"/>
    <n v="15104"/>
    <n v="69514.67"/>
    <n v="139029.34"/>
    <n v="90000"/>
    <n v="79757.334999999992"/>
    <n v="64653.334999999992"/>
    <n v="4.2805438956567787"/>
  </r>
  <r>
    <x v="5"/>
    <s v="6.49"/>
    <s v="Suminsitro e Instalacion de interruptor doble,Incluye todas las herramientas para su correcta aplicación y limpieza y la disposicion final de residuos."/>
    <s v="Un"/>
    <n v="16470"/>
    <n v="77524.570000000007"/>
    <n v="77524.570000000007"/>
    <n v="78000"/>
    <n v="77762.285000000003"/>
    <n v="61292.285000000003"/>
    <n v="3.7214502125075897"/>
  </r>
  <r>
    <x v="5"/>
    <s v="6.50"/>
    <s v="Suminsitro e Instalacion de interruptor triple,Incluye todas las herramientas para su correcta aplicación y limpieza y la disposicion final de residuos."/>
    <s v="Un"/>
    <n v="23504"/>
    <n v="84694.67"/>
    <n v="84694.67"/>
    <n v="81000"/>
    <n v="82847.334999999992"/>
    <n v="59343.334999999992"/>
    <n v="2.5248185415248465"/>
  </r>
  <r>
    <x v="5"/>
    <s v="6.51"/>
    <s v="Suministro e Instalacion de Asiento para Sanitario Basic Redondo,Incluye todas las herramientas para su correcta aplicación y limpieza y la disposicion final de residuos."/>
    <s v="Un"/>
    <n v="31269"/>
    <m/>
    <n v="45000"/>
    <n v="135000"/>
    <n v="135000"/>
    <n v="103731"/>
    <n v="3.3173750359781251"/>
  </r>
  <r>
    <x v="6"/>
    <n v="7"/>
    <s v="CONCRETOS"/>
    <m/>
    <m/>
    <m/>
    <m/>
    <m/>
    <e v="#DIV/0!"/>
    <m/>
    <m/>
  </r>
  <r>
    <x v="6"/>
    <s v="7.1"/>
    <s v="Construccion de elementos en concreto grava común de 1500 psi. Incluye todos los materiales y herramientas necesarias para su correcta construccion, el retiro, limpieza y la disposicion final de residuos."/>
    <s v="M3"/>
    <n v="237140"/>
    <n v="781935"/>
    <n v="1563870"/>
    <n v="650556"/>
    <n v="716245.5"/>
    <n v="479105.5"/>
    <n v="2.0203487391414354"/>
  </r>
  <r>
    <x v="6"/>
    <s v="7.2"/>
    <s v="Construccion de elementos en concreto  grava común de 2000 psi. Incluye todos los materiales y herramientas necesarias para su correcta construccion, el retiro, limpieza y la disposicion final de residuos."/>
    <s v="M3"/>
    <n v="260776"/>
    <n v="809970"/>
    <n v="1619940"/>
    <n v="705000"/>
    <n v="757485"/>
    <n v="496709"/>
    <n v="1.9047343313801883"/>
  </r>
  <r>
    <x v="6"/>
    <s v="7.3"/>
    <s v="Construccion de elementos en concreto grava común de 2500 psi. Incluye todos los materiales y herramientas necesarias para su correcta construccion, el retiro, limpieza y la disposicion final de residuos."/>
    <s v="M3"/>
    <n v="278764"/>
    <n v="815000"/>
    <n v="1630000"/>
    <n v="725650"/>
    <n v="770325"/>
    <n v="491561"/>
    <n v="1.7633589703118049"/>
  </r>
  <r>
    <x v="6"/>
    <s v="7.4"/>
    <s v="Construccion de elementos en concreto grava común. de 3000 psi. Incluye todos los materiales y herramientas necesarias para su correcta construccion, el retiro, limpieza y la disposicion final de residuos."/>
    <s v="M3"/>
    <n v="302448"/>
    <n v="822700"/>
    <n v="1645400"/>
    <n v="755250"/>
    <n v="788975"/>
    <n v="486527"/>
    <n v="1.6086302438766333"/>
  </r>
  <r>
    <x v="6"/>
    <s v="7.5"/>
    <s v="Construccion de elementos en concreto grava común. de 3500 psi. Incluye todos los materiales y herramientas necesarias para su correcta construccion, el retiro, limpieza y la disposicion final de residuos."/>
    <s v="M3"/>
    <n v="335614"/>
    <n v="841400"/>
    <n v="1682800"/>
    <n v="768450"/>
    <n v="804925"/>
    <n v="469311"/>
    <n v="1.398365384042382"/>
  </r>
  <r>
    <x v="6"/>
    <s v="7.6"/>
    <s v="Construccion de elementos en concreto  grava fina de 2000 psi. Incluye todos los materiales y herramientas necesarias para su correcta construccion, el retiro, limpieza y la disposicion final de residuos."/>
    <s v="M3"/>
    <n v="269946"/>
    <n v="806200"/>
    <n v="1612400"/>
    <n v="735500"/>
    <n v="770850"/>
    <n v="500904"/>
    <n v="1.8555711142228446"/>
  </r>
  <r>
    <x v="6"/>
    <s v="7.7"/>
    <s v="Construccion de elementos en concreto  grava fina de 3000 psi. Incluye todos los materiales y herramientas necesarias para su correcta construccion, el retiro, limpieza y la disposicion final de residuos."/>
    <s v="M3"/>
    <n v="311931"/>
    <n v="837100"/>
    <n v="1674200"/>
    <n v="795000"/>
    <n v="816050"/>
    <n v="504119"/>
    <n v="1.6161234375551004"/>
  </r>
  <r>
    <x v="6"/>
    <s v="7.8"/>
    <s v="Reparacion de juntas, grietas y fisuras en placas de concreto. Incluye todos los materiales necesarios para su correcta reparacion, el retiro, limpieza y la disposicion final de residuos."/>
    <s v="Ml"/>
    <n v="28213"/>
    <n v="51000"/>
    <n v="153000"/>
    <n v="39650"/>
    <n v="45325"/>
    <n v="17112"/>
    <n v="0.60652890511466351"/>
  </r>
  <r>
    <x v="6"/>
    <s v="7.9"/>
    <s v="Construccion de dintel en concreto de 15 X 20 cms. Incluye todos los materiales necesarios para su correcta construccion, el retiro, limpieza y la disposicion final de residuos."/>
    <s v="Ml"/>
    <n v="44862"/>
    <n v="136000"/>
    <n v="408000"/>
    <n v="58650"/>
    <n v="97325"/>
    <n v="52463"/>
    <n v="1.1694306985867773"/>
  </r>
  <r>
    <x v="6"/>
    <s v="7.10"/>
    <s v="Construccion de canal perimetral en condreto de 3500 psi e= 0,08 a 0,12 cms. Incluye todos los materiales necesarios para su correcta construccion, el retiro, limpieza y la disposicion final de residuos."/>
    <s v="Ml"/>
    <n v="46713"/>
    <n v="218600"/>
    <n v="655800"/>
    <n v="205650"/>
    <n v="212125"/>
    <n v="165412"/>
    <n v="3.5410271230706654"/>
  </r>
  <r>
    <x v="6"/>
    <s v="7.11"/>
    <s v="Construccion de piso en concreto industrial liviano e= 10 cms. Incluye todos los materiales necesarios para su correcta construccion, el retiro, limpieza y la disposicion final de residuos."/>
    <s v="M²"/>
    <n v="84588"/>
    <n v="95000"/>
    <n v="285000"/>
    <n v="78680"/>
    <n v="86840"/>
    <n v="2252"/>
    <n v="2.6623161677779353E-2"/>
  </r>
  <r>
    <x v="6"/>
    <s v="7.12"/>
    <s v="Construccion de rejillas para piso e= 30 cms,con media caña en concreto de 3000 psi. Incluye todos los materiales necesarios para su correcta construccion, el retiro, limpieza y la disposicion final de residuos."/>
    <s v="Ml"/>
    <n v="195906"/>
    <n v="45000"/>
    <n v="135000"/>
    <n v="45000"/>
    <n v="45000"/>
    <n v="-150906"/>
    <n v="-0.77029800006125382"/>
  </r>
  <r>
    <x v="6"/>
    <s v="7.13"/>
    <s v="Construcción de placa aligerada caseton de icopor recuperable incluye  alambre, acero figurado, casetón, malla electrosoldada, todo lo necesario para su  correcta construcción, el retiro, limpieza y la disposicion final de residuos. "/>
    <s v="M²"/>
    <n v="263985"/>
    <n v="296748"/>
    <n v="890244"/>
    <n v="295680"/>
    <n v="296214"/>
    <n v="32229"/>
    <n v="0.12208648218648786"/>
  </r>
  <r>
    <x v="6"/>
    <s v="7.14"/>
    <s v="Construcción de placa aligerada caseton de guadua. Incluye  alambre, acero figurado, casetón, malla electrosoldada, todo lo necesario para su  correcta construcción, el retiro, limpieza y la disposicion final de residuos. "/>
    <s v="M²"/>
    <n v="154955"/>
    <n v="155800"/>
    <n v="467400"/>
    <n v="285000"/>
    <n v="220400"/>
    <n v="65445"/>
    <n v="0.42234842373592335"/>
  </r>
  <r>
    <x v="6"/>
    <s v="7.15"/>
    <s v="Construcción de placa en concreto 10 cm sobre lámina metaldeck 2&quot;. Incluye  alambre, acero figurado, tabla chapa, metaldeck 2&quot;x9.4 cal 20, todo lo necesario para su  correcta construcción, el retiro, limpieza y la disposicion final de residuos. "/>
    <s v="M²"/>
    <n v="119824"/>
    <n v="134310"/>
    <n v="537240"/>
    <n v="138500"/>
    <n v="136405"/>
    <n v="16581"/>
    <n v="0.13837795433302177"/>
  </r>
  <r>
    <x v="6"/>
    <s v="7.16"/>
    <s v="Construcción de placa en concreto 13 cm sobre lámina metaldeck 3&quot;. Incluye  alambre, acero figurado, tabla chapa, metaldeck 3&quot;x8.7 cal 20, todo lo necesario para su  correcta construcción, el retiro, limpieza y la disposicion final de residuos. "/>
    <s v="M²"/>
    <n v="130854"/>
    <n v="141488"/>
    <n v="565952"/>
    <n v="141000"/>
    <n v="141244"/>
    <n v="10390"/>
    <n v="7.9401470340990724E-2"/>
  </r>
  <r>
    <x v="6"/>
    <s v="7.17"/>
    <s v="Construcción de placa en concreto 15 cm sobre lámina metaldeck 2&quot;. Incluye  alambre, acero figurado, tabla chapa, metaldeck 2&quot;x9.4 cal 20, todo lo necesario para su  correcta construcción, el retiro, limpieza y la disposicion final de residuos. "/>
    <s v="M²"/>
    <n v="139264"/>
    <n v="162837"/>
    <n v="651348"/>
    <n v="163520"/>
    <n v="163178.5"/>
    <n v="23914.5"/>
    <n v="0.17172061695772059"/>
  </r>
  <r>
    <x v="6"/>
    <s v="7.18"/>
    <s v="Construcción de placa en concreto 15 cm sobre lámina metaldeck 3&quot;. Incluye  alambre, acero figurado, tabla chapa, metaldeck 3&quot;x8.7 cal 20, todo lo necesario para su  correcta construcción, el retiro, limpieza y la disposicion final de residuos. "/>
    <s v="M²"/>
    <n v="138628"/>
    <n v="160653"/>
    <n v="642612"/>
    <n v="163520"/>
    <n v="162086.5"/>
    <n v="23458.5"/>
    <n v="0.16921906108434082"/>
  </r>
  <r>
    <x v="6"/>
    <s v="7.19"/>
    <s v="Construcción de alfajía concreto de 15 cm  Incluye  alambre, hierro figurado, tabla chapa, y todo lo necesario para su  correcta construcción, el retiro, limpieza y la disposicion final de residuos. "/>
    <s v="M"/>
    <n v="24643"/>
    <n v="29635"/>
    <n v="118540"/>
    <n v="45600"/>
    <n v="37617.5"/>
    <n v="12974.5"/>
    <n v="0.52649839711074142"/>
  </r>
  <r>
    <x v="6"/>
    <s v="7.20"/>
    <s v="Construcción de alfajía concreto de 25 cm  Incluye  alambre, hierro figurado, tabla chapa, y todo lo necesario para su  correcta construcción, el retiro, limpieza y la disposicion final de residuos. "/>
    <s v="M"/>
    <n v="42280"/>
    <n v="50954"/>
    <n v="203816"/>
    <n v="52550"/>
    <n v="51752"/>
    <n v="9472"/>
    <n v="0.22403027436140019"/>
  </r>
  <r>
    <x v="6"/>
    <s v="7.21"/>
    <s v="Mantenimiento de alfajia en concreto. Incluye pintura para desarrollos menores a 60 cms y todos los materiales necesarios para el correcto mantenimiento, el retiro, limpieza y la disposicion final de residuos. "/>
    <s v="Ml"/>
    <n v="135932"/>
    <n v="58272"/>
    <n v="233088"/>
    <m/>
    <n v="58272"/>
    <n v="-77660"/>
    <n v="-0.5713150692993556"/>
  </r>
  <r>
    <x v="6"/>
    <s v="7.22"/>
    <s v="Construcción de placa en concreto 3000 psi 10 cm malla elect. entrepiso incluye  alambre, acero figurado, casetón, malla electrosoldada, todo lo necesario para su  correcta construcción, el retiro, limpieza y la disposicion final de residuos. "/>
    <s v="M²"/>
    <n v="89913"/>
    <n v="97693"/>
    <n v="488465"/>
    <n v="96666"/>
    <n v="97179.5"/>
    <n v="7266.5"/>
    <n v="8.0817012000489366E-2"/>
  </r>
  <r>
    <x v="6"/>
    <s v="7.23"/>
    <s v="Construcción de muro en concreto 3000 psi 10 cm. Incluye  formaleta, malla electrosoldada, todo lo necesario para su  correcta construcción, el retiro, limpieza y la disposicion final de residuos. "/>
    <s v="Ml"/>
    <n v="128044"/>
    <n v="148754"/>
    <n v="743770"/>
    <n v="145622"/>
    <n v="147188"/>
    <n v="19144"/>
    <n v="0.14951110555746464"/>
  </r>
  <r>
    <x v="6"/>
    <s v="7.24"/>
    <s v="Construcción de columna 40x30cm  Incluye  formaleta, acero figurado, alambre , todo lo necesario para su  correcta construcción, el retiro, limpieza y la disposicion final de residuos. "/>
    <s v="Ml"/>
    <n v="188397"/>
    <n v="240043"/>
    <n v="1200215"/>
    <n v="232500"/>
    <n v="236271.5"/>
    <n v="47874.5"/>
    <n v="0.25411498059947873"/>
  </r>
  <r>
    <x v="6"/>
    <s v="7.25"/>
    <s v="Escalificacion de concretos. Incluye todos los materiales necesarios para su correcta escalificacion, el retiro, limpieza y la disposicion final de residuos."/>
    <s v="M²"/>
    <n v="31392"/>
    <n v="35000"/>
    <n v="175000"/>
    <n v="15550"/>
    <n v="25275"/>
    <n v="-6117"/>
    <n v="-0.1948585626911315"/>
  </r>
  <r>
    <x v="6"/>
    <s v="7.26"/>
    <s v="Construccion de poyo para cocinas y baños. Inclulye todos los materiales necesarios para su correcta construccion, demolicion, retiro, limpieza y la disposicion final de residuos.y limpieza de las areas afectadas. "/>
    <s v="Ml"/>
    <n v="26000"/>
    <n v="45000"/>
    <n v="225000"/>
    <n v="45000"/>
    <n v="45000"/>
    <n v="19000"/>
    <n v="0.73076923076923073"/>
  </r>
  <r>
    <x v="6"/>
    <s v="7.27"/>
    <s v="Suministro e instalacion de Viga Corrida concreto de 3,000 psi 0,30x0,40 para cimentacion, inlcuye refuerzo longitudinal en varillas de 3/8&quot;, acero figurado, estribos espaciados cada 15 cm angúlo de 90°. Limpieza de las áreas afectadas y disposición final de residuos"/>
    <s v="Ml"/>
    <n v="73462"/>
    <m/>
    <n v="450000"/>
    <n v="145600"/>
    <n v="145600"/>
    <n v="72138"/>
    <n v="0.98197707658381206"/>
  </r>
  <r>
    <x v="6"/>
    <s v="7.28"/>
    <s v="Suministro e instalacion de Columneta en concreto de 3,000 psi de 0,15x0,2 para confinamiento, incluye refuerzo longitudinal varillas de 3/8&quot; a 1/2&quot;y transversal, estribos separados 15 cm con ángulo de 90°. Limpieza de las áreas afectadas y disposición final de residuos"/>
    <s v="Ml"/>
    <n v="105642"/>
    <n v="65155.21"/>
    <n v="195465.63"/>
    <n v="6500"/>
    <n v="35827.604999999996"/>
    <n v="-69814.395000000004"/>
    <n v="-0.66085832339410466"/>
  </r>
  <r>
    <x v="6"/>
    <s v="7.29"/>
    <s v="Suministro e instalacion de Viga superior de borde culata concreto de 3,000 psi 0,30x0,40, inlcuye refuerzo longitudinal en varillas de 3/8&quot;, acero figurado, estribos espaciados cada 15 cm angúlo de 90°. Limpieza de las áreas afectadas y disposición final de residuos"/>
    <s v="Ml"/>
    <n v="103174"/>
    <m/>
    <n v="450000"/>
    <n v="155000"/>
    <n v="155000"/>
    <n v="51826"/>
    <n v="0.50231647508093125"/>
  </r>
  <r>
    <x v="6"/>
    <s v="7.30"/>
    <s v="Suministro e Instalacion de marco y contramarco en angulo 2&quot; x 3/16&quot;. Incluye fundida tapa de concreto,Incluye todas las herramientas para su correcta aplicación y limpieza y la disposicion final de residuos."/>
    <s v="Un"/>
    <n v="321404"/>
    <m/>
    <n v="45000"/>
    <n v="245600"/>
    <n v="245600"/>
    <n v="-75804"/>
    <n v="-0.23585269629500566"/>
  </r>
  <r>
    <x v="7"/>
    <n v="8"/>
    <s v="IMPERMEABILIZACIÓN"/>
    <m/>
    <m/>
    <m/>
    <m/>
    <m/>
    <e v="#DIV/0!"/>
    <m/>
    <m/>
  </r>
  <r>
    <x v="7"/>
    <s v="8.1"/>
    <s v="Suministro e inslatación de bicapa manto asfáltico pentaflex 8mm alta exigencia. Incluye impermeabilizante emultexsa (22 kg) ,manto 4mm pentaflex poliet. manto doble refuerzo pe.+polyest. 4mm ,tela asfáltica n°15 (40m2) y todo lo necesario para su correcta construcción, retiro limpieza y disposición final de residuos. "/>
    <s v="M²"/>
    <n v="79415"/>
    <n v="99250"/>
    <n v="198500"/>
    <n v="86700"/>
    <n v="92975"/>
    <n v="13560"/>
    <n v="0.17074859913114651"/>
  </r>
  <r>
    <x v="7"/>
    <s v="8.2"/>
    <s v="Suministro e inslatación de bicapa manto asfáltico pentaflex 8mm refuerzo polietileno incluye impermeabilizante emultexsa (22 kg) , manto 4mm pentaflex poliet.,tela asfáltica n°15 (40m2) y todo lo necesario para su correcta construcción, retiro limpieza y disposición final de residuos. "/>
    <s v="M²"/>
    <n v="64862"/>
    <n v="99250"/>
    <n v="397000"/>
    <n v="86700"/>
    <n v="92975"/>
    <n v="28113"/>
    <n v="0.43342789306527707"/>
  </r>
  <r>
    <x v="7"/>
    <s v="8.3"/>
    <s v="Suministro e inslatación de membrana sintética covertexsa pvc sistema flotado. incluye masilla water cut off mastic , membrana sinté. covertexsa pvc 1.2mm , sellante adhesivo texsaelastik ,sellante para bordes recortados  y todo lo necesario para su correcta construcción, retiro limpieza y disposición final de residuos."/>
    <s v="M²"/>
    <n v="98760"/>
    <n v="85032.73"/>
    <n v="510196.38"/>
    <n v="84300"/>
    <n v="84666.364999999991"/>
    <n v="-14093.635000000009"/>
    <n v="-0.14270590319967608"/>
  </r>
  <r>
    <x v="7"/>
    <s v="8.4"/>
    <s v="Suministro e inslatación de membrana sintética tpo 1.2mm membrana sintética tpo sistema flotado . incluye masilla water cut off mastic , membrana sintética tpo 1.2mm , sellante adhesivo texsaelastik , sellante para bordes recortados  y todo lo necesario para su correcta construcción, retiro limpieza y disposición final de residuos."/>
    <s v="M²"/>
    <n v="107085"/>
    <n v="85032.72"/>
    <n v="680261.76"/>
    <n v="90700"/>
    <n v="87866.36"/>
    <n v="-19218.64"/>
    <n v="-0.17947088761264415"/>
  </r>
  <r>
    <x v="7"/>
    <s v="8.5"/>
    <s v="Suministro e inslatación de monocapa manto asfáltico morterplas 4mm ref.polietileno, incluye impermeabilizante emultexsa (22 kg) , manto asfál.4mm ref.pe ,tela asfáltica n°15 (40m2)  y todo lo necesario para su correcta construcción, retiro limpieza y disposición final de residuos."/>
    <s v="M²"/>
    <n v="41245"/>
    <n v="0"/>
    <n v="68000"/>
    <n v="0"/>
    <n v="0"/>
    <n v="-41245"/>
    <n v="-1"/>
  </r>
  <r>
    <x v="7"/>
    <s v="8.6"/>
    <s v="Suministro e inslatación de tela asfáltica n°15 (40m2) . incluye impermeabilizante emultexsa (22 kg) , manto asfá l.4mm ref.pe  ,monocapa manto asfáltico pentaflex 4mm  y todo lo necesario para su correcta construcción, retiro limpieza y disposición final de residuos."/>
    <s v="M²"/>
    <n v="40505"/>
    <n v="61358.63"/>
    <n v="245434.52"/>
    <n v="59700"/>
    <n v="60529.315000000002"/>
    <n v="20024.315000000002"/>
    <n v="0.49436649796321447"/>
  </r>
  <r>
    <x v="7"/>
    <s v="8.7"/>
    <s v="Suministro e inslatación de  bicapa manto asfáltico pentaflex 6.2mm foil al.ref.polie. incluye manto asfál 3.2mm foil aluminio ref.pe , impermeabilizante emultexsa (22 kg) ,manto asfál.3mm ref.pe y todo lo necesario para su correcta construcción, retiro limpieza y disposición final de residuos."/>
    <s v="M²"/>
    <n v="54231"/>
    <n v="63859.63"/>
    <n v="383157.77999999997"/>
    <n v="86700"/>
    <n v="75279.815000000002"/>
    <n v="21048.815000000002"/>
    <n v="0.38813252567719575"/>
  </r>
  <r>
    <x v="7"/>
    <s v="8.8"/>
    <s v="Suministro e inslatación de bicapa manto asfáltico pentaflex 7.6mm foil al.ref.polie incluye  impermeabilizante emultexsa (22 kg) ,manto asfál 3.2mm foil aluminio ref.pe ,manto asfál.4mm ref.pe , pintura bituminosa alum. tipo leafing (16kg) y todo lo necesario para su correcta construcción, retiro limpieza y disposición final de residuos."/>
    <s v="M²"/>
    <n v="62717"/>
    <m/>
    <n v="75000"/>
    <n v="125400"/>
    <n v="125400"/>
    <n v="62683"/>
    <n v="0.99945788223288745"/>
  </r>
  <r>
    <x v="7"/>
    <s v="8.9"/>
    <s v="Suministro e inslatación de membrana sintética covertexsa pvc sistema anclado incluye masilla water cut off mastic,membrana sinté. covertexsa pvc 1.2mm , membrana sintética tpo sin refuerzo , sellante adhesivo texsaelastik , sellante para bordes recortados  y todo lo necesario para su correcta construcción, retiro limpieza y disposición final de residuos."/>
    <s v="M²"/>
    <n v="110758"/>
    <m/>
    <n v="68000"/>
    <n v="187600"/>
    <n v="187600"/>
    <n v="76842"/>
    <n v="0.69378284187146755"/>
  </r>
  <r>
    <x v="7"/>
    <s v="8.10"/>
    <s v="Suministro e inslatación de membrana sintética tipo sistema ancladoincluye masilla water cut off mastic,membrana sintética tipo 1.2 mm, sellante adhesivo texsaelastik , sellante para bordes recortados  y todo lo necesario para su correcta construcción, retiro limpieza y disposición final de residuos."/>
    <s v="M²"/>
    <n v="118902"/>
    <m/>
    <n v="70000"/>
    <n v="176000"/>
    <n v="176000"/>
    <n v="57098"/>
    <n v="0.48021059359808921"/>
  </r>
  <r>
    <x v="7"/>
    <s v="8.11"/>
    <s v="Suministro e inslatación de monocapa manto asf.morterplas 3.5mm foil alum.ref.polie. m. incluye impermeabilizante emultexsa (22 kg), manto asfál 3.5mm foil aluminio ref.pe. pintura bituminosa alum. tipo leafing (16kg)  y todo lo necesario para su correcta construcción, retiro limpieza y disposición final de residuos."/>
    <s v="M²"/>
    <n v="42973"/>
    <m/>
    <n v="67000"/>
    <n v="167000"/>
    <n v="167000"/>
    <n v="124027"/>
    <n v="2.8861610778861144"/>
  </r>
  <r>
    <x v="7"/>
    <s v="8.12"/>
    <s v="Suministro e inslatación de monocapa manto asf.morterplas 3.6mm foil alum.ref.polie. m. incluye impermeabilizante emultexsa (22 kg), manto asfál 3.6mm foil aluminio ref.pe. pintura bituminosa alum. tipo leafing (16kg)  y todo lo necesario para su correcta construcción, retiro limpieza y disposición final de residuos."/>
    <s v="M²"/>
    <n v="30814"/>
    <m/>
    <n v="72000"/>
    <n v="178000"/>
    <n v="178000"/>
    <n v="147186"/>
    <n v="4.7765950541961448"/>
  </r>
  <r>
    <x v="7"/>
    <s v="8.13"/>
    <s v="Suministro e inslatación de membrana sintética tpo para tanques de agua. incluye masilla water cut off mastic , membrana sintética tpo 1.2mm ,membrana sintética tpo sin refuerzo , sellante adhesivo texsaelastik , sellante para bordes recortados y todo lo necesario para su correcta construcción, retiro limpieza y disposición final de residuos."/>
    <s v="M²"/>
    <n v="120469"/>
    <m/>
    <n v="71000"/>
    <n v="178000"/>
    <n v="178000"/>
    <n v="57531"/>
    <n v="0.47755854203156001"/>
  </r>
  <r>
    <x v="7"/>
    <s v="8.14"/>
    <s v="Aplicación de mortero impermeabilizado con XYPEX e= 4 cms. Incluye la limpieza de las areas afectadas. Incluye todas las herramientas para su correcta aplicación y limpieza y la disposicion final de residuos."/>
    <s v="M²"/>
    <n v="37344"/>
    <m/>
    <n v="70000"/>
    <n v="54000"/>
    <n v="54000"/>
    <n v="16656"/>
    <n v="0.44601542416452444"/>
  </r>
  <r>
    <x v="8"/>
    <n v="9"/>
    <s v="MAMPOSTERIA Y MUROS DIVISORIOS"/>
    <m/>
    <m/>
    <m/>
    <m/>
    <m/>
    <e v="#DIV/0!"/>
    <m/>
    <m/>
  </r>
  <r>
    <x v="8"/>
    <s v="9.1"/>
    <s v="Suministro y construccion de muro en Dry Wall una cara e= 0,12 cms. Incluye dos manos de pintura, todos los materiales necesarios para su correcta construccion, retiro, disposicion final de residuos y limpieza de las areas afectadas."/>
    <s v="M²"/>
    <n v="38711"/>
    <n v="72800"/>
    <n v="145600"/>
    <n v="68500"/>
    <n v="70650"/>
    <n v="31939"/>
    <n v="0.82506264369300719"/>
  </r>
  <r>
    <x v="8"/>
    <s v="9.2"/>
    <s v="Suministro y construccion de muro en Dry Wall doble caras e= 0,10 cms. Incluye todos los materiales necesarios para su correcta construccion, retiro, disposicion final de residuos y limpieza de las areas afectadas."/>
    <s v="M²"/>
    <n v="52807"/>
    <n v="67500"/>
    <n v="135000"/>
    <n v="65400"/>
    <n v="66450"/>
    <n v="13643"/>
    <n v="0.2583558997860132"/>
  </r>
  <r>
    <x v="8"/>
    <s v="9.3"/>
    <s v=" Suministro y construccion de muro en Dry Wall doble cara e= 12 cms. Ingcluye todos los materiales necesarios para su correcta construccion, retiro, disposicion final de residuos y limpieza de las areas afectadas."/>
    <s v="M²"/>
    <n v="52807"/>
    <n v="67500"/>
    <n v="135000"/>
    <n v="65400"/>
    <n v="66450"/>
    <n v="13643"/>
    <n v="0.2583558997860132"/>
  </r>
  <r>
    <x v="8"/>
    <s v="9.4"/>
    <s v=" Suministro y construccion de muro en ladrillo macizo recocido e= 12 cms. Incluye todos los materiales necesarios para su correcta construccion, retiro, disposicion final de residuos y limpieza de las areas afectadas."/>
    <s v="M²"/>
    <n v="39139"/>
    <n v="123750"/>
    <n v="495000"/>
    <n v="85600"/>
    <n v="104675"/>
    <n v="65536"/>
    <n v="1.6744423720585606"/>
  </r>
  <r>
    <x v="8"/>
    <s v="9.5"/>
    <s v=" Suministro y construccion de muro en superboar dos caras e= 10 cms. Incluye todos los materiales necesarios para su correcta construccion, retiro, disposicion final de residuos y limpieza de las areas afectadas."/>
    <s v="M²"/>
    <n v="64919"/>
    <n v="95000"/>
    <n v="380000"/>
    <n v="93650"/>
    <n v="94325"/>
    <n v="29406"/>
    <n v="0.4529644634082472"/>
  </r>
  <r>
    <x v="8"/>
    <s v="9.6"/>
    <s v=" Suministro y construccion de muro  ladrillo estructural  portante 30cm. Incluye todos los materiales necesarios para su correcta construccion, retiro, disposicion final de residuos y limpieza de las areas afectadas."/>
    <s v="M²"/>
    <n v="129439"/>
    <n v="173256"/>
    <n v="693024"/>
    <n v="129700"/>
    <n v="151478"/>
    <n v="22039"/>
    <n v="0.17026553048153956"/>
  </r>
  <r>
    <x v="8"/>
    <s v="9.7"/>
    <s v="Suministro y construccion de muro divisorio bloque estriado No. 4  Incluye todos los materiales necesarios para su correcta construccion, retiro, disposicion final de residuos y limpieza de las areas afectadas."/>
    <s v="M²"/>
    <n v="38549"/>
    <n v="41250"/>
    <n v="123750"/>
    <n v="38500"/>
    <n v="39875"/>
    <n v="1326"/>
    <n v="3.4397779449531762E-2"/>
  </r>
  <r>
    <x v="8"/>
    <s v="9.8"/>
    <s v="Suministro y construccion de muro divisorio bloque estriado No. 5 Incluye todos los materiales necesarios para su correcta construccion, retiro, disposicion final de residuos y limpieza de las areas afectadas."/>
    <s v="M²"/>
    <n v="40770"/>
    <n v="42250"/>
    <n v="126750"/>
    <n v="42500"/>
    <n v="42375"/>
    <n v="1605"/>
    <n v="3.9367181751287714E-2"/>
  </r>
  <r>
    <x v="8"/>
    <s v="9.9"/>
    <s v="Suministro y construccion de muro fachada ladrillo tollete granformato Incluye todos los materiales necesarios para su correcta construccion, retiro, disposicion final de residuos y limpieza de las areas afectadas."/>
    <s v="M²"/>
    <n v="108072"/>
    <n v="120200"/>
    <n v="120200"/>
    <n v="96800"/>
    <n v="108500"/>
    <n v="428"/>
    <n v="3.9603227477977643E-3"/>
  </r>
  <r>
    <x v="8"/>
    <s v="9.10"/>
    <s v="Suministro y construccion de muro fachada ladrillo prensado liviano.Incluye todos los materiales necesarios para su correcta construccion, retiro, disposicion final de residuos y limpieza de las areas afectadas."/>
    <s v="M²"/>
    <n v="109753"/>
    <n v="118838"/>
    <n v="118838"/>
    <n v="108900"/>
    <n v="113869"/>
    <n v="4116"/>
    <n v="3.7502391734166717E-2"/>
  </r>
  <r>
    <x v="8"/>
    <s v="9.11"/>
    <s v="Suministro y construccion columna de confinamiento 20x 12.Incluye todos los materiales necesarios para su correcta construccion, retiro, disposicion final de residuos y limpieza de las areas afectadas."/>
    <s v="Ml"/>
    <n v="103610"/>
    <n v="23500"/>
    <n v="23500"/>
    <n v="35800"/>
    <n v="29650"/>
    <n v="-73960"/>
    <n v="-0.71383071132130105"/>
  </r>
  <r>
    <x v="8"/>
    <s v="9.12"/>
    <s v="Suministro y construccion muro bloque concreto estructural 19 cm.Incluye todos los materiales necesarios para su correcta construccion, retiro, disposicion final de residuos y limpieza de las areas afectadas."/>
    <s v="M²"/>
    <n v="99472"/>
    <n v="114400"/>
    <n v="457600"/>
    <n v="98600"/>
    <n v="106500"/>
    <n v="7028"/>
    <n v="7.065304809393598E-2"/>
  </r>
  <r>
    <x v="8"/>
    <s v="9.13"/>
    <s v="Regata en muro (Incluye corte, demoliión, resane y pintura). Inlcuye limpieza de las areas afectadas."/>
    <s v="Ml"/>
    <n v="12540"/>
    <n v="700"/>
    <n v="2100"/>
    <n v="12500"/>
    <n v="6600"/>
    <n v="-5940"/>
    <n v="-0.47368421052631576"/>
  </r>
  <r>
    <x v="8"/>
    <s v="9.14"/>
    <s v="Cierre de orificio en mampoteria. Incluye pañete, estuco y pintura "/>
    <s v="M²"/>
    <n v="74944"/>
    <m/>
    <n v="3000"/>
    <n v="30200"/>
    <n v="30200"/>
    <n v="-44744"/>
    <n v="-0.59703245089666956"/>
  </r>
  <r>
    <x v="8"/>
    <s v="9.15"/>
    <s v="Suministro, instalacion y transporte de gabinete cocina superior de 3,15 x 0,60 * 0,30 en PVC, enchapado en lamina de formica (color a escoger) con jaladores tipo manijas satinados y demas accesorios para su debido funcionamiento. Incluye todas las herramientas para su correcta aplicación y limpieza y la disposicion final de residuos."/>
    <s v="Ml"/>
    <n v="707641"/>
    <m/>
    <n v="560000"/>
    <n v="450000"/>
    <n v="450000"/>
    <n v="-257641"/>
    <n v="-0.3640843308965987"/>
  </r>
  <r>
    <x v="8"/>
    <s v="9.16"/>
    <s v="Suministro, instalacion y transporte de gabinete cocina inferior de 3,15 x 0,80 * 0,60 en PVC, enchapado en lamina de formica (color a escoger) con jaladores tipo manijas satinados y demas accesorios para su debido funcionamiento.Incluye todas las herramientas para su correcta aplicación y limpieza y la disposicion final de residuos."/>
    <s v="Ml"/>
    <n v="843847"/>
    <m/>
    <n v="550000"/>
    <n v="560000"/>
    <n v="560000"/>
    <n v="-283847"/>
    <n v="-0.33637258886978327"/>
  </r>
  <r>
    <x v="8"/>
    <s v="9.17"/>
    <s v="Desmonte, mantenimiento y reinstalacion de meson de cocina,Incluye todas las herramientas para su correcta aplicación y limpieza y la disposicion final de residuos."/>
    <s v="Ml"/>
    <n v="100326"/>
    <m/>
    <n v="450000"/>
    <n v="150000"/>
    <n v="150000"/>
    <n v="49674"/>
    <n v="0.49512588959990433"/>
  </r>
  <r>
    <x v="8"/>
    <s v="9.18"/>
    <s v="Cerramiento en lamina superboard. Incluye transporte,Incluye todas las herramientas para su correcta aplicación y limpieza y la disposicion final de residuos."/>
    <s v="M²"/>
    <n v="11753"/>
    <m/>
    <n v="350000"/>
    <n v="124000"/>
    <n v="124000"/>
    <n v="112247"/>
    <n v="9.5504977452565303"/>
  </r>
  <r>
    <x v="9"/>
    <n v="10"/>
    <s v="CARPINTERIA EN MADERA Y METAL"/>
    <m/>
    <m/>
    <m/>
    <m/>
    <m/>
    <e v="#DIV/0!"/>
    <m/>
    <m/>
  </r>
  <r>
    <x v="9"/>
    <s v="10.1"/>
    <s v="Suministro e instalacion de canal metalica para un desarrollo de 1,10 mts. Incluye, pintura, anticorrosivo y esmalte. Retiro, disposicion final de residuos y limpieza de las areas afectadas."/>
    <s v="Ml"/>
    <n v="59234"/>
    <n v="42415"/>
    <n v="84830"/>
    <n v="65680"/>
    <n v="54047.5"/>
    <n v="-5186.5"/>
    <n v="-8.7559509741027108E-2"/>
  </r>
  <r>
    <x v="9"/>
    <s v="10.2"/>
    <s v="Mantenimiento de puertas en madera. Incluye, raspado, lijado, resane, inmunizado, pintura, cambio de bisagras, tornillos en ambas caras, retiro, disposicion final de residuos y limpieza de las areas afectadas."/>
    <s v="Un"/>
    <n v="75285"/>
    <n v="56000"/>
    <n v="112000"/>
    <n v="53655"/>
    <n v="54827.5"/>
    <n v="-20457.5"/>
    <n v="-0.2717340771734077"/>
  </r>
  <r>
    <x v="9"/>
    <s v="10.3"/>
    <s v="Mantenimiento de muebles en madera para cocinas integrales, baños y mesones. Incluye, raspado, lijado, resane, inmunizado, pintura, cambio de bisagras y tornillos en ambas caras, retiro, disposicion final de residuos y limpieza de las areas afectadas."/>
    <s v="Un"/>
    <n v="129459"/>
    <n v="400000"/>
    <n v="1200000"/>
    <n v="385000"/>
    <n v="392500"/>
    <n v="263041"/>
    <n v="2.0318479209633939"/>
  </r>
  <r>
    <x v="9"/>
    <s v="10.4"/>
    <s v="Mantenimiento de ventana metalica y madera existente. Incluye, raspado, lijado, resane, inmunizado, pintura, cambio de bisagras y tornillos en ambas caras, retiro, disposicion final de residuos y limpieza de las areas afectadas."/>
    <s v="M²"/>
    <n v="8307"/>
    <n v="65000"/>
    <n v="130000"/>
    <n v="7500"/>
    <n v="36250"/>
    <n v="27943"/>
    <n v="3.3637895750571807"/>
  </r>
  <r>
    <x v="9"/>
    <s v="10.5"/>
    <s v="Suministro e instalacion de ventana tipo celosia en aluminio anodizado natural color blanco mate con vidrio en cristal templado laminado 4+4 = 8 MM con tubular estructural (Calibre 16) de 3&quot; X 1 1/2&quot;, adaptador, pisa vidrio y empaque de referencia 3831.  Incluye, la disposicion final de residuos y limpieza de las areas afectadas."/>
    <s v="M²"/>
    <n v="418578"/>
    <m/>
    <n v="450000"/>
    <n v="350000"/>
    <n v="350000"/>
    <n v="-68578"/>
    <n v="-0.16383565309213574"/>
  </r>
  <r>
    <x v="9"/>
    <s v="10.6"/>
    <s v="Suministro e instalacion de ventana en aluminio anodizado natural color blanco mate con vidrio en cristal templado laminado 4+4 = 8 MM con tubular estructural (Calibre 16) de 3&quot; X 1 1/2&quot;, adaptador, pisa vidrio y empaque de referencia 3831. Incluye, la disposicion final de residuos y limpieza de las areas afectadas."/>
    <s v="M²"/>
    <n v="171661"/>
    <n v="520000"/>
    <n v="450000"/>
    <n v="485000"/>
    <n v="502500"/>
    <n v="330839"/>
    <n v="1.9272810947157479"/>
  </r>
  <r>
    <x v="9"/>
    <s v="10.7"/>
    <s v="Suministro e instalacion de ventana corrediza en aluminio natural mate con vidrio de 4 mm con adaptador, pisa vidrio y empaques. Incluye, la disposicion final de residuos y limpieza de las areas afectadas."/>
    <s v="M²"/>
    <n v="193418"/>
    <n v="280000"/>
    <n v="403332.5"/>
    <n v="255600"/>
    <n v="267800"/>
    <n v="74382"/>
    <n v="0.38456606934204673"/>
  </r>
  <r>
    <x v="9"/>
    <s v="10.8"/>
    <s v="Suministro e instalacion puerta y marco en flormorado 2.00x0.80 cms de ancho. Incluye, pintura, bisagras, tornillos en ambas caras, chapa, la disposicion final de residuos y limpieza de las areas afectadas."/>
    <s v="Un"/>
    <n v="538287"/>
    <n v="453119.65"/>
    <n v="1359358.9500000002"/>
    <n v="495800"/>
    <n v="474459.82500000001"/>
    <n v="-63827.174999999988"/>
    <n v="-0.11857461725807977"/>
  </r>
  <r>
    <x v="9"/>
    <s v="10.9"/>
    <s v="Suministro e instalacion de puerta en madera de 2.00x0.90 cms de ancho. Incluye, pintura, bisagras, tornillos en ambas caras, chapa, la disposicion final de residuos y limpieza de las areas afectadas."/>
    <s v="Un"/>
    <n v="555800"/>
    <n v="475506.3"/>
    <n v="1426518.9"/>
    <n v="455600"/>
    <n v="465553.15"/>
    <n v="-90246.849999999977"/>
    <n v="-0.16237288593019067"/>
  </r>
  <r>
    <x v="9"/>
    <s v="10.10"/>
    <s v="Suministro e instalacion de puerta en flormorado de 2.00x1.00 cms de ancho. Incluye, pintura, bisagras, tornillos en ambas caras, chapa, la disposicion final de residuos y limpieza de las areas afectadas."/>
    <s v="Un"/>
    <n v="597016"/>
    <n v="430733"/>
    <n v="1722932"/>
    <n v="430000"/>
    <n v="430366.5"/>
    <n v="-166649.5"/>
    <n v="-0.27913741005266191"/>
  </r>
  <r>
    <x v="9"/>
    <s v="10.11"/>
    <s v="Suministro e instalacion marco en flormorado 2.00x0.80. Incluye, pintura, tornillos en ambas caras, chapa, la disposicion final de residuos y limpieza de las areas afectadas."/>
    <s v="Un"/>
    <n v="260853"/>
    <n v="450000"/>
    <n v="450000"/>
    <n v="445000"/>
    <n v="447500"/>
    <n v="186647"/>
    <n v="0.71552560254242814"/>
  </r>
  <r>
    <x v="9"/>
    <s v="10.12"/>
    <s v="Suministro e instalacion puerta en lamina. Incluye, pintura, anticorrosivo, bisagras, tornillos en ambas caras, chapa, la disposicion final de residuos y limpieza de las areas afectadas."/>
    <s v="M²"/>
    <n v="264421"/>
    <n v="562105.80000000005"/>
    <n v="1124211.6000000001"/>
    <n v="495862"/>
    <n v="528983.9"/>
    <n v="264562.90000000002"/>
    <n v="1.0005366442150965"/>
  </r>
  <r>
    <x v="9"/>
    <s v="10.13"/>
    <s v="Suministro e instalacion de puerta en aluminio blanco con persiana. Incluye el marco en aluminio desde (0.80 cms a 1 metro de ancho) por (2.00 metros de alto hasta 2.10 metros)."/>
    <s v="M²"/>
    <n v="177689"/>
    <n v="501332.5"/>
    <n v="1503997.5"/>
    <n v="485690"/>
    <n v="493511.25"/>
    <n v="315822.25"/>
    <n v="1.7773877392522892"/>
  </r>
  <r>
    <x v="9"/>
    <s v="10.14"/>
    <s v="Reparación de puerta de entrada principal existente, que permita garantizar la seguridad del inmueble. Incluye, raspado, lijado, resane, inmunizado, pintura, anticorrocivo, cambio de bisagras y tornillos en ambas caras, retiro, disposicion final de residuos y limpieza de las areas afectadas."/>
    <s v="M²"/>
    <n v="1256644"/>
    <n v="50262"/>
    <n v="150786"/>
    <n v="85600"/>
    <n v="67931"/>
    <n v="-1188713"/>
    <n v="-0.94594252628429376"/>
  </r>
  <r>
    <x v="9"/>
    <s v="10.15"/>
    <s v="Lavado de ventana existente. Incluye la disposicion final de residuos y limpieza de las areas afectadas."/>
    <s v="M²"/>
    <n v="4604"/>
    <n v="2387.94"/>
    <n v="2387.94"/>
    <n v="1500"/>
    <n v="1943.97"/>
    <n v="-2660.0299999999997"/>
    <n v="-0.57776498696785394"/>
  </r>
  <r>
    <x v="9"/>
    <s v="10.16"/>
    <s v="Suministro e instalacion de cerradura para puerta en madera. Incluye la disposicion final de residuos y limpieza de las areas afectadas."/>
    <s v="Un"/>
    <n v="68375"/>
    <n v="65000"/>
    <n v="130000"/>
    <n v="60000"/>
    <n v="62500"/>
    <n v="-5875"/>
    <n v="-8.5923217550274225E-2"/>
  </r>
  <r>
    <x v="9"/>
    <s v="10.17"/>
    <s v="Suministro e instalacion de puerta reja en tuberia cuadrada de 1&quot; calibre 18 con marco. Incluye, pintura, tornillos en ambas caras, chapa, la disposicion final de residuos y limpieza de las areas afectadas."/>
    <s v="M²"/>
    <n v="189489"/>
    <n v="75666.69"/>
    <n v="227000.07"/>
    <n v="95800"/>
    <n v="85733.345000000001"/>
    <n v="-103755.655"/>
    <n v="-0.54755502957955338"/>
  </r>
  <r>
    <x v="9"/>
    <s v="10.18"/>
    <s v="Suministro e instalacion de mueble bajo en sapan para cocina existente. Incluye entrepaños, cajones con rieles telescopicos y puertas con bisagras alemanas, pintura, tornillos en ambas caras, chapa, la disposicion final de residuos y limpieza de las areas afectadas."/>
    <s v="Ml"/>
    <n v="325638"/>
    <n v="462900"/>
    <n v="462900"/>
    <n v="456300"/>
    <n v="459600"/>
    <n v="133962"/>
    <n v="0.41138319237926779"/>
  </r>
  <r>
    <x v="9"/>
    <s v="10.19"/>
    <s v="Suministro e instalacion de mueble alto en sapan para cocina existente. Incluye entrepaños, cajones con rieles telescopicos y puertas con bisagras alemanas, pintura, tornillos en ambas caras, chapa, la disposicion final de residuos y limpieza de las areas afectadas."/>
    <s v="Ml"/>
    <n v="369056"/>
    <n v="515691"/>
    <n v="1031382"/>
    <n v="500051"/>
    <n v="507871"/>
    <n v="138815"/>
    <n v="0.37613532905575303"/>
  </r>
  <r>
    <x v="9"/>
    <s v="10.20"/>
    <s v="Suministro e instalacion de divisiones para baño en cristal laminado templado 5+5, con pelicula PVB de color tipo pannel. Incluye anclajes y accesorios en acero inoxidable. "/>
    <s v="M²"/>
    <n v="363958"/>
    <n v="250000"/>
    <n v="750000"/>
    <n v="235863"/>
    <n v="242931.5"/>
    <n v="-121026.5"/>
    <n v="-0.3325287533176905"/>
  </r>
  <r>
    <x v="9"/>
    <s v="10.21"/>
    <s v="Suministro e instalación de baranda con 3 bolillos horizontales y pasamanos en vara de 6 cm. . Incluye, pintura en ambas caras, bolillo en cedro  y todo lo necesario para su instalación, la disposicion final de residuos y limpieza de las areas afectadas."/>
    <s v="Ml"/>
    <n v="38806"/>
    <n v="56265"/>
    <n v="56265"/>
    <n v="108600"/>
    <n v="82432.5"/>
    <n v="43626.5"/>
    <n v="1.1242204813688605"/>
  </r>
  <r>
    <x v="9"/>
    <s v="10.22"/>
    <s v="Suministro e instalación de pasamanos en vara 8 cm contrapared. Incluye, pintura, chazos, lija, platina vara de clavo de diametro entre 6 a 8 cm  y todo lo necesario para su instalación, la disposicion final de residuos y limpieza de las areas afectadas."/>
    <s v="Ml"/>
    <n v="20039"/>
    <n v="28101"/>
    <n v="56202"/>
    <n v="35600"/>
    <n v="31850.5"/>
    <n v="11811.5"/>
    <n v="0.58942562004092025"/>
  </r>
  <r>
    <x v="9"/>
    <s v="10.23"/>
    <s v="Suministro e instalacion de estructura para cubierta en tuberia rectangular de 100x50x2,0 mm. Incluye platinas de fijacion y soldadura"/>
    <s v="M²"/>
    <n v="41217"/>
    <m/>
    <n v="45000"/>
    <n v="67800"/>
    <n v="67800"/>
    <n v="26583"/>
    <n v="0.64495232549676107"/>
  </r>
  <r>
    <x v="9"/>
    <s v="10.24"/>
    <s v="Suministro e instalación porton metalico de acceso de 2.80m de ancho por 2.60m de alto, en tuberia redonda y lamina en punta de diamante con cerrojos y picaporte, incluye pintura anticorrosiva y acabado en esmalte y todo lo necesario para su instalación, la disposicion final de residuos y limpieza de las areas afectadas."/>
    <s v="Un"/>
    <n v="1856991"/>
    <m/>
    <n v="45000"/>
    <n v="2050000"/>
    <n v="2050000"/>
    <n v="193009"/>
    <n v="0.10393642187818897"/>
  </r>
  <r>
    <x v="9"/>
    <s v="10.25"/>
    <s v="Suministro e instalación de guaya y candado, para puertas en reja acceso,Incluye todas las herramientas para su correcta aplicación y limpieza y la disposicion final de residuos. "/>
    <s v="Un"/>
    <n v="70321"/>
    <n v="12000"/>
    <n v="36000"/>
    <n v="85400"/>
    <n v="48700"/>
    <n v="-21621"/>
    <n v="-0.30746149798779882"/>
  </r>
  <r>
    <x v="9"/>
    <s v="10.26"/>
    <s v="Desmonte de cerradura,Incluye todas las herramientas para su correcta aplicación y limpieza y la disposicion final de residuos."/>
    <s v="Un"/>
    <n v="25668"/>
    <m/>
    <n v="7000"/>
    <n v="10000"/>
    <n v="10000"/>
    <n v="-15668"/>
    <n v="-0.61040984883902139"/>
  </r>
  <r>
    <x v="9"/>
    <s v="10.27"/>
    <s v="Suministro e instalación de cerradura 987 de sobreponer, marca YALE para puertas de acceso,Incluye todas las herramientas para su correcta aplicación y limpieza y la disposicion final de residuos."/>
    <s v="Un"/>
    <n v="129136"/>
    <n v="73000"/>
    <n v="292000"/>
    <n v="85600"/>
    <n v="79300"/>
    <n v="-49836"/>
    <n v="-0.38591872134803618"/>
  </r>
  <r>
    <x v="9"/>
    <s v="10.28"/>
    <s v="Suministro e instalación de cerrojo doble, puerta acceso lateral y cuarto primer piso, Incluye todas las herramientas para su correcta aplicación y limpieza y la disposicion final de residuos."/>
    <s v="Un"/>
    <n v="102690"/>
    <m/>
    <n v="28000"/>
    <n v="78000"/>
    <n v="78000"/>
    <n v="-24690"/>
    <n v="-0.24043236926672509"/>
  </r>
  <r>
    <x v="9"/>
    <s v="10.29"/>
    <s v="Suministro e instalación cerradura pico loro, para puertas corredizas alcobas segundo piso,Incluye todas las herramientas para su correcta aplicación y limpieza y la disposicion final de residuos."/>
    <s v="Un"/>
    <n v="89961"/>
    <n v="76900"/>
    <n v="230700"/>
    <n v="85600"/>
    <n v="81250"/>
    <n v="-8711"/>
    <n v="-9.6830848923422377E-2"/>
  </r>
  <r>
    <x v="9"/>
    <s v="10.30"/>
    <s v="Suministro e instalación de pie de amigos,Incluye todas las herramientas para su correcta aplicación y limpieza y la disposicion final de residuos."/>
    <s v="Un"/>
    <n v="14392"/>
    <n v="5000"/>
    <n v="10000"/>
    <n v="15600"/>
    <n v="10300"/>
    <n v="-4092"/>
    <n v="-0.28432462479155085"/>
  </r>
  <r>
    <x v="9"/>
    <s v="10.31"/>
    <s v="Desmonte y reinstalacion de sanitario,Incluye todas las herramientas para su correcta aplicación y limpieza y la disposicion final de residuos."/>
    <s v="Un"/>
    <n v="56699"/>
    <n v="18000"/>
    <n v="18000"/>
    <n v="36000"/>
    <n v="27000"/>
    <n v="-29699"/>
    <n v="-0.52380112524030409"/>
  </r>
  <r>
    <x v="9"/>
    <s v="10.32"/>
    <s v="Desmonte y reinstalacion de lavamanos,Incluye todas las herramientas para su correcta aplicación y limpieza y la disposicion final de residuos."/>
    <s v="Un"/>
    <n v="36461"/>
    <n v="18000"/>
    <n v="54000"/>
    <n v="30000"/>
    <n v="24000"/>
    <n v="-12461"/>
    <n v="-0.34176243109075449"/>
  </r>
  <r>
    <x v="9"/>
    <s v="10.33"/>
    <s v="Mantenimiento marco en madera para ventana. Incluye lijada, resane, pintura y cambio de piezas de mal estado,Incluye todas las herramientas para su correcta aplicación y limpieza y la disposicion final de residuos."/>
    <s v="Ml"/>
    <n v="22100"/>
    <n v="56000"/>
    <n v="112000"/>
    <n v="35000"/>
    <n v="45500"/>
    <n v="23400"/>
    <n v="1.0588235294117647"/>
  </r>
  <r>
    <x v="9"/>
    <s v="10.34"/>
    <s v="Mantenimiento baranda acero inoxidable. Incluye limpieza, remocion de oxido, desengrase y brillado,Incluye todas las herramientas para su correcta aplicación y limpieza y la disposicion final de residuos."/>
    <s v="M²"/>
    <n v="12142"/>
    <n v="56265"/>
    <n v="56265"/>
    <n v="55600"/>
    <n v="55932.5"/>
    <n v="43790.5"/>
    <n v="3.6065310492505351"/>
  </r>
  <r>
    <x v="9"/>
    <s v="10.35"/>
    <s v="Mantenimiento pasamanos acero inoxidable. Incluye limpieza, remocion de oxido, desengrase y brillado.Incluye todas las herramientas para su correcta aplicación y limpieza y la disposicion final de residuos."/>
    <s v="M²"/>
    <n v="9000"/>
    <n v="28101"/>
    <n v="56202"/>
    <n v="22500"/>
    <n v="25300.5"/>
    <n v="16300.5"/>
    <n v="1.8111666666666666"/>
  </r>
  <r>
    <x v="9"/>
    <s v="10.36"/>
    <s v="Suministro e instalacion de brazo hidraulico hasta 45kh marca yale,Incluye todas las herramientas para su correcta aplicación y limpieza y la disposicion final de residuos."/>
    <s v="Un"/>
    <n v="113360"/>
    <n v="99000"/>
    <n v="297000"/>
    <n v="135600"/>
    <n v="117300"/>
    <n v="3940"/>
    <n v="3.4756527875793933E-2"/>
  </r>
  <r>
    <x v="9"/>
    <s v="10.37"/>
    <s v="Suministro e instalacion de pasador metalico para ventanas.Incluye todas las herramientas para su correcta aplicación y limpieza y la disposicion final de residuos."/>
    <s v="Un"/>
    <n v="13718"/>
    <n v="27000"/>
    <n v="54000"/>
    <n v="18500"/>
    <n v="22750"/>
    <n v="9032"/>
    <n v="0.65840501530835394"/>
  </r>
  <r>
    <x v="9"/>
    <s v="10.38"/>
    <s v="Suministro e instalacion de rejilla tipo cupula 4&quot;. Inlciue todos los elementos para su correcta instalación. Limpieza final de las areas afectadas."/>
    <s v="Un"/>
    <n v="27814"/>
    <n v="10100"/>
    <n v="10100"/>
    <n v="19860"/>
    <n v="14980"/>
    <n v="-12834"/>
    <n v="-0.46142230531387074"/>
  </r>
  <r>
    <x v="9"/>
    <s v="10.39"/>
    <s v="Suministro e Instalacion de guaya plastificada de 1/4&quot;. Incluiye elementos de tension y sujecion. Incluye todas las herramientas para su correcta aplicación y limpieza y la disposicion final de residuos."/>
    <s v="Ml"/>
    <n v="11563"/>
    <n v="11200"/>
    <n v="33600"/>
    <n v="19600"/>
    <n v="15400"/>
    <n v="3837"/>
    <n v="0.33183429905733808"/>
  </r>
  <r>
    <x v="9"/>
    <s v="10.40"/>
    <s v="Mantenimiento Puertas en madera,Incluye todas las herramientas para su correcta aplicación y limpieza y la disposicion final de residuos."/>
    <s v="Un"/>
    <n v="259552"/>
    <n v="330733"/>
    <n v="661466"/>
    <n v="286000"/>
    <n v="308366.5"/>
    <n v="48814.5"/>
    <n v="0.18807213968684502"/>
  </r>
  <r>
    <x v="9"/>
    <s v="10.41"/>
    <s v="Mantenimiento ventanas en madera,Incluye todas las herramientas para su correcta aplicación y limpieza y la disposicion final de residuos."/>
    <s v="Un"/>
    <n v="259552"/>
    <n v="65000"/>
    <n v="130000"/>
    <n v="78000"/>
    <n v="71500"/>
    <n v="-188052"/>
    <n v="-0.72452533596350632"/>
  </r>
  <r>
    <x v="9"/>
    <s v="10.42"/>
    <s v="Mantenimiento mueble superior e inferior de cocina,Incluye todas las herramientas para su correcta aplicación y limpieza y la disposicion final de residuos."/>
    <s v="Ml"/>
    <n v="190989"/>
    <n v="1500"/>
    <n v="3000"/>
    <n v="18500"/>
    <n v="10000"/>
    <n v="-180989"/>
    <n v="-0.9476409636157056"/>
  </r>
  <r>
    <x v="9"/>
    <s v="10.43"/>
    <s v="Suminsitro mueble inferior baño REF: Floresta (Incluye lavamanos de sobreponer y griferia),Incluye todas las herramientas para su correcta aplicación y limpieza y la disposicion final de residuos."/>
    <s v="Un"/>
    <n v="416262"/>
    <m/>
    <n v="350000"/>
    <n v="189000"/>
    <n v="189000"/>
    <n v="-227262"/>
    <n v="-0.54595903541519519"/>
  </r>
  <r>
    <x v="9"/>
    <s v="10.44"/>
    <s v="Mantenimiento mesón cocina en acero inoxidable,Incluye todas las herramientas para su correcta aplicación y limpieza y la disposicion final de residuos."/>
    <s v="Ml"/>
    <n v="47016"/>
    <n v="400000"/>
    <n v="1200000"/>
    <n v="150000"/>
    <n v="275000"/>
    <n v="227984"/>
    <n v="4.8490726561170669"/>
  </r>
  <r>
    <x v="9"/>
    <s v="10.45"/>
    <s v="Desmonte de Closets de madera,Incluye todas las herramientas para su correcta aplicación y limpieza y la disposicion final de residuos."/>
    <s v="Un"/>
    <n v="25659"/>
    <n v="300506"/>
    <n v="901518"/>
    <n v="156000"/>
    <n v="228253"/>
    <n v="202594"/>
    <n v="7.8956311625550493"/>
  </r>
  <r>
    <x v="9"/>
    <s v="10.46"/>
    <s v="Mantenimiento de Closets en madera. Incluye lijado, masillado y cambio de piezas en mal estado,Incluye todas las herramientas para su correcta aplicación y limpieza y la disposicion final de residuos."/>
    <s v="M²"/>
    <n v="65081"/>
    <n v="250000"/>
    <n v="500000"/>
    <n v="385000"/>
    <n v="317500"/>
    <n v="252419"/>
    <n v="3.878535978242498"/>
  </r>
  <r>
    <x v="9"/>
    <s v="10.47"/>
    <s v="Suministro e Instalacion estructura de madera,Incluye todas las herramientas para su correcta aplicación y limpieza y la disposicion final de residuos."/>
    <s v="M²"/>
    <n v="35265"/>
    <m/>
    <n v="250000"/>
    <n v="35000"/>
    <n v="35000"/>
    <n v="-265"/>
    <n v="-7.5145328229122357E-3"/>
  </r>
  <r>
    <x v="9"/>
    <s v="10.48"/>
    <s v="Suministro e Instalacion de ventana en madera,Incluye todas las herramientas para su correcta aplicación y limpieza y la disposicion final de residuos."/>
    <s v="M²"/>
    <n v="84218"/>
    <n v="155000"/>
    <n v="310000"/>
    <n v="195000"/>
    <n v="175000"/>
    <n v="90782"/>
    <n v="1.0779405827732789"/>
  </r>
  <r>
    <x v="9"/>
    <s v="10.49"/>
    <s v="Suministro e Instalacion de cerradura para baño tipo pomo,Incluye todas las herramientas para su correcta aplicación y limpieza y la disposicion final de residuos."/>
    <s v="Un"/>
    <n v="61550"/>
    <n v="65000"/>
    <n v="130000"/>
    <n v="58700"/>
    <n v="61850"/>
    <n v="300"/>
    <n v="4.87408610885459E-3"/>
  </r>
  <r>
    <x v="9"/>
    <s v="10.50"/>
    <s v="Mantenimiento de puertas metálicas de 2.00x1.00. Incluye, raspado, lijado, resane, pintura, arreglo o cambio de bisagras, tornillos en ambas caras, retiro, disposicion final de residuos y limpieza de las areas afectadas."/>
    <s v="Un"/>
    <n v="179901"/>
    <n v="240000"/>
    <n v="240000"/>
    <n v="201200"/>
    <n v="220600"/>
    <n v="40699"/>
    <n v="0.22622998204568068"/>
  </r>
  <r>
    <x v="9"/>
    <s v="10.51"/>
    <s v="Suministro e Instalacion de division de baño en aluminio y vidrio,Incluye todas las herramientas para su correcta aplicación y limpieza y la disposicion final de residuos."/>
    <s v="M²"/>
    <n v="119492"/>
    <n v="250000"/>
    <n v="250000"/>
    <n v="218900"/>
    <n v="234450"/>
    <n v="114958"/>
    <n v="0.96205603722424937"/>
  </r>
  <r>
    <x v="9"/>
    <s v="10.52"/>
    <s v="Suministro e instalacion de marco para puerta en lamina 0,8 mts,Incluye todas las herramientas para su correcta aplicación y limpieza y la disposicion final de residuos."/>
    <s v="Un"/>
    <n v="121817"/>
    <n v="50132"/>
    <n v="50132"/>
    <n v="89000"/>
    <n v="69566"/>
    <n v="-52251"/>
    <n v="-0.42893028066690198"/>
  </r>
  <r>
    <x v="9"/>
    <s v="10.53"/>
    <s v="Mantenimiento carpinteria en alumino y vidrio (puertas, ventanas). Inclye desengrase, cambio de rodachinas, cambio de guia, cambio de empaques,Incluye todas las herramientas para su correcta aplicación y limpieza y la disposicion final de residuos."/>
    <s v="M²"/>
    <n v="57003"/>
    <n v="65000"/>
    <n v="195000"/>
    <n v="55000"/>
    <n v="60000"/>
    <n v="2997"/>
    <n v="5.2576180201042051E-2"/>
  </r>
  <r>
    <x v="9"/>
    <s v="10.54"/>
    <s v="Mantenimiento de rejas metalicas. Incluye, raspado, lijado, resane, pintura,antocorrosivo, cambio de piezas, soldaduras, arreglo o cambio de bisagras, tornillos en ambas caras, retiro, disposicion final de residuos y limpieza de las areas afectadas."/>
    <s v="M²"/>
    <n v="58959"/>
    <n v="14000"/>
    <n v="28000"/>
    <n v="18700"/>
    <n v="16350"/>
    <n v="-42609"/>
    <n v="-0.7226886480435557"/>
  </r>
  <r>
    <x v="9"/>
    <s v="10.55"/>
    <s v="Suministro e instalación de reja metálica para ventanas,Incluye todas las herramientas para su correcta aplicación y limpieza y la disposicion final de residuos."/>
    <s v="M²"/>
    <n v="105253"/>
    <n v="25000"/>
    <n v="75000"/>
    <n v="185000"/>
    <n v="105000"/>
    <n v="-253"/>
    <n v="-2.4037319601341528E-3"/>
  </r>
  <r>
    <x v="10"/>
    <n v="11"/>
    <s v="CUBIERTAS Y CIELO RASOS"/>
    <m/>
    <m/>
    <m/>
    <m/>
    <m/>
    <e v="#DIV/0!"/>
    <m/>
    <m/>
  </r>
  <r>
    <x v="10"/>
    <s v="11.1"/>
    <s v="Mantenimiento de cielo raso en madera. Incluye inmunizante tipo MADUREX. Incluye todas las herramientas para su correcta aplicación y limpieza y la disposicion final de residuos."/>
    <s v="M²"/>
    <n v="31706"/>
    <n v="23646"/>
    <n v="23646"/>
    <n v="22300"/>
    <n v="22973"/>
    <n v="-8733"/>
    <n v="-0.27543682583738094"/>
  </r>
  <r>
    <x v="10"/>
    <s v="11.2"/>
    <s v="Mantenimiento de cubiertas en teja. Incluye el remplazo de piezas y pintura de proteccion. Incluye todas las herramientas para su correcta aplicación y limpieza y la disposicion final de residuos."/>
    <s v="M²"/>
    <n v="29304"/>
    <n v="44240"/>
    <n v="88480"/>
    <n v="40000"/>
    <n v="42120"/>
    <n v="12816"/>
    <n v="0.43734643734643736"/>
  </r>
  <r>
    <x v="10"/>
    <s v="11.3"/>
    <s v="Suministro e instalación de cieloraso Dry Wall  antihumedad 1/2&quot;. Incluye retiro, aplicación de pintura vinilo o acrilica, 2 manos bajo placa. Incluye todas las herramientas para su correcta aplicación y limpieza y la disposicion final de residuos."/>
    <s v="M²"/>
    <n v="73254"/>
    <n v="73529.03"/>
    <n v="220587.09"/>
    <n v="70340"/>
    <n v="71934.514999999999"/>
    <n v="-1319.4850000000006"/>
    <n v="-1.8012463483222767E-2"/>
  </r>
  <r>
    <x v="10"/>
    <s v="11.4"/>
    <s v="Suministro e instalación de cieloraso Dry Wall  1/2&quot;. Incluye retiro, aplicación de pintura vinilo o acrilica, 2 manos bajo placa, y todo lo necesario para su correcta instalación. Incluye todas las herramientas para su correcta aplicación y limpieza y la disposicion final de residuos."/>
    <s v="M²"/>
    <n v="49893"/>
    <n v="73529.03"/>
    <n v="294116.12"/>
    <n v="70450"/>
    <n v="71989.514999999999"/>
    <n v="22096.514999999999"/>
    <n v="0.44287805904635918"/>
  </r>
  <r>
    <x v="10"/>
    <s v="11.5"/>
    <s v="Suministro e instalación de cieloraso plano superboard 8mm. Incluye retiro, aplicación de pintura vinilo o acrilica, 2 manos bajo placa y todo lo necesario para su correcta instalación. Incluye todas las herramientas para su correcta aplicación y limpieza y la disposicion final de residuos."/>
    <s v="M²"/>
    <n v="75684"/>
    <n v="93077"/>
    <n v="93077"/>
    <n v="89800"/>
    <n v="91438.5"/>
    <n v="15754.5"/>
    <n v="0.20816156651339782"/>
  </r>
  <r>
    <x v="10"/>
    <s v="11.6"/>
    <s v="Suministro e instalación de cieloraso en bandeja aglomerado 60x 60 cm. Incluye retiro,  y todo lo necesario para su correcta instalación. Incluye todas las herramientas para su correcta aplicación y limpieza y la disposicion final de residuos."/>
    <s v="M²"/>
    <n v="104294"/>
    <m/>
    <n v="45000"/>
    <n v="135900"/>
    <n v="135900"/>
    <n v="31606"/>
    <n v="0.30304715515753544"/>
  </r>
  <r>
    <x v="10"/>
    <s v="11.7"/>
    <s v="Suministro e instalación de cieloraso en lámina de policarbonato. Incluye retiro,  y todo lo necesario para su correcta instalación. Incluye todas las herramientas para su correcta aplicación y limpieza y la disposicion final de residuos."/>
    <s v="M²"/>
    <n v="39869"/>
    <n v="68467"/>
    <n v="205401"/>
    <n v="70000"/>
    <n v="69233.5"/>
    <n v="29364.5"/>
    <n v="0.73652461812435732"/>
  </r>
  <r>
    <x v="10"/>
    <s v="11.8"/>
    <s v="Suministro e instalación de cieloraso entablilla PVC. Incluye retiro,  y todo lo necesario para su correcta instalación. Incluye todas las herramientas para su correcta aplicación y limpieza y la disposicion final de residuos."/>
    <s v="M²"/>
    <n v="65205"/>
    <n v="58900"/>
    <n v="32000"/>
    <n v="176000"/>
    <n v="117450"/>
    <n v="52245"/>
    <n v="0.80124223602484468"/>
  </r>
  <r>
    <x v="10"/>
    <s v="11.9"/>
    <s v="Reparación de filtraciónes en cubierta. Incluye el cambio de las tejas, no incluye elementos estructurales. Incluye todas las herramientas para su correcta aplicación y limpieza y la disposicion final de residuos."/>
    <s v="M²"/>
    <n v="52969"/>
    <n v="35000"/>
    <n v="70000"/>
    <n v="35000"/>
    <n v="35000"/>
    <n v="-17969"/>
    <n v="-0.3392361569974891"/>
  </r>
  <r>
    <x v="10"/>
    <s v="11.10"/>
    <s v="Reparación de filtraciónes en cubierta. Incluye el cambio de tejas, incluye el cambio de elementos estructurales.Incluye todas las herramientas para su correcta aplicación y limpieza y la disposicion final de residuos."/>
    <s v="M²"/>
    <n v="77430"/>
    <n v="22000"/>
    <n v="66000"/>
    <n v="22000"/>
    <n v="22000"/>
    <n v="-55430"/>
    <n v="-0.71587240087821258"/>
  </r>
  <r>
    <x v="10"/>
    <s v="11.11"/>
    <s v="Suministro e instalacion de cubierta termo acustica. No incluye su estructura."/>
    <s v="M²"/>
    <n v="43875"/>
    <n v="11500"/>
    <n v="46000"/>
    <n v="35670"/>
    <n v="23585"/>
    <n v="-20290"/>
    <n v="-0.46245014245014243"/>
  </r>
  <r>
    <x v="10"/>
    <s v="11.12"/>
    <s v="Suministro e instalacion de cubierta en policarbonato alveolar de e= 6 mm. No incluye su estructura. Incluye todas las herramientas para su correcta aplicación y limpieza y la disposicion final de residuos."/>
    <s v="M²"/>
    <n v="83582"/>
    <n v="120000"/>
    <n v="360000"/>
    <n v="110600"/>
    <n v="115300"/>
    <n v="31718"/>
    <n v="0.37948362087530807"/>
  </r>
  <r>
    <x v="10"/>
    <s v="11.13"/>
    <s v="Mantenimiento de cubierta en teja tipo eternit. Incluye limpieza, remplazo de piezas afectadas. No incluye la estructura. Incluye todas las herramientas para su correcta aplicación y limpieza y la disposicion final de residuos."/>
    <s v="M²"/>
    <n v="38492"/>
    <n v="64800"/>
    <n v="259200"/>
    <n v="56700"/>
    <n v="60750"/>
    <n v="22258"/>
    <n v="0.57825002597942432"/>
  </r>
  <r>
    <x v="10"/>
    <s v="11.14"/>
    <s v="Suministro e instalacion de cubierta en teja SHINGLE. Incluye estructura - triplex marino, vigas, correas y entramado en madera en cedro canadiense con tratamiento inmunizante y antihongos. No incluye su estructura. Incluye todas las herramientas para su correcta aplicación y limpieza y la disposicion final de residuos."/>
    <s v="M²"/>
    <n v="300360"/>
    <n v="103883"/>
    <n v="311649"/>
    <n v="101200"/>
    <n v="102541.5"/>
    <n v="-197818.5"/>
    <n v="-0.65860467439073112"/>
  </r>
  <r>
    <x v="10"/>
    <s v="11.15"/>
    <s v="Suministro e instalacion de cubierta termo acustica UPVC con fibra de carbono. No incluye su estructura. Incluye todas las herramientas para su correcta aplicación y limpieza y la disposicion final de residuos."/>
    <s v="M²"/>
    <n v="52580"/>
    <n v="185000"/>
    <n v="740000"/>
    <n v="134000"/>
    <n v="159500"/>
    <n v="106920"/>
    <n v="2.0334728033472804"/>
  </r>
  <r>
    <x v="10"/>
    <s v="11.16"/>
    <s v="Suministro e instalacion de caballete UPVC con fibra de carbono de 3 mm. Incluye todas las herramientas para su correcta aplicación y limpieza y la disposicion final de residuos."/>
    <s v="M²"/>
    <n v="28801"/>
    <n v="185000"/>
    <n v="555000"/>
    <n v="157000"/>
    <n v="171000"/>
    <n v="142199"/>
    <n v="4.9372938439637508"/>
  </r>
  <r>
    <x v="10"/>
    <s v="11.17"/>
    <s v="Suministro e instalación cubierta en barro. Incluye materiales Incluye todas las herramientas para su correcta aplicación y limpieza y la disposicion final de residuos."/>
    <s v="M²"/>
    <n v="152440"/>
    <n v="85488"/>
    <n v="170976"/>
    <n v="86600"/>
    <n v="86044"/>
    <n v="-66396"/>
    <n v="-0.43555497244817631"/>
  </r>
  <r>
    <x v="10"/>
    <s v="11.18"/>
    <s v="Suministro e instalacion de flanche galvanizado.Incluye todas las herramientas para su correcta aplicación y limpieza y la disposicion final de residuos."/>
    <s v="Un"/>
    <n v="19755"/>
    <n v="66500"/>
    <n v="66500"/>
    <n v="60000"/>
    <n v="63250"/>
    <n v="43495"/>
    <n v="2.201721083270058"/>
  </r>
  <r>
    <x v="10"/>
    <s v="11.19"/>
    <s v="Suministro e instalacion de cielo raso en yeso de 60 X 60, tipo STYLE GYSUM o similar. Incluye todas las herramientas para su correcta aplicación y limpieza y la disposicion final de residuos."/>
    <s v="Ml"/>
    <n v="65081"/>
    <n v="93077"/>
    <n v="372308"/>
    <n v="78900"/>
    <n v="85988.5"/>
    <n v="20907.5"/>
    <n v="0.32125351485072451"/>
  </r>
  <r>
    <x v="10"/>
    <s v="11.20"/>
    <s v="Suministro e instalacion de cielo raso para baños tipo LAY IN DE HUNTER DOUGLAS o similar. Incluye su estructura. Incluye todas las herramientas para su correcta aplicación y limpieza y la disposicion final de residuos."/>
    <s v="M²"/>
    <n v="122396"/>
    <m/>
    <n v="45000"/>
    <n v="245000"/>
    <n v="245000"/>
    <n v="122604"/>
    <n v="1.00169940194124"/>
  </r>
  <r>
    <x v="10"/>
    <s v="11.21"/>
    <s v="Suministro e instalacion de teja en fibrocemento. Incluye todas las herramientas para su correcta aplicación y limpieza y la disposicion final de residuos."/>
    <s v="M²"/>
    <n v="29057"/>
    <n v="35963"/>
    <n v="71926"/>
    <n v="35000"/>
    <n v="35481.5"/>
    <n v="6424.5"/>
    <n v="0.22109990707918917"/>
  </r>
  <r>
    <x v="10"/>
    <s v="11.22"/>
    <s v="Suministro e Instalacion de tapa de inspeccion 60x60 en superboard.Incluye todas las herramientas para su correcta aplicación y limpieza y la disposicion final de residuos."/>
    <s v="Un"/>
    <n v="37810"/>
    <n v="266706.21999999997"/>
    <n v="266706.21999999997"/>
    <n v="245900"/>
    <n v="256303.11"/>
    <n v="218493.11"/>
    <n v="5.7787122454377142"/>
  </r>
  <r>
    <x v="10"/>
    <s v="11.23"/>
    <s v="Suministro e Instalacion Teja Eternit tipo Española. Incluye todas las herramientas para su correcta aplicación y limpieza y la disposicion final de residuos."/>
    <m/>
    <n v="41625"/>
    <n v="52720"/>
    <n v="105440"/>
    <n v="50500"/>
    <n v="51610"/>
    <n v="9985"/>
    <n v="0.23987987987987988"/>
  </r>
  <r>
    <x v="10"/>
    <s v="11.24"/>
    <s v="Desmonte de Estructura de Cubierta en Madera altura maxima 2,50 mts.Incluye todas las herramientas para su correcta aplicación y limpieza y la disposicion final de residuos."/>
    <s v="M²"/>
    <n v="10386"/>
    <n v="28234.54"/>
    <n v="84703.62"/>
    <n v="23000"/>
    <n v="25617.27"/>
    <n v="15231.27"/>
    <n v="1.466519352975159"/>
  </r>
  <r>
    <x v="10"/>
    <s v="11.25"/>
    <s v="Suministro e Instalacion de Teja traslucida No. 6.Incluye todas las herramientas para su correcta aplicación y limpieza y la disposicion final de residuos."/>
    <s v="M²"/>
    <n v="45261"/>
    <n v="149900"/>
    <n v="599600"/>
    <n v="102300"/>
    <n v="126100"/>
    <n v="80839"/>
    <n v="1.7860630564945539"/>
  </r>
  <r>
    <x v="11"/>
    <n v="12"/>
    <s v="PAÑETES, RESANES Y LIMPIEZAS "/>
    <m/>
    <m/>
    <m/>
    <m/>
    <m/>
    <e v="#DIV/0!"/>
    <m/>
    <m/>
  </r>
  <r>
    <x v="11"/>
    <s v="12.1"/>
    <s v="Mantenimiento de fachadas. Incluye hidrolavado. Incluye todas las herramientas para su correcta aplicación y limpieza y la disposicion final de residuos."/>
    <s v="M²"/>
    <n v="18910"/>
    <n v="25000"/>
    <n v="75000"/>
    <n v="18600"/>
    <n v="21800"/>
    <n v="2890"/>
    <n v="0.15282919090428346"/>
  </r>
  <r>
    <x v="11"/>
    <s v="12.2"/>
    <s v="Resane, suministro y aplicación de pintura vinilo tipo 1 para muros y techos, dos manos. Incluye la limpieza de las areas afectadas. Incluye todas las herramientas para su correcta aplicación y limpieza y la disposicion final de residuos."/>
    <s v="M²"/>
    <n v="14107"/>
    <n v="12719"/>
    <n v="38157"/>
    <n v="12450"/>
    <n v="12584.5"/>
    <n v="-1522.5"/>
    <n v="-0.10792514354575743"/>
  </r>
  <r>
    <x v="11"/>
    <s v="12.3"/>
    <s v="Aplicación de resane de muros con mortero 1:4. Incluye la limpieza de las areas afectadas y disposción de residuos."/>
    <s v="M²"/>
    <n v="14648"/>
    <n v="24413"/>
    <n v="73239"/>
    <n v="24000"/>
    <n v="24206.5"/>
    <n v="9558.5"/>
    <n v="0.65254642271982521"/>
  </r>
  <r>
    <x v="11"/>
    <s v="12.4"/>
    <s v="Aplicación de estuco y resane en muros.  Incluye la limpieza de las areas afectadas y disposción de residuos."/>
    <s v="Ml"/>
    <n v="15692"/>
    <n v="24413"/>
    <n v="73239"/>
    <n v="15600"/>
    <n v="20006.5"/>
    <n v="4314.5"/>
    <n v="0.27494901860820803"/>
  </r>
  <r>
    <x v="11"/>
    <s v="12.5"/>
    <s v="Limpieza de Canales con agua a presión. Incluye la limpieza de las areas afectadas y disposción de residuos."/>
    <s v="Ml"/>
    <n v="2829"/>
    <n v="15000"/>
    <n v="45000"/>
    <n v="12000"/>
    <n v="13500"/>
    <n v="10671"/>
    <n v="3.772004241781548"/>
  </r>
  <r>
    <x v="11"/>
    <s v="12.6"/>
    <s v="Limpieza de Bajantes con agua a presión. Incluye la limpieza de las areas afectadas y disposción de residuos."/>
    <s v="Ml"/>
    <n v="2829"/>
    <n v="15000"/>
    <n v="30000"/>
    <n v="12000"/>
    <n v="13500"/>
    <n v="10671"/>
    <n v="3.772004241781548"/>
  </r>
  <r>
    <x v="11"/>
    <s v="12.7"/>
    <s v="Impermeabilización de Canales. Incluye la limpieza de las areas afectadas y disposción de residuos."/>
    <s v="Ml"/>
    <n v="31715"/>
    <n v="22000"/>
    <n v="44000"/>
    <n v="28700"/>
    <n v="25350"/>
    <n v="-6365"/>
    <n v="-0.20069367807031374"/>
  </r>
  <r>
    <x v="11"/>
    <s v="12.8"/>
    <s v="Aplicación de pañete impermeabilizado muros 1:4. Incluye la limpieza de las areas afectadas y disposción de residuos."/>
    <s v="M²"/>
    <n v="24833"/>
    <n v="35160"/>
    <n v="70320"/>
    <n v="33450"/>
    <n v="34305"/>
    <n v="9472"/>
    <n v="0.3814279386300487"/>
  </r>
  <r>
    <x v="11"/>
    <s v="12.9"/>
    <s v="Aplicación de pañete impermeabilizado muros 1:3. Incluye la limpieza de las areas afectadas y disposción de residuos."/>
    <s v="M²"/>
    <n v="26475"/>
    <n v="37800"/>
    <n v="75600"/>
    <n v="36780"/>
    <n v="37290"/>
    <n v="10815"/>
    <n v="0.4084985835694051"/>
  </r>
  <r>
    <x v="11"/>
    <s v="12.10"/>
    <s v="Aplicación de pañete bajo placa y/o malla 1:4. Incluye la limpieza de las areas afectadas y disposción de residuos."/>
    <s v="M²"/>
    <n v="20135"/>
    <n v="23535.599999999999"/>
    <n v="47071.199999999997"/>
    <n v="28700"/>
    <n v="26117.8"/>
    <n v="5982.7999999999993"/>
    <n v="0.29713434318351128"/>
  </r>
  <r>
    <x v="11"/>
    <s v="12.11"/>
    <s v="Aplicación de pañete bajo placa y/o malla 1:5. Incluye la limpieza de las areas afectadas y disposción de residuos."/>
    <s v="M²"/>
    <n v="19584"/>
    <n v="24065"/>
    <n v="48130"/>
    <n v="28700"/>
    <n v="26382.5"/>
    <n v="6798.5"/>
    <n v="0.34714562908496732"/>
  </r>
  <r>
    <x v="11"/>
    <s v="12.12"/>
    <s v="Aplicación de pañete bajo placa y/o malla 1:6. Incluye la limpieza de las areas afectadas y disposción de residuos."/>
    <s v="M²"/>
    <n v="19072"/>
    <n v="23748.75"/>
    <n v="47497.5"/>
    <n v="28700"/>
    <n v="26224.375"/>
    <n v="7152.375"/>
    <n v="0.37501966233221479"/>
  </r>
  <r>
    <x v="11"/>
    <s v="12.13"/>
    <s v="Mantenimiento de viga canal con manto EDIL 3 MM. Incluye la limpieza de las areas afectadas y disposción de residuos."/>
    <s v="Ml"/>
    <n v="36974"/>
    <n v="22000"/>
    <n v="66000"/>
    <n v="32450"/>
    <n v="27225"/>
    <n v="-9749"/>
    <n v="-0.26367176935143616"/>
  </r>
  <r>
    <x v="11"/>
    <s v="12.14"/>
    <s v="Aplicación de pañete liso para muros 1:3. Incluye la limpieza de las areas afectadas y disposción de residuos."/>
    <s v="M²"/>
    <n v="17363"/>
    <n v="23639.399999999998"/>
    <n v="70918.2"/>
    <n v="23000"/>
    <n v="23319.699999999997"/>
    <n v="5956.6999999999971"/>
    <n v="0.34306859413695773"/>
  </r>
  <r>
    <x v="11"/>
    <s v="12.15"/>
    <s v="Aplicación de pañete liso para muros 1:4. Incluye la limpieza de las areas afectadas y disposción de residuos."/>
    <s v="M²"/>
    <n v="16138"/>
    <n v="24412.5"/>
    <n v="73237.5"/>
    <n v="23000"/>
    <n v="23706.25"/>
    <n v="7568.25"/>
    <n v="0.46897075226174245"/>
  </r>
  <r>
    <x v="11"/>
    <s v="12.16"/>
    <s v="Aplicación de pañete liso para muros 1:6. Incluye la limpieza de las areas afectadas y disposción de residuos."/>
    <s v="M²"/>
    <n v="15777"/>
    <n v="23000"/>
    <n v="69000"/>
    <n v="23000"/>
    <n v="23000"/>
    <n v="7223"/>
    <n v="0.45781834315776132"/>
  </r>
  <r>
    <x v="11"/>
    <s v="12.17"/>
    <s v="Lavado de fachadas en piedra muñeca. Incluye el desmanchado, hidrofugado, reemboquillado y sellado, Incluye todas las herramientas para su correcta aplicación y limpieza y la disposicion final de residuos."/>
    <s v="M²"/>
    <n v="45431"/>
    <n v="25000"/>
    <n v="75000"/>
    <n v="20000"/>
    <n v="22500"/>
    <n v="-22931"/>
    <n v="-0.50474345711078339"/>
  </r>
  <r>
    <x v="11"/>
    <s v="12.18"/>
    <s v="Suministro y aplicación de poliurea tipo SIKALASTIC 841, con textura rugosa color a elegir e= 80 A 100 MILS, Elongacion de 350 A 450%, Esfuerzo a la rotura de 3000 A 3500 PSI, 100% Certificada o similar. Incluye la limpieza de las areas afectadas Incluye todas las herramientas para su correcta aplicación y limpieza y la disposicion final de residuos."/>
    <s v="M²"/>
    <n v="108528"/>
    <m/>
    <n v="459000"/>
    <n v="145700"/>
    <n v="145700"/>
    <n v="37172"/>
    <n v="0.3425106884859207"/>
  </r>
  <r>
    <x v="11"/>
    <s v="12.19"/>
    <s v="Aplicación de pañete rústico bajo placa 1:5. Incluye la limpieza de las areas afectadas Incluye todas las herramientas para su correcta aplicación y limpieza y la disposicion final de residuos."/>
    <s v="M²"/>
    <n v="26162"/>
    <n v="36480"/>
    <n v="109440"/>
    <n v="34500"/>
    <n v="35490"/>
    <n v="9328"/>
    <n v="0.35654766455163978"/>
  </r>
  <r>
    <x v="11"/>
    <s v="12.20"/>
    <s v="Aplicación de pañete rústico muros 1:5. Incluye la limpieza de las areas afectadas Incluye todas las herramientas para su correcta aplicación y limpieza y la disposicion final de residuos."/>
    <s v="M²"/>
    <n v="22906"/>
    <n v="32160"/>
    <n v="96480"/>
    <n v="32000"/>
    <n v="32080"/>
    <n v="9174"/>
    <n v="0.40050641753252425"/>
  </r>
  <r>
    <x v="11"/>
    <s v="12.21"/>
    <s v="Suministro e Instalacion de cordon en mortero con vidrio picado para remate sobre muro Incluye todas las herramientas para su correcta aplicación y limpieza y la disposicion final de residuos."/>
    <s v="Ml"/>
    <n v="14012"/>
    <m/>
    <n v="300000"/>
    <n v="45000"/>
    <n v="45000"/>
    <n v="30988"/>
    <n v="2.2115329717385097"/>
  </r>
  <r>
    <x v="12"/>
    <n v="13"/>
    <s v="BASES, PISOS Y ENCHAPES"/>
    <m/>
    <m/>
    <m/>
    <m/>
    <m/>
    <e v="#DIV/0!"/>
    <m/>
    <m/>
  </r>
  <r>
    <x v="12"/>
    <s v="13.1"/>
    <s v="Aplicación de alistado para piso e=  0.04. Incluye la limpieza de las areas afectadas y nivelacion.  "/>
    <s v="M²"/>
    <n v="14382"/>
    <n v="12000"/>
    <n v="24000"/>
    <n v="18700"/>
    <n v="15350"/>
    <n v="968"/>
    <n v="6.7306355166179943E-2"/>
  </r>
  <r>
    <x v="12"/>
    <s v="13.2"/>
    <s v="Aplicación de alistado para piso e=  0.04 impermeabilizante. Incluye la limpieza de las areas afectadas y nivelacion.  "/>
    <s v="M²"/>
    <n v="24122"/>
    <n v="29000"/>
    <n v="58000"/>
    <n v="26700"/>
    <n v="27850"/>
    <n v="3728"/>
    <n v="0.15454771577812784"/>
  </r>
  <r>
    <x v="12"/>
    <s v="13.3"/>
    <s v="Suministro e instalación de ceramica existente para pisos y/o paredes. Incluye el retiro, limpieza y la disposicion final de residuos. "/>
    <s v="M²"/>
    <n v="43391"/>
    <n v="48000"/>
    <n v="96000"/>
    <n v="45600"/>
    <n v="46800"/>
    <n v="3409"/>
    <n v="7.8564679311377936E-2"/>
  </r>
  <r>
    <x v="12"/>
    <s v="13.4"/>
    <s v="Suministro e Instalacion de piso en PORCELANATO acabado semimate, antideslizante, formato 0,60 X 0,60. Incluye la pega, la boquilla, dilatadores y la limpieza de las areas afectadas. "/>
    <s v="M²"/>
    <n v="147095"/>
    <n v="85000"/>
    <n v="170000"/>
    <n v="82900"/>
    <n v="83950"/>
    <n v="-63145"/>
    <n v="-0.4292803970223325"/>
  </r>
  <r>
    <x v="12"/>
    <s v="13.5"/>
    <s v="Suministro e instalacion de guardaescobas en MDF 8cm. Incluye la pega, la boquilla, dilatadores y la limpieza de las areas afectadas. "/>
    <s v="Ml"/>
    <n v="12426"/>
    <n v="13000"/>
    <n v="26000"/>
    <n v="15000"/>
    <n v="14000"/>
    <n v="1574"/>
    <n v="0.12666988572348303"/>
  </r>
  <r>
    <x v="12"/>
    <s v="13.6"/>
    <s v="Suministro e instalacion de guardaescobas en Madera 8cm. Incluye la pega, la boquilla, dilatadores y la limpieza de las areas afectadas. "/>
    <s v="Ml"/>
    <n v="40211"/>
    <n v="43000"/>
    <n v="86000"/>
    <n v="39000"/>
    <n v="41000"/>
    <n v="789"/>
    <n v="1.9621496605406481E-2"/>
  </r>
  <r>
    <x v="12"/>
    <s v="13.7"/>
    <s v="Suministro e instalacion de guardaescobas en PVC 6.8cm. Incluye la pega, la boquilla, dilatadores y la limpieza de las areas afectadas. "/>
    <s v="Ml"/>
    <n v="6436"/>
    <n v="6000"/>
    <n v="24000"/>
    <n v="12000"/>
    <n v="9000"/>
    <n v="2564"/>
    <n v="0.39838408949658172"/>
  </r>
  <r>
    <x v="12"/>
    <s v="13.8"/>
    <s v="Suministro e instalacion de enchape para muro en ceramica blanca brillante formato 0.30 X 0.45M Tipo artic de corona o similar. Incluye pega, boquilla, Win plastico, dilatadores y la limpieza de las areas afectadas. "/>
    <s v="M²"/>
    <n v="58113"/>
    <n v="48000"/>
    <n v="192000"/>
    <n v="45600"/>
    <n v="46800"/>
    <n v="-11313"/>
    <n v="-0.19467244850549792"/>
  </r>
  <r>
    <x v="12"/>
    <s v="13.9"/>
    <s v="Suministro e instalacion de enchape para muro en ceramica blanca brillante formato 0.30 X 0.30M Tipo artic de corona o similar. Incluye pega, boquilla, Win plastico, dilatadores y la limpieza de las areas afectadas. "/>
    <s v="M²"/>
    <n v="38265"/>
    <n v="55000"/>
    <n v="220000"/>
    <n v="54000"/>
    <n v="54500"/>
    <n v="16235"/>
    <n v="0.42427806089115377"/>
  </r>
  <r>
    <x v="12"/>
    <s v="13.10"/>
    <s v="Suministro e instalacion de boquilla para ceramica. Incluye el retiro y limpieza de las areas afectadas. "/>
    <s v="M²"/>
    <n v="3029"/>
    <n v="10000"/>
    <n v="40000"/>
    <n v="9000"/>
    <n v="9500"/>
    <n v="6471"/>
    <n v="2.1363486299108616"/>
  </r>
  <r>
    <x v="12"/>
    <s v="13.11"/>
    <s v="Suministro e Instalacion de piso en gres de 27X7 cms. Incluye el retiro y limpieza de las areas afectadas. "/>
    <s v="M²"/>
    <n v="41644"/>
    <n v="59953"/>
    <n v="239812"/>
    <n v="55670"/>
    <n v="57811.5"/>
    <n v="16167.5"/>
    <n v="0.38823119777158777"/>
  </r>
  <r>
    <x v="12"/>
    <s v="13.12"/>
    <s v="Suministro e Instalacion de piso en gres de 30X30 cms. Incluye el retiro y limpieza de las areas afectadas. "/>
    <s v="M²"/>
    <n v="59974"/>
    <n v="91320"/>
    <n v="273960"/>
    <n v="87900"/>
    <n v="89610"/>
    <n v="29636"/>
    <n v="0.49414746390102376"/>
  </r>
  <r>
    <x v="12"/>
    <s v="13.13"/>
    <s v="Suministro e instalacion de piso en granito natural aserrado brillado media placa 20mm . Incluye, pega, boquilla, dilatadores y el retiro y limpieza de las areas afectadas. "/>
    <s v="M²"/>
    <n v="193694"/>
    <n v="173500"/>
    <n v="520500"/>
    <n v="170900"/>
    <n v="172200"/>
    <n v="-21494"/>
    <n v="-0.11096884777019422"/>
  </r>
  <r>
    <x v="12"/>
    <s v="13.14"/>
    <s v="Aplicación de alistado ENDURECIDO para Pisos. Incluye la limpieza de las areas afectadas y nivelacion.  "/>
    <s v="M²"/>
    <n v="28469"/>
    <n v="35160"/>
    <n v="105480"/>
    <n v="34600"/>
    <n v="34880"/>
    <n v="6411"/>
    <n v="0.22519231444729354"/>
  </r>
  <r>
    <x v="12"/>
    <s v="13.15"/>
    <s v="Suministro e instalacion de piso PVC tipo CLIK de 4MM, trafico 42 Y 4 MICRAS. Incluye la limpieza de las areas afectadas y nivelacion.  "/>
    <s v="M²"/>
    <n v="49029"/>
    <n v="25000"/>
    <n v="75000"/>
    <n v="35600"/>
    <n v="30300"/>
    <n v="-18729"/>
    <n v="-0.38199840910481553"/>
  </r>
  <r>
    <x v="12"/>
    <s v="13.16"/>
    <s v="Aplicación de gravilla lavada para pisos. Incluye la limpieza de las areas afectadas y nivelacion.  "/>
    <s v="Ml"/>
    <n v="18425"/>
    <n v="35000"/>
    <n v="105000"/>
    <n v="35000"/>
    <n v="35000"/>
    <n v="16575"/>
    <n v="0.89959294436906379"/>
  </r>
  <r>
    <x v="12"/>
    <s v="13.17"/>
    <s v="Aplicación de plantilla de nivelación para baños. Incluye la limpieza de las areas afectadas y nivelacion.  "/>
    <s v="M²"/>
    <n v="11183"/>
    <n v="35160"/>
    <n v="70320"/>
    <n v="33000"/>
    <n v="34080"/>
    <n v="22897"/>
    <n v="2.0474827863721718"/>
  </r>
  <r>
    <x v="12"/>
    <s v="13.18"/>
    <s v="Suministro e instalacion de piso vinilo formato 1.6 mm 30x30 cm. Incluye pega, boquilla, dilatadores y limpieza de las areas afectadas. "/>
    <s v="M²"/>
    <n v="39869"/>
    <n v="52670"/>
    <n v="105340"/>
    <n v="51200"/>
    <n v="51935"/>
    <n v="12066"/>
    <n v="0.30264114976548195"/>
  </r>
  <r>
    <x v="12"/>
    <s v="13.19"/>
    <s v="Suministro e instalacion de piso vinilo formato 2.0 mm 30x30 cm rocas-tamiz-mármol. Incluye pega, boquilla, dilatadores y limpieza de las areas afectadas. "/>
    <s v="M²"/>
    <n v="45621"/>
    <n v="63418"/>
    <n v="126836"/>
    <n v="58700"/>
    <n v="61059"/>
    <n v="15438"/>
    <n v="0.33839679095153546"/>
  </r>
  <r>
    <x v="12"/>
    <s v="13.20"/>
    <s v="Construccion de media caña en gravilla lavada seccion de 15 X 15 CMS. Incluye la limpieza de las areas afectadas y nivelacion.  "/>
    <s v="Ml"/>
    <n v="16660"/>
    <n v="21000"/>
    <n v="21000"/>
    <n v="20000"/>
    <n v="20500"/>
    <n v="3840"/>
    <n v="0.2304921968787515"/>
  </r>
  <r>
    <x v="12"/>
    <s v="13.21"/>
    <s v="Suministro e instalacion de marmol crema marfil de 0,30 X0,15 cms. Incluye la limpieza y pulido de las areas afectadas.  "/>
    <s v="Ml"/>
    <n v="99282"/>
    <n v="108000"/>
    <n v="108000"/>
    <n v="107600"/>
    <n v="107800"/>
    <n v="8518"/>
    <n v="8.5796015390503813E-2"/>
  </r>
  <r>
    <x v="12"/>
    <s v="13.22"/>
    <s v="Suministro e instalacion de piso en alfombra argollada multinivel 650gr . Incluye cenmento plástico, la limpieza y pulido de las areas afectadas.  "/>
    <s v="M²"/>
    <n v="50424"/>
    <m/>
    <n v="98000"/>
    <n v="125000"/>
    <n v="125000"/>
    <n v="74576"/>
    <n v="1.4789782643185785"/>
  </r>
  <r>
    <x v="12"/>
    <s v="13.23"/>
    <s v="Construccion de media caña en mortero impermeabilizado con XYPEX seccion de 15 X 15 CMS. Incluye la limpieza de las areas afectadas y nivelacion."/>
    <s v="Ml"/>
    <n v="21910"/>
    <n v="14184"/>
    <n v="42552"/>
    <n v="13400"/>
    <n v="13792"/>
    <n v="-8118"/>
    <n v="-0.3705157462345961"/>
  </r>
  <r>
    <x v="12"/>
    <s v="13.24"/>
    <s v="Suministro e instalación de enchape arcilla 30x15 para piso.Incluye todas las herramientas para su correcta aplicación y limpieza y la disposicion final de residuos."/>
    <s v="M²"/>
    <n v="62547"/>
    <n v="94900"/>
    <n v="78000"/>
    <n v="101200"/>
    <n v="98050"/>
    <n v="35503"/>
    <n v="0.56762114889603021"/>
  </r>
  <r>
    <x v="12"/>
    <s v="13.25"/>
    <s v="Suministro e Instalacion de Guardaescoba en ceramica.Incluye todas las herramientas para su correcta aplicación y limpieza y la disposicion final de residuos."/>
    <s v="Ml"/>
    <n v="9608"/>
    <n v="45800"/>
    <n v="67000"/>
    <n v="22300"/>
    <n v="34050"/>
    <n v="24442"/>
    <n v="2.5439217318900917"/>
  </r>
  <r>
    <x v="13"/>
    <n v="14"/>
    <s v="APARATOS Y ACCESORIOS"/>
    <m/>
    <m/>
    <m/>
    <m/>
    <m/>
    <e v="#DIV/0!"/>
    <m/>
    <m/>
  </r>
  <r>
    <x v="13"/>
    <s v="14.1"/>
    <s v="Suministro e instalacion de sanitario blanco. Incluye, Griferia ahorradora, emboquillado, nivelacion y limpieza de las areas afectadas.  AVANTI PLUS"/>
    <s v="Un"/>
    <n v="318006"/>
    <n v="347432"/>
    <n v="694864"/>
    <n v="325000"/>
    <n v="336216"/>
    <n v="18210"/>
    <n v="5.7263070508103621E-2"/>
  </r>
  <r>
    <x v="13"/>
    <s v="14.2"/>
    <s v="Suministro e instalacion de sanitario blanco. Incluye, Griferia ahorradora, emboquillado, nivelacion y limpieza de las areas afectadas. Gama alta"/>
    <s v="Un"/>
    <n v="741339"/>
    <n v="347432"/>
    <n v="694864"/>
    <n v="478900"/>
    <n v="413166"/>
    <n v="-328173"/>
    <n v="-0.44267602271025808"/>
  </r>
  <r>
    <x v="13"/>
    <s v="14.3"/>
    <s v="Suministro e instalacion de lavamanos con grifería tipo I. Incluye, Griferia ahorradora, emboquillado, nivelacion y limpieza de las areas afectadas. "/>
    <s v="Un"/>
    <n v="122177"/>
    <n v="176901"/>
    <n v="353802"/>
    <n v="200000"/>
    <n v="188450.5"/>
    <n v="66273.5"/>
    <n v="0.54243842949163923"/>
  </r>
  <r>
    <x v="13"/>
    <s v="14.4"/>
    <s v="Suministro e instalacion de lavamanos con grifería tipo II. Incluye, Griferia ahorradora, emboquillado, nivelacion y limpieza de las areas afectadas. "/>
    <s v="Un"/>
    <n v="535354"/>
    <n v="644006"/>
    <n v="1288012"/>
    <n v="564000"/>
    <n v="604003"/>
    <n v="68649"/>
    <n v="0.12823103964853164"/>
  </r>
  <r>
    <x v="13"/>
    <s v="14.5"/>
    <s v="Suministro e instalacion de lavaplatos con grifería . Incluye, todo lo necesario para su instalación  y limpieza de las areas afectadas. "/>
    <s v="Un"/>
    <n v="224486"/>
    <n v="269067"/>
    <n v="807201"/>
    <n v="245000"/>
    <n v="257033.5"/>
    <n v="32547.5"/>
    <n v="0.14498676977628894"/>
  </r>
  <r>
    <x v="13"/>
    <s v="14.6"/>
    <s v="Cambio, suministro e instalación de kit de instalación lavaplatos GRIVAL. Incluye todos los accesorios y lo necesario para su correcta instalación"/>
    <s v="Un"/>
    <n v="48317"/>
    <n v="96000"/>
    <n v="288000"/>
    <n v="110500"/>
    <n v="103250"/>
    <n v="54933"/>
    <n v="1.1369290311898503"/>
  </r>
  <r>
    <x v="13"/>
    <s v="14.7"/>
    <s v="Cambio, suministro e instalación de sifón flexible doble Coflex. Incluye todos los accesorios y lo necesario para su correcta instalación."/>
    <s v="Un"/>
    <n v="85860"/>
    <n v="22885"/>
    <n v="68655"/>
    <n v="28000"/>
    <n v="25442.5"/>
    <n v="-60417.5"/>
    <n v="-0.70367458653622172"/>
  </r>
  <r>
    <x v="13"/>
    <s v="14.8"/>
    <s v="Cambio, suministro e instalación de sifón en plástico Orinal , incluye todo lo necesario para su correcta instalación"/>
    <s v="Un"/>
    <n v="24349"/>
    <n v="22885"/>
    <n v="68655"/>
    <n v="28000"/>
    <n v="25442.5"/>
    <n v="1093.5"/>
    <n v="4.4909441866195735E-2"/>
  </r>
  <r>
    <x v="13"/>
    <s v="14.9"/>
    <s v="Suministro e instalacion de orinal tipo  I Incluye,  todo lo necesaio para su correcta insstlaación y limpieza de las areas afectadas. "/>
    <s v="Un"/>
    <n v="318006"/>
    <n v="334460"/>
    <n v="668920"/>
    <n v="328600"/>
    <n v="331530"/>
    <n v="13524"/>
    <n v="4.2527499481141866E-2"/>
  </r>
  <r>
    <x v="13"/>
    <s v="14.10"/>
    <s v="Suministro e instalacion de orinal tipo  II. Incluye,  todo lo necesaio para su correcta instalación y limpieza de las areas afectadas. "/>
    <s v="Un"/>
    <n v="661584"/>
    <n v="334460"/>
    <n v="668920"/>
    <n v="405000"/>
    <n v="369730"/>
    <n v="-291854"/>
    <n v="-0.44114428402137901"/>
  </r>
  <r>
    <x v="13"/>
    <s v="14.11"/>
    <s v="Suministro e instalacion de ducha con grifería tipo I. Incluye,  todo lo necesaio para su correcta insstlaación y limpieza de las areas afectadas. "/>
    <s v="Un"/>
    <n v="92334"/>
    <n v="107698"/>
    <n v="215396"/>
    <n v="106000"/>
    <n v="106849"/>
    <n v="14515"/>
    <n v="0.15720103103948707"/>
  </r>
  <r>
    <x v="13"/>
    <s v="14.12"/>
    <s v="Suministro e instalacion de ducha con grifería tipo II. Incluye,  todo lo necesaio para su correcta insstlaación y limpieza de las areas afectadas. "/>
    <s v="Un"/>
    <n v="388155"/>
    <n v="450538"/>
    <n v="901076"/>
    <n v="400000"/>
    <n v="425269"/>
    <n v="37114"/>
    <n v="9.561644188532932E-2"/>
  </r>
  <r>
    <x v="13"/>
    <s v="14.13"/>
    <s v="Suministro e instalacion de extractores para baños y cocinas. Incluye la limpieza de las areas afectadas y nivelacion."/>
    <s v="Un"/>
    <n v="78247"/>
    <n v="103870"/>
    <n v="207740"/>
    <n v="110000"/>
    <n v="106935"/>
    <n v="28688"/>
    <n v="0.36663386455710761"/>
  </r>
  <r>
    <x v="13"/>
    <s v="14.14"/>
    <s v="Suministro e instalacion de boquilla. Incluye el retiro de la boquilla existente, limpieza y la disposicion final de residuos. "/>
    <s v="M²"/>
    <n v="2346"/>
    <n v="10000"/>
    <n v="30000"/>
    <n v="6000"/>
    <n v="8000"/>
    <n v="5654"/>
    <n v="2.4100596760443307"/>
  </r>
  <r>
    <x v="13"/>
    <s v="14.15"/>
    <s v="Suministro e instalacion de meson en lamina de cuarzo de 2 cms de espesor, ancho de 0,60 cms, Quartz Stone tipo TOP TILE o similar, canto y salpicadero de 0,10 cms del mismo material, se debe instalar sobre una estructura resistente metalica pintada con anticorrosivo y esmalte del color del cuarzo (color por seleccionar). Incluye las aperturas para griferia y lavamanos, pulida y brillado de las partes, los empalmes entre las laminas deben estar acolilladas a 45°, de union exacta y brillado debe ser acolillado, la limpieza de las areas afectadas y nivelacion.."/>
    <s v="Ml"/>
    <n v="548235"/>
    <n v="0"/>
    <n v="800000"/>
    <n v="0"/>
    <n v="0"/>
    <n v="-548235"/>
    <n v="-1"/>
  </r>
  <r>
    <x v="13"/>
    <s v="14.16"/>
    <s v="Suministro e instalación de LUXACELL en acero. Incluye la limpieza de las areas afectadas y nivelacion."/>
    <s v="M²"/>
    <n v="233504"/>
    <n v="0"/>
    <n v="540000"/>
    <n v="0"/>
    <n v="0"/>
    <n v="-233504"/>
    <n v="-1"/>
  </r>
  <r>
    <x v="13"/>
    <s v="14.17"/>
    <s v="Suministro e Instalacion de juego accesorios para incrustar Alegro. Incluye la limpieza de las areas afectadas y nivelacion."/>
    <s v="Un"/>
    <n v="61038"/>
    <n v="103663"/>
    <n v="310989"/>
    <n v="105900"/>
    <n v="104781.5"/>
    <n v="43743.5"/>
    <n v="0.71666011337199775"/>
  </r>
  <r>
    <x v="13"/>
    <s v="14.18"/>
    <s v="Suministro e Instalacion de juego accesorios para incrustar acuario. Incluye la limpieza de las areas afectadas y nivelacion."/>
    <s v="Un"/>
    <n v="132059"/>
    <n v="103663"/>
    <n v="310989"/>
    <n v="105900"/>
    <n v="104781.5"/>
    <n v="-27277.5"/>
    <n v="-0.2065554032667217"/>
  </r>
  <r>
    <x v="13"/>
    <s v="14.19"/>
    <s v="Suministro e instalacion de aparato sanitario nacional. Incluye, Griferia, emboquillado, nivelacion y limpieza de las areas afectadas. "/>
    <s v="Un"/>
    <n v="335842"/>
    <n v="700287"/>
    <n v="2801148"/>
    <n v="680900"/>
    <n v="690593.5"/>
    <n v="354751.5"/>
    <n v="1.0563047504481273"/>
  </r>
  <r>
    <x v="13"/>
    <s v="14.20"/>
    <s v="Suministro e instalacion de lavamanos con pedestal estilo o similar al existente.  Incluye, Griferia ahorradora, emboquillado, nivelacion y limpieza de las areas afectadas. "/>
    <s v="Un"/>
    <n v="285504"/>
    <n v="426265"/>
    <n v="1705060"/>
    <n v="450000"/>
    <n v="438132.5"/>
    <n v="152628.5"/>
    <n v="0.5345932106030038"/>
  </r>
  <r>
    <x v="13"/>
    <s v="14.21"/>
    <s v="Suministro e instalacion de meson en acero inoxidable. Incluye la poseta, griferia, accesorios, emboquillado y nivelacion y limpieza de las areas afectadas. "/>
    <s v="Ml"/>
    <n v="367689"/>
    <n v="158250"/>
    <n v="633000"/>
    <n v="150600"/>
    <n v="154425"/>
    <n v="-213264"/>
    <n v="-0.58001191224105153"/>
  </r>
  <r>
    <x v="13"/>
    <s v="14.22"/>
    <s v="Suministro e instalacion de baranda en tuberia galvanizada de 2&quot; horizontales y verticales de 1 3/4&quot; cada 1.5 mts. Incluye, pintura, anticorrosivo, soldadura, anclajes, nivelacion y limpieza de las areas afectadas.  "/>
    <s v="Ml"/>
    <n v="174899"/>
    <n v="350000"/>
    <n v="1400000"/>
    <n v="345000"/>
    <n v="347500"/>
    <n v="172601"/>
    <n v="0.98686098834184299"/>
  </r>
  <r>
    <x v="13"/>
    <s v="14.23"/>
    <s v="Suministro e instalacion de pelicula de seguridad control solar para vidrios de 3M o similar. Incluye nivelacion y limpieza de las areas afectadas. "/>
    <s v="M²"/>
    <n v="68773"/>
    <n v="59900"/>
    <n v="119800"/>
    <n v="50000"/>
    <n v="54950"/>
    <n v="-13823"/>
    <n v="-0.20099457635990869"/>
  </r>
  <r>
    <x v="13"/>
    <s v="14.24"/>
    <s v="Suministro e instalacion de cinta anti deslizante para escaleras. Incluye nivelacion y limpieza de las areas afectadas. "/>
    <s v="Ml"/>
    <n v="9370"/>
    <n v="10143"/>
    <n v="20286"/>
    <n v="22300"/>
    <n v="16221.5"/>
    <n v="6851.5"/>
    <n v="0.7312166488794023"/>
  </r>
  <r>
    <x v="13"/>
    <s v="14.25"/>
    <s v="Suministro e instalacion de sanitario GANAMAX. Incluye, Griferia ahorradora, emboquillado, nivelacion y limpieza de las areas afectadas. "/>
    <s v="Un"/>
    <n v="329254"/>
    <n v="347432"/>
    <n v="694864"/>
    <n v="345000"/>
    <n v="346216"/>
    <n v="16962"/>
    <n v="5.1516458418120963E-2"/>
  </r>
  <r>
    <x v="13"/>
    <s v="14.26"/>
    <s v="Suministro e instalación de Aire mini Split de 12000 B.T.U convencional. Incluye tubería de desagüe y parte eléctrica."/>
    <s v="Un"/>
    <n v="2088330"/>
    <n v="2029860"/>
    <n v="2029860"/>
    <n v="1980000"/>
    <n v="2004930"/>
    <n v="-83400"/>
    <n v="-3.9936216977201879E-2"/>
  </r>
  <r>
    <x v="13"/>
    <s v="14.27"/>
    <s v="Suministro e instalación de aire acondicionado entre 3 a 5  toneladas. Incluye tubería de desagüe y parte eléctrica."/>
    <s v="Un"/>
    <n v="5243606"/>
    <n v="12500000"/>
    <n v="875000"/>
    <n v="12450000"/>
    <n v="12475000"/>
    <n v="7231394"/>
    <n v="1.3790879787688091"/>
  </r>
  <r>
    <x v="13"/>
    <s v="14.28"/>
    <s v="Suministro e instalación de calentador 6Lt tiro natural gas natural . Incluye todo lo necesario para su correcta instalación "/>
    <s v="Un"/>
    <n v="764292"/>
    <n v="1013459.9999999999"/>
    <n v="1013459.9999999999"/>
    <n v="1200000"/>
    <n v="1106730"/>
    <n v="342438"/>
    <n v="0.44804603476158328"/>
  </r>
  <r>
    <x v="13"/>
    <s v="14.29"/>
    <s v="Suministro e instalación de calentador 10Lt tiro forzado gas natural. Incluye todo lo necesario para su correcta instalación "/>
    <s v="Un"/>
    <n v="1108040"/>
    <n v="1397060"/>
    <n v="2794120"/>
    <n v="1367000"/>
    <n v="1382030"/>
    <n v="273990"/>
    <n v="0.24727446662575359"/>
  </r>
  <r>
    <x v="13"/>
    <s v="14.30"/>
    <s v="Suministro e instalación de calentador 16Lt tiro forzado gas natural. Incluye todo lo necesario para su correcta instalación "/>
    <s v="Un"/>
    <n v="1842743"/>
    <n v="1873059.9999999998"/>
    <n v="3746119.9999999995"/>
    <n v="1845000"/>
    <n v="1859030"/>
    <n v="16287"/>
    <n v="8.8384544127965755E-3"/>
  </r>
  <r>
    <x v="13"/>
    <s v="14.31"/>
    <s v="Suministro e Instalacion de Grifería lavaplatos mezclador 8 pulgadas palanca Sevilla palanca Grival"/>
    <s v="Un"/>
    <n v="132221"/>
    <m/>
    <n v="230000"/>
    <n v="150000"/>
    <n v="150000"/>
    <n v="17779"/>
    <n v="0.13446426815710061"/>
  </r>
  <r>
    <x v="13"/>
    <s v="14.32"/>
    <s v="Suministro, instalacion y transporte de campana extractora rectangular, marca Haceb de 60 cm, Negra Kala Ref: 326113"/>
    <s v="Un"/>
    <n v="359944"/>
    <n v="235626"/>
    <n v="471252"/>
    <n v="234000"/>
    <n v="234813"/>
    <n v="-125131"/>
    <n v="-0.3476401884737626"/>
  </r>
  <r>
    <x v="14"/>
    <n v="15"/>
    <s v="OTROS"/>
    <m/>
    <m/>
    <m/>
    <m/>
    <m/>
    <m/>
    <m/>
    <m/>
  </r>
  <r>
    <x v="14"/>
    <s v="15.1"/>
    <s v="Limpieza y aseo (cuadrilla de ase KK)"/>
    <s v="HC"/>
    <n v="12768"/>
    <n v="16646"/>
    <n v="16646"/>
    <n v="15600"/>
    <n v="16123"/>
    <n v="3355"/>
    <n v="0.26276629072681706"/>
  </r>
  <r>
    <x v="14"/>
    <s v="15.2"/>
    <s v="Limpieza y aseo (cuadrilla de ase KK, incluye planta eléctrica y suministro de agua)"/>
    <s v="HC"/>
    <n v="14543"/>
    <n v="27427"/>
    <n v="27427"/>
    <n v="22340"/>
    <n v="24883.5"/>
    <n v="10340.5"/>
    <n v="0.71102936120470328"/>
  </r>
  <r>
    <x v="14"/>
    <s v="15.3"/>
    <s v="Limpieza de piscina por primera vez."/>
    <s v="Un"/>
    <n v="151879"/>
    <n v="1404200"/>
    <n v="1404200"/>
    <n v="1200000"/>
    <n v="1302100"/>
    <n v="1150221"/>
    <n v="7.5732721442727433"/>
  </r>
  <r>
    <x v="14"/>
    <s v="15.4"/>
    <s v="Limpieza de piscina , luego de la primera limpieza"/>
    <s v="Un"/>
    <n v="85432"/>
    <n v="865000"/>
    <n v="865000"/>
    <n v="650000"/>
    <n v="757500"/>
    <n v="672068"/>
    <n v="7.8667010019664767"/>
  </r>
  <r>
    <x v="14"/>
    <s v="15.5"/>
    <s v="Poda y corte cesped. Incluye retiro de material sobrante"/>
    <s v="HC"/>
    <n v="17800"/>
    <n v="49072"/>
    <n v="98144"/>
    <n v="35600"/>
    <n v="42336"/>
    <n v="24536"/>
    <n v="1.3784269662921349"/>
  </r>
  <r>
    <x v="14"/>
    <s v="15.6"/>
    <s v="Suministro e Instalacion de cordon de Sikaflex 1A. Incluye limpieza de superficie"/>
    <s v="Ml"/>
    <n v="12046"/>
    <m/>
    <n v="45000"/>
    <n v="21000"/>
    <n v="21000"/>
    <n v="8954"/>
    <n v="0.74331728374564165"/>
  </r>
  <r>
    <x v="14"/>
    <s v="15.7"/>
    <s v="Manejo Integral y Control de Plagas (Insectos Voladores, Rastreros, roedores menores y comejen.). Para una area hasta 220 m²"/>
    <s v="gb"/>
    <n v="455437"/>
    <m/>
    <n v="30000"/>
    <n v="350000"/>
    <n v="350000"/>
    <n v="-105437"/>
    <n v="-0.23150732153953235"/>
  </r>
  <r>
    <x v="14"/>
    <s v="15.8"/>
    <s v="Poda de árbol, incluye limpieza y remoción de residuos"/>
    <s v="Ml"/>
    <n v="88147"/>
    <n v="49072"/>
    <n v="98144"/>
    <n v="30000"/>
    <n v="39536"/>
    <n v="-48611"/>
    <n v="-0.55147651082850235"/>
  </r>
  <r>
    <x v="14"/>
    <s v="15.9"/>
    <s v="Contenedor Bodega de 20 pies, inlcuye armado, transporte y desinstalación. Incluye la limpieza de las zonas afectadas"/>
    <s v="Mes"/>
    <n v="571985"/>
    <m/>
    <n v="8000000"/>
    <n v="1600000"/>
    <n v="1600000"/>
    <n v="1028015"/>
    <n v="1.7972761523466525"/>
  </r>
  <r>
    <x v="14"/>
    <s v="15.10"/>
    <s v="Suministro e instalacion de Concertina Sencilla. Inluye la disposisción final de residuos"/>
    <s v="Ml"/>
    <n v="31345"/>
    <n v="32132.05"/>
    <n v="96396.15"/>
    <n v="30400"/>
    <n v="31266.025000000001"/>
    <n v="-78.974999999998545"/>
    <n v="-2.5195405965863309E-3"/>
  </r>
  <r>
    <x v="14"/>
    <s v="15.11"/>
    <s v="Revision, diagnostico y mantenimiento de jacuzzi. Incluye todos los elementos para su funcionamiento."/>
    <s v="M²"/>
    <n v="2448567"/>
    <n v="55000"/>
    <n v="165000"/>
    <n v="79000"/>
    <n v="67000"/>
    <n v="-2381567"/>
    <n v="-0.97263705669479328"/>
  </r>
  <r>
    <x v="14"/>
    <s v="15.12"/>
    <s v="Desmonte y construccion general de bacones y cubiertas tipo colonial. Incluye demolición de balcones, reemplazo de estructura en madera colonial, con armagasa, incluye balaustrada y demás detalles coloniales exisitentes. Inluye la disposisción final de residuos"/>
    <s v="gb"/>
    <n v="24384768"/>
    <m/>
    <n v="300000"/>
    <n v="20000000"/>
    <n v="20000000"/>
    <n v="-4384768"/>
    <n v="-0.17981585881809498"/>
  </r>
  <r>
    <x v="14"/>
    <s v="15.13"/>
    <s v="Mantenimiento piscina - alberca. Inluye la disposisción final de residuos"/>
    <s v="gb"/>
    <n v="489714"/>
    <m/>
    <n v="230000"/>
    <n v="1000000"/>
    <n v="1000000"/>
    <n v="510286"/>
    <n v="1.0420081925368685"/>
  </r>
  <r>
    <x v="14"/>
    <s v="15.14"/>
    <s v="Desmonte y reinstalación de tanque de agua existente de 500 a 1000 lts. Incluye resitalacion de tuberia y accesorios, Inluye la disposisción final de residuos"/>
    <s v="Un"/>
    <n v="110188"/>
    <n v="805300"/>
    <n v="805300"/>
    <n v="600780"/>
    <n v="703040"/>
    <n v="592852"/>
    <n v="5.3803680981595088"/>
  </r>
  <r>
    <x v="14"/>
    <s v="15.15"/>
    <s v="Lavado y desinfección tanque (Incluye evacuación y llenado del tanque, limpieza y desinfección, revisión y arreglo de posibles fisuras).Inluye la disposisción final de residuos"/>
    <s v="Un"/>
    <n v="18559"/>
    <n v="167747"/>
    <n v="167747"/>
    <n v="286000"/>
    <n v="226873.5"/>
    <n v="208314.5"/>
    <n v="11.224446360256479"/>
  </r>
  <r>
    <x v="14"/>
    <s v="15.16"/>
    <s v="Desmonte y reinstalacion de Concertina exisitente, Inluye la disposisción final de residuos"/>
    <s v="Ml"/>
    <n v="25668"/>
    <n v="32132.04"/>
    <n v="64264.08"/>
    <n v="20000"/>
    <n v="26066.02"/>
    <n v="398.02000000000044"/>
    <n v="1.5506467196509289E-2"/>
  </r>
  <r>
    <x v="14"/>
    <s v="15.17"/>
    <s v="Lavado de pisos con hidrolavadora, Inluye la disposisción final de residuos"/>
    <s v="M²"/>
    <n v="3238"/>
    <n v="25000"/>
    <n v="50000"/>
    <n v="15000"/>
    <n v="20000"/>
    <n v="16762"/>
    <n v="5.1766522544780731"/>
  </r>
  <r>
    <x v="14"/>
    <s v="15.18"/>
    <s v="Levantamiento de áreas, registro fotográfico, diagnóstico, presupuesto y cronograma para los casos no aprobados para su ejecución.Predios Urbanos"/>
    <s v="Un"/>
    <n v="132894"/>
    <n v="800000"/>
    <n v="1600000"/>
    <n v="700000"/>
    <n v="750000"/>
    <n v="617106"/>
    <n v="4.6435956476590361"/>
  </r>
  <r>
    <x v="14"/>
    <s v="15.19"/>
    <s v="Levantamiento de áreas, registro fotográfico, diagnóstico, presupuesto y cronograma para los casos no aprobados para su ejecución.Predios Rurales"/>
    <s v="Un"/>
    <n v="151879"/>
    <n v="900000"/>
    <n v="2700000"/>
    <n v="890000"/>
    <n v="895000"/>
    <n v="743121"/>
    <n v="4.8928489126212318"/>
  </r>
  <r>
    <x v="15"/>
    <n v="16"/>
    <s v="NO PREVISTOS"/>
    <m/>
    <m/>
    <m/>
    <m/>
    <m/>
    <e v="#DIV/0!"/>
    <m/>
    <m/>
  </r>
  <r>
    <x v="15"/>
    <s v="16.1"/>
    <s v="Suministro e instalacion de estufa 4 puestos a gas con cubierta en vidrio. Tamaño 58 x 51 cm"/>
    <s v="Un"/>
    <n v="779849"/>
    <n v="752900"/>
    <n v="2258700"/>
    <n v="890000"/>
    <n v="821450"/>
    <n v="41601"/>
    <n v="5.3344942418339959E-2"/>
  </r>
  <r>
    <x v="15"/>
    <s v="16.2"/>
    <s v="Suministro e instalacion de horno a gas. Tamaño 60 x 62 X 49 cm"/>
    <s v="Un"/>
    <n v="714717"/>
    <n v="840900"/>
    <n v="1681800"/>
    <n v="900000"/>
    <n v="870450"/>
    <n v="155733"/>
    <n v="0.21789463521925462"/>
  </r>
  <r>
    <x v="15"/>
    <s v="16.3"/>
    <s v="Suministro e instalacion de estufa 4 puestos a gas con cubierta en vidrio. Tamaño 66 x 54 cm"/>
    <s v="Un"/>
    <n v="1139447"/>
    <n v="704900"/>
    <n v="1409800"/>
    <n v="678000"/>
    <n v="691450"/>
    <n v="-447997"/>
    <n v="-0.39317054676522911"/>
  </r>
  <r>
    <x v="15"/>
    <s v="16.4"/>
    <s v="Manteniniento cielo raso en drywall. Incluye lijado, masillado y pintura. No incluye reposicion de laminas"/>
    <s v="M²"/>
    <n v="19410"/>
    <n v="35000"/>
    <n v="70000"/>
    <n v="34000"/>
    <n v="34500"/>
    <n v="15090"/>
    <n v="0.77743431221020087"/>
  </r>
  <r>
    <x v="15"/>
    <s v="16.5"/>
    <s v="Revision y diagnostico sistema electrico en general."/>
    <s v="gb"/>
    <n v="203220"/>
    <n v="150000"/>
    <n v="600000"/>
    <n v="250000"/>
    <n v="200000"/>
    <n v="-3220"/>
    <n v="-1.5844897155791751E-2"/>
  </r>
  <r>
    <x v="15"/>
    <s v="16.6"/>
    <s v="Revision, diagnostico y piscina. Incluye todos los elementos para su funcionamiento."/>
    <s v="gb"/>
    <n v="203220"/>
    <m/>
    <n v="600000"/>
    <n v="1000000"/>
    <n v="1000000"/>
    <n v="796780"/>
    <n v="3.9207755142210412"/>
  </r>
  <r>
    <x v="15"/>
    <s v="16.7"/>
    <s v="Suministro e instalacion de puerta doble en madera de 2.00x1.50 cms de ancho. Incluye, pintura, bisagras, tornillos en ambas caras, chapa, la disposicion final de residuos y limpieza de las areas afectadas."/>
    <s v="Un"/>
    <n v="863685"/>
    <n v="475506"/>
    <n v="1902024"/>
    <n v="650000"/>
    <n v="562753"/>
    <n v="-300932"/>
    <n v="-0.34842795695189799"/>
  </r>
  <r>
    <x v="15"/>
    <s v="16.8"/>
    <s v="Suministro y aplicación de pintura koraza para pergolas, dos manos. Incluye hidrolavado todos los materiales necesarios para su correcta aplicación, el retiro, limpieza y la disposicion final de residuos."/>
    <s v="Ml"/>
    <n v="10670"/>
    <n v="16000"/>
    <n v="64000"/>
    <n v="15700"/>
    <n v="15850"/>
    <n v="5180"/>
    <n v="0.48547328959700092"/>
  </r>
  <r>
    <x v="15"/>
    <s v="16.9"/>
    <s v="Suministro y aplicación de pintura koraza para columnas, dos manos. Incluye hidrolavado todos los materiales necesarios para su correcta aplicación, el retiro, limpieza y la disposicion final de residuos."/>
    <s v="Ml"/>
    <n v="10670"/>
    <n v="20000"/>
    <n v="80000"/>
    <n v="19800"/>
    <n v="19900"/>
    <n v="9230"/>
    <n v="0.86504217432052488"/>
  </r>
  <r>
    <x v="15"/>
    <s v="16.10"/>
    <s v="Mantenimiento de capiteles con sikatop 122"/>
    <s v="Un"/>
    <n v="113285"/>
    <m/>
    <n v="32000"/>
    <n v="56000"/>
    <n v="56000"/>
    <n v="-57285"/>
    <n v="-0.50567153639051954"/>
  </r>
  <r>
    <x v="15"/>
    <s v="16.11"/>
    <s v="Suministro e Instalacion de estufa cubierta en vidrio de 1.06 x 0.60, Incluye todas las herramientas para su correcta aplicación y limpieza y la disposicion final de residuos."/>
    <s v="Un"/>
    <n v="1422540"/>
    <n v="650000"/>
    <n v="1950000"/>
    <n v="600000"/>
    <n v="625000"/>
    <n v="-797540"/>
    <n v="-0.56064504337312127"/>
  </r>
  <r>
    <x v="15"/>
    <s v="16.12"/>
    <s v="Suministro e Instalacion de lavamanos metálico diametro 40 cm, Incluye todas las herramientas para su correcta aplicación y limpieza y la disposicion final de residuos."/>
    <s v="Un"/>
    <n v="365796"/>
    <n v="450000"/>
    <n v="1350000"/>
    <n v="400000"/>
    <n v="425000"/>
    <n v="59204"/>
    <n v="0.16184977419107918"/>
  </r>
  <r>
    <x v="15"/>
    <s v="16.13"/>
    <s v="Suministro e Instalacion de lavaplatos doble en acero inoxidable de 95 x 45,  Incluye todas las herramientas para su correcta aplicación y limpieza y la disposicion final de residuos."/>
    <s v="Un"/>
    <n v="457245"/>
    <n v="650000"/>
    <n v="1950000"/>
    <n v="567000"/>
    <n v="608500"/>
    <n v="151255"/>
    <n v="0.33079640017933493"/>
  </r>
  <r>
    <x v="15"/>
    <s v="16.14"/>
    <s v="Suministro e Instalacion de motor electrico para puerta garaje levadiza. Incluye todas las herramientas para su correcta aplicación y limpieza y la disposicion final de residuos."/>
    <s v="Un"/>
    <n v="1524150"/>
    <n v="281145"/>
    <n v="843435"/>
    <n v="345000"/>
    <n v="313072.5"/>
    <n v="-1211077.5"/>
    <n v="-0.79459206770987112"/>
  </r>
  <r>
    <x v="15"/>
    <s v="16.15"/>
    <s v="Suministro e Instalacion de motor electrico para puerta corrediza. Incluye todas las herramientas para su correcta aplicación y limpieza y la disposicion final de residuos."/>
    <s v="Un"/>
    <n v="1219320"/>
    <n v="281145"/>
    <n v="562290"/>
    <n v="345000"/>
    <n v="313072.5"/>
    <n v="-906247.5"/>
    <n v="-0.74324008463733882"/>
  </r>
  <r>
    <x v="15"/>
    <s v="16.16"/>
    <s v="Reparacion de columnas 20x20 en concreto con sikatop 122 mortero de reparacion. Incluye, raspado y rasqueteado de columna, picada de concreto, , pintura koraza y todos los materiales necesarios para su correcta aplicación, retiro, limpieza y la disposición final de residuos."/>
    <s v="Un"/>
    <n v="159891"/>
    <m/>
    <n v="350000"/>
    <n v="125000"/>
    <n v="125000"/>
    <n v="-34891"/>
    <n v="-0.21821741061097874"/>
  </r>
  <r>
    <x v="15"/>
    <s v="16.17"/>
    <s v="Reparacion de capitel  en concreto con sikatop 122 mortero de reparacion. Incluye rapado y rasqueteadode pintura existente, pintura koraza y todos los materiales necesarios para su correcta aplicación, retiro, limpieza y la disposición final de residuos."/>
    <s v="Un"/>
    <n v="107322"/>
    <m/>
    <n v="35000"/>
    <n v="125000"/>
    <n v="125000"/>
    <n v="17678"/>
    <n v="0.16471925607051677"/>
  </r>
  <r>
    <x v="15"/>
    <s v="16.18"/>
    <s v="Suministro e instalación de tapa en superboard hasta 60 cms. Inluye pintura y todos los materiales necesarios para su correcta aplicación, retiro, limpieza y la disposición final de residuos. Alturas mayores a 2,50 mts"/>
    <s v="Ml"/>
    <n v="55895"/>
    <n v="93077.64"/>
    <n v="186155.28"/>
    <n v="90500"/>
    <n v="91788.82"/>
    <n v="35893.820000000007"/>
    <n v="0.64216513104928896"/>
  </r>
  <r>
    <x v="15"/>
    <s v="16.19"/>
    <s v="Suministro e instalación de sikafill-300 Thermic impermeabilizacion losa de cubierta. Incluye todos los materiales necesarios para su correcta aplicación, el retiro, limpieza y la disposicion final de residuos. "/>
    <s v="M²"/>
    <n v="38324"/>
    <n v="36818.54"/>
    <n v="73637.08"/>
    <n v="35000"/>
    <n v="35909.270000000004"/>
    <n v="-2414.7299999999959"/>
    <n v="-6.3008297672476676E-2"/>
  </r>
  <r>
    <x v="15"/>
    <s v="16.20"/>
    <s v="Suministro e instalación de gargola en concreto 11 x 12 x 24 cm,Incluye todos los materiales necesarios para su correcta aplicación, el retiro, limpieza y la disposicion final de residuos. "/>
    <s v="Un"/>
    <n v="96492"/>
    <n v="53112"/>
    <n v="106224"/>
    <n v="80000"/>
    <n v="66556"/>
    <n v="-29936"/>
    <n v="-0.31024333623512829"/>
  </r>
  <r>
    <x v="15"/>
    <s v="16.21"/>
    <s v="Suministro e Instalacion de Tapaluz en madera de 4 cm x 1 cm espesor. Color tabaco, Incluye todos los materiales necesarios para su correcta aplicación, el retiro, limpieza y la disposicion final de residuos. "/>
    <s v="Ml"/>
    <n v="11956"/>
    <m/>
    <n v="45000"/>
    <n v="90000"/>
    <n v="90000"/>
    <n v="78044"/>
    <n v="6.5276012044161931"/>
  </r>
  <r>
    <x v="15"/>
    <s v="16.22"/>
    <s v="Suministro e instalación de llaves para lavamanos 4&quot; Gricol,Incluye todos los materiales necesarios para su correcta aplicación, el retiro, limpieza y la disposicion final de residuos. "/>
    <s v="Un"/>
    <n v="81998"/>
    <n v="344624.2"/>
    <n v="1378496.8"/>
    <n v="65000"/>
    <n v="204812.1"/>
    <n v="122814.1"/>
    <n v="1.4977694577916536"/>
  </r>
  <r>
    <x v="15"/>
    <s v="16.23"/>
    <s v="Suministro e instalación de accesorios para tanque sanitario acuacer,Incluye todos los materiales necesarios para su correcta aplicación, el retiro, limpieza y la disposicion final de residuos. "/>
    <s v="Un"/>
    <n v="65435"/>
    <m/>
    <n v="400000"/>
    <n v="190000"/>
    <n v="190000"/>
    <n v="124565"/>
    <n v="1.9036448383892413"/>
  </r>
  <r>
    <x v="15"/>
    <s v="16.24"/>
    <s v="Desmonte de lámina en drywall. Incluye el retiro, limpieza y la disposición final de residuos."/>
    <s v="Ml"/>
    <n v="12227"/>
    <n v="12483.25"/>
    <n v="24966.5"/>
    <n v="8900"/>
    <n v="10691.625"/>
    <n v="-1535.375"/>
    <n v="-0.12557250347591395"/>
  </r>
  <r>
    <x v="15"/>
    <s v="16.25"/>
    <s v="Suministro e instalación de tapa lámina en superboard hasta 60 cm, incluye pintura, masilla estructura y todos los materiales necesarios para su correcta construcción, retiro y disposición final de residuos y limpieza de las áreas afectadas."/>
    <s v="Ml"/>
    <n v="68546"/>
    <m/>
    <n v="350000"/>
    <n v="134000"/>
    <n v="134000"/>
    <n v="65454"/>
    <n v="0.95489160563709041"/>
  </r>
  <r>
    <x v="15"/>
    <s v="16.26"/>
    <s v="Hora ayudante albañileria con prestaciones"/>
    <s v="Hh"/>
    <n v="7633"/>
    <m/>
    <n v="36000"/>
    <n v="15600"/>
    <n v="15600"/>
    <n v="7967"/>
    <n v="1.0437573693174373"/>
  </r>
  <r>
    <x v="15"/>
    <s v="16.27"/>
    <s v="Suministro e instalación de roseta en porcelana para bombillo,Incluye todos los materiales necesarios para su correcta aplicación, el retiro, limpieza y la disposicion final de residuos. "/>
    <s v="Un"/>
    <n v="7318"/>
    <m/>
    <n v="47000"/>
    <n v="15000"/>
    <n v="15000"/>
    <n v="7682"/>
    <n v="1.0497403662202787"/>
  </r>
  <r>
    <x v="15"/>
    <s v="16.28"/>
    <s v="Manejo Integral y Control de Plagas (Insectos Voladores, Rastreros, roedores menores y comejen.). Para una area mayor a 200m² y hasta 400 m²"/>
    <s v="gb"/>
    <n v="792558"/>
    <m/>
    <n v="470000"/>
    <n v="300000"/>
    <n v="300000"/>
    <n v="-492558"/>
    <n v="-0.62147880659838139"/>
  </r>
  <r>
    <x v="15"/>
    <s v="16.29"/>
    <s v="Suministro e Instalacion de guardaescoba en PORCELANATO acabado semimate. Incluye la pega, la boquilla, dilatadores y la limpieza de las areas afectadas. (Precio Construdata)"/>
    <s v="Ml"/>
    <n v="14962"/>
    <n v="43000"/>
    <n v="129000"/>
    <n v="38900"/>
    <n v="40950"/>
    <n v="25988"/>
    <n v="1.7369335650314128"/>
  </r>
  <r>
    <x v="15"/>
    <s v="16.30"/>
    <s v="Revision y Mantenimiento de Piscina, Incklyute cambio de tuberias y mantenimiento de bombas y demas accesorios para su correcto funcionamiento"/>
    <s v="gb"/>
    <n v="4292939"/>
    <m/>
    <n v="250000"/>
    <n v="1000000"/>
    <n v="1000000"/>
    <n v="-3292939"/>
    <n v="-0.76705935024932803"/>
  </r>
  <r>
    <x v="15"/>
    <s v="16.31"/>
    <s v="Desmonte, suministro e instalacion de caballete eternit.. Incluye todas las herramientas para su correcta aplicación y limpieza y la disposicion final de residuos."/>
    <s v="Un"/>
    <n v="52141"/>
    <n v="56111"/>
    <n v="224444"/>
    <n v="56000"/>
    <n v="56055.5"/>
    <n v="3914.5"/>
    <n v="7.507527665368903E-2"/>
  </r>
  <r>
    <x v="15"/>
    <s v="16.32"/>
    <s v="Demolición columnas en concreto de 25x25. Incluye el retiro, limpieza y la disposicion final de residuos. "/>
    <s v="Ml"/>
    <n v="16934"/>
    <n v="256953.7"/>
    <n v="1027814.8"/>
    <n v="160000"/>
    <n v="208476.85"/>
    <n v="191542.85"/>
    <n v="11.311140309436636"/>
  </r>
  <r>
    <x v="15"/>
    <s v="16.33"/>
    <s v="Demolición zapatas en concreto de 40x40. Incluye el retiro, limpieza y la disposicion final de residuos. "/>
    <s v="Un"/>
    <n v="41856"/>
    <n v="256953.7"/>
    <n v="1027814.8"/>
    <n v="120000"/>
    <n v="188476.85"/>
    <n v="146620.85"/>
    <n v="3.5029828459480123"/>
  </r>
  <r>
    <x v="15"/>
    <s v="16.34"/>
    <s v="Construccion de zapatas  de 40 X 40 X 20, en concreto grava común. de 3000 psi. Incluye hierro de 1/2&quot; y todos los materiales y herramientas necesarias para su correcta construccion, el retiro, limpieza y la disposicion final de residuos."/>
    <s v="Un"/>
    <n v="91498"/>
    <n v="792453"/>
    <n v="1584906"/>
    <n v="325000"/>
    <n v="558726.5"/>
    <n v="467228.5"/>
    <n v="5.1064340204157466"/>
  </r>
  <r>
    <x v="15"/>
    <s v="16.35"/>
    <s v="Construccion de columnas de 25 x 25, en concreto grava común. de 3000 psi. Incluye hierro y todos los materiales y herramientas necesarias para su correcta construccion, el retiro, limpieza y la disposicion final de residuos."/>
    <s v="Ml"/>
    <n v="134829"/>
    <n v="887094.23"/>
    <n v="1774188.46"/>
    <n v="205000"/>
    <n v="546047.11499999999"/>
    <n v="411218.11499999999"/>
    <n v="3.0499233473510889"/>
  </r>
  <r>
    <x v="15"/>
    <s v="16.36"/>
    <s v="Suministro y aplicación de pintura koraza para exteriores, dos manos para columnas. Incluye todos los materiales necesarios para su correcta aplicación, el retiro, limpieza y la disposicion final de residuos."/>
    <s v="Ml"/>
    <n v="8214"/>
    <n v="21779"/>
    <n v="43558"/>
    <n v="20000"/>
    <n v="20889.5"/>
    <n v="12675.5"/>
    <n v="1.5431580228877526"/>
  </r>
  <r>
    <x v="15"/>
    <s v="16.37"/>
    <s v="Suministro y aplicación de estuco. Incluye todos los materiales necesarios para su correcta aplicación, el retiro, limpieza y la disposicion final de residuos."/>
    <s v="Ml"/>
    <n v="6722"/>
    <n v="12503.27"/>
    <n v="25006.54"/>
    <n v="12000"/>
    <n v="12251.635"/>
    <n v="5529.6350000000002"/>
    <n v="0.82261752454626602"/>
  </r>
  <r>
    <x v="15"/>
    <s v="16.38"/>
    <s v="Suministro e Instalacion de tablon de gres con dilatacion en gravilla lavada. Incluye todos los materiales necesarios para su correcta aplicación, el retiro, limpieza y la disposicion final de residuos."/>
    <s v="M²"/>
    <n v="91445"/>
    <n v="59953"/>
    <n v="179859"/>
    <n v="78000"/>
    <n v="68976.5"/>
    <n v="-22468.5"/>
    <n v="-0.24570506862048225"/>
  </r>
  <r>
    <x v="15"/>
    <s v="16.39"/>
    <s v="Suministro e instalacion de vidrio laminado 5+5, con pelicula PVB de color tipo pannel. Incluye anclajes y accesorios en acero inoxidable. "/>
    <s v="M²"/>
    <n v="201102"/>
    <n v="157733"/>
    <n v="473199"/>
    <n v="145900"/>
    <n v="151816.5"/>
    <n v="-49285.5"/>
    <n v="-0.24507712504102397"/>
  </r>
  <r>
    <x v="15"/>
    <s v="16.40"/>
    <s v="Mantenimiento pasamanos en madera y vidrio. Incluye limpieza, remocion de pintura, pintura nueva.Incluye todas las herramientas para su correcta aplicación y limpieza y la disposicion final de residuos."/>
    <s v="M²"/>
    <n v="62008"/>
    <n v="311516"/>
    <n v="934548"/>
    <n v="245000"/>
    <n v="278258"/>
    <n v="216250"/>
    <n v="3.4874532318410529"/>
  </r>
  <r>
    <x v="15"/>
    <s v="16.41"/>
    <s v="Suministro e Instalacion de guardaescoba en PORCELANATO acabado semimate. Incluye la pega, la boquilla, dilatadores y la limpieza de las areas afectadas. "/>
    <s v="Ml"/>
    <n v="14962"/>
    <n v="43000"/>
    <n v="129000"/>
    <n v="34000"/>
    <n v="38500"/>
    <n v="23538"/>
    <n v="1.5731854030209864"/>
  </r>
  <r>
    <x v="15"/>
    <s v="16.42"/>
    <s v="Revision y Mantenimiento de tanque subterraneo de abastecimiento, Incluye cambio de tuberias y mantenimiento de bombas y demas accesorios para su correcto funcionamiento ,además de el lavado y desinfeción del mismo. "/>
    <s v="gb"/>
    <n v="1813739"/>
    <m/>
    <n v="250000"/>
    <n v="1200000"/>
    <n v="1200000"/>
    <n v="-613739"/>
    <n v="-0.3383833065286681"/>
  </r>
  <r>
    <x v="15"/>
    <s v="16.43"/>
    <s v="Suministro e Instalacion de chapa tipo manija para alcoba. Incluye todas las herramientas para su correcta aplicación y limpieza y la disposicion final de residuos."/>
    <s v="Un"/>
    <n v="116092"/>
    <n v="35000"/>
    <n v="70000"/>
    <n v="45600"/>
    <n v="40300"/>
    <n v="-75792"/>
    <n v="-0.65286152361919858"/>
  </r>
  <r>
    <x v="15"/>
    <s v="16.44"/>
    <s v="Suministro e instalacion de manguera para lavamanos. Incluye todas las herramientas para su correcta instalación y limpieza y la disposición final de residuos."/>
    <s v="Un"/>
    <n v="15134"/>
    <n v="21972"/>
    <n v="65916"/>
    <n v="16700"/>
    <n v="19336"/>
    <n v="4202"/>
    <n v="0.27765296682965507"/>
  </r>
  <r>
    <x v="15"/>
    <s v="16.45"/>
    <s v="Suministro e instalación de malla electrosoldada de 15 x 15 de 4 mm"/>
    <s v="Kg"/>
    <n v="5547"/>
    <n v="150000"/>
    <n v="450000"/>
    <n v="13000"/>
    <n v="81500"/>
    <n v="75953"/>
    <n v="13.692626645033352"/>
  </r>
  <r>
    <x v="15"/>
    <s v="16.46"/>
    <s v="Suministro e instalación de manijas de puertas para closets (25 cm)"/>
    <s v="Un"/>
    <n v="15226"/>
    <n v="25000"/>
    <n v="75000"/>
    <n v="20000"/>
    <n v="22500"/>
    <n v="7274"/>
    <n v="0.47773545251543414"/>
  </r>
  <r>
    <x v="15"/>
    <s v="16.47"/>
    <s v="Suministro e instalación de cenefa en ceramica para pared. Incluye el retiro, limpieza y la disposicion final de residuos. "/>
    <s v="Ml"/>
    <n v="30553"/>
    <n v="15000"/>
    <n v="30000"/>
    <n v="25000"/>
    <n v="20000"/>
    <n v="-10553"/>
    <n v="-0.34539979707393709"/>
  </r>
  <r>
    <x v="15"/>
    <s v="16.48"/>
    <s v="Construcción e instalación de moldura en yeso"/>
    <s v="Ml"/>
    <n v="14297"/>
    <n v="50111.3"/>
    <n v="100222.6"/>
    <n v="45000"/>
    <n v="47555.65"/>
    <n v="33258.65"/>
    <n v="2.3262677484787018"/>
  </r>
  <r>
    <x v="15"/>
    <s v="16.49"/>
    <s v="Suministro e instalación de mezclador ducha 8&quot;"/>
    <s v="Un"/>
    <n v="155791"/>
    <n v="450538"/>
    <n v="901076"/>
    <n v="425000"/>
    <n v="437769"/>
    <n v="281978"/>
    <n v="1.8099761860441232"/>
  </r>
  <r>
    <x v="15"/>
    <s v="16.50"/>
    <s v="Desmonte y reinstalacion de puertas en madera. Incluye todas las herramientas para su correcta aplicación y limpieza y la disposicion final de residuos."/>
    <s v="Un"/>
    <n v="17492"/>
    <n v="360000"/>
    <n v="720000"/>
    <n v="230000"/>
    <n v="295000"/>
    <n v="277508"/>
    <n v="15.86485250400183"/>
  </r>
  <r>
    <x v="15"/>
    <s v="16.51"/>
    <s v="Suministro e instalacion de malla antipaloma"/>
    <s v="M²"/>
    <n v="14360"/>
    <m/>
    <n v="32000"/>
    <n v="22000"/>
    <n v="22000"/>
    <n v="7640"/>
    <n v="0.53203342618384397"/>
  </r>
  <r>
    <x v="15"/>
    <s v="16.52"/>
    <s v="Manejo Integral y Control de Plagas (Insectos Voladores, Rastreros, roedores menores y comejen.). Para una areas  de 600m² y hasta 1000 m²"/>
    <s v="gb"/>
    <n v="1626319"/>
    <m/>
    <n v="250000"/>
    <n v="300000"/>
    <n v="300000"/>
    <n v="-1326319"/>
    <n v="-0.815534344738025"/>
  </r>
  <r>
    <x v="15"/>
    <s v="16.53"/>
    <s v="Suministro e Instalacion de Vidrio Bronce 5 mm"/>
    <s v="M²"/>
    <n v="54299"/>
    <n v="12500"/>
    <n v="37500"/>
    <n v="18500"/>
    <n v="15500"/>
    <n v="-38799"/>
    <n v="-0.71454354592165603"/>
  </r>
  <r>
    <x v="15"/>
    <s v="16.54"/>
    <s v="Suministro e Instalacion de piso en gres de 15 X 15 cms. Incluye el retiro y limpieza de las areas afectadas. "/>
    <s v="M²"/>
    <n v="77097"/>
    <n v="91320"/>
    <n v="273960"/>
    <n v="76890"/>
    <n v="84105"/>
    <n v="7008"/>
    <n v="9.0898478540021019E-2"/>
  </r>
  <r>
    <x v="15"/>
    <s v="16.55"/>
    <s v="Suministro e instalación de guardaescoba en arcilla.Incluye todas las herramientas para su correcta aplicación y limpieza y la disposicion final de residuos."/>
    <s v="Ml"/>
    <n v="14801"/>
    <n v="8000"/>
    <n v="24000"/>
    <n v="12000"/>
    <n v="10000"/>
    <n v="-4801"/>
    <n v="-0.32436997500168907"/>
  </r>
  <r>
    <x v="15"/>
    <s v="16.56"/>
    <s v="Suminsitro e instalación de griferia para sanitario. Incluye todas las herramientas para su correcta aplicación y limpieza y la disposición final de residuos."/>
    <s v="Un"/>
    <n v="55794"/>
    <n v="85000"/>
    <n v="255000"/>
    <n v="90000"/>
    <n v="87500"/>
    <n v="31706"/>
    <n v="0.56826898949707849"/>
  </r>
  <r>
    <x v="15"/>
    <s v="16.57"/>
    <s v="Suminsitro e instalación de bisel para ventana. Incluye todas las herramientas para su correcta aplicación y limpieza y la disposición final de residuos."/>
    <s v="Ml"/>
    <n v="10478"/>
    <m/>
    <n v="78000"/>
    <n v="15000"/>
    <n v="15000"/>
    <n v="4522"/>
    <n v="0.43157091047909907"/>
  </r>
  <r>
    <x v="15"/>
    <s v="16.58"/>
    <s v="Suminsitro e instalación de bisagra para puerta mueble. Incluye todas las herramientas para su correcta aplicación y limpieza y la disposición final de residuos."/>
    <s v="Un"/>
    <n v="13871"/>
    <n v="5900"/>
    <n v="5900"/>
    <n v="12300"/>
    <n v="9100"/>
    <n v="-4771"/>
    <n v="-0.34395501405810686"/>
  </r>
  <r>
    <x v="15"/>
    <s v="16.59"/>
    <s v="Suminsitro e instalación de riel para cajón mueble. Incluye todas las herramientas para su correcta aplicación y limpieza y la disposición final de residuos."/>
    <s v="Un"/>
    <n v="32499"/>
    <m/>
    <n v="65000"/>
    <n v="70000"/>
    <n v="70000"/>
    <n v="37501"/>
    <n v="1.15391242807471"/>
  </r>
  <r>
    <x v="15"/>
    <s v="16.60"/>
    <s v="Resane mochetashasta 2mts de altura y 70 cm de ancho. Incluye todas las herramientas para su correcta aplicación y limpieza y la disposición final de residuos."/>
    <s v="Un"/>
    <n v="128278"/>
    <m/>
    <n v="55500"/>
    <n v="45600"/>
    <n v="45600"/>
    <n v="-82678"/>
    <n v="-0.64452205366469695"/>
  </r>
  <r>
    <x v="15"/>
    <s v="16.61"/>
    <s v="Suministro e instalacion de tapa ciega plástica. Incluye todas las herramientas para su correcta instalación y limpieza y la disposición final de residuos."/>
    <s v="Un"/>
    <n v="7399"/>
    <m/>
    <n v="43000"/>
    <n v="15000"/>
    <n v="15000"/>
    <n v="7601"/>
    <n v="1.0273009866198135"/>
  </r>
  <r>
    <x v="15"/>
    <s v="16.62"/>
    <s v="Suministro e instalacion de lámpara tipo tortuga. Incluye todas las herramientas para su correcta instalación y limpieza y la disposición final de residuos."/>
    <s v="Un"/>
    <n v="32863"/>
    <n v="20400"/>
    <n v="20400"/>
    <n v="35700"/>
    <n v="28050"/>
    <n v="-4813"/>
    <n v="-0.14645650123238901"/>
  </r>
  <r>
    <x v="15"/>
    <s v="16.63"/>
    <s v="Suministro e instalación de puerta plegable en pvc de 0,9 x 2 mts. Incluye todas las herrramientas para su correcta instalación y limpieza y la disposición final de residuos."/>
    <s v="Un"/>
    <n v="457164"/>
    <n v="70000"/>
    <n v="70000"/>
    <n v="145000"/>
    <n v="107500"/>
    <n v="-349664"/>
    <n v="-0.76485462547357186"/>
  </r>
  <r>
    <x v="15"/>
    <s v="16.64"/>
    <s v="Suministro e instalación de rejilla en malla en acero inoxidable anho de 25 cm. Incluye todas las herrramientas para su correcta instalación y limpieza y la disposición final de residuos."/>
    <s v="Ml"/>
    <n v="325152"/>
    <m/>
    <n v="245000"/>
    <n v="35000"/>
    <n v="35000"/>
    <n v="-290152"/>
    <n v="-0.89235803562641469"/>
  </r>
  <r>
    <x v="15"/>
    <s v="16.65"/>
    <s v="Desmonte, reinstalación y arreglo de piso en plastico imitacion madera. Incluye todas los materiales y herramientas para su correcta instalacción y limpieza y la disposición final de residuos."/>
    <s v="M²"/>
    <n v="26518"/>
    <m/>
    <n v="345000"/>
    <n v="22400"/>
    <n v="22400"/>
    <n v="-4118"/>
    <n v="-0.15529074590843955"/>
  </r>
  <r>
    <x v="15"/>
    <s v="16.66"/>
    <s v="Mantenimiento de materas. Incluye impermeabilización, retiro y suministro de tierra"/>
    <s v="Ml"/>
    <n v="38129"/>
    <m/>
    <n v="246780"/>
    <n v="10000"/>
    <n v="10000"/>
    <n v="-28129"/>
    <n v="-0.73773243462980931"/>
  </r>
  <r>
    <x v="15"/>
    <s v="16.67"/>
    <s v="Angulos para seguridad de ventanas y puerta ventanas corredezas. Incluye todas las herrameintas necesarias para su correcta instalación y limpieza y la disposición final de residuos."/>
    <s v="Un"/>
    <n v="11440"/>
    <m/>
    <n v="34000"/>
    <n v="80000"/>
    <n v="80000"/>
    <n v="68560"/>
    <n v="5.9930069930069934"/>
  </r>
  <r>
    <x v="15"/>
    <s v="16.68"/>
    <s v="Angulos para travesaños de 110 cm para  seguridad de puertas. Incluye todas las herrameintas necesarias para su correcta instalación y limpieza y la disposición final de residuos."/>
    <s v="Un"/>
    <n v="36282"/>
    <m/>
    <n v="45000"/>
    <n v="56000"/>
    <n v="56000"/>
    <n v="19718"/>
    <n v="0.54346507910258535"/>
  </r>
  <r>
    <x v="15"/>
    <s v="16.69"/>
    <s v="Suministro e instalacion puerta y marco en flormorado 2.35x0.80 cms de ancho. Incluye, pintura, bisagras, tornillos en ambas caras, chapa, la disposicion final de residuos y limpieza de las areas afectadas."/>
    <s v="Un"/>
    <n v="600759"/>
    <n v="450000"/>
    <n v="900000"/>
    <n v="445000"/>
    <n v="447500"/>
    <n v="-153259"/>
    <n v="-0.25510895384005899"/>
  </r>
  <r>
    <x v="15"/>
    <s v="16.70"/>
    <s v="Griferia para lavamanos monocontrol referencia tunez. Incluye todos los materiales y herramientas necesarios para su correcta instalación, limpieza y la disposición final de residuos."/>
    <s v="Un"/>
    <n v="216699"/>
    <n v="85000"/>
    <n v="170000"/>
    <n v="85000"/>
    <n v="85000"/>
    <n v="-131699"/>
    <n v="-0.60775084333568685"/>
  </r>
  <r>
    <x v="15"/>
    <s v="16.71"/>
    <s v="Suministro e instalación de vidrio templado color bronce 10 mm. Incluye todos los materiales y herramientas necesarias para su correcta isntalación, limpieza y disposición final de residuos."/>
    <s v="M²"/>
    <n v="323251"/>
    <n v="250000"/>
    <n v="500000"/>
    <n v="230000"/>
    <n v="240000"/>
    <n v="-83251"/>
    <n v="-0.25754290009930364"/>
  </r>
  <r>
    <x v="15"/>
    <s v="16.72"/>
    <s v="Suministro e instalacion de barra en madera."/>
    <s v="Ml"/>
    <n v="205519"/>
    <m/>
    <n v="99000"/>
    <n v="267000"/>
    <n v="267000"/>
    <n v="61481"/>
    <n v="0.29914995693828794"/>
  </r>
  <r>
    <x v="15"/>
    <s v="16.73"/>
    <s v="Suministro e instalacion de puerta eléctronica de acceso"/>
    <s v="Un"/>
    <n v="3806755"/>
    <m/>
    <n v="89000"/>
    <n v="800000"/>
    <n v="800000"/>
    <n v="-3006755"/>
    <n v="-0.7898472583604671"/>
  </r>
  <r>
    <x v="15"/>
    <s v="16.74"/>
    <s v="Suministro e instalacion de breaker de 20A. Incluye, accesorios, elementos de soporte y fijacion, limpieza y la disposicion final de residuos."/>
    <s v="Un"/>
    <n v="21144"/>
    <n v="160860"/>
    <n v="321720"/>
    <n v="150000"/>
    <n v="155430"/>
    <n v="134286"/>
    <n v="6.3510215664018164"/>
  </r>
  <r>
    <x v="15"/>
    <s v="16.75"/>
    <s v="Suministro e instalacion de varilla de cobre de 2.10 m para polo a tierra. Incluye, accesorios, elementos de soporte y fijacion, limpieza y la disposicion final de residuos."/>
    <s v="Un"/>
    <n v="208402"/>
    <n v="241687"/>
    <n v="725061"/>
    <n v="220500"/>
    <n v="231093.5"/>
    <n v="22691.5"/>
    <n v="0.10888331206034491"/>
  </r>
  <r>
    <x v="15"/>
    <s v="16.76"/>
    <s v="Cerramiento en lamina de zinc. Incluye transporte,Incluye todas las herramientas para su correcta aplicación y limpieza y la disposicion final de residuos."/>
    <s v="M²"/>
    <n v="30692"/>
    <n v="70360.350000000006"/>
    <n v="211081.05000000002"/>
    <n v="65000"/>
    <n v="67680.175000000003"/>
    <n v="36988.175000000003"/>
    <n v="1.2051405903818586"/>
  </r>
  <r>
    <x v="15"/>
    <s v="16.77"/>
    <s v="Suministro e instalacion de meson en concreto. Incluye todos los materiales necesarios para su correcta instalación, nivelación y limpieza de las areas afectadas. "/>
    <s v="Ml"/>
    <n v="175007"/>
    <m/>
    <n v="350000"/>
    <n v="500000"/>
    <n v="500000"/>
    <n v="324993"/>
    <n v="1.8570285759998171"/>
  </r>
  <r>
    <x v="15"/>
    <s v="16.78"/>
    <s v="Suministro e Instalacion de entrepaños en madera de1,50 m.  Incluye todas las herramientas para su correcta instalación y limpieza y la disposicion final de residuos."/>
    <s v="Un"/>
    <n v="47194"/>
    <m/>
    <n v="480000"/>
    <n v="345000"/>
    <n v="345000"/>
    <n v="297806"/>
    <n v="6.3102513031317544"/>
  </r>
</pivotCacheRecords>
</file>

<file path=xl/pivotCache/pivotCacheRecords2.xml><?xml version="1.0" encoding="utf-8"?>
<pivotCacheRecords xmlns="http://schemas.openxmlformats.org/spreadsheetml/2006/main" xmlns:r="http://schemas.openxmlformats.org/officeDocument/2006/relationships" count="13">
  <r>
    <x v="0"/>
    <x v="0"/>
    <s v="ACTIVIDADES PRELIMINARES"/>
    <m/>
    <x v="0"/>
    <x v="0"/>
    <x v="0"/>
    <x v="0"/>
    <m/>
    <m/>
    <m/>
  </r>
  <r>
    <x v="0"/>
    <x v="1"/>
    <s v="Suministro e instalacion de cerramiento provisional con polisombra H=2m. Incluye el retiro, limpieza y la disposicion final de residuos. "/>
    <s v="Ml"/>
    <x v="1"/>
    <x v="1"/>
    <x v="1"/>
    <x v="1"/>
    <n v="8350"/>
    <n v="471"/>
    <n v="5.9779159791851756E-2"/>
  </r>
  <r>
    <x v="0"/>
    <x v="2"/>
    <s v="Suministro, trransporte e instalación de Cerramiento en zarán o tela verde  H=2m, incluye estacones, listones o parales, amarras y todo lo necesario para su correcta construcción. Incluye el retiro, limpieza y la disposicion final de residuos. "/>
    <s v="Ml"/>
    <x v="2"/>
    <x v="2"/>
    <x v="2"/>
    <x v="2"/>
    <n v="10250"/>
    <n v="-5707"/>
    <n v="-0.35764868082972989"/>
  </r>
  <r>
    <x v="0"/>
    <x v="3"/>
    <s v="Suministro e instalacion de cerca lámina con base h =2.25m. Incluye el retiro, limpieza y la disposicion final de residuos. "/>
    <s v="Ml"/>
    <x v="3"/>
    <x v="3"/>
    <x v="3"/>
    <x v="3"/>
    <n v="463965"/>
    <n v="-58849"/>
    <n v="-0.11256202014483162"/>
  </r>
  <r>
    <x v="0"/>
    <x v="4"/>
    <s v="Suministro e instalacion de cerca tabla. Incluye el retiro, limpieza y la disposicion final de residuos. "/>
    <s v="M2"/>
    <x v="4"/>
    <x v="4"/>
    <x v="4"/>
    <x v="4"/>
    <n v="46971.5"/>
    <n v="-3463.5"/>
    <n v="-6.8672548825220586E-2"/>
  </r>
  <r>
    <x v="0"/>
    <x v="5"/>
    <s v="Suministro e instalacion de cerca en alambre de púas H1.60m- 3hilos. Incluye el retiro, limpieza y la disposicion final de residuos. "/>
    <s v="Ml"/>
    <x v="5"/>
    <x v="5"/>
    <x v="5"/>
    <x v="5"/>
    <n v="9155"/>
    <n v="-2702"/>
    <n v="-0.22788226364173061"/>
  </r>
  <r>
    <x v="0"/>
    <x v="6"/>
    <s v="Cargue y retiro  y disposición final de material o residuos"/>
    <s v="M3 "/>
    <x v="6"/>
    <x v="6"/>
    <x v="6"/>
    <x v="6"/>
    <n v="19208"/>
    <n v="-40567"/>
    <n v="-0.67866164784608951"/>
  </r>
  <r>
    <x v="0"/>
    <x v="7"/>
    <s v="Descapote a mano. Corte de maleza existente     "/>
    <s v="M²"/>
    <x v="7"/>
    <x v="7"/>
    <x v="7"/>
    <x v="7"/>
    <n v="2431.16"/>
    <n v="-1680.8400000000001"/>
    <n v="-0.40876459143968874"/>
  </r>
  <r>
    <x v="0"/>
    <x v="8"/>
    <s v="Localizacion y replanteo"/>
    <s v="Ml"/>
    <x v="8"/>
    <x v="8"/>
    <x v="8"/>
    <x v="8"/>
    <n v="3711.06"/>
    <n v="502.05999999999995"/>
    <n v="0.15645372390152693"/>
  </r>
  <r>
    <x v="0"/>
    <x v="9"/>
    <s v="Excavacion Manual para viga de cimentacion, Incluye el retiro, limpieza y la disposicion final de residuos.          "/>
    <s v="M3 "/>
    <x v="9"/>
    <x v="9"/>
    <x v="9"/>
    <x v="9"/>
    <n v="25012.760000000002"/>
    <n v="6301.760000000002"/>
    <n v="0.33679439901662134"/>
  </r>
  <r>
    <x v="0"/>
    <x v="10"/>
    <s v="Excavacion manual,  Incluye el retiro, limpieza y la disposicion final de residuos.          "/>
    <s v="M³"/>
    <x v="9"/>
    <x v="10"/>
    <x v="10"/>
    <x v="9"/>
    <n v="44699"/>
    <n v="25988"/>
    <n v="1.3889156111378334"/>
  </r>
  <r>
    <x v="0"/>
    <x v="11"/>
    <s v="Relleno de material con material de excavación manual,  Incluye el retiro, limpieza y la disposicion final de residuos.          "/>
    <s v="M³"/>
    <x v="10"/>
    <x v="11"/>
    <x v="11"/>
    <x v="10"/>
    <n v="34641.520000000004"/>
    <n v="13367.520000000004"/>
    <n v="0.62835009871204306"/>
  </r>
  <r>
    <x v="0"/>
    <x v="12"/>
    <s v="Suministro e Instalacion cerramiento en alambre de puas 4 hilos h=1,6 en vara redonda de 6 a 8 cms de diámetro incrustada en piso 50 cms, de madera teca o eucalipto inmunizado, incluye todas la herramientas para su correcta instalación, incluye trasnporte, garantía 20 años madera de REFOCOSTA. Incluye el retiro, limpieza y la disposicion final de residuos.          "/>
    <s v="Ml"/>
    <x v="11"/>
    <x v="12"/>
    <x v="12"/>
    <x v="11"/>
    <n v="49453.67"/>
    <n v="33514.67"/>
    <n v="2.102683355292050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Tabla dinámica2" cacheId="0"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chartFormat="14">
  <location ref="A3:B20" firstHeaderRow="1" firstDataRow="1" firstDataCol="1"/>
  <pivotFields count="11">
    <pivotField axis="axisRow" showAll="0" sortType="descending">
      <items count="17">
        <item x="0"/>
        <item x="13"/>
        <item x="12"/>
        <item x="9"/>
        <item x="6"/>
        <item x="10"/>
        <item x="1"/>
        <item x="2"/>
        <item x="7"/>
        <item x="8"/>
        <item x="15"/>
        <item x="14"/>
        <item x="11"/>
        <item x="5"/>
        <item x="4"/>
        <item x="3"/>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showAll="0"/>
    <pivotField showAll="0"/>
    <pivotField showAll="0"/>
    <pivotField dataField="1" showAll="0"/>
  </pivotFields>
  <rowFields count="1">
    <field x="0"/>
  </rowFields>
  <rowItems count="17">
    <i>
      <x v="11"/>
    </i>
    <i>
      <x v="13"/>
    </i>
    <i>
      <x v="10"/>
    </i>
    <i>
      <x v="5"/>
    </i>
    <i>
      <x v="6"/>
    </i>
    <i>
      <x v="8"/>
    </i>
    <i>
      <x v="12"/>
    </i>
    <i>
      <x v="4"/>
    </i>
    <i>
      <x v="9"/>
    </i>
    <i>
      <x v="3"/>
    </i>
    <i>
      <x v="2"/>
    </i>
    <i>
      <x v="7"/>
    </i>
    <i>
      <x v="15"/>
    </i>
    <i>
      <x/>
    </i>
    <i>
      <x v="1"/>
    </i>
    <i>
      <x v="14"/>
    </i>
    <i t="grand">
      <x/>
    </i>
  </rowItems>
  <colItems count="1">
    <i/>
  </colItems>
  <dataFields count="1">
    <dataField name="Promedio de Porcentaje " fld="10" subtotal="average" baseField="0" baseItem="0"/>
  </dataFields>
  <formats count="6">
    <format dxfId="5650">
      <pivotArea dataOnly="0" labelOnly="1" outline="0" axis="axisValues" fieldPosition="0"/>
    </format>
    <format dxfId="5649">
      <pivotArea field="0" type="button" dataOnly="0" labelOnly="1" outline="0" axis="axisRow" fieldPosition="0"/>
    </format>
    <format dxfId="5648">
      <pivotArea dataOnly="0" labelOnly="1" outline="0" axis="axisValues" fieldPosition="0"/>
    </format>
    <format dxfId="5647">
      <pivotArea field="0" type="button" dataOnly="0" labelOnly="1" outline="0" axis="axisRow" fieldPosition="0"/>
    </format>
    <format dxfId="5646">
      <pivotArea dataOnly="0" labelOnly="1" outline="0" axis="axisValues" fieldPosition="0"/>
    </format>
    <format dxfId="5645">
      <pivotArea field="0" type="button" dataOnly="0" labelOnly="1" outline="0" axis="axisRow" fieldPosition="0"/>
    </format>
  </formats>
  <chartFormats count="3">
    <chartFormat chart="0" format="0" series="1">
      <pivotArea type="data" outline="0" fieldPosition="0">
        <references count="1">
          <reference field="4294967294" count="1" selected="0">
            <x v="0"/>
          </reference>
        </references>
      </pivotArea>
    </chartFormat>
    <chartFormat chart="4" format="2" series="1">
      <pivotArea type="data" outline="0" fieldPosition="0">
        <references count="1">
          <reference field="4294967294" count="1" selected="0">
            <x v="0"/>
          </reference>
        </references>
      </pivotArea>
    </chartFormat>
    <chartFormat chart="5" format="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Tabla dinámica3" cacheId="1" applyNumberFormats="0" applyBorderFormats="0" applyFontFormats="0" applyPatternFormats="0" applyAlignmentFormats="0" applyWidthHeightFormats="1" dataCaption="Valores" updatedVersion="5" minRefreshableVersion="3" useAutoFormatting="1" itemPrintTitles="1" createdVersion="5" indent="0" outline="1" outlineData="1" multipleFieldFilters="0" chartFormat="1">
  <location ref="A3:D17" firstHeaderRow="0" firstDataRow="1" firstDataCol="1" rowPageCount="1" colPageCount="1"/>
  <pivotFields count="11">
    <pivotField axis="axisPage" showAll="0">
      <items count="2">
        <item x="0"/>
        <item t="default"/>
      </items>
    </pivotField>
    <pivotField axis="axisRow" showAll="0">
      <items count="14">
        <item x="0"/>
        <item x="1"/>
        <item x="10"/>
        <item x="11"/>
        <item x="12"/>
        <item x="2"/>
        <item x="3"/>
        <item x="4"/>
        <item x="5"/>
        <item x="6"/>
        <item x="7"/>
        <item x="8"/>
        <item x="9"/>
        <item t="default"/>
      </items>
    </pivotField>
    <pivotField showAll="0"/>
    <pivotField showAll="0"/>
    <pivotField dataField="1" showAll="0">
      <items count="13">
        <item x="8"/>
        <item x="7"/>
        <item x="1"/>
        <item x="5"/>
        <item x="11"/>
        <item x="2"/>
        <item x="9"/>
        <item x="10"/>
        <item x="4"/>
        <item x="6"/>
        <item x="3"/>
        <item x="0"/>
        <item t="default"/>
      </items>
    </pivotField>
    <pivotField dataField="1" showAll="0">
      <items count="14">
        <item x="7"/>
        <item x="8"/>
        <item x="9"/>
        <item x="1"/>
        <item x="2"/>
        <item x="5"/>
        <item x="6"/>
        <item x="11"/>
        <item x="10"/>
        <item x="4"/>
        <item x="12"/>
        <item x="3"/>
        <item x="0"/>
        <item t="default"/>
      </items>
    </pivotField>
    <pivotField showAll="0">
      <items count="14">
        <item x="1"/>
        <item x="2"/>
        <item x="7"/>
        <item x="8"/>
        <item x="5"/>
        <item x="9"/>
        <item x="6"/>
        <item x="4"/>
        <item x="11"/>
        <item x="10"/>
        <item x="12"/>
        <item x="3"/>
        <item x="0"/>
        <item t="default"/>
      </items>
    </pivotField>
    <pivotField dataField="1" showAll="0">
      <items count="13">
        <item x="7"/>
        <item x="8"/>
        <item x="5"/>
        <item x="1"/>
        <item x="2"/>
        <item x="6"/>
        <item x="10"/>
        <item x="11"/>
        <item x="9"/>
        <item x="4"/>
        <item x="3"/>
        <item x="0"/>
        <item t="default"/>
      </items>
    </pivotField>
    <pivotField showAll="0"/>
    <pivotField showAll="0"/>
    <pivotField showAll="0"/>
  </pivotFields>
  <rowFields count="1">
    <field x="1"/>
  </rowFields>
  <rowItems count="14">
    <i>
      <x/>
    </i>
    <i>
      <x v="1"/>
    </i>
    <i>
      <x v="2"/>
    </i>
    <i>
      <x v="3"/>
    </i>
    <i>
      <x v="4"/>
    </i>
    <i>
      <x v="5"/>
    </i>
    <i>
      <x v="6"/>
    </i>
    <i>
      <x v="7"/>
    </i>
    <i>
      <x v="8"/>
    </i>
    <i>
      <x v="9"/>
    </i>
    <i>
      <x v="10"/>
    </i>
    <i>
      <x v="11"/>
    </i>
    <i>
      <x v="12"/>
    </i>
    <i t="grand">
      <x/>
    </i>
  </rowItems>
  <colFields count="1">
    <field x="-2"/>
  </colFields>
  <colItems count="3">
    <i>
      <x/>
    </i>
    <i i="1">
      <x v="1"/>
    </i>
    <i i="2">
      <x v="2"/>
    </i>
  </colItems>
  <pageFields count="1">
    <pageField fld="0" hier="-1"/>
  </pageFields>
  <dataFields count="3">
    <dataField name="Suma de VALOR TOTAL" fld="4" baseField="1" baseItem="0"/>
    <dataField name="Suma de VALOR TOTAL2" fld="5" baseField="1" baseItem="0"/>
    <dataField name="Suma de VALOR TOTAL4" fld="7" baseField="1"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Tema de Office">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Tema de Office">
      <a:majorFont>
        <a:latin typeface="Helvetica Neue"/>
        <a:ea typeface="Helvetica Neue"/>
        <a:cs typeface="Helvetica Neue"/>
      </a:majorFont>
      <a:minorFont>
        <a:latin typeface="Helvetica Neue"/>
        <a:ea typeface="Helvetica Neue"/>
        <a:cs typeface="Helvetica Neue"/>
      </a:minorFont>
    </a:fontScheme>
    <a:fmtScheme name="Tema de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lvl="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a:ln>
              <a:noFill/>
            </a:ln>
            <a:solidFill>
              <a:srgbClr val="000000"/>
            </a:solidFill>
            <a:effectLst/>
            <a:latin typeface="Calibri"/>
            <a:ea typeface="Calibri"/>
            <a:cs typeface="Calibri"/>
            <a:sym typeface="Calibri"/>
          </a:defRPr>
        </a:defPPr>
        <a:lvl1pPr marL="0" marR="0" lvl="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1pPr>
        <a:lvl2pPr marL="0" marR="0" lvl="1"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2pPr>
        <a:lvl3pPr marL="0" marR="0" lvl="2"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3pPr>
        <a:lvl4pPr marL="0" marR="0" lvl="3"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4pPr>
        <a:lvl5pPr marL="0" marR="0" lvl="4"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5pPr>
        <a:lvl6pPr marL="0" marR="0" lvl="5"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6pPr>
        <a:lvl7pPr marL="0" marR="0" lvl="6"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7pPr>
        <a:lvl8pPr marL="0" marR="0" lvl="7"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8pPr>
        <a:lvl9pPr marL="0" marR="0" lvl="8"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9pPr>
      </a:lstStyle>
      <a:style>
        <a:lnRef idx="0">
          <a:scrgbClr r="0" g="0" b="0"/>
        </a:lnRef>
        <a:fillRef idx="0">
          <a:scrgbClr r="0" g="0" b="0"/>
        </a:fillRef>
        <a:effectRef idx="0">
          <a:scrgbClr r="0" g="0" b="0"/>
        </a:effectRef>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lvl="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defPPr>
        <a:lvl1pPr marL="0" marR="0" lvl="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1pPr>
        <a:lvl2pPr marL="0" marR="0" lvl="1"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2pPr>
        <a:lvl3pPr marL="0" marR="0" lvl="2"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3pPr>
        <a:lvl4pPr marL="0" marR="0" lvl="3"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4pPr>
        <a:lvl5pPr marL="0" marR="0" lvl="4"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5pPr>
        <a:lvl6pPr marL="0" marR="0" lvl="5"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6pPr>
        <a:lvl7pPr marL="0" marR="0" lvl="6"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7pPr>
        <a:lvl8pPr marL="0" marR="0" lvl="7"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8pPr>
        <a:lvl9pPr marL="0" marR="0" lvl="8"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lvl="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a:ln>
              <a:noFill/>
            </a:ln>
            <a:solidFill>
              <a:srgbClr val="000000"/>
            </a:solidFill>
            <a:effectLst/>
            <a:latin typeface="Calibri"/>
            <a:ea typeface="Calibri"/>
            <a:cs typeface="Calibri"/>
            <a:sym typeface="Calibri"/>
          </a:defRPr>
        </a:defPPr>
        <a:lvl1pPr marL="0" marR="0" lvl="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1pPr>
        <a:lvl2pPr marL="0" marR="0" lvl="1"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2pPr>
        <a:lvl3pPr marL="0" marR="0" lvl="2"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3pPr>
        <a:lvl4pPr marL="0" marR="0" lvl="3"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4pPr>
        <a:lvl5pPr marL="0" marR="0" lvl="4"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5pPr>
        <a:lvl6pPr marL="0" marR="0" lvl="5"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6pPr>
        <a:lvl7pPr marL="0" marR="0" lvl="6"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7pPr>
        <a:lvl8pPr marL="0" marR="0" lvl="7"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8pPr>
        <a:lvl9pPr marL="0" marR="0" lvl="8"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a:ln>
              <a:noFill/>
            </a:ln>
            <a:solidFill>
              <a:srgbClr val="000000"/>
            </a:solidFill>
            <a:effectLst/>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B20"/>
  <sheetViews>
    <sheetView workbookViewId="0">
      <selection activeCell="H31" sqref="H31"/>
    </sheetView>
  </sheetViews>
  <sheetFormatPr baseColWidth="10" defaultRowHeight="15"/>
  <cols>
    <col min="1" max="1" width="35.42578125" bestFit="1" customWidth="1"/>
    <col min="2" max="2" width="16.28515625" style="20" bestFit="1" customWidth="1"/>
  </cols>
  <sheetData>
    <row r="3" spans="1:2" ht="30">
      <c r="A3" s="30" t="s">
        <v>378</v>
      </c>
      <c r="B3" s="14" t="s">
        <v>381</v>
      </c>
    </row>
    <row r="4" spans="1:2">
      <c r="A4" s="18" t="s">
        <v>36</v>
      </c>
      <c r="B4" s="20">
        <v>2.6721188865781769</v>
      </c>
    </row>
    <row r="5" spans="1:2">
      <c r="A5" s="18" t="s">
        <v>19</v>
      </c>
      <c r="B5" s="20">
        <v>1.3033985352788435</v>
      </c>
    </row>
    <row r="6" spans="1:2">
      <c r="A6" s="18" t="s">
        <v>41</v>
      </c>
      <c r="B6" s="20">
        <v>1.2690048977833668</v>
      </c>
    </row>
    <row r="7" spans="1:2">
      <c r="A7" s="18" t="s">
        <v>29</v>
      </c>
      <c r="B7" s="20">
        <v>0.83877924687287431</v>
      </c>
    </row>
    <row r="8" spans="1:2">
      <c r="A8" s="18" t="s">
        <v>7</v>
      </c>
      <c r="B8" s="20">
        <v>0.79920840240740587</v>
      </c>
    </row>
    <row r="9" spans="1:2">
      <c r="A9" s="18" t="s">
        <v>26</v>
      </c>
      <c r="B9" s="20">
        <v>0.78030572435752155</v>
      </c>
    </row>
    <row r="10" spans="1:2">
      <c r="A10" s="18" t="s">
        <v>30</v>
      </c>
      <c r="B10" s="20">
        <v>0.66368955506582505</v>
      </c>
    </row>
    <row r="11" spans="1:2">
      <c r="A11" s="18" t="s">
        <v>23</v>
      </c>
      <c r="B11" s="20">
        <v>0.65435826726471547</v>
      </c>
    </row>
    <row r="12" spans="1:2">
      <c r="A12" s="18" t="s">
        <v>27</v>
      </c>
      <c r="B12" s="20">
        <v>0.632552604185326</v>
      </c>
    </row>
    <row r="13" spans="1:2">
      <c r="A13" s="18" t="s">
        <v>28</v>
      </c>
      <c r="B13" s="20">
        <v>0.56150070801084362</v>
      </c>
    </row>
    <row r="14" spans="1:2">
      <c r="A14" s="18" t="s">
        <v>31</v>
      </c>
      <c r="B14" s="20">
        <v>0.46083116276791403</v>
      </c>
    </row>
    <row r="15" spans="1:2">
      <c r="A15" s="18" t="s">
        <v>8</v>
      </c>
      <c r="B15" s="20">
        <v>0.45652195374224136</v>
      </c>
    </row>
    <row r="16" spans="1:2">
      <c r="A16" s="18" t="s">
        <v>17</v>
      </c>
      <c r="B16" s="20">
        <v>0.24268127210409571</v>
      </c>
    </row>
    <row r="17" spans="1:2">
      <c r="A17" s="18" t="s">
        <v>3</v>
      </c>
      <c r="B17" s="20">
        <v>0.23489871626038636</v>
      </c>
    </row>
    <row r="18" spans="1:2">
      <c r="A18" s="18" t="s">
        <v>32</v>
      </c>
      <c r="B18" s="20">
        <v>0.20184457742781373</v>
      </c>
    </row>
    <row r="19" spans="1:2">
      <c r="A19" s="18" t="s">
        <v>18</v>
      </c>
      <c r="B19" s="20">
        <v>0.16919700744968189</v>
      </c>
    </row>
    <row r="20" spans="1:2">
      <c r="A20" s="18" t="s">
        <v>379</v>
      </c>
      <c r="B20" s="20">
        <v>0.77357663436230162</v>
      </c>
    </row>
  </sheetData>
  <autoFilter ref="B3:B20" xr:uid="{00000000-0009-0000-0000-000000000000}"/>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7"/>
  <sheetViews>
    <sheetView workbookViewId="0">
      <selection activeCell="B25" sqref="B25"/>
    </sheetView>
  </sheetViews>
  <sheetFormatPr baseColWidth="10" defaultRowHeight="15"/>
  <cols>
    <col min="1" max="1" width="16.42578125" customWidth="1"/>
    <col min="2" max="2" width="20.42578125" style="21" customWidth="1"/>
    <col min="3" max="4" width="21.7109375" style="21" customWidth="1"/>
  </cols>
  <sheetData>
    <row r="1" spans="1:5" ht="15.75" thickBot="1">
      <c r="A1" s="17" t="s">
        <v>380</v>
      </c>
      <c r="B1" s="1" t="s">
        <v>382</v>
      </c>
    </row>
    <row r="2" spans="1:5" ht="39" thickBot="1">
      <c r="B2" s="13" t="s">
        <v>42</v>
      </c>
      <c r="C2" s="2" t="s">
        <v>6</v>
      </c>
      <c r="D2" s="12" t="s">
        <v>43</v>
      </c>
    </row>
    <row r="3" spans="1:5">
      <c r="A3" s="17" t="s">
        <v>378</v>
      </c>
      <c r="B3" s="1" t="s">
        <v>383</v>
      </c>
      <c r="C3" s="1" t="s">
        <v>384</v>
      </c>
      <c r="D3" s="1" t="s">
        <v>385</v>
      </c>
    </row>
    <row r="4" spans="1:5">
      <c r="A4" s="18">
        <v>1</v>
      </c>
      <c r="B4" s="19"/>
      <c r="C4" s="19"/>
      <c r="D4" s="19"/>
    </row>
    <row r="5" spans="1:5">
      <c r="A5" s="18" t="s">
        <v>47</v>
      </c>
      <c r="B5" s="19">
        <v>7879</v>
      </c>
      <c r="C5" s="19">
        <v>8500</v>
      </c>
      <c r="D5" s="19">
        <v>8200</v>
      </c>
    </row>
    <row r="6" spans="1:5">
      <c r="A6" s="18" t="s">
        <v>56</v>
      </c>
      <c r="B6" s="19">
        <v>18711</v>
      </c>
      <c r="C6" s="19">
        <v>46872</v>
      </c>
      <c r="D6" s="19">
        <v>42526</v>
      </c>
      <c r="E6" s="1"/>
    </row>
    <row r="7" spans="1:5">
      <c r="A7" s="18" t="s">
        <v>57</v>
      </c>
      <c r="B7" s="19">
        <v>21274</v>
      </c>
      <c r="C7" s="19">
        <v>35633.040000000001</v>
      </c>
      <c r="D7" s="19">
        <v>33650</v>
      </c>
      <c r="E7" s="1"/>
    </row>
    <row r="8" spans="1:5">
      <c r="A8" s="18" t="s">
        <v>58</v>
      </c>
      <c r="B8" s="19">
        <v>15939</v>
      </c>
      <c r="C8" s="19">
        <v>59307.34</v>
      </c>
      <c r="D8" s="19">
        <v>39600</v>
      </c>
      <c r="E8" s="1"/>
    </row>
    <row r="9" spans="1:5">
      <c r="A9" s="18" t="s">
        <v>48</v>
      </c>
      <c r="B9" s="19">
        <v>15957</v>
      </c>
      <c r="C9" s="19">
        <v>9000</v>
      </c>
      <c r="D9" s="19">
        <v>11500</v>
      </c>
      <c r="E9" s="1"/>
    </row>
    <row r="10" spans="1:5">
      <c r="A10" s="18" t="s">
        <v>49</v>
      </c>
      <c r="B10" s="19">
        <v>522814</v>
      </c>
      <c r="C10" s="19">
        <v>519230</v>
      </c>
      <c r="D10" s="19">
        <v>408700</v>
      </c>
      <c r="E10" s="1"/>
    </row>
    <row r="11" spans="1:5">
      <c r="A11" s="18" t="s">
        <v>50</v>
      </c>
      <c r="B11" s="19">
        <v>50435</v>
      </c>
      <c r="C11" s="19">
        <v>47893</v>
      </c>
      <c r="D11" s="19">
        <v>46050</v>
      </c>
      <c r="E11" s="1"/>
    </row>
    <row r="12" spans="1:5">
      <c r="A12" s="18" t="s">
        <v>51</v>
      </c>
      <c r="B12" s="19">
        <v>11857</v>
      </c>
      <c r="C12" s="19">
        <v>11760</v>
      </c>
      <c r="D12" s="19">
        <v>6550</v>
      </c>
      <c r="E12" s="1"/>
    </row>
    <row r="13" spans="1:5">
      <c r="A13" s="18" t="s">
        <v>52</v>
      </c>
      <c r="B13" s="19">
        <v>59775</v>
      </c>
      <c r="C13" s="19">
        <v>19231</v>
      </c>
      <c r="D13" s="19">
        <v>19185</v>
      </c>
      <c r="E13" s="1"/>
    </row>
    <row r="14" spans="1:5">
      <c r="A14" s="18" t="s">
        <v>53</v>
      </c>
      <c r="B14" s="19">
        <v>4112</v>
      </c>
      <c r="C14" s="19">
        <v>2812.32</v>
      </c>
      <c r="D14" s="19">
        <v>2050</v>
      </c>
      <c r="E14" s="1"/>
    </row>
    <row r="15" spans="1:5">
      <c r="A15" s="18" t="s">
        <v>54</v>
      </c>
      <c r="B15" s="19">
        <v>3209</v>
      </c>
      <c r="C15" s="19">
        <v>4522.12</v>
      </c>
      <c r="D15" s="19">
        <v>2900</v>
      </c>
      <c r="E15" s="1"/>
    </row>
    <row r="16" spans="1:5">
      <c r="A16" s="18" t="s">
        <v>55</v>
      </c>
      <c r="B16" s="19">
        <v>18711</v>
      </c>
      <c r="C16" s="19">
        <v>7499.52</v>
      </c>
      <c r="D16" s="19">
        <v>42526</v>
      </c>
      <c r="E16" s="1"/>
    </row>
    <row r="17" spans="1:5">
      <c r="A17" s="18" t="s">
        <v>379</v>
      </c>
      <c r="B17" s="19">
        <v>750673</v>
      </c>
      <c r="C17" s="19">
        <v>772260.34</v>
      </c>
      <c r="D17" s="19">
        <v>663437</v>
      </c>
      <c r="E17" s="1"/>
    </row>
  </sheetData>
  <pageMargins left="0.7" right="0.7" top="0.75" bottom="0.75" header="0.3" footer="0.3"/>
  <extLst>
    <ext xmlns:x14="http://schemas.microsoft.com/office/spreadsheetml/2009/9/main" uri="{05C60535-1F16-4fd2-B633-F4F36F0B64E0}">
      <x14:sparklineGroups xmlns:xm="http://schemas.microsoft.com/office/excel/2006/main">
        <x14:sparklineGroup manualMax="0" manualMin="0" type="column" displayEmptyCellsAs="gap" displayXAxis="1" xr2:uid="{00000000-0003-0000-0100-000000000000}">
          <x14:colorSeries rgb="FF376092"/>
          <x14:colorNegative rgb="FFD00000"/>
          <x14:colorAxis rgb="FF000000"/>
          <x14:colorMarkers rgb="FFD00000"/>
          <x14:colorFirst rgb="FFD00000"/>
          <x14:colorLast rgb="FFD00000"/>
          <x14:colorHigh rgb="FFD00000"/>
          <x14:colorLow rgb="FFD00000"/>
          <x14:sparklines>
            <x14:sparkline>
              <xm:f>Hoja3!B5:D5</xm:f>
              <xm:sqref>E5</xm:sqref>
            </x14:sparkline>
            <x14:sparkline>
              <xm:f>Hoja3!B6:D6</xm:f>
              <xm:sqref>E6</xm:sqref>
            </x14:sparkline>
            <x14:sparkline>
              <xm:f>Hoja3!B7:D7</xm:f>
              <xm:sqref>E7</xm:sqref>
            </x14:sparkline>
            <x14:sparkline>
              <xm:f>Hoja3!B8:D8</xm:f>
              <xm:sqref>E8</xm:sqref>
            </x14:sparkline>
            <x14:sparkline>
              <xm:f>Hoja3!B9:D9</xm:f>
              <xm:sqref>E9</xm:sqref>
            </x14:sparkline>
            <x14:sparkline>
              <xm:f>Hoja3!B10:D10</xm:f>
              <xm:sqref>E10</xm:sqref>
            </x14:sparkline>
            <x14:sparkline>
              <xm:f>Hoja3!B11:D11</xm:f>
              <xm:sqref>E11</xm:sqref>
            </x14:sparkline>
            <x14:sparkline>
              <xm:f>Hoja3!B12:D12</xm:f>
              <xm:sqref>E12</xm:sqref>
            </x14:sparkline>
            <x14:sparkline>
              <xm:f>Hoja3!B13:D13</xm:f>
              <xm:sqref>E13</xm:sqref>
            </x14:sparkline>
            <x14:sparkline>
              <xm:f>Hoja3!B14:D14</xm:f>
              <xm:sqref>E14</xm:sqref>
            </x14:sparkline>
            <x14:sparkline>
              <xm:f>Hoja3!B15:D15</xm:f>
              <xm:sqref>E15</xm:sqref>
            </x14:sparkline>
            <x14:sparkline>
              <xm:f>Hoja3!B16:D16</xm:f>
              <xm:sqref>E16</xm:sqref>
            </x14:sparkline>
            <x14:sparkline>
              <xm:f>Hoja3!B17:D17</xm:f>
              <xm:sqref>E17</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T1070"/>
  <sheetViews>
    <sheetView showGridLines="0" topLeftCell="AI1" zoomScale="70" zoomScaleNormal="70" workbookViewId="0">
      <selection activeCell="D899" sqref="D899"/>
    </sheetView>
  </sheetViews>
  <sheetFormatPr baseColWidth="10" defaultColWidth="14.42578125" defaultRowHeight="15" customHeight="1"/>
  <cols>
    <col min="1" max="1" width="28.28515625" style="16" hidden="1" customWidth="1"/>
    <col min="2" max="2" width="28.28515625" style="16" customWidth="1"/>
    <col min="3" max="3" width="12.7109375" style="9" customWidth="1"/>
    <col min="4" max="4" width="72.28515625" style="332" customWidth="1"/>
    <col min="5" max="5" width="11.28515625" style="4" customWidth="1"/>
    <col min="6" max="6" width="16.85546875" style="9" customWidth="1"/>
    <col min="7" max="7" width="18.140625" style="6" customWidth="1"/>
    <col min="8" max="8" width="19.28515625" style="9" customWidth="1"/>
    <col min="9" max="9" width="19" style="9" customWidth="1"/>
    <col min="10" max="10" width="13.28515625" customWidth="1"/>
    <col min="11" max="11" width="13.140625" customWidth="1"/>
    <col min="12" max="12" width="10.7109375" customWidth="1"/>
    <col min="13" max="13" width="18" style="16" customWidth="1"/>
    <col min="14" max="14" width="17.42578125" style="16" customWidth="1"/>
    <col min="15" max="15" width="16.85546875" style="9" customWidth="1"/>
    <col min="16" max="16" width="18.140625" style="9" customWidth="1"/>
    <col min="17" max="19" width="19.28515625" style="9" customWidth="1"/>
    <col min="20" max="20" width="19" style="9" customWidth="1"/>
    <col min="21" max="21" width="19.28515625" style="9" customWidth="1"/>
    <col min="22" max="22" width="13.28515625" style="54" customWidth="1"/>
    <col min="23" max="23" width="13.140625" style="54" customWidth="1"/>
    <col min="24" max="24" width="10.7109375" style="54" customWidth="1"/>
    <col min="25" max="25" width="18" style="55" customWidth="1"/>
    <col min="26" max="26" width="18" style="104" customWidth="1"/>
    <col min="27" max="34" width="14.42578125" customWidth="1"/>
    <col min="35" max="35" width="18.28515625" customWidth="1"/>
    <col min="36" max="71" width="14.42578125" customWidth="1"/>
  </cols>
  <sheetData>
    <row r="1" spans="1:72" s="1" customFormat="1" ht="15.75" customHeight="1" thickBot="1">
      <c r="A1" s="16"/>
      <c r="B1" s="16"/>
      <c r="C1" s="52"/>
      <c r="D1" s="330"/>
      <c r="E1" s="22"/>
      <c r="F1" s="661" t="s">
        <v>5</v>
      </c>
      <c r="G1" s="662"/>
      <c r="H1" s="662"/>
      <c r="I1" s="663"/>
      <c r="J1" s="27"/>
      <c r="K1" s="27"/>
      <c r="L1" s="27"/>
      <c r="M1" s="16"/>
      <c r="N1" s="16"/>
      <c r="O1" s="661" t="s">
        <v>5</v>
      </c>
      <c r="P1" s="662"/>
      <c r="Q1" s="662"/>
      <c r="R1" s="662"/>
      <c r="S1" s="662"/>
      <c r="T1" s="662"/>
      <c r="U1" s="662"/>
      <c r="V1" s="54"/>
      <c r="W1" s="54"/>
      <c r="X1" s="54"/>
      <c r="Y1" s="55"/>
      <c r="Z1" s="104"/>
    </row>
    <row r="2" spans="1:72" s="1" customFormat="1" ht="74.099999999999994" customHeight="1" thickBot="1">
      <c r="A2" s="16"/>
      <c r="B2" s="16"/>
      <c r="C2" s="53"/>
      <c r="D2" s="23" t="s">
        <v>387</v>
      </c>
      <c r="E2" s="28"/>
      <c r="F2" s="232" t="s">
        <v>745</v>
      </c>
      <c r="G2" s="233" t="s">
        <v>746</v>
      </c>
      <c r="H2" s="234" t="s">
        <v>747</v>
      </c>
      <c r="I2" s="235" t="s">
        <v>748</v>
      </c>
      <c r="J2" s="664" t="s">
        <v>799</v>
      </c>
      <c r="K2" s="665"/>
      <c r="L2" s="665"/>
      <c r="M2" s="236"/>
      <c r="N2" s="237" t="s">
        <v>809</v>
      </c>
      <c r="O2" s="232" t="s">
        <v>800</v>
      </c>
      <c r="P2" s="238" t="s">
        <v>801</v>
      </c>
      <c r="Q2" s="239" t="s">
        <v>802</v>
      </c>
      <c r="R2" s="240" t="s">
        <v>803</v>
      </c>
      <c r="S2" s="235" t="s">
        <v>804</v>
      </c>
      <c r="T2" s="241" t="s">
        <v>805</v>
      </c>
      <c r="U2" s="235" t="s">
        <v>806</v>
      </c>
      <c r="V2" s="664" t="s">
        <v>799</v>
      </c>
      <c r="W2" s="665"/>
      <c r="X2" s="665"/>
      <c r="Y2" s="242"/>
      <c r="Z2" s="243" t="s">
        <v>808</v>
      </c>
      <c r="AA2" s="112" t="s">
        <v>800</v>
      </c>
      <c r="AB2" s="113" t="s">
        <v>812</v>
      </c>
      <c r="AC2" s="114" t="s">
        <v>813</v>
      </c>
      <c r="AD2" s="115" t="s">
        <v>814</v>
      </c>
      <c r="AE2" s="666" t="s">
        <v>799</v>
      </c>
      <c r="AF2" s="667"/>
      <c r="AG2" s="667"/>
      <c r="AH2" s="244"/>
      <c r="AI2" s="245" t="s">
        <v>815</v>
      </c>
      <c r="AJ2" s="232" t="s">
        <v>800</v>
      </c>
      <c r="AK2" s="240" t="s">
        <v>816</v>
      </c>
      <c r="AL2" s="246" t="s">
        <v>817</v>
      </c>
      <c r="AM2" s="233" t="s">
        <v>818</v>
      </c>
      <c r="AN2" s="247" t="s">
        <v>819</v>
      </c>
      <c r="AO2" s="248" t="s">
        <v>820</v>
      </c>
      <c r="AP2" s="669" t="s">
        <v>799</v>
      </c>
      <c r="AQ2" s="670"/>
      <c r="AR2" s="670"/>
      <c r="AS2" s="249" t="s">
        <v>821</v>
      </c>
      <c r="AT2" s="159" t="s">
        <v>42</v>
      </c>
      <c r="AU2" s="160" t="s">
        <v>6</v>
      </c>
      <c r="AV2" s="162" t="s">
        <v>822</v>
      </c>
      <c r="AW2" s="161" t="s">
        <v>43</v>
      </c>
      <c r="AX2" s="669" t="s">
        <v>823</v>
      </c>
      <c r="AY2" s="670"/>
      <c r="AZ2" s="670"/>
      <c r="BA2" s="671" t="s">
        <v>824</v>
      </c>
      <c r="BB2" s="672"/>
      <c r="BC2" s="171" t="s">
        <v>825</v>
      </c>
      <c r="BD2" s="255" t="s">
        <v>1388</v>
      </c>
      <c r="BE2" s="2" t="s">
        <v>1389</v>
      </c>
      <c r="BF2" s="115" t="s">
        <v>1390</v>
      </c>
      <c r="BG2" s="256" t="s">
        <v>1391</v>
      </c>
      <c r="BH2" s="257" t="s">
        <v>1392</v>
      </c>
      <c r="BI2" s="667" t="s">
        <v>799</v>
      </c>
      <c r="BJ2" s="667"/>
      <c r="BK2" s="668"/>
      <c r="BL2" s="171" t="s">
        <v>1393</v>
      </c>
      <c r="BM2" s="112" t="s">
        <v>2142</v>
      </c>
      <c r="BN2" s="2" t="s">
        <v>2143</v>
      </c>
      <c r="BO2" s="115" t="s">
        <v>2144</v>
      </c>
      <c r="BP2" s="12" t="s">
        <v>2145</v>
      </c>
      <c r="BQ2" s="666" t="s">
        <v>2146</v>
      </c>
      <c r="BR2" s="667"/>
      <c r="BS2" s="667"/>
      <c r="BT2" s="171" t="s">
        <v>2147</v>
      </c>
    </row>
    <row r="3" spans="1:72" s="357" customFormat="1" ht="33.75" customHeight="1">
      <c r="A3" s="333" t="s">
        <v>380</v>
      </c>
      <c r="B3" s="333"/>
      <c r="C3" s="334" t="s">
        <v>0</v>
      </c>
      <c r="D3" s="335" t="s">
        <v>4</v>
      </c>
      <c r="E3" s="335" t="s">
        <v>1</v>
      </c>
      <c r="F3" s="336" t="s">
        <v>2</v>
      </c>
      <c r="G3" s="337" t="s">
        <v>2</v>
      </c>
      <c r="H3" s="338" t="s">
        <v>2</v>
      </c>
      <c r="I3" s="339" t="s">
        <v>2</v>
      </c>
      <c r="J3" s="340" t="s">
        <v>44</v>
      </c>
      <c r="K3" s="335" t="s">
        <v>45</v>
      </c>
      <c r="L3" s="335" t="s">
        <v>46</v>
      </c>
      <c r="M3" s="341" t="s">
        <v>386</v>
      </c>
      <c r="N3" s="342" t="s">
        <v>386</v>
      </c>
      <c r="O3" s="343" t="s">
        <v>2</v>
      </c>
      <c r="P3" s="344" t="s">
        <v>2</v>
      </c>
      <c r="Q3" s="345" t="s">
        <v>2</v>
      </c>
      <c r="R3" s="345" t="s">
        <v>2</v>
      </c>
      <c r="S3" s="345" t="s">
        <v>2</v>
      </c>
      <c r="T3" s="345" t="s">
        <v>2</v>
      </c>
      <c r="U3" s="345" t="s">
        <v>2</v>
      </c>
      <c r="V3" s="342" t="s">
        <v>44</v>
      </c>
      <c r="W3" s="342" t="s">
        <v>45</v>
      </c>
      <c r="X3" s="342" t="s">
        <v>46</v>
      </c>
      <c r="Y3" s="342" t="s">
        <v>386</v>
      </c>
      <c r="Z3" s="342" t="s">
        <v>386</v>
      </c>
      <c r="AA3" s="342" t="s">
        <v>386</v>
      </c>
      <c r="AB3" s="342" t="s">
        <v>386</v>
      </c>
      <c r="AC3" s="342" t="s">
        <v>386</v>
      </c>
      <c r="AD3" s="342" t="s">
        <v>386</v>
      </c>
      <c r="AE3" s="342" t="s">
        <v>386</v>
      </c>
      <c r="AF3" s="342" t="s">
        <v>386</v>
      </c>
      <c r="AG3" s="342" t="s">
        <v>386</v>
      </c>
      <c r="AH3" s="342" t="s">
        <v>386</v>
      </c>
      <c r="AI3" s="342" t="s">
        <v>386</v>
      </c>
      <c r="AJ3" s="343" t="s">
        <v>2</v>
      </c>
      <c r="AK3" s="344" t="s">
        <v>2</v>
      </c>
      <c r="AL3" s="345" t="s">
        <v>2</v>
      </c>
      <c r="AM3" s="345" t="s">
        <v>2</v>
      </c>
      <c r="AN3" s="345" t="s">
        <v>2</v>
      </c>
      <c r="AO3" s="345" t="s">
        <v>2</v>
      </c>
      <c r="AP3" s="346" t="s">
        <v>44</v>
      </c>
      <c r="AQ3" s="342" t="s">
        <v>45</v>
      </c>
      <c r="AR3" s="342" t="s">
        <v>46</v>
      </c>
      <c r="AS3" s="347" t="s">
        <v>386</v>
      </c>
      <c r="AT3" s="348" t="s">
        <v>2</v>
      </c>
      <c r="AU3" s="349" t="s">
        <v>2</v>
      </c>
      <c r="AV3" s="350" t="s">
        <v>2</v>
      </c>
      <c r="AW3" s="351" t="s">
        <v>2</v>
      </c>
      <c r="AX3" s="352" t="s">
        <v>44</v>
      </c>
      <c r="AY3" s="353" t="s">
        <v>45</v>
      </c>
      <c r="AZ3" s="353" t="s">
        <v>46</v>
      </c>
      <c r="BA3" s="353" t="s">
        <v>45</v>
      </c>
      <c r="BB3" s="354" t="s">
        <v>46</v>
      </c>
      <c r="BC3" s="355" t="s">
        <v>386</v>
      </c>
      <c r="BD3" s="338" t="s">
        <v>2</v>
      </c>
      <c r="BE3" s="337" t="s">
        <v>2</v>
      </c>
      <c r="BF3" s="338" t="s">
        <v>2</v>
      </c>
      <c r="BG3" s="339" t="s">
        <v>2</v>
      </c>
      <c r="BH3" s="339" t="s">
        <v>2</v>
      </c>
      <c r="BI3" s="340" t="s">
        <v>44</v>
      </c>
      <c r="BJ3" s="335" t="s">
        <v>45</v>
      </c>
      <c r="BK3" s="335" t="s">
        <v>46</v>
      </c>
      <c r="BL3" s="356" t="s">
        <v>386</v>
      </c>
      <c r="BM3" s="336" t="s">
        <v>2</v>
      </c>
      <c r="BN3" s="337" t="s">
        <v>2</v>
      </c>
      <c r="BO3" s="338" t="s">
        <v>2</v>
      </c>
      <c r="BP3" s="339" t="s">
        <v>2</v>
      </c>
      <c r="BQ3" s="340" t="s">
        <v>44</v>
      </c>
      <c r="BR3" s="335" t="s">
        <v>45</v>
      </c>
      <c r="BS3" s="335" t="s">
        <v>46</v>
      </c>
      <c r="BT3" s="356" t="s">
        <v>386</v>
      </c>
    </row>
    <row r="4" spans="1:72" ht="20.45" customHeight="1">
      <c r="A4" s="26" t="s">
        <v>3</v>
      </c>
      <c r="B4" s="358" t="s">
        <v>2210</v>
      </c>
      <c r="C4" s="46">
        <v>1</v>
      </c>
      <c r="D4" s="47" t="s">
        <v>3</v>
      </c>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135"/>
      <c r="AK4" s="135"/>
      <c r="AL4" s="136"/>
      <c r="AM4" s="137"/>
      <c r="AN4" s="135"/>
      <c r="AO4" s="135"/>
      <c r="AP4" s="138"/>
      <c r="AQ4" s="139"/>
      <c r="AR4" s="140"/>
      <c r="AS4" s="307"/>
      <c r="AT4" s="307"/>
      <c r="AU4" s="307"/>
      <c r="AV4" s="307"/>
      <c r="AW4" s="307"/>
      <c r="AX4" s="307"/>
      <c r="AY4" s="307"/>
      <c r="AZ4" s="307"/>
      <c r="BA4" s="307"/>
      <c r="BB4" s="307"/>
      <c r="BC4" s="307"/>
      <c r="BD4" s="307"/>
      <c r="BE4" s="307"/>
      <c r="BF4" s="307"/>
      <c r="BG4" s="307"/>
      <c r="BH4" s="307"/>
      <c r="BI4" s="307"/>
      <c r="BJ4" s="307"/>
      <c r="BK4" s="307"/>
      <c r="BL4" s="307"/>
      <c r="BM4" s="307"/>
      <c r="BN4" s="307"/>
      <c r="BO4" s="307"/>
      <c r="BP4" s="307"/>
      <c r="BQ4" s="29"/>
      <c r="BR4" s="24"/>
      <c r="BS4" s="25"/>
      <c r="BT4" s="308"/>
    </row>
    <row r="5" spans="1:72" ht="38.1" customHeight="1">
      <c r="A5" s="26" t="s">
        <v>3</v>
      </c>
      <c r="B5" s="358" t="s">
        <v>749</v>
      </c>
      <c r="C5" s="15" t="s">
        <v>47</v>
      </c>
      <c r="D5" s="99" t="s">
        <v>388</v>
      </c>
      <c r="E5" s="48" t="s">
        <v>10</v>
      </c>
      <c r="F5" s="10">
        <v>64937</v>
      </c>
      <c r="G5" s="10">
        <v>84456</v>
      </c>
      <c r="H5" s="31">
        <v>109793</v>
      </c>
      <c r="I5" s="32">
        <v>73820</v>
      </c>
      <c r="J5" s="29">
        <f>AVERAGE(G5,H5,I5)</f>
        <v>89356.333333333328</v>
      </c>
      <c r="K5" s="24">
        <f>J5-F5</f>
        <v>24419.333333333328</v>
      </c>
      <c r="L5" s="25">
        <f t="shared" ref="L5" si="0">+K5/F5</f>
        <v>0.37604652714682429</v>
      </c>
      <c r="M5" s="69" t="str">
        <f t="shared" ref="M5" si="1">+IF(L5&lt;35%,J5,"REVISAR PRECIO")</f>
        <v>REVISAR PRECIO</v>
      </c>
      <c r="N5" s="77">
        <f>J5</f>
        <v>89356.333333333328</v>
      </c>
      <c r="O5" s="79">
        <v>6788</v>
      </c>
      <c r="P5" s="74">
        <v>9775</v>
      </c>
      <c r="Q5" s="74">
        <v>14500</v>
      </c>
      <c r="R5" s="75">
        <v>11262.5</v>
      </c>
      <c r="S5" s="61">
        <v>12649.999999999998</v>
      </c>
      <c r="T5" s="10">
        <v>8100</v>
      </c>
      <c r="U5" s="74">
        <v>14547.499999999996</v>
      </c>
      <c r="V5" s="76">
        <f>AVERAGE(P5,Q5,R5,S5,T5,U5)</f>
        <v>11805.833333333334</v>
      </c>
      <c r="W5" s="24">
        <f t="shared" ref="W5:W11" si="2">V5-O5</f>
        <v>5017.8333333333339</v>
      </c>
      <c r="X5" s="25">
        <f t="shared" ref="X5:X9" si="3">+W5/O5</f>
        <v>0.73922117462188186</v>
      </c>
      <c r="Y5" s="77" t="str">
        <f t="shared" ref="Y5:Y78" si="4">+IF(X5&lt;35%,V5,"REVISAR PRECIO")</f>
        <v>REVISAR PRECIO</v>
      </c>
      <c r="Z5" s="105">
        <f>AVERAGE(P5,Q5,R5,S5,U5)</f>
        <v>12547</v>
      </c>
      <c r="AA5" s="79">
        <v>6788</v>
      </c>
      <c r="AB5" s="74">
        <v>10000</v>
      </c>
      <c r="AC5" s="116">
        <v>12000</v>
      </c>
      <c r="AD5" s="74">
        <v>9350</v>
      </c>
      <c r="AE5" s="76">
        <f>AVERAGE(AB5,AC5,AD5)</f>
        <v>10450</v>
      </c>
      <c r="AF5" s="24">
        <f t="shared" ref="AF5:AF11" si="5">AE5-AA5</f>
        <v>3662</v>
      </c>
      <c r="AG5" s="25">
        <f t="shared" ref="AG5:AG9" si="6">+AF5/AA5</f>
        <v>0.53948143783146729</v>
      </c>
      <c r="AH5" s="77" t="str">
        <f t="shared" ref="AH5" si="7">+IF(AG5&lt;35%,AE5,"REVISAR PRECIO")</f>
        <v>REVISAR PRECIO</v>
      </c>
      <c r="AI5" s="77">
        <f>AE5</f>
        <v>10450</v>
      </c>
      <c r="AJ5" s="79">
        <v>6788</v>
      </c>
      <c r="AK5" s="79">
        <v>11262.5</v>
      </c>
      <c r="AL5" s="79">
        <f>6800*1.25</f>
        <v>8500</v>
      </c>
      <c r="AM5" s="127">
        <v>10200</v>
      </c>
      <c r="AN5" s="142">
        <v>10000</v>
      </c>
      <c r="AO5" s="142">
        <v>9500</v>
      </c>
      <c r="AP5" s="143">
        <f>AVERAGE(AK5,AL5,AM5,AN5,AO5)</f>
        <v>9892.5</v>
      </c>
      <c r="AQ5" s="144">
        <f t="shared" ref="AQ5:AQ11" si="8">AP5-AJ5</f>
        <v>3104.5</v>
      </c>
      <c r="AR5" s="145">
        <f t="shared" ref="AR5" si="9">+AQ5/AJ5</f>
        <v>0.45735120801414259</v>
      </c>
      <c r="AS5" s="146">
        <f t="shared" ref="AS5:AS11" si="10">AP5</f>
        <v>9892.5</v>
      </c>
      <c r="AT5" s="166">
        <v>7879</v>
      </c>
      <c r="AU5" s="10">
        <v>8500</v>
      </c>
      <c r="AV5" s="167">
        <v>8500</v>
      </c>
      <c r="AW5" s="168">
        <v>8200</v>
      </c>
      <c r="AX5" s="29">
        <f>AVERAGE(AU5,AW5)</f>
        <v>8350</v>
      </c>
      <c r="AY5" s="24">
        <f>AX5-AT5</f>
        <v>471</v>
      </c>
      <c r="AZ5" s="25">
        <f>+AY5/AT5</f>
        <v>5.9779159791851756E-2</v>
      </c>
      <c r="BA5" s="24">
        <f>AV5-AT5</f>
        <v>621</v>
      </c>
      <c r="BB5" s="169">
        <f>+BA5/AT5</f>
        <v>7.8817108770148497E-2</v>
      </c>
      <c r="BC5" s="170">
        <f>AX5</f>
        <v>8350</v>
      </c>
      <c r="BD5" s="260">
        <v>6635</v>
      </c>
      <c r="BE5" s="260">
        <v>12000</v>
      </c>
      <c r="BF5" s="260">
        <v>17500</v>
      </c>
      <c r="BG5" s="260">
        <v>15500</v>
      </c>
      <c r="BH5" s="10">
        <v>15000</v>
      </c>
      <c r="BI5" s="76">
        <f>AVERAGE(BE5,BF5,BG5,BH5)</f>
        <v>15000</v>
      </c>
      <c r="BJ5" s="24">
        <f t="shared" ref="BJ5" si="11">BI5-BD5</f>
        <v>8365</v>
      </c>
      <c r="BK5" s="25">
        <f t="shared" ref="BK5" si="12">+BJ5/BD5</f>
        <v>1.2607385079125848</v>
      </c>
      <c r="BL5" s="259">
        <f>BI5</f>
        <v>15000</v>
      </c>
      <c r="BM5" s="166">
        <v>6788</v>
      </c>
      <c r="BN5" s="45">
        <v>8000</v>
      </c>
      <c r="BO5" s="45">
        <v>10250</v>
      </c>
      <c r="BP5" s="45">
        <v>11500</v>
      </c>
      <c r="BQ5" s="29">
        <f>AVERAGE(BN5,BO5,BP5)</f>
        <v>9916.6666666666661</v>
      </c>
      <c r="BR5" s="24">
        <f t="shared" ref="BR5" si="13">BQ5-BM5</f>
        <v>3128.6666666666661</v>
      </c>
      <c r="BS5" s="25">
        <f t="shared" ref="BS5" si="14">+BR5/BM5</f>
        <v>0.46091141229620891</v>
      </c>
      <c r="BT5" s="308">
        <f>BQ5</f>
        <v>9916.6666666666661</v>
      </c>
    </row>
    <row r="6" spans="1:72" ht="36" customHeight="1">
      <c r="A6" s="26" t="s">
        <v>3</v>
      </c>
      <c r="B6" s="358" t="s">
        <v>750</v>
      </c>
      <c r="C6" s="15" t="s">
        <v>48</v>
      </c>
      <c r="D6" s="99" t="s">
        <v>389</v>
      </c>
      <c r="E6" s="48" t="s">
        <v>10</v>
      </c>
      <c r="F6" s="10">
        <v>27922</v>
      </c>
      <c r="G6" s="10">
        <v>36315</v>
      </c>
      <c r="H6" s="31">
        <v>47210</v>
      </c>
      <c r="I6" s="32">
        <v>31742</v>
      </c>
      <c r="J6" s="29">
        <f t="shared" ref="J6:J11" si="15">AVERAGE(G6,H6,I6)</f>
        <v>38422.333333333336</v>
      </c>
      <c r="K6" s="24">
        <f t="shared" ref="K6:K11" si="16">J6-F6</f>
        <v>10500.333333333336</v>
      </c>
      <c r="L6" s="25">
        <f t="shared" ref="L6:L11" si="17">+K6/F6</f>
        <v>0.37605949908077274</v>
      </c>
      <c r="M6" s="69" t="str">
        <f t="shared" ref="M6:M11" si="18">+IF(L6&lt;35%,J6,"REVISAR PRECIO")</f>
        <v>REVISAR PRECIO</v>
      </c>
      <c r="N6" s="77">
        <f t="shared" ref="N6:N132" si="19">J6</f>
        <v>38422.333333333336</v>
      </c>
      <c r="O6" s="79"/>
      <c r="P6" s="74">
        <v>10350</v>
      </c>
      <c r="Q6" s="74">
        <v>14500</v>
      </c>
      <c r="R6" s="75">
        <v>11925</v>
      </c>
      <c r="S6" s="61">
        <v>18500</v>
      </c>
      <c r="T6" s="10"/>
      <c r="U6" s="74">
        <v>15869.999999999996</v>
      </c>
      <c r="V6" s="76">
        <f t="shared" ref="V6:V78" si="20">AVERAGE(P6,Q6,R6,S6,T6,U6)</f>
        <v>14229</v>
      </c>
      <c r="W6" s="24">
        <f t="shared" si="2"/>
        <v>14229</v>
      </c>
      <c r="X6" s="25"/>
      <c r="Y6" s="77">
        <f t="shared" si="4"/>
        <v>14229</v>
      </c>
      <c r="Z6" s="106">
        <f t="shared" ref="Z6:Z78" si="21">V6</f>
        <v>14229</v>
      </c>
      <c r="AA6" s="79"/>
      <c r="AB6" s="74">
        <v>10450</v>
      </c>
      <c r="AC6" s="116">
        <v>10350</v>
      </c>
      <c r="AD6" s="74">
        <v>9900</v>
      </c>
      <c r="AE6" s="76">
        <f t="shared" ref="AE6:AE11" si="22">AVERAGE(AB6,AC6,AD6)</f>
        <v>10233.333333333334</v>
      </c>
      <c r="AF6" s="24">
        <f t="shared" si="5"/>
        <v>10233.333333333334</v>
      </c>
      <c r="AG6" s="25"/>
      <c r="AH6" s="77"/>
      <c r="AI6" s="77">
        <f t="shared" ref="AI6:AI11" si="23">AE6</f>
        <v>10233.333333333334</v>
      </c>
      <c r="AJ6" s="79"/>
      <c r="AK6" s="79">
        <v>11925</v>
      </c>
      <c r="AL6" s="79">
        <v>9000</v>
      </c>
      <c r="AM6" s="127">
        <v>10800</v>
      </c>
      <c r="AN6" s="142">
        <v>11000</v>
      </c>
      <c r="AO6" s="142">
        <v>9500</v>
      </c>
      <c r="AP6" s="29">
        <f t="shared" ref="AP6:AP11" si="24">AVERAGE(AK6,AL6,AM6,AN6,AO6)</f>
        <v>10445</v>
      </c>
      <c r="AQ6" s="24">
        <f t="shared" si="8"/>
        <v>10445</v>
      </c>
      <c r="AR6" s="25"/>
      <c r="AS6" s="146">
        <f t="shared" si="10"/>
        <v>10445</v>
      </c>
      <c r="AT6" s="250"/>
      <c r="AU6" s="250"/>
      <c r="AV6" s="250"/>
      <c r="AW6" s="250"/>
      <c r="AX6" s="250"/>
      <c r="AY6" s="250"/>
      <c r="AZ6" s="250"/>
      <c r="BA6" s="250"/>
      <c r="BB6" s="250"/>
      <c r="BC6" s="251"/>
      <c r="BD6" s="150"/>
      <c r="BE6" s="150"/>
      <c r="BF6" s="150"/>
      <c r="BG6" s="150"/>
      <c r="BH6" s="150"/>
      <c r="BI6" s="150"/>
      <c r="BJ6" s="150"/>
      <c r="BK6" s="150"/>
      <c r="BL6" s="150"/>
      <c r="BM6" s="293"/>
      <c r="BN6" s="293"/>
      <c r="BO6" s="293"/>
      <c r="BP6" s="293"/>
      <c r="BQ6" s="293"/>
      <c r="BR6" s="293"/>
      <c r="BS6" s="293"/>
      <c r="BT6" s="293"/>
    </row>
    <row r="7" spans="1:72" ht="39.950000000000003" customHeight="1">
      <c r="A7" s="26" t="s">
        <v>3</v>
      </c>
      <c r="B7" s="358" t="s">
        <v>751</v>
      </c>
      <c r="C7" s="15" t="s">
        <v>49</v>
      </c>
      <c r="D7" s="99" t="s">
        <v>390</v>
      </c>
      <c r="E7" s="48" t="s">
        <v>10</v>
      </c>
      <c r="F7" s="10">
        <v>80590</v>
      </c>
      <c r="G7" s="10">
        <v>104814</v>
      </c>
      <c r="H7" s="33">
        <v>36258</v>
      </c>
      <c r="I7" s="32">
        <v>91615</v>
      </c>
      <c r="J7" s="29">
        <f t="shared" si="15"/>
        <v>77562.333333333328</v>
      </c>
      <c r="K7" s="24">
        <f t="shared" si="16"/>
        <v>-3027.6666666666715</v>
      </c>
      <c r="L7" s="25">
        <f t="shared" si="17"/>
        <v>-3.7568763701038239E-2</v>
      </c>
      <c r="M7" s="69">
        <f t="shared" si="18"/>
        <v>77562.333333333328</v>
      </c>
      <c r="N7" s="77">
        <f t="shared" si="19"/>
        <v>77562.333333333328</v>
      </c>
      <c r="O7" s="79">
        <v>448174</v>
      </c>
      <c r="P7" s="74">
        <v>597114.03999999992</v>
      </c>
      <c r="Q7" s="74">
        <v>700000</v>
      </c>
      <c r="R7" s="75">
        <v>687979.22</v>
      </c>
      <c r="S7" s="61">
        <v>75000</v>
      </c>
      <c r="T7" s="10">
        <v>47000</v>
      </c>
      <c r="U7" s="74">
        <v>854070.49999999988</v>
      </c>
      <c r="V7" s="76">
        <f t="shared" si="20"/>
        <v>493527.29333333328</v>
      </c>
      <c r="W7" s="24">
        <f t="shared" si="2"/>
        <v>45353.293333333277</v>
      </c>
      <c r="X7" s="25">
        <f t="shared" si="3"/>
        <v>0.10119572606472771</v>
      </c>
      <c r="Y7" s="77">
        <f t="shared" si="4"/>
        <v>493527.29333333328</v>
      </c>
      <c r="Z7" s="105">
        <f>AVERAGE(P7,Q7,R7,U7)</f>
        <v>709790.94</v>
      </c>
      <c r="AA7" s="79">
        <v>448174</v>
      </c>
      <c r="AB7" s="74">
        <v>650000</v>
      </c>
      <c r="AC7" s="116">
        <v>66000</v>
      </c>
      <c r="AD7" s="74">
        <v>571152.55999999994</v>
      </c>
      <c r="AE7" s="76">
        <f t="shared" si="22"/>
        <v>429050.85333333333</v>
      </c>
      <c r="AF7" s="24">
        <f t="shared" si="5"/>
        <v>-19123.146666666667</v>
      </c>
      <c r="AG7" s="25">
        <f t="shared" si="6"/>
        <v>-4.2669022894381799E-2</v>
      </c>
      <c r="AH7" s="77">
        <f t="shared" ref="AH7:AH9" si="25">+IF(AG7&lt;35%,AE7,"REVISAR PRECIO")</f>
        <v>429050.85333333333</v>
      </c>
      <c r="AI7" s="77">
        <f t="shared" si="23"/>
        <v>429050.85333333333</v>
      </c>
      <c r="AJ7" s="79">
        <v>448174</v>
      </c>
      <c r="AK7" s="79">
        <v>687979.22</v>
      </c>
      <c r="AL7" s="79">
        <f>451504*1.15</f>
        <v>519229.6</v>
      </c>
      <c r="AM7" s="127">
        <v>595000</v>
      </c>
      <c r="AN7" s="142">
        <v>650000</v>
      </c>
      <c r="AO7" s="142">
        <v>610000</v>
      </c>
      <c r="AP7" s="138">
        <f t="shared" si="24"/>
        <v>612441.76399999997</v>
      </c>
      <c r="AQ7" s="139">
        <f t="shared" si="8"/>
        <v>164267.76399999997</v>
      </c>
      <c r="AR7" s="140">
        <f t="shared" ref="AR7:AR9" si="26">+AQ7/AJ7</f>
        <v>0.36652675969601084</v>
      </c>
      <c r="AS7" s="146">
        <f t="shared" si="10"/>
        <v>612441.76399999997</v>
      </c>
      <c r="AT7" s="166">
        <v>522814</v>
      </c>
      <c r="AU7" s="10">
        <v>519230</v>
      </c>
      <c r="AV7" s="167">
        <v>1557690</v>
      </c>
      <c r="AW7" s="168">
        <v>408700</v>
      </c>
      <c r="AX7" s="29">
        <f t="shared" ref="AX7:AX9" si="27">AVERAGE(AU7,AW7)</f>
        <v>463965</v>
      </c>
      <c r="AY7" s="24">
        <f t="shared" ref="AY7:AY9" si="28">AX7-AT7</f>
        <v>-58849</v>
      </c>
      <c r="AZ7" s="25">
        <f t="shared" ref="AZ7:AZ9" si="29">+AY7/AT7</f>
        <v>-0.11256202014483162</v>
      </c>
      <c r="BA7" s="24">
        <f t="shared" ref="BA7:BA9" si="30">AV7-AT7</f>
        <v>1034876</v>
      </c>
      <c r="BB7" s="169">
        <f t="shared" ref="BB7:BB9" si="31">+BA7/AT7</f>
        <v>1.979434368628231</v>
      </c>
      <c r="BC7" s="170">
        <f t="shared" ref="BC7:BC9" si="32">AX7</f>
        <v>463965</v>
      </c>
      <c r="BD7" s="150"/>
      <c r="BE7" s="150"/>
      <c r="BF7" s="150"/>
      <c r="BG7" s="150"/>
      <c r="BH7" s="150"/>
      <c r="BI7" s="150"/>
      <c r="BJ7" s="150"/>
      <c r="BK7" s="150"/>
      <c r="BL7" s="150"/>
      <c r="BM7" s="166">
        <v>450054</v>
      </c>
      <c r="BN7" s="45">
        <v>518000</v>
      </c>
      <c r="BO7" s="45">
        <v>519230</v>
      </c>
      <c r="BP7" s="45">
        <v>60000</v>
      </c>
      <c r="BQ7" s="29">
        <f>AVERAGE(BN7,BO7,BP7)</f>
        <v>365743.33333333331</v>
      </c>
      <c r="BR7" s="24">
        <f t="shared" ref="BR7:BR10" si="33">BQ7-BM7</f>
        <v>-84310.666666666686</v>
      </c>
      <c r="BS7" s="25">
        <f t="shared" ref="BS7:BS10" si="34">+BR7/BM7</f>
        <v>-0.18733455689021025</v>
      </c>
      <c r="BT7" s="29">
        <f>AVERAGE(BN7,BO7,BM7)</f>
        <v>495761.33333333331</v>
      </c>
    </row>
    <row r="8" spans="1:72" ht="33.950000000000003" customHeight="1">
      <c r="A8" s="26" t="s">
        <v>3</v>
      </c>
      <c r="B8" s="358" t="s">
        <v>752</v>
      </c>
      <c r="C8" s="15" t="s">
        <v>50</v>
      </c>
      <c r="D8" s="99" t="s">
        <v>391</v>
      </c>
      <c r="E8" s="49" t="s">
        <v>11</v>
      </c>
      <c r="F8" s="10">
        <v>59010</v>
      </c>
      <c r="G8" s="10">
        <v>76748</v>
      </c>
      <c r="H8" s="31">
        <v>99772</v>
      </c>
      <c r="I8" s="32">
        <v>67083</v>
      </c>
      <c r="J8" s="29">
        <f t="shared" si="15"/>
        <v>81201</v>
      </c>
      <c r="K8" s="24">
        <f t="shared" si="16"/>
        <v>22191</v>
      </c>
      <c r="L8" s="25">
        <f t="shared" si="17"/>
        <v>0.37605490594814439</v>
      </c>
      <c r="M8" s="69" t="str">
        <f t="shared" si="18"/>
        <v>REVISAR PRECIO</v>
      </c>
      <c r="N8" s="77">
        <f t="shared" si="19"/>
        <v>81201</v>
      </c>
      <c r="O8" s="73">
        <v>43475</v>
      </c>
      <c r="P8" s="74">
        <v>55077.179999999993</v>
      </c>
      <c r="Q8" s="74">
        <v>85000</v>
      </c>
      <c r="R8" s="75">
        <v>63458.489999999991</v>
      </c>
      <c r="S8" s="61">
        <v>61961.999999999993</v>
      </c>
      <c r="T8" s="10">
        <v>42000</v>
      </c>
      <c r="U8" s="74">
        <v>71256.299999999988</v>
      </c>
      <c r="V8" s="76">
        <f t="shared" si="20"/>
        <v>63125.66166666666</v>
      </c>
      <c r="W8" s="24">
        <f t="shared" si="2"/>
        <v>19650.66166666666</v>
      </c>
      <c r="X8" s="25">
        <f t="shared" si="3"/>
        <v>0.45199911826720324</v>
      </c>
      <c r="Y8" s="77" t="str">
        <f t="shared" si="4"/>
        <v>REVISAR PRECIO</v>
      </c>
      <c r="Z8" s="107">
        <f>AVERAGE(Q8,R8,S8,U8)</f>
        <v>70419.197499999995</v>
      </c>
      <c r="AA8" s="73">
        <v>43475</v>
      </c>
      <c r="AB8" s="74">
        <v>52000</v>
      </c>
      <c r="AC8" s="116">
        <v>52200</v>
      </c>
      <c r="AD8" s="74">
        <v>52682.52</v>
      </c>
      <c r="AE8" s="76">
        <f t="shared" si="22"/>
        <v>52294.173333333332</v>
      </c>
      <c r="AF8" s="24">
        <f t="shared" si="5"/>
        <v>8819.1733333333323</v>
      </c>
      <c r="AG8" s="25">
        <f t="shared" si="6"/>
        <v>0.20285620088173278</v>
      </c>
      <c r="AH8" s="77">
        <f t="shared" si="25"/>
        <v>52294.173333333332</v>
      </c>
      <c r="AI8" s="77">
        <f t="shared" si="23"/>
        <v>52294.173333333332</v>
      </c>
      <c r="AJ8" s="73">
        <v>43475</v>
      </c>
      <c r="AK8" s="79">
        <v>63458.489999999991</v>
      </c>
      <c r="AL8" s="79">
        <f>39911*1.2</f>
        <v>47893.2</v>
      </c>
      <c r="AM8" s="127">
        <v>57471.839999999997</v>
      </c>
      <c r="AN8" s="142">
        <v>60000</v>
      </c>
      <c r="AO8" s="142">
        <v>50000</v>
      </c>
      <c r="AP8" s="29">
        <f t="shared" si="24"/>
        <v>55764.705999999991</v>
      </c>
      <c r="AQ8" s="24">
        <f t="shared" si="8"/>
        <v>12289.705999999991</v>
      </c>
      <c r="AR8" s="25">
        <f t="shared" si="26"/>
        <v>0.28268443933294979</v>
      </c>
      <c r="AS8" s="146">
        <f t="shared" si="10"/>
        <v>55764.705999999991</v>
      </c>
      <c r="AT8" s="166">
        <v>50435</v>
      </c>
      <c r="AU8" s="10">
        <v>47893</v>
      </c>
      <c r="AV8" s="167">
        <v>191572</v>
      </c>
      <c r="AW8" s="168">
        <v>46050</v>
      </c>
      <c r="AX8" s="29">
        <f t="shared" si="27"/>
        <v>46971.5</v>
      </c>
      <c r="AY8" s="24">
        <f t="shared" si="28"/>
        <v>-3463.5</v>
      </c>
      <c r="AZ8" s="25">
        <f t="shared" si="29"/>
        <v>-6.8672548825220586E-2</v>
      </c>
      <c r="BA8" s="24">
        <f t="shared" si="30"/>
        <v>141137</v>
      </c>
      <c r="BB8" s="169">
        <f t="shared" si="31"/>
        <v>2.7983939724397739</v>
      </c>
      <c r="BC8" s="170">
        <f t="shared" si="32"/>
        <v>46971.5</v>
      </c>
      <c r="BD8" s="260">
        <v>39128</v>
      </c>
      <c r="BE8" s="260">
        <v>28000</v>
      </c>
      <c r="BF8" s="260">
        <v>34900</v>
      </c>
      <c r="BG8" s="261">
        <v>31000</v>
      </c>
      <c r="BH8" s="10">
        <v>38000</v>
      </c>
      <c r="BI8" s="76">
        <f t="shared" ref="BI8:BI9" si="35">AVERAGE(BE8,BF8,BG8,BH8)</f>
        <v>32975</v>
      </c>
      <c r="BJ8" s="24">
        <f t="shared" ref="BJ8:BJ9" si="36">BI8-BD8</f>
        <v>-6153</v>
      </c>
      <c r="BK8" s="25">
        <f t="shared" ref="BK8:BK9" si="37">+BJ8/BD8</f>
        <v>-0.1572531179717849</v>
      </c>
      <c r="BL8" s="259">
        <f t="shared" ref="BL8:BL9" si="38">BI8</f>
        <v>32975</v>
      </c>
      <c r="BM8" s="166">
        <v>43475</v>
      </c>
      <c r="BN8" s="45">
        <v>52000</v>
      </c>
      <c r="BO8" s="45">
        <v>47893</v>
      </c>
      <c r="BP8" s="45">
        <v>45000</v>
      </c>
      <c r="BQ8" s="29">
        <f t="shared" ref="BQ8:BQ10" si="39">AVERAGE(BN8,BO8,BP8)</f>
        <v>48297.666666666664</v>
      </c>
      <c r="BR8" s="24">
        <f t="shared" si="33"/>
        <v>4822.6666666666642</v>
      </c>
      <c r="BS8" s="25">
        <f t="shared" si="34"/>
        <v>0.11092965305731257</v>
      </c>
      <c r="BT8" s="308">
        <f t="shared" ref="BT8:BT10" si="40">BQ8</f>
        <v>48297.666666666664</v>
      </c>
    </row>
    <row r="9" spans="1:72" ht="36.950000000000003" customHeight="1">
      <c r="A9" s="26" t="s">
        <v>3</v>
      </c>
      <c r="B9" s="358" t="s">
        <v>753</v>
      </c>
      <c r="C9" s="15" t="s">
        <v>51</v>
      </c>
      <c r="D9" s="99" t="s">
        <v>392</v>
      </c>
      <c r="E9" s="49" t="s">
        <v>12</v>
      </c>
      <c r="F9" s="10">
        <v>13857</v>
      </c>
      <c r="G9" s="10">
        <v>18023</v>
      </c>
      <c r="H9" s="31">
        <v>23429</v>
      </c>
      <c r="I9" s="32">
        <v>15753</v>
      </c>
      <c r="J9" s="29">
        <f t="shared" si="15"/>
        <v>19068.333333333332</v>
      </c>
      <c r="K9" s="24">
        <f t="shared" si="16"/>
        <v>5211.3333333333321</v>
      </c>
      <c r="L9" s="25">
        <f t="shared" si="17"/>
        <v>0.37607947848259593</v>
      </c>
      <c r="M9" s="69" t="str">
        <f t="shared" si="18"/>
        <v>REVISAR PRECIO</v>
      </c>
      <c r="N9" s="77">
        <f t="shared" si="19"/>
        <v>19068.333333333332</v>
      </c>
      <c r="O9" s="73">
        <v>10214</v>
      </c>
      <c r="P9" s="74">
        <v>13524</v>
      </c>
      <c r="Q9" s="74">
        <v>24500</v>
      </c>
      <c r="R9" s="75">
        <v>15582</v>
      </c>
      <c r="S9" s="61">
        <v>35000</v>
      </c>
      <c r="T9" s="10">
        <v>78000</v>
      </c>
      <c r="U9" s="74">
        <v>24466.249999999996</v>
      </c>
      <c r="V9" s="76">
        <f t="shared" si="20"/>
        <v>31845.375</v>
      </c>
      <c r="W9" s="24">
        <f t="shared" si="2"/>
        <v>21631.375</v>
      </c>
      <c r="X9" s="25">
        <f t="shared" si="3"/>
        <v>2.1178162326218914</v>
      </c>
      <c r="Y9" s="77" t="str">
        <f t="shared" si="4"/>
        <v>REVISAR PRECIO</v>
      </c>
      <c r="Z9" s="107">
        <f>AVERAGE(Q9,S9,U9)</f>
        <v>27988.75</v>
      </c>
      <c r="AA9" s="73">
        <v>10214</v>
      </c>
      <c r="AB9" s="74">
        <v>13000</v>
      </c>
      <c r="AC9" s="116">
        <v>15000</v>
      </c>
      <c r="AD9" s="74">
        <v>12936</v>
      </c>
      <c r="AE9" s="76">
        <f t="shared" si="22"/>
        <v>13645.333333333334</v>
      </c>
      <c r="AF9" s="24">
        <f t="shared" si="5"/>
        <v>3431.3333333333339</v>
      </c>
      <c r="AG9" s="25">
        <f t="shared" si="6"/>
        <v>0.33594412897330467</v>
      </c>
      <c r="AH9" s="77">
        <f t="shared" si="25"/>
        <v>13645.333333333334</v>
      </c>
      <c r="AI9" s="77">
        <f t="shared" si="23"/>
        <v>13645.333333333334</v>
      </c>
      <c r="AJ9" s="73">
        <v>10214</v>
      </c>
      <c r="AK9" s="79">
        <v>15582</v>
      </c>
      <c r="AL9" s="79">
        <f>9800*1.2</f>
        <v>11760</v>
      </c>
      <c r="AM9" s="127">
        <v>14112</v>
      </c>
      <c r="AN9" s="142">
        <v>12000</v>
      </c>
      <c r="AO9" s="142">
        <v>13000</v>
      </c>
      <c r="AP9" s="143">
        <f t="shared" si="24"/>
        <v>13290.8</v>
      </c>
      <c r="AQ9" s="144">
        <f t="shared" si="8"/>
        <v>3076.7999999999993</v>
      </c>
      <c r="AR9" s="145">
        <f t="shared" si="26"/>
        <v>0.30123360093988638</v>
      </c>
      <c r="AS9" s="146">
        <f t="shared" si="10"/>
        <v>13290.8</v>
      </c>
      <c r="AT9" s="166">
        <v>11857</v>
      </c>
      <c r="AU9" s="10">
        <v>11760</v>
      </c>
      <c r="AV9" s="167">
        <v>58800</v>
      </c>
      <c r="AW9" s="168">
        <v>6550</v>
      </c>
      <c r="AX9" s="29">
        <f t="shared" si="27"/>
        <v>9155</v>
      </c>
      <c r="AY9" s="24">
        <f t="shared" si="28"/>
        <v>-2702</v>
      </c>
      <c r="AZ9" s="25">
        <f t="shared" si="29"/>
        <v>-0.22788226364173061</v>
      </c>
      <c r="BA9" s="24">
        <f t="shared" si="30"/>
        <v>46943</v>
      </c>
      <c r="BB9" s="169">
        <f t="shared" si="31"/>
        <v>3.9590958927215989</v>
      </c>
      <c r="BC9" s="170">
        <f t="shared" si="32"/>
        <v>9155</v>
      </c>
      <c r="BD9" s="260">
        <v>9189</v>
      </c>
      <c r="BE9" s="260">
        <v>23500</v>
      </c>
      <c r="BF9" s="260">
        <v>28300</v>
      </c>
      <c r="BG9" s="261">
        <v>25000</v>
      </c>
      <c r="BH9" s="10">
        <v>25000</v>
      </c>
      <c r="BI9" s="76">
        <f t="shared" si="35"/>
        <v>25450</v>
      </c>
      <c r="BJ9" s="24">
        <f t="shared" si="36"/>
        <v>16261</v>
      </c>
      <c r="BK9" s="25">
        <f t="shared" si="37"/>
        <v>1.7696158450321036</v>
      </c>
      <c r="BL9" s="259">
        <f t="shared" si="38"/>
        <v>25450</v>
      </c>
      <c r="BM9" s="166">
        <v>10214</v>
      </c>
      <c r="BN9" s="45">
        <v>16900</v>
      </c>
      <c r="BO9" s="45">
        <v>14090</v>
      </c>
      <c r="BP9" s="45">
        <v>11000</v>
      </c>
      <c r="BQ9" s="29">
        <f t="shared" si="39"/>
        <v>13996.666666666666</v>
      </c>
      <c r="BR9" s="24">
        <f t="shared" si="33"/>
        <v>3782.6666666666661</v>
      </c>
      <c r="BS9" s="25">
        <f t="shared" si="34"/>
        <v>0.37034136152992619</v>
      </c>
      <c r="BT9" s="308">
        <f t="shared" si="40"/>
        <v>13996.666666666666</v>
      </c>
    </row>
    <row r="10" spans="1:72" ht="20.100000000000001" customHeight="1">
      <c r="A10" s="26" t="s">
        <v>3</v>
      </c>
      <c r="B10" s="358" t="s">
        <v>754</v>
      </c>
      <c r="C10" s="15" t="s">
        <v>52</v>
      </c>
      <c r="D10" s="99" t="s">
        <v>393</v>
      </c>
      <c r="E10" s="49" t="s">
        <v>24</v>
      </c>
      <c r="F10" s="10">
        <v>124560</v>
      </c>
      <c r="G10" s="10">
        <v>162000</v>
      </c>
      <c r="H10" s="31">
        <v>210600</v>
      </c>
      <c r="I10" s="32">
        <v>141600</v>
      </c>
      <c r="J10" s="29">
        <f t="shared" si="15"/>
        <v>171400</v>
      </c>
      <c r="K10" s="24">
        <f t="shared" si="16"/>
        <v>46840</v>
      </c>
      <c r="L10" s="25">
        <f t="shared" si="17"/>
        <v>0.37604367373153502</v>
      </c>
      <c r="M10" s="69" t="str">
        <f t="shared" si="18"/>
        <v>REVISAR PRECIO</v>
      </c>
      <c r="N10" s="77">
        <f t="shared" si="19"/>
        <v>171400</v>
      </c>
      <c r="O10" s="80"/>
      <c r="P10" s="74">
        <v>111780</v>
      </c>
      <c r="Q10" s="74">
        <v>120000</v>
      </c>
      <c r="R10" s="75">
        <v>128790</v>
      </c>
      <c r="S10" s="61">
        <v>180000</v>
      </c>
      <c r="T10" s="10"/>
      <c r="U10" s="74">
        <v>128546.99999999997</v>
      </c>
      <c r="V10" s="76">
        <f t="shared" si="20"/>
        <v>133823.4</v>
      </c>
      <c r="W10" s="24">
        <f t="shared" si="2"/>
        <v>133823.4</v>
      </c>
      <c r="X10" s="25"/>
      <c r="Y10" s="77">
        <f t="shared" si="4"/>
        <v>133823.4</v>
      </c>
      <c r="Z10" s="106">
        <f t="shared" si="21"/>
        <v>133823.4</v>
      </c>
      <c r="AA10" s="80"/>
      <c r="AB10" s="74">
        <v>120000</v>
      </c>
      <c r="AC10" s="116">
        <v>145000</v>
      </c>
      <c r="AD10" s="74">
        <v>106920</v>
      </c>
      <c r="AE10" s="76">
        <f t="shared" si="22"/>
        <v>123973.33333333333</v>
      </c>
      <c r="AF10" s="24">
        <f t="shared" si="5"/>
        <v>123973.33333333333</v>
      </c>
      <c r="AG10" s="25"/>
      <c r="AH10" s="77"/>
      <c r="AI10" s="77">
        <f t="shared" si="23"/>
        <v>123973.33333333333</v>
      </c>
      <c r="AJ10" s="80"/>
      <c r="AK10" s="79">
        <v>128790</v>
      </c>
      <c r="AL10" s="79">
        <f>81000*1.2</f>
        <v>97200</v>
      </c>
      <c r="AM10" s="127">
        <v>116640</v>
      </c>
      <c r="AN10" s="142">
        <v>110000</v>
      </c>
      <c r="AO10" s="142">
        <v>100000</v>
      </c>
      <c r="AP10" s="29">
        <f t="shared" si="24"/>
        <v>110526</v>
      </c>
      <c r="AQ10" s="24">
        <f t="shared" si="8"/>
        <v>110526</v>
      </c>
      <c r="AR10" s="25"/>
      <c r="AS10" s="146">
        <f t="shared" si="10"/>
        <v>110526</v>
      </c>
      <c r="AT10" s="250"/>
      <c r="AU10" s="250"/>
      <c r="AV10" s="250"/>
      <c r="AW10" s="250"/>
      <c r="AX10" s="250"/>
      <c r="AY10" s="250"/>
      <c r="AZ10" s="250"/>
      <c r="BA10" s="250"/>
      <c r="BB10" s="250"/>
      <c r="BC10" s="251"/>
      <c r="BD10" s="150"/>
      <c r="BE10" s="150"/>
      <c r="BF10" s="150"/>
      <c r="BG10" s="150"/>
      <c r="BH10" s="150"/>
      <c r="BI10" s="150"/>
      <c r="BJ10" s="150"/>
      <c r="BK10" s="150"/>
      <c r="BL10" s="150"/>
      <c r="BM10" s="166">
        <v>51524</v>
      </c>
      <c r="BN10" s="45">
        <v>52000</v>
      </c>
      <c r="BO10" s="45">
        <v>41229</v>
      </c>
      <c r="BP10" s="45">
        <v>26000</v>
      </c>
      <c r="BQ10" s="29">
        <f t="shared" si="39"/>
        <v>39743</v>
      </c>
      <c r="BR10" s="24">
        <f t="shared" si="33"/>
        <v>-11781</v>
      </c>
      <c r="BS10" s="25">
        <f t="shared" si="34"/>
        <v>-0.22865072587532023</v>
      </c>
      <c r="BT10" s="308">
        <f t="shared" si="40"/>
        <v>39743</v>
      </c>
    </row>
    <row r="11" spans="1:72" ht="20.100000000000001" customHeight="1">
      <c r="A11" s="26" t="s">
        <v>3</v>
      </c>
      <c r="B11" s="358" t="s">
        <v>755</v>
      </c>
      <c r="C11" s="15" t="s">
        <v>53</v>
      </c>
      <c r="D11" s="99" t="s">
        <v>394</v>
      </c>
      <c r="E11" s="49" t="s">
        <v>740</v>
      </c>
      <c r="F11" s="10">
        <v>244283</v>
      </c>
      <c r="G11" s="10">
        <v>317709</v>
      </c>
      <c r="H11" s="33">
        <v>413022</v>
      </c>
      <c r="I11" s="32">
        <v>277701</v>
      </c>
      <c r="J11" s="29">
        <f t="shared" si="15"/>
        <v>336144</v>
      </c>
      <c r="K11" s="24">
        <f t="shared" si="16"/>
        <v>91861</v>
      </c>
      <c r="L11" s="25">
        <f t="shared" si="17"/>
        <v>0.37604335954610024</v>
      </c>
      <c r="M11" s="69" t="str">
        <f t="shared" si="18"/>
        <v>REVISAR PRECIO</v>
      </c>
      <c r="N11" s="77">
        <f t="shared" si="19"/>
        <v>336144</v>
      </c>
      <c r="O11" s="80"/>
      <c r="P11" s="74">
        <v>920000</v>
      </c>
      <c r="Q11" s="74">
        <v>900000</v>
      </c>
      <c r="R11" s="75">
        <v>1060000</v>
      </c>
      <c r="S11" s="61">
        <v>919999.99999999988</v>
      </c>
      <c r="T11" s="10"/>
      <c r="U11" s="74">
        <v>1057999.9999999998</v>
      </c>
      <c r="V11" s="76">
        <f t="shared" si="20"/>
        <v>971600</v>
      </c>
      <c r="W11" s="24">
        <f t="shared" si="2"/>
        <v>971600</v>
      </c>
      <c r="X11" s="25"/>
      <c r="Y11" s="77">
        <f t="shared" si="4"/>
        <v>971600</v>
      </c>
      <c r="Z11" s="106">
        <f t="shared" si="21"/>
        <v>971600</v>
      </c>
      <c r="AA11" s="80"/>
      <c r="AB11" s="74">
        <v>840000</v>
      </c>
      <c r="AC11" s="116">
        <v>830000</v>
      </c>
      <c r="AD11" s="74">
        <v>880000</v>
      </c>
      <c r="AE11" s="76">
        <f t="shared" si="22"/>
        <v>850000</v>
      </c>
      <c r="AF11" s="24">
        <f t="shared" si="5"/>
        <v>850000</v>
      </c>
      <c r="AG11" s="25"/>
      <c r="AH11" s="77"/>
      <c r="AI11" s="77">
        <f t="shared" si="23"/>
        <v>850000</v>
      </c>
      <c r="AJ11" s="80"/>
      <c r="AK11" s="79">
        <v>1060000</v>
      </c>
      <c r="AL11" s="79">
        <v>800000</v>
      </c>
      <c r="AM11" s="127">
        <v>800000</v>
      </c>
      <c r="AN11" s="142">
        <v>850000</v>
      </c>
      <c r="AO11" s="142">
        <v>810000</v>
      </c>
      <c r="AP11" s="29">
        <f t="shared" si="24"/>
        <v>864000</v>
      </c>
      <c r="AQ11" s="24">
        <f t="shared" si="8"/>
        <v>864000</v>
      </c>
      <c r="AR11" s="25"/>
      <c r="AS11" s="146">
        <f t="shared" si="10"/>
        <v>864000</v>
      </c>
      <c r="AT11" s="250"/>
      <c r="AU11" s="250"/>
      <c r="AV11" s="250"/>
      <c r="AW11" s="250"/>
      <c r="AX11" s="250"/>
      <c r="AY11" s="250"/>
      <c r="AZ11" s="250"/>
      <c r="BA11" s="250"/>
      <c r="BB11" s="250"/>
      <c r="BC11" s="251"/>
      <c r="BD11" s="150"/>
      <c r="BE11" s="150"/>
      <c r="BF11" s="150"/>
      <c r="BG11" s="150"/>
      <c r="BH11" s="150"/>
      <c r="BI11" s="150"/>
      <c r="BJ11" s="150"/>
      <c r="BK11" s="150"/>
      <c r="BL11" s="150"/>
      <c r="BM11" s="293"/>
      <c r="BN11" s="293"/>
      <c r="BO11" s="293"/>
      <c r="BP11" s="293"/>
      <c r="BQ11" s="293"/>
      <c r="BR11" s="293"/>
      <c r="BS11" s="293"/>
      <c r="BT11" s="293"/>
    </row>
    <row r="12" spans="1:72" s="1" customFormat="1" ht="53.1" customHeight="1">
      <c r="A12" s="26"/>
      <c r="B12" s="358" t="s">
        <v>2210</v>
      </c>
      <c r="C12" s="15" t="s">
        <v>54</v>
      </c>
      <c r="D12" s="177" t="s">
        <v>826</v>
      </c>
      <c r="E12" s="62" t="s">
        <v>827</v>
      </c>
      <c r="F12" s="10"/>
      <c r="G12" s="10"/>
      <c r="H12" s="33"/>
      <c r="I12" s="163"/>
      <c r="J12" s="29"/>
      <c r="K12" s="24"/>
      <c r="L12" s="25"/>
      <c r="M12" s="69"/>
      <c r="N12" s="77"/>
      <c r="O12" s="80"/>
      <c r="P12" s="74"/>
      <c r="Q12" s="74"/>
      <c r="R12" s="75"/>
      <c r="S12" s="61"/>
      <c r="T12" s="10"/>
      <c r="U12" s="74"/>
      <c r="V12" s="76"/>
      <c r="W12" s="24"/>
      <c r="X12" s="25"/>
      <c r="Y12" s="77"/>
      <c r="Z12" s="106"/>
      <c r="AA12" s="80"/>
      <c r="AB12" s="74"/>
      <c r="AC12" s="116"/>
      <c r="AD12" s="74"/>
      <c r="AE12" s="76"/>
      <c r="AF12" s="24"/>
      <c r="AG12" s="25"/>
      <c r="AH12" s="77"/>
      <c r="AI12" s="77"/>
      <c r="AJ12" s="80"/>
      <c r="AK12" s="79"/>
      <c r="AL12" s="79"/>
      <c r="AM12" s="127"/>
      <c r="AN12" s="142"/>
      <c r="AO12" s="142"/>
      <c r="AP12" s="138"/>
      <c r="AQ12" s="139"/>
      <c r="AR12" s="140"/>
      <c r="AS12" s="146"/>
      <c r="AT12" s="166">
        <v>15957</v>
      </c>
      <c r="AU12" s="10">
        <v>9000</v>
      </c>
      <c r="AV12" s="167">
        <v>18000</v>
      </c>
      <c r="AW12" s="168">
        <v>11500</v>
      </c>
      <c r="AX12" s="29">
        <f t="shared" ref="AX12:AX19" si="41">AVERAGE(AU12,AW12)</f>
        <v>10250</v>
      </c>
      <c r="AY12" s="24">
        <f t="shared" ref="AY12:AY19" si="42">AX12-AT12</f>
        <v>-5707</v>
      </c>
      <c r="AZ12" s="25">
        <f t="shared" ref="AZ12:AZ18" si="43">+AY12/AT12</f>
        <v>-0.35764868082972989</v>
      </c>
      <c r="BA12" s="24">
        <f t="shared" ref="BA12:BA19" si="44">AV12-AT12</f>
        <v>2043</v>
      </c>
      <c r="BB12" s="169">
        <f t="shared" ref="BB12:BB19" si="45">+BA12/AT12</f>
        <v>0.12803158488437677</v>
      </c>
      <c r="BC12" s="170">
        <f t="shared" ref="BC12:BC52" si="46">AX12</f>
        <v>10250</v>
      </c>
      <c r="BD12" s="260">
        <v>17855</v>
      </c>
      <c r="BE12" s="260">
        <v>18500</v>
      </c>
      <c r="BF12" s="260">
        <v>24000</v>
      </c>
      <c r="BG12" s="261">
        <v>21000</v>
      </c>
      <c r="BH12" s="10">
        <v>20000</v>
      </c>
      <c r="BI12" s="76">
        <f t="shared" ref="BI12" si="47">AVERAGE(BE12,BF12,BG12,BH12)</f>
        <v>20875</v>
      </c>
      <c r="BJ12" s="24">
        <f t="shared" ref="BJ12" si="48">BI12-BD12</f>
        <v>3020</v>
      </c>
      <c r="BK12" s="25">
        <f t="shared" ref="BK12" si="49">+BJ12/BD12</f>
        <v>0.16914029683562026</v>
      </c>
      <c r="BL12" s="309">
        <f t="shared" ref="BL12" si="50">BI12</f>
        <v>20875</v>
      </c>
      <c r="BM12" s="293"/>
      <c r="BN12" s="293"/>
      <c r="BO12" s="293"/>
      <c r="BP12" s="293"/>
      <c r="BQ12" s="293"/>
      <c r="BR12" s="293"/>
      <c r="BS12" s="293"/>
      <c r="BT12" s="293"/>
    </row>
    <row r="13" spans="1:72" s="1" customFormat="1" ht="20.100000000000001" customHeight="1">
      <c r="A13" s="26"/>
      <c r="B13" s="358" t="s">
        <v>757</v>
      </c>
      <c r="C13" s="15" t="s">
        <v>55</v>
      </c>
      <c r="D13" s="177" t="s">
        <v>828</v>
      </c>
      <c r="E13" s="62" t="s">
        <v>829</v>
      </c>
      <c r="F13" s="10"/>
      <c r="G13" s="10"/>
      <c r="H13" s="33"/>
      <c r="I13" s="163"/>
      <c r="J13" s="29"/>
      <c r="K13" s="24"/>
      <c r="L13" s="25"/>
      <c r="M13" s="69"/>
      <c r="N13" s="77"/>
      <c r="O13" s="80"/>
      <c r="P13" s="74"/>
      <c r="Q13" s="74"/>
      <c r="R13" s="75"/>
      <c r="S13" s="61"/>
      <c r="T13" s="10"/>
      <c r="U13" s="74"/>
      <c r="V13" s="76"/>
      <c r="W13" s="24"/>
      <c r="X13" s="25"/>
      <c r="Y13" s="77"/>
      <c r="Z13" s="106"/>
      <c r="AA13" s="80"/>
      <c r="AB13" s="74"/>
      <c r="AC13" s="116"/>
      <c r="AD13" s="74"/>
      <c r="AE13" s="76"/>
      <c r="AF13" s="24"/>
      <c r="AG13" s="25"/>
      <c r="AH13" s="77"/>
      <c r="AI13" s="77"/>
      <c r="AJ13" s="80"/>
      <c r="AK13" s="79"/>
      <c r="AL13" s="79"/>
      <c r="AM13" s="127"/>
      <c r="AN13" s="142"/>
      <c r="AO13" s="142"/>
      <c r="AP13" s="138"/>
      <c r="AQ13" s="139"/>
      <c r="AR13" s="140"/>
      <c r="AS13" s="146"/>
      <c r="AT13" s="166">
        <v>59775</v>
      </c>
      <c r="AU13" s="10">
        <v>19231</v>
      </c>
      <c r="AV13" s="167">
        <v>115386</v>
      </c>
      <c r="AW13" s="168">
        <v>19185</v>
      </c>
      <c r="AX13" s="29">
        <f t="shared" si="41"/>
        <v>19208</v>
      </c>
      <c r="AY13" s="24">
        <f t="shared" si="42"/>
        <v>-40567</v>
      </c>
      <c r="AZ13" s="25">
        <f t="shared" si="43"/>
        <v>-0.67866164784608951</v>
      </c>
      <c r="BA13" s="24">
        <f t="shared" si="44"/>
        <v>55611</v>
      </c>
      <c r="BB13" s="169">
        <f t="shared" si="45"/>
        <v>0.93033877038895862</v>
      </c>
      <c r="BC13" s="170">
        <f t="shared" si="46"/>
        <v>19208</v>
      </c>
      <c r="BD13" s="260">
        <v>46371</v>
      </c>
      <c r="BE13" s="260">
        <v>55000</v>
      </c>
      <c r="BF13" s="260">
        <v>61000</v>
      </c>
      <c r="BG13" s="261">
        <v>59000</v>
      </c>
      <c r="BH13" s="10">
        <v>60000</v>
      </c>
      <c r="BI13" s="76">
        <f t="shared" ref="BI13" si="51">AVERAGE(BE13,BF13,BG13,BH13)</f>
        <v>58750</v>
      </c>
      <c r="BJ13" s="24">
        <f t="shared" ref="BJ13" si="52">BI13-BD13</f>
        <v>12379</v>
      </c>
      <c r="BK13" s="25">
        <f t="shared" ref="BK13" si="53">+BJ13/BD13</f>
        <v>0.26695564037868497</v>
      </c>
      <c r="BL13" s="259">
        <f t="shared" ref="BL13" si="54">BI13</f>
        <v>58750</v>
      </c>
      <c r="BM13" s="166">
        <v>51524</v>
      </c>
      <c r="BN13" s="45">
        <v>52000</v>
      </c>
      <c r="BO13" s="45">
        <v>41229</v>
      </c>
      <c r="BP13" s="45">
        <v>26000</v>
      </c>
      <c r="BQ13" s="29">
        <f t="shared" ref="BQ13" si="55">AVERAGE(BN13,BO13,BP13)</f>
        <v>39743</v>
      </c>
      <c r="BR13" s="24">
        <f t="shared" ref="BR13" si="56">BQ13-BM13</f>
        <v>-11781</v>
      </c>
      <c r="BS13" s="25">
        <f t="shared" ref="BS13" si="57">+BR13/BM13</f>
        <v>-0.22865072587532023</v>
      </c>
      <c r="BT13" s="308">
        <f t="shared" ref="BT13" si="58">BQ13</f>
        <v>39743</v>
      </c>
    </row>
    <row r="14" spans="1:72" s="1" customFormat="1" ht="20.100000000000001" customHeight="1">
      <c r="A14" s="26"/>
      <c r="B14" s="358" t="s">
        <v>758</v>
      </c>
      <c r="C14" s="15" t="s">
        <v>56</v>
      </c>
      <c r="D14" s="177" t="s">
        <v>830</v>
      </c>
      <c r="E14" s="62" t="s">
        <v>13</v>
      </c>
      <c r="F14" s="10"/>
      <c r="G14" s="10"/>
      <c r="H14" s="33"/>
      <c r="I14" s="163"/>
      <c r="J14" s="29"/>
      <c r="K14" s="24"/>
      <c r="L14" s="25"/>
      <c r="M14" s="69"/>
      <c r="N14" s="77"/>
      <c r="O14" s="80"/>
      <c r="P14" s="74"/>
      <c r="Q14" s="74"/>
      <c r="R14" s="75"/>
      <c r="S14" s="61"/>
      <c r="T14" s="10"/>
      <c r="U14" s="74"/>
      <c r="V14" s="76"/>
      <c r="W14" s="24"/>
      <c r="X14" s="25"/>
      <c r="Y14" s="77"/>
      <c r="Z14" s="106"/>
      <c r="AA14" s="80"/>
      <c r="AB14" s="74"/>
      <c r="AC14" s="116"/>
      <c r="AD14" s="74"/>
      <c r="AE14" s="76"/>
      <c r="AF14" s="24"/>
      <c r="AG14" s="25"/>
      <c r="AH14" s="77"/>
      <c r="AI14" s="77"/>
      <c r="AJ14" s="80"/>
      <c r="AK14" s="79"/>
      <c r="AL14" s="79"/>
      <c r="AM14" s="127"/>
      <c r="AN14" s="142"/>
      <c r="AO14" s="142"/>
      <c r="AP14" s="138"/>
      <c r="AQ14" s="139"/>
      <c r="AR14" s="140"/>
      <c r="AS14" s="146"/>
      <c r="AT14" s="166">
        <v>4112</v>
      </c>
      <c r="AU14" s="10">
        <v>2812.32</v>
      </c>
      <c r="AV14" s="167">
        <v>19686.240000000002</v>
      </c>
      <c r="AW14" s="168">
        <v>2050</v>
      </c>
      <c r="AX14" s="29">
        <f t="shared" si="41"/>
        <v>2431.16</v>
      </c>
      <c r="AY14" s="24">
        <f t="shared" si="42"/>
        <v>-1680.8400000000001</v>
      </c>
      <c r="AZ14" s="25">
        <f t="shared" si="43"/>
        <v>-0.40876459143968874</v>
      </c>
      <c r="BA14" s="24">
        <f t="shared" si="44"/>
        <v>15574.240000000002</v>
      </c>
      <c r="BB14" s="169">
        <f t="shared" si="45"/>
        <v>3.7875097276264595</v>
      </c>
      <c r="BC14" s="170">
        <f t="shared" si="46"/>
        <v>2431.16</v>
      </c>
      <c r="BD14" s="150"/>
      <c r="BE14" s="150"/>
      <c r="BF14" s="150"/>
      <c r="BG14" s="150"/>
      <c r="BH14" s="150"/>
      <c r="BI14" s="150"/>
      <c r="BJ14" s="150"/>
      <c r="BK14" s="150"/>
      <c r="BL14" s="150"/>
      <c r="BM14" s="293"/>
      <c r="BN14" s="293"/>
      <c r="BO14" s="293"/>
      <c r="BP14" s="293"/>
      <c r="BQ14" s="293"/>
      <c r="BR14" s="293"/>
      <c r="BS14" s="293"/>
      <c r="BT14" s="293"/>
    </row>
    <row r="15" spans="1:72" s="1" customFormat="1" ht="20.100000000000001" customHeight="1">
      <c r="A15" s="26"/>
      <c r="B15" s="358" t="s">
        <v>759</v>
      </c>
      <c r="C15" s="15" t="s">
        <v>57</v>
      </c>
      <c r="D15" s="177" t="s">
        <v>831</v>
      </c>
      <c r="E15" s="62" t="s">
        <v>10</v>
      </c>
      <c r="F15" s="10"/>
      <c r="G15" s="10"/>
      <c r="H15" s="33"/>
      <c r="I15" s="163"/>
      <c r="J15" s="29"/>
      <c r="K15" s="24"/>
      <c r="L15" s="25"/>
      <c r="M15" s="69"/>
      <c r="N15" s="77"/>
      <c r="O15" s="80"/>
      <c r="P15" s="74"/>
      <c r="Q15" s="74"/>
      <c r="R15" s="75"/>
      <c r="S15" s="61"/>
      <c r="T15" s="10"/>
      <c r="U15" s="74"/>
      <c r="V15" s="76"/>
      <c r="W15" s="24"/>
      <c r="X15" s="25"/>
      <c r="Y15" s="77"/>
      <c r="Z15" s="106"/>
      <c r="AA15" s="80"/>
      <c r="AB15" s="74"/>
      <c r="AC15" s="116"/>
      <c r="AD15" s="74"/>
      <c r="AE15" s="76"/>
      <c r="AF15" s="24"/>
      <c r="AG15" s="25"/>
      <c r="AH15" s="77"/>
      <c r="AI15" s="77"/>
      <c r="AJ15" s="80"/>
      <c r="AK15" s="79"/>
      <c r="AL15" s="79"/>
      <c r="AM15" s="127"/>
      <c r="AN15" s="142"/>
      <c r="AO15" s="142"/>
      <c r="AP15" s="138"/>
      <c r="AQ15" s="139"/>
      <c r="AR15" s="140"/>
      <c r="AS15" s="146"/>
      <c r="AT15" s="166">
        <v>3209</v>
      </c>
      <c r="AU15" s="10">
        <v>4522.12</v>
      </c>
      <c r="AV15" s="167">
        <v>36176.959999999999</v>
      </c>
      <c r="AW15" s="168">
        <v>2900</v>
      </c>
      <c r="AX15" s="29">
        <f t="shared" si="41"/>
        <v>3711.06</v>
      </c>
      <c r="AY15" s="24">
        <f t="shared" si="42"/>
        <v>502.05999999999995</v>
      </c>
      <c r="AZ15" s="25">
        <f t="shared" si="43"/>
        <v>0.15645372390152693</v>
      </c>
      <c r="BA15" s="24">
        <f t="shared" si="44"/>
        <v>32967.96</v>
      </c>
      <c r="BB15" s="169">
        <f t="shared" si="45"/>
        <v>10.273593019632283</v>
      </c>
      <c r="BC15" s="170">
        <f t="shared" si="46"/>
        <v>3711.06</v>
      </c>
      <c r="BD15" s="150"/>
      <c r="BE15" s="150"/>
      <c r="BF15" s="150"/>
      <c r="BG15" s="150"/>
      <c r="BH15" s="150"/>
      <c r="BI15" s="150"/>
      <c r="BJ15" s="150"/>
      <c r="BK15" s="150"/>
      <c r="BL15" s="150"/>
      <c r="BM15" s="293"/>
      <c r="BN15" s="293"/>
      <c r="BO15" s="293"/>
      <c r="BP15" s="293"/>
      <c r="BQ15" s="293"/>
      <c r="BR15" s="293"/>
      <c r="BS15" s="293"/>
      <c r="BT15" s="293"/>
    </row>
    <row r="16" spans="1:72" s="1" customFormat="1" ht="36" customHeight="1">
      <c r="A16" s="26"/>
      <c r="B16" s="358" t="s">
        <v>760</v>
      </c>
      <c r="C16" s="15" t="s">
        <v>58</v>
      </c>
      <c r="D16" s="177" t="s">
        <v>832</v>
      </c>
      <c r="E16" s="62" t="s">
        <v>829</v>
      </c>
      <c r="F16" s="10"/>
      <c r="G16" s="10"/>
      <c r="H16" s="33"/>
      <c r="I16" s="163"/>
      <c r="J16" s="29"/>
      <c r="K16" s="24"/>
      <c r="L16" s="25"/>
      <c r="M16" s="69"/>
      <c r="N16" s="77"/>
      <c r="O16" s="80"/>
      <c r="P16" s="74"/>
      <c r="Q16" s="74"/>
      <c r="R16" s="75"/>
      <c r="S16" s="61"/>
      <c r="T16" s="10"/>
      <c r="U16" s="74"/>
      <c r="V16" s="76"/>
      <c r="W16" s="24"/>
      <c r="X16" s="25"/>
      <c r="Y16" s="77"/>
      <c r="Z16" s="106"/>
      <c r="AA16" s="80"/>
      <c r="AB16" s="74"/>
      <c r="AC16" s="116"/>
      <c r="AD16" s="74"/>
      <c r="AE16" s="76"/>
      <c r="AF16" s="24"/>
      <c r="AG16" s="25"/>
      <c r="AH16" s="77"/>
      <c r="AI16" s="77"/>
      <c r="AJ16" s="80"/>
      <c r="AK16" s="79"/>
      <c r="AL16" s="79"/>
      <c r="AM16" s="127"/>
      <c r="AN16" s="142"/>
      <c r="AO16" s="142"/>
      <c r="AP16" s="138"/>
      <c r="AQ16" s="139"/>
      <c r="AR16" s="140"/>
      <c r="AS16" s="146"/>
      <c r="AT16" s="166">
        <v>18711</v>
      </c>
      <c r="AU16" s="10">
        <v>7499.52</v>
      </c>
      <c r="AV16" s="167">
        <v>67495.680000000008</v>
      </c>
      <c r="AW16" s="168">
        <v>42526</v>
      </c>
      <c r="AX16" s="29">
        <f t="shared" si="41"/>
        <v>25012.760000000002</v>
      </c>
      <c r="AY16" s="24">
        <f t="shared" si="42"/>
        <v>6301.760000000002</v>
      </c>
      <c r="AZ16" s="25">
        <f t="shared" si="43"/>
        <v>0.33679439901662134</v>
      </c>
      <c r="BA16" s="24">
        <f t="shared" si="44"/>
        <v>48784.680000000008</v>
      </c>
      <c r="BB16" s="169">
        <f t="shared" si="45"/>
        <v>2.6072727272727279</v>
      </c>
      <c r="BC16" s="170">
        <f t="shared" si="46"/>
        <v>25012.760000000002</v>
      </c>
      <c r="BD16" s="150"/>
      <c r="BE16" s="150"/>
      <c r="BF16" s="150"/>
      <c r="BG16" s="150"/>
      <c r="BH16" s="150"/>
      <c r="BI16" s="150"/>
      <c r="BJ16" s="150"/>
      <c r="BK16" s="150"/>
      <c r="BL16" s="150"/>
      <c r="BM16" s="293"/>
      <c r="BN16" s="293"/>
      <c r="BO16" s="293"/>
      <c r="BP16" s="293"/>
      <c r="BQ16" s="293"/>
      <c r="BR16" s="293"/>
      <c r="BS16" s="293"/>
      <c r="BT16" s="293"/>
    </row>
    <row r="17" spans="1:72" s="1" customFormat="1" ht="30" customHeight="1">
      <c r="A17" s="26"/>
      <c r="B17" s="358" t="s">
        <v>761</v>
      </c>
      <c r="C17" s="15" t="s">
        <v>833</v>
      </c>
      <c r="D17" s="177" t="s">
        <v>836</v>
      </c>
      <c r="E17" s="62" t="s">
        <v>837</v>
      </c>
      <c r="F17" s="10"/>
      <c r="G17" s="10"/>
      <c r="H17" s="33"/>
      <c r="I17" s="163"/>
      <c r="J17" s="29"/>
      <c r="K17" s="24"/>
      <c r="L17" s="25"/>
      <c r="M17" s="69"/>
      <c r="N17" s="77"/>
      <c r="O17" s="80"/>
      <c r="P17" s="74"/>
      <c r="Q17" s="74"/>
      <c r="R17" s="75"/>
      <c r="S17" s="61"/>
      <c r="T17" s="10"/>
      <c r="U17" s="74"/>
      <c r="V17" s="76"/>
      <c r="W17" s="24"/>
      <c r="X17" s="25"/>
      <c r="Y17" s="77"/>
      <c r="Z17" s="106"/>
      <c r="AA17" s="80"/>
      <c r="AB17" s="74"/>
      <c r="AC17" s="116"/>
      <c r="AD17" s="74"/>
      <c r="AE17" s="76"/>
      <c r="AF17" s="24"/>
      <c r="AG17" s="25"/>
      <c r="AH17" s="77"/>
      <c r="AI17" s="77"/>
      <c r="AJ17" s="80"/>
      <c r="AK17" s="79"/>
      <c r="AL17" s="79"/>
      <c r="AM17" s="127"/>
      <c r="AN17" s="142"/>
      <c r="AO17" s="142"/>
      <c r="AP17" s="138"/>
      <c r="AQ17" s="139"/>
      <c r="AR17" s="140"/>
      <c r="AS17" s="146"/>
      <c r="AT17" s="166">
        <v>18711</v>
      </c>
      <c r="AU17" s="10">
        <v>46872</v>
      </c>
      <c r="AV17" s="167">
        <v>468720</v>
      </c>
      <c r="AW17" s="168">
        <v>42526</v>
      </c>
      <c r="AX17" s="29">
        <f t="shared" si="41"/>
        <v>44699</v>
      </c>
      <c r="AY17" s="24">
        <f t="shared" si="42"/>
        <v>25988</v>
      </c>
      <c r="AZ17" s="25">
        <f t="shared" si="43"/>
        <v>1.3889156111378334</v>
      </c>
      <c r="BA17" s="24">
        <f t="shared" si="44"/>
        <v>450009</v>
      </c>
      <c r="BB17" s="169">
        <f t="shared" si="45"/>
        <v>24.050505050505052</v>
      </c>
      <c r="BC17" s="170">
        <f t="shared" si="46"/>
        <v>44699</v>
      </c>
      <c r="BD17" s="150"/>
      <c r="BE17" s="150"/>
      <c r="BF17" s="150"/>
      <c r="BG17" s="150"/>
      <c r="BH17" s="150"/>
      <c r="BI17" s="150"/>
      <c r="BJ17" s="150"/>
      <c r="BK17" s="150"/>
      <c r="BL17" s="150"/>
      <c r="BM17" s="293"/>
      <c r="BN17" s="293"/>
      <c r="BO17" s="293"/>
      <c r="BP17" s="293"/>
      <c r="BQ17" s="293"/>
      <c r="BR17" s="293"/>
      <c r="BS17" s="293"/>
      <c r="BT17" s="293"/>
    </row>
    <row r="18" spans="1:72" s="1" customFormat="1" ht="39.950000000000003" customHeight="1">
      <c r="A18" s="26"/>
      <c r="B18" s="358" t="s">
        <v>762</v>
      </c>
      <c r="C18" s="15" t="s">
        <v>834</v>
      </c>
      <c r="D18" s="177" t="s">
        <v>838</v>
      </c>
      <c r="E18" s="62" t="s">
        <v>837</v>
      </c>
      <c r="F18" s="10"/>
      <c r="G18" s="10"/>
      <c r="H18" s="33"/>
      <c r="I18" s="163"/>
      <c r="J18" s="29"/>
      <c r="K18" s="24"/>
      <c r="L18" s="25"/>
      <c r="M18" s="69"/>
      <c r="N18" s="77"/>
      <c r="O18" s="80"/>
      <c r="P18" s="74"/>
      <c r="Q18" s="74"/>
      <c r="R18" s="75"/>
      <c r="S18" s="61"/>
      <c r="T18" s="10"/>
      <c r="U18" s="74"/>
      <c r="V18" s="76"/>
      <c r="W18" s="24"/>
      <c r="X18" s="25"/>
      <c r="Y18" s="77"/>
      <c r="Z18" s="106"/>
      <c r="AA18" s="80"/>
      <c r="AB18" s="74"/>
      <c r="AC18" s="116"/>
      <c r="AD18" s="74"/>
      <c r="AE18" s="76"/>
      <c r="AF18" s="24"/>
      <c r="AG18" s="25"/>
      <c r="AH18" s="77"/>
      <c r="AI18" s="77"/>
      <c r="AJ18" s="80"/>
      <c r="AK18" s="79"/>
      <c r="AL18" s="79"/>
      <c r="AM18" s="127"/>
      <c r="AN18" s="142"/>
      <c r="AO18" s="142"/>
      <c r="AP18" s="138"/>
      <c r="AQ18" s="139"/>
      <c r="AR18" s="140"/>
      <c r="AS18" s="146"/>
      <c r="AT18" s="166">
        <v>21274</v>
      </c>
      <c r="AU18" s="10">
        <v>35633.040000000001</v>
      </c>
      <c r="AV18" s="167">
        <v>391963.44</v>
      </c>
      <c r="AW18" s="168">
        <v>33650</v>
      </c>
      <c r="AX18" s="29">
        <f t="shared" si="41"/>
        <v>34641.520000000004</v>
      </c>
      <c r="AY18" s="24">
        <f t="shared" si="42"/>
        <v>13367.520000000004</v>
      </c>
      <c r="AZ18" s="25">
        <f t="shared" si="43"/>
        <v>0.62835009871204306</v>
      </c>
      <c r="BA18" s="24">
        <f t="shared" si="44"/>
        <v>370689.44</v>
      </c>
      <c r="BB18" s="169">
        <f t="shared" si="45"/>
        <v>17.424529472595658</v>
      </c>
      <c r="BC18" s="170">
        <f t="shared" si="46"/>
        <v>34641.520000000004</v>
      </c>
      <c r="BD18" s="150"/>
      <c r="BE18" s="150"/>
      <c r="BF18" s="150"/>
      <c r="BG18" s="150"/>
      <c r="BH18" s="150"/>
      <c r="BI18" s="150"/>
      <c r="BJ18" s="150"/>
      <c r="BK18" s="150"/>
      <c r="BL18" s="150"/>
      <c r="BM18" s="293"/>
      <c r="BN18" s="293"/>
      <c r="BO18" s="293"/>
      <c r="BP18" s="293"/>
      <c r="BQ18" s="293"/>
      <c r="BR18" s="293"/>
      <c r="BS18" s="293"/>
      <c r="BT18" s="293"/>
    </row>
    <row r="19" spans="1:72" s="1" customFormat="1" ht="81" customHeight="1">
      <c r="A19" s="26"/>
      <c r="B19" s="358" t="s">
        <v>2211</v>
      </c>
      <c r="C19" s="15" t="s">
        <v>835</v>
      </c>
      <c r="D19" s="177" t="s">
        <v>839</v>
      </c>
      <c r="E19" s="62" t="s">
        <v>10</v>
      </c>
      <c r="F19" s="10"/>
      <c r="G19" s="10"/>
      <c r="H19" s="33"/>
      <c r="I19" s="163"/>
      <c r="J19" s="29"/>
      <c r="K19" s="24"/>
      <c r="L19" s="25"/>
      <c r="M19" s="69"/>
      <c r="N19" s="77"/>
      <c r="O19" s="80"/>
      <c r="P19" s="74"/>
      <c r="Q19" s="74"/>
      <c r="R19" s="75"/>
      <c r="S19" s="61"/>
      <c r="T19" s="10"/>
      <c r="U19" s="74"/>
      <c r="V19" s="76"/>
      <c r="W19" s="24"/>
      <c r="X19" s="25"/>
      <c r="Y19" s="77"/>
      <c r="Z19" s="106"/>
      <c r="AA19" s="80"/>
      <c r="AB19" s="74"/>
      <c r="AC19" s="116"/>
      <c r="AD19" s="74"/>
      <c r="AE19" s="76"/>
      <c r="AF19" s="24"/>
      <c r="AG19" s="25"/>
      <c r="AH19" s="77"/>
      <c r="AI19" s="77"/>
      <c r="AJ19" s="80"/>
      <c r="AK19" s="79"/>
      <c r="AL19" s="79"/>
      <c r="AM19" s="127"/>
      <c r="AN19" s="142"/>
      <c r="AO19" s="142"/>
      <c r="AP19" s="138"/>
      <c r="AQ19" s="139"/>
      <c r="AR19" s="140"/>
      <c r="AS19" s="146"/>
      <c r="AT19" s="166">
        <v>15939</v>
      </c>
      <c r="AU19" s="10">
        <v>59307.34</v>
      </c>
      <c r="AV19" s="167">
        <v>711688.08</v>
      </c>
      <c r="AW19" s="168">
        <v>39600</v>
      </c>
      <c r="AX19" s="29">
        <f t="shared" si="41"/>
        <v>49453.67</v>
      </c>
      <c r="AY19" s="24">
        <f t="shared" si="42"/>
        <v>33514.67</v>
      </c>
      <c r="AZ19" s="25">
        <f>+AY19/AT19</f>
        <v>2.1026833552920507</v>
      </c>
      <c r="BA19" s="24">
        <f t="shared" si="44"/>
        <v>695749.08</v>
      </c>
      <c r="BB19" s="169">
        <f t="shared" si="45"/>
        <v>43.650735930735927</v>
      </c>
      <c r="BC19" s="170">
        <f t="shared" si="46"/>
        <v>49453.67</v>
      </c>
      <c r="BD19" s="150"/>
      <c r="BE19" s="150"/>
      <c r="BF19" s="150"/>
      <c r="BG19" s="150"/>
      <c r="BH19" s="150"/>
      <c r="BI19" s="150"/>
      <c r="BJ19" s="150"/>
      <c r="BK19" s="150"/>
      <c r="BL19" s="150"/>
      <c r="BM19" s="293"/>
      <c r="BN19" s="293"/>
      <c r="BO19" s="293"/>
      <c r="BP19" s="293"/>
      <c r="BQ19" s="293"/>
      <c r="BR19" s="293"/>
      <c r="BS19" s="293"/>
      <c r="BT19" s="293"/>
    </row>
    <row r="20" spans="1:72" s="1" customFormat="1" ht="60.95" customHeight="1">
      <c r="A20" s="26"/>
      <c r="B20" s="358" t="s">
        <v>2212</v>
      </c>
      <c r="C20" s="15" t="s">
        <v>1408</v>
      </c>
      <c r="D20" s="264" t="s">
        <v>826</v>
      </c>
      <c r="E20" s="262" t="s">
        <v>827</v>
      </c>
      <c r="F20" s="10"/>
      <c r="G20" s="10"/>
      <c r="H20" s="33"/>
      <c r="I20" s="163"/>
      <c r="J20" s="29"/>
      <c r="K20" s="24"/>
      <c r="L20" s="25"/>
      <c r="M20" s="69"/>
      <c r="N20" s="77"/>
      <c r="O20" s="80"/>
      <c r="P20" s="74"/>
      <c r="Q20" s="74"/>
      <c r="R20" s="75"/>
      <c r="S20" s="61"/>
      <c r="T20" s="10"/>
      <c r="U20" s="74"/>
      <c r="V20" s="76"/>
      <c r="W20" s="24"/>
      <c r="X20" s="25"/>
      <c r="Y20" s="77"/>
      <c r="Z20" s="106"/>
      <c r="AA20" s="80"/>
      <c r="AB20" s="74"/>
      <c r="AC20" s="116"/>
      <c r="AD20" s="74"/>
      <c r="AE20" s="76"/>
      <c r="AF20" s="24"/>
      <c r="AG20" s="25"/>
      <c r="AH20" s="77"/>
      <c r="AI20" s="77"/>
      <c r="AJ20" s="80"/>
      <c r="AK20" s="79"/>
      <c r="AL20" s="79"/>
      <c r="AM20" s="127"/>
      <c r="AN20" s="142"/>
      <c r="AO20" s="142"/>
      <c r="AP20" s="138"/>
      <c r="AQ20" s="139"/>
      <c r="AR20" s="140"/>
      <c r="AS20" s="146"/>
      <c r="AT20" s="166"/>
      <c r="AU20" s="10"/>
      <c r="AV20" s="167"/>
      <c r="AW20" s="168"/>
      <c r="AX20" s="29"/>
      <c r="AY20" s="24"/>
      <c r="AZ20" s="25"/>
      <c r="BA20" s="24"/>
      <c r="BB20" s="169"/>
      <c r="BC20" s="170"/>
      <c r="BD20" s="260">
        <v>15957</v>
      </c>
      <c r="BE20" s="260">
        <v>18500</v>
      </c>
      <c r="BF20" s="260">
        <v>22400</v>
      </c>
      <c r="BG20" s="261">
        <v>20400</v>
      </c>
      <c r="BH20" s="10">
        <v>20000</v>
      </c>
      <c r="BI20" s="76">
        <f>AVERAGE(BE20,BF20,BG20,BH20)</f>
        <v>20325</v>
      </c>
      <c r="BJ20" s="24">
        <f t="shared" ref="BJ20:BJ21" si="59">BI20-BD20</f>
        <v>4368</v>
      </c>
      <c r="BK20" s="25">
        <f t="shared" ref="BK20:BK21" si="60">+BJ20/BD20</f>
        <v>0.27373566459860876</v>
      </c>
      <c r="BL20" s="309">
        <f t="shared" ref="BL20:BL21" si="61">BI20</f>
        <v>20325</v>
      </c>
      <c r="BM20" s="293"/>
      <c r="BN20" s="293"/>
      <c r="BO20" s="293"/>
      <c r="BP20" s="293"/>
      <c r="BQ20" s="293"/>
      <c r="BR20" s="293"/>
      <c r="BS20" s="293"/>
      <c r="BT20" s="293"/>
    </row>
    <row r="21" spans="1:72" s="1" customFormat="1" ht="60.95" customHeight="1">
      <c r="A21" s="26"/>
      <c r="B21" s="358" t="s">
        <v>2213</v>
      </c>
      <c r="C21" s="15" t="s">
        <v>1409</v>
      </c>
      <c r="D21" s="264" t="s">
        <v>1394</v>
      </c>
      <c r="E21" s="262" t="s">
        <v>827</v>
      </c>
      <c r="F21" s="10"/>
      <c r="G21" s="10"/>
      <c r="H21" s="33"/>
      <c r="I21" s="163"/>
      <c r="J21" s="29"/>
      <c r="K21" s="24"/>
      <c r="L21" s="25"/>
      <c r="M21" s="69"/>
      <c r="N21" s="77"/>
      <c r="O21" s="80"/>
      <c r="P21" s="74"/>
      <c r="Q21" s="74"/>
      <c r="R21" s="75"/>
      <c r="S21" s="61"/>
      <c r="T21" s="10"/>
      <c r="U21" s="74"/>
      <c r="V21" s="76"/>
      <c r="W21" s="24"/>
      <c r="X21" s="25"/>
      <c r="Y21" s="77"/>
      <c r="Z21" s="106"/>
      <c r="AA21" s="80"/>
      <c r="AB21" s="74"/>
      <c r="AC21" s="116"/>
      <c r="AD21" s="74"/>
      <c r="AE21" s="76"/>
      <c r="AF21" s="24"/>
      <c r="AG21" s="25"/>
      <c r="AH21" s="77"/>
      <c r="AI21" s="77"/>
      <c r="AJ21" s="80"/>
      <c r="AK21" s="79"/>
      <c r="AL21" s="79"/>
      <c r="AM21" s="127"/>
      <c r="AN21" s="142"/>
      <c r="AO21" s="142"/>
      <c r="AP21" s="138"/>
      <c r="AQ21" s="139"/>
      <c r="AR21" s="140"/>
      <c r="AS21" s="146"/>
      <c r="AT21" s="166"/>
      <c r="AU21" s="10"/>
      <c r="AV21" s="167"/>
      <c r="AW21" s="168"/>
      <c r="AX21" s="29"/>
      <c r="AY21" s="24"/>
      <c r="AZ21" s="25"/>
      <c r="BA21" s="24"/>
      <c r="BB21" s="169"/>
      <c r="BC21" s="170"/>
      <c r="BD21" s="260">
        <v>405658</v>
      </c>
      <c r="BE21" s="260">
        <v>52000</v>
      </c>
      <c r="BF21" s="260">
        <v>65000</v>
      </c>
      <c r="BG21" s="261">
        <v>60000</v>
      </c>
      <c r="BH21" s="10">
        <v>65000</v>
      </c>
      <c r="BI21" s="76">
        <f t="shared" ref="BI21" si="62">AVERAGE(BE21,BF21,BG21,BH21)</f>
        <v>60500</v>
      </c>
      <c r="BJ21" s="24">
        <f t="shared" si="59"/>
        <v>-345158</v>
      </c>
      <c r="BK21" s="25">
        <f t="shared" si="60"/>
        <v>-0.85085959108411524</v>
      </c>
      <c r="BL21" s="309">
        <f t="shared" si="61"/>
        <v>60500</v>
      </c>
      <c r="BM21" s="293"/>
      <c r="BN21" s="293"/>
      <c r="BO21" s="293"/>
      <c r="BP21" s="293"/>
      <c r="BQ21" s="293"/>
      <c r="BR21" s="293"/>
      <c r="BS21" s="293"/>
      <c r="BT21" s="293"/>
    </row>
    <row r="22" spans="1:72" s="1" customFormat="1" ht="51" customHeight="1">
      <c r="A22" s="26"/>
      <c r="B22" s="358" t="s">
        <v>2214</v>
      </c>
      <c r="C22" s="15" t="s">
        <v>1410</v>
      </c>
      <c r="D22" s="264" t="s">
        <v>1395</v>
      </c>
      <c r="E22" s="262" t="s">
        <v>1396</v>
      </c>
      <c r="F22" s="10"/>
      <c r="G22" s="10"/>
      <c r="H22" s="33"/>
      <c r="I22" s="163"/>
      <c r="J22" s="29"/>
      <c r="K22" s="24"/>
      <c r="L22" s="25"/>
      <c r="M22" s="69"/>
      <c r="N22" s="77"/>
      <c r="O22" s="80"/>
      <c r="P22" s="74"/>
      <c r="Q22" s="74"/>
      <c r="R22" s="75"/>
      <c r="S22" s="61"/>
      <c r="T22" s="10"/>
      <c r="U22" s="74"/>
      <c r="V22" s="76"/>
      <c r="W22" s="24"/>
      <c r="X22" s="25"/>
      <c r="Y22" s="77"/>
      <c r="Z22" s="106"/>
      <c r="AA22" s="80"/>
      <c r="AB22" s="74"/>
      <c r="AC22" s="116"/>
      <c r="AD22" s="74"/>
      <c r="AE22" s="76"/>
      <c r="AF22" s="24"/>
      <c r="AG22" s="25"/>
      <c r="AH22" s="77"/>
      <c r="AI22" s="77"/>
      <c r="AJ22" s="80"/>
      <c r="AK22" s="79"/>
      <c r="AL22" s="79"/>
      <c r="AM22" s="127"/>
      <c r="AN22" s="142"/>
      <c r="AO22" s="142"/>
      <c r="AP22" s="138"/>
      <c r="AQ22" s="139"/>
      <c r="AR22" s="140"/>
      <c r="AS22" s="146"/>
      <c r="AT22" s="166"/>
      <c r="AU22" s="10"/>
      <c r="AV22" s="167"/>
      <c r="AW22" s="168"/>
      <c r="AX22" s="29"/>
      <c r="AY22" s="24"/>
      <c r="AZ22" s="25"/>
      <c r="BA22" s="24"/>
      <c r="BB22" s="169"/>
      <c r="BC22" s="170"/>
      <c r="BD22" s="260">
        <v>38919</v>
      </c>
      <c r="BE22" s="260"/>
      <c r="BF22" s="260"/>
      <c r="BG22" s="261"/>
      <c r="BH22" s="10" t="s">
        <v>1421</v>
      </c>
      <c r="BI22" s="76"/>
      <c r="BJ22" s="24"/>
      <c r="BK22" s="25"/>
      <c r="BL22" s="310" t="s">
        <v>807</v>
      </c>
      <c r="BM22" s="293"/>
      <c r="BN22" s="293"/>
      <c r="BO22" s="293"/>
      <c r="BP22" s="293"/>
      <c r="BQ22" s="293"/>
      <c r="BR22" s="293"/>
      <c r="BS22" s="293"/>
      <c r="BT22" s="293"/>
    </row>
    <row r="23" spans="1:72" s="1" customFormat="1" ht="51" customHeight="1">
      <c r="A23" s="26"/>
      <c r="B23" s="358" t="s">
        <v>2215</v>
      </c>
      <c r="C23" s="15" t="s">
        <v>1411</v>
      </c>
      <c r="D23" s="264" t="s">
        <v>1397</v>
      </c>
      <c r="E23" s="262" t="s">
        <v>1396</v>
      </c>
      <c r="F23" s="10"/>
      <c r="G23" s="10"/>
      <c r="H23" s="33"/>
      <c r="I23" s="163"/>
      <c r="J23" s="29"/>
      <c r="K23" s="24"/>
      <c r="L23" s="25"/>
      <c r="M23" s="69"/>
      <c r="N23" s="77"/>
      <c r="O23" s="80"/>
      <c r="P23" s="74"/>
      <c r="Q23" s="74"/>
      <c r="R23" s="75"/>
      <c r="S23" s="61"/>
      <c r="T23" s="10"/>
      <c r="U23" s="74"/>
      <c r="V23" s="76"/>
      <c r="W23" s="24"/>
      <c r="X23" s="25"/>
      <c r="Y23" s="77"/>
      <c r="Z23" s="106"/>
      <c r="AA23" s="80"/>
      <c r="AB23" s="74"/>
      <c r="AC23" s="116"/>
      <c r="AD23" s="74"/>
      <c r="AE23" s="76"/>
      <c r="AF23" s="24"/>
      <c r="AG23" s="25"/>
      <c r="AH23" s="77"/>
      <c r="AI23" s="77"/>
      <c r="AJ23" s="80"/>
      <c r="AK23" s="79"/>
      <c r="AL23" s="79"/>
      <c r="AM23" s="127"/>
      <c r="AN23" s="142"/>
      <c r="AO23" s="142"/>
      <c r="AP23" s="138"/>
      <c r="AQ23" s="139"/>
      <c r="AR23" s="140"/>
      <c r="AS23" s="146"/>
      <c r="AT23" s="166"/>
      <c r="AU23" s="10"/>
      <c r="AV23" s="167"/>
      <c r="AW23" s="168"/>
      <c r="AX23" s="29"/>
      <c r="AY23" s="24"/>
      <c r="AZ23" s="25"/>
      <c r="BA23" s="24"/>
      <c r="BB23" s="169"/>
      <c r="BC23" s="170"/>
      <c r="BD23" s="260">
        <v>27718</v>
      </c>
      <c r="BE23" s="260"/>
      <c r="BF23" s="260"/>
      <c r="BG23" s="261"/>
      <c r="BH23" s="10" t="s">
        <v>1421</v>
      </c>
      <c r="BI23" s="76"/>
      <c r="BJ23" s="24"/>
      <c r="BK23" s="25"/>
      <c r="BL23" s="310" t="s">
        <v>807</v>
      </c>
      <c r="BM23" s="293"/>
      <c r="BN23" s="293"/>
      <c r="BO23" s="293"/>
      <c r="BP23" s="293"/>
      <c r="BQ23" s="293"/>
      <c r="BR23" s="293"/>
      <c r="BS23" s="293"/>
      <c r="BT23" s="293"/>
    </row>
    <row r="24" spans="1:72" s="1" customFormat="1">
      <c r="A24" s="26"/>
      <c r="B24" s="358" t="s">
        <v>2216</v>
      </c>
      <c r="C24" s="15" t="s">
        <v>1412</v>
      </c>
      <c r="D24" s="264" t="s">
        <v>1398</v>
      </c>
      <c r="E24" s="263" t="s">
        <v>1399</v>
      </c>
      <c r="F24" s="10"/>
      <c r="G24" s="10"/>
      <c r="H24" s="33"/>
      <c r="I24" s="163"/>
      <c r="J24" s="29"/>
      <c r="K24" s="24"/>
      <c r="L24" s="25"/>
      <c r="M24" s="69"/>
      <c r="N24" s="77"/>
      <c r="O24" s="80"/>
      <c r="P24" s="74"/>
      <c r="Q24" s="74"/>
      <c r="R24" s="75"/>
      <c r="S24" s="61"/>
      <c r="T24" s="10"/>
      <c r="U24" s="74"/>
      <c r="V24" s="76"/>
      <c r="W24" s="24"/>
      <c r="X24" s="25"/>
      <c r="Y24" s="77"/>
      <c r="Z24" s="106"/>
      <c r="AA24" s="80"/>
      <c r="AB24" s="74"/>
      <c r="AC24" s="116"/>
      <c r="AD24" s="74"/>
      <c r="AE24" s="76"/>
      <c r="AF24" s="24"/>
      <c r="AG24" s="25"/>
      <c r="AH24" s="77"/>
      <c r="AI24" s="77"/>
      <c r="AJ24" s="80"/>
      <c r="AK24" s="79"/>
      <c r="AL24" s="79"/>
      <c r="AM24" s="127"/>
      <c r="AN24" s="142"/>
      <c r="AO24" s="142"/>
      <c r="AP24" s="138"/>
      <c r="AQ24" s="139"/>
      <c r="AR24" s="140"/>
      <c r="AS24" s="146"/>
      <c r="AT24" s="166"/>
      <c r="AU24" s="10"/>
      <c r="AV24" s="167"/>
      <c r="AW24" s="168"/>
      <c r="AX24" s="29"/>
      <c r="AY24" s="24"/>
      <c r="AZ24" s="25"/>
      <c r="BA24" s="24"/>
      <c r="BB24" s="169"/>
      <c r="BC24" s="170"/>
      <c r="BD24" s="260">
        <v>2184</v>
      </c>
      <c r="BE24" s="260">
        <v>15000</v>
      </c>
      <c r="BF24" s="260">
        <v>17000</v>
      </c>
      <c r="BG24" s="261">
        <v>18000</v>
      </c>
      <c r="BH24" s="10">
        <v>18000</v>
      </c>
      <c r="BI24" s="76">
        <f t="shared" ref="BI24:BI32" si="63">AVERAGE(BE24,BF24,BG24,BH24)</f>
        <v>17000</v>
      </c>
      <c r="BJ24" s="24">
        <f t="shared" ref="BJ24:BJ32" si="64">BI24-BD24</f>
        <v>14816</v>
      </c>
      <c r="BK24" s="25">
        <f t="shared" ref="BK24:BK32" si="65">+BJ24/BD24</f>
        <v>6.7838827838827838</v>
      </c>
      <c r="BL24" s="309">
        <f t="shared" ref="BL24:BL32" si="66">BI24</f>
        <v>17000</v>
      </c>
      <c r="BM24" s="293"/>
      <c r="BN24" s="293"/>
      <c r="BO24" s="293"/>
      <c r="BP24" s="293"/>
      <c r="BQ24" s="293"/>
      <c r="BR24" s="293"/>
      <c r="BS24" s="293"/>
      <c r="BT24" s="293"/>
    </row>
    <row r="25" spans="1:72" s="1" customFormat="1" ht="30">
      <c r="A25" s="26"/>
      <c r="B25" s="358" t="s">
        <v>2217</v>
      </c>
      <c r="C25" s="15" t="s">
        <v>1413</v>
      </c>
      <c r="D25" s="264" t="s">
        <v>1400</v>
      </c>
      <c r="E25" s="262" t="s">
        <v>1396</v>
      </c>
      <c r="F25" s="10"/>
      <c r="G25" s="10"/>
      <c r="H25" s="33"/>
      <c r="I25" s="163"/>
      <c r="J25" s="29"/>
      <c r="K25" s="24"/>
      <c r="L25" s="25"/>
      <c r="M25" s="69"/>
      <c r="N25" s="77"/>
      <c r="O25" s="80"/>
      <c r="P25" s="74"/>
      <c r="Q25" s="74"/>
      <c r="R25" s="75"/>
      <c r="S25" s="61"/>
      <c r="T25" s="10"/>
      <c r="U25" s="74"/>
      <c r="V25" s="76"/>
      <c r="W25" s="24"/>
      <c r="X25" s="25"/>
      <c r="Y25" s="77"/>
      <c r="Z25" s="106"/>
      <c r="AA25" s="80"/>
      <c r="AB25" s="74"/>
      <c r="AC25" s="116"/>
      <c r="AD25" s="74"/>
      <c r="AE25" s="76"/>
      <c r="AF25" s="24"/>
      <c r="AG25" s="25"/>
      <c r="AH25" s="77"/>
      <c r="AI25" s="77"/>
      <c r="AJ25" s="80"/>
      <c r="AK25" s="79"/>
      <c r="AL25" s="79"/>
      <c r="AM25" s="127"/>
      <c r="AN25" s="142"/>
      <c r="AO25" s="142"/>
      <c r="AP25" s="138"/>
      <c r="AQ25" s="139"/>
      <c r="AR25" s="140"/>
      <c r="AS25" s="146"/>
      <c r="AT25" s="166"/>
      <c r="AU25" s="10"/>
      <c r="AV25" s="167"/>
      <c r="AW25" s="168"/>
      <c r="AX25" s="29"/>
      <c r="AY25" s="24"/>
      <c r="AZ25" s="25"/>
      <c r="BA25" s="24"/>
      <c r="BB25" s="169"/>
      <c r="BC25" s="170"/>
      <c r="BD25" s="260">
        <v>473671</v>
      </c>
      <c r="BE25" s="260"/>
      <c r="BF25" s="260"/>
      <c r="BG25" s="261"/>
      <c r="BH25" s="10" t="s">
        <v>1422</v>
      </c>
      <c r="BI25" s="76"/>
      <c r="BJ25" s="24"/>
      <c r="BK25" s="25"/>
      <c r="BL25" s="310" t="s">
        <v>807</v>
      </c>
      <c r="BM25" s="293"/>
      <c r="BN25" s="293"/>
      <c r="BO25" s="293"/>
      <c r="BP25" s="293"/>
      <c r="BQ25" s="293"/>
      <c r="BR25" s="293"/>
      <c r="BS25" s="293"/>
      <c r="BT25" s="293"/>
    </row>
    <row r="26" spans="1:72" s="1" customFormat="1" ht="60.95" customHeight="1">
      <c r="A26" s="26"/>
      <c r="B26" s="358" t="s">
        <v>2218</v>
      </c>
      <c r="C26" s="15" t="s">
        <v>1414</v>
      </c>
      <c r="D26" s="264" t="s">
        <v>1401</v>
      </c>
      <c r="E26" s="262" t="s">
        <v>827</v>
      </c>
      <c r="F26" s="10"/>
      <c r="G26" s="10"/>
      <c r="H26" s="33"/>
      <c r="I26" s="163"/>
      <c r="J26" s="29"/>
      <c r="K26" s="24"/>
      <c r="L26" s="25"/>
      <c r="M26" s="69"/>
      <c r="N26" s="77"/>
      <c r="O26" s="80"/>
      <c r="P26" s="74"/>
      <c r="Q26" s="74"/>
      <c r="R26" s="75"/>
      <c r="S26" s="61"/>
      <c r="T26" s="10"/>
      <c r="U26" s="74"/>
      <c r="V26" s="76"/>
      <c r="W26" s="24"/>
      <c r="X26" s="25"/>
      <c r="Y26" s="77"/>
      <c r="Z26" s="106"/>
      <c r="AA26" s="80"/>
      <c r="AB26" s="74"/>
      <c r="AC26" s="116"/>
      <c r="AD26" s="74"/>
      <c r="AE26" s="76"/>
      <c r="AF26" s="24"/>
      <c r="AG26" s="25"/>
      <c r="AH26" s="77"/>
      <c r="AI26" s="77"/>
      <c r="AJ26" s="80"/>
      <c r="AK26" s="79"/>
      <c r="AL26" s="79"/>
      <c r="AM26" s="127"/>
      <c r="AN26" s="142"/>
      <c r="AO26" s="142"/>
      <c r="AP26" s="138"/>
      <c r="AQ26" s="139"/>
      <c r="AR26" s="140"/>
      <c r="AS26" s="146"/>
      <c r="AT26" s="166"/>
      <c r="AU26" s="10"/>
      <c r="AV26" s="167"/>
      <c r="AW26" s="168"/>
      <c r="AX26" s="29"/>
      <c r="AY26" s="24"/>
      <c r="AZ26" s="25"/>
      <c r="BA26" s="24"/>
      <c r="BB26" s="169"/>
      <c r="BC26" s="170"/>
      <c r="BD26" s="260">
        <v>81687</v>
      </c>
      <c r="BE26" s="260">
        <v>52000</v>
      </c>
      <c r="BF26" s="260">
        <v>58000</v>
      </c>
      <c r="BG26" s="261">
        <v>55000</v>
      </c>
      <c r="BH26" s="10">
        <v>65000</v>
      </c>
      <c r="BI26" s="76">
        <f t="shared" si="63"/>
        <v>57500</v>
      </c>
      <c r="BJ26" s="24">
        <f t="shared" si="64"/>
        <v>-24187</v>
      </c>
      <c r="BK26" s="25">
        <f t="shared" si="65"/>
        <v>-0.29609362566871106</v>
      </c>
      <c r="BL26" s="309">
        <f t="shared" si="66"/>
        <v>57500</v>
      </c>
      <c r="BM26" s="293"/>
      <c r="BN26" s="293"/>
      <c r="BO26" s="293"/>
      <c r="BP26" s="293"/>
      <c r="BQ26" s="293"/>
      <c r="BR26" s="293"/>
      <c r="BS26" s="293"/>
      <c r="BT26" s="293"/>
    </row>
    <row r="27" spans="1:72" s="1" customFormat="1">
      <c r="A27" s="26"/>
      <c r="B27" s="358" t="s">
        <v>2219</v>
      </c>
      <c r="C27" s="15" t="s">
        <v>1415</v>
      </c>
      <c r="D27" s="264" t="s">
        <v>1402</v>
      </c>
      <c r="E27" s="262" t="s">
        <v>827</v>
      </c>
      <c r="F27" s="10"/>
      <c r="G27" s="10"/>
      <c r="H27" s="33"/>
      <c r="I27" s="163"/>
      <c r="J27" s="29"/>
      <c r="K27" s="24"/>
      <c r="L27" s="25"/>
      <c r="M27" s="69"/>
      <c r="N27" s="77"/>
      <c r="O27" s="80"/>
      <c r="P27" s="74"/>
      <c r="Q27" s="74"/>
      <c r="R27" s="75"/>
      <c r="S27" s="61"/>
      <c r="T27" s="10"/>
      <c r="U27" s="74"/>
      <c r="V27" s="76"/>
      <c r="W27" s="24"/>
      <c r="X27" s="25"/>
      <c r="Y27" s="77"/>
      <c r="Z27" s="106"/>
      <c r="AA27" s="80"/>
      <c r="AB27" s="74"/>
      <c r="AC27" s="116"/>
      <c r="AD27" s="74"/>
      <c r="AE27" s="76"/>
      <c r="AF27" s="24"/>
      <c r="AG27" s="25"/>
      <c r="AH27" s="77"/>
      <c r="AI27" s="77"/>
      <c r="AJ27" s="80"/>
      <c r="AK27" s="79"/>
      <c r="AL27" s="79"/>
      <c r="AM27" s="127"/>
      <c r="AN27" s="142"/>
      <c r="AO27" s="142"/>
      <c r="AP27" s="138"/>
      <c r="AQ27" s="139"/>
      <c r="AR27" s="140"/>
      <c r="AS27" s="146"/>
      <c r="AT27" s="166"/>
      <c r="AU27" s="10"/>
      <c r="AV27" s="167"/>
      <c r="AW27" s="168"/>
      <c r="AX27" s="29"/>
      <c r="AY27" s="24"/>
      <c r="AZ27" s="25"/>
      <c r="BA27" s="24"/>
      <c r="BB27" s="169"/>
      <c r="BC27" s="170"/>
      <c r="BD27" s="260">
        <v>8201</v>
      </c>
      <c r="BE27" s="260">
        <v>8500</v>
      </c>
      <c r="BF27" s="260">
        <v>12000</v>
      </c>
      <c r="BG27" s="261">
        <v>10000</v>
      </c>
      <c r="BH27" s="10">
        <v>10000</v>
      </c>
      <c r="BI27" s="76">
        <f t="shared" si="63"/>
        <v>10125</v>
      </c>
      <c r="BJ27" s="24">
        <f t="shared" si="64"/>
        <v>1924</v>
      </c>
      <c r="BK27" s="25">
        <f t="shared" si="65"/>
        <v>0.23460553591025485</v>
      </c>
      <c r="BL27" s="309">
        <f t="shared" si="66"/>
        <v>10125</v>
      </c>
      <c r="BM27" s="293"/>
      <c r="BN27" s="293"/>
      <c r="BO27" s="293"/>
      <c r="BP27" s="293"/>
      <c r="BQ27" s="293"/>
      <c r="BR27" s="293"/>
      <c r="BS27" s="293"/>
      <c r="BT27" s="293"/>
    </row>
    <row r="28" spans="1:72" s="1" customFormat="1">
      <c r="A28" s="26"/>
      <c r="B28" s="358" t="s">
        <v>2220</v>
      </c>
      <c r="C28" s="15" t="s">
        <v>1416</v>
      </c>
      <c r="D28" s="264" t="s">
        <v>1403</v>
      </c>
      <c r="E28" s="262" t="s">
        <v>827</v>
      </c>
      <c r="F28" s="10"/>
      <c r="G28" s="10"/>
      <c r="H28" s="33"/>
      <c r="I28" s="163"/>
      <c r="J28" s="29"/>
      <c r="K28" s="24"/>
      <c r="L28" s="25"/>
      <c r="M28" s="69"/>
      <c r="N28" s="77"/>
      <c r="O28" s="80"/>
      <c r="P28" s="74"/>
      <c r="Q28" s="74"/>
      <c r="R28" s="75"/>
      <c r="S28" s="61"/>
      <c r="T28" s="10"/>
      <c r="U28" s="74"/>
      <c r="V28" s="76"/>
      <c r="W28" s="24"/>
      <c r="X28" s="25"/>
      <c r="Y28" s="77"/>
      <c r="Z28" s="106"/>
      <c r="AA28" s="80"/>
      <c r="AB28" s="74"/>
      <c r="AC28" s="116"/>
      <c r="AD28" s="74"/>
      <c r="AE28" s="76"/>
      <c r="AF28" s="24"/>
      <c r="AG28" s="25"/>
      <c r="AH28" s="77"/>
      <c r="AI28" s="77"/>
      <c r="AJ28" s="80"/>
      <c r="AK28" s="79"/>
      <c r="AL28" s="79"/>
      <c r="AM28" s="127"/>
      <c r="AN28" s="142"/>
      <c r="AO28" s="142"/>
      <c r="AP28" s="138"/>
      <c r="AQ28" s="139"/>
      <c r="AR28" s="140"/>
      <c r="AS28" s="146"/>
      <c r="AT28" s="166"/>
      <c r="AU28" s="10"/>
      <c r="AV28" s="167"/>
      <c r="AW28" s="168"/>
      <c r="AX28" s="29"/>
      <c r="AY28" s="24"/>
      <c r="AZ28" s="25"/>
      <c r="BA28" s="24"/>
      <c r="BB28" s="169"/>
      <c r="BC28" s="170"/>
      <c r="BD28" s="260">
        <v>47490</v>
      </c>
      <c r="BE28" s="260">
        <v>32000</v>
      </c>
      <c r="BF28" s="260">
        <v>39000</v>
      </c>
      <c r="BG28" s="261">
        <v>35000</v>
      </c>
      <c r="BH28" s="10">
        <v>32000</v>
      </c>
      <c r="BI28" s="76">
        <f t="shared" si="63"/>
        <v>34500</v>
      </c>
      <c r="BJ28" s="24">
        <f t="shared" si="64"/>
        <v>-12990</v>
      </c>
      <c r="BK28" s="25">
        <f t="shared" si="65"/>
        <v>-0.27353126974099812</v>
      </c>
      <c r="BL28" s="309">
        <f t="shared" si="66"/>
        <v>34500</v>
      </c>
      <c r="BM28" s="293"/>
      <c r="BN28" s="293"/>
      <c r="BO28" s="293"/>
      <c r="BP28" s="293"/>
      <c r="BQ28" s="293"/>
      <c r="BR28" s="293"/>
      <c r="BS28" s="293"/>
      <c r="BT28" s="293"/>
    </row>
    <row r="29" spans="1:72" s="1" customFormat="1" ht="42" customHeight="1">
      <c r="A29" s="26"/>
      <c r="B29" s="358" t="s">
        <v>2221</v>
      </c>
      <c r="C29" s="15" t="s">
        <v>1417</v>
      </c>
      <c r="D29" s="264" t="s">
        <v>1404</v>
      </c>
      <c r="E29" s="262" t="s">
        <v>827</v>
      </c>
      <c r="F29" s="10"/>
      <c r="G29" s="10"/>
      <c r="H29" s="33"/>
      <c r="I29" s="163"/>
      <c r="J29" s="29"/>
      <c r="K29" s="24"/>
      <c r="L29" s="25"/>
      <c r="M29" s="69"/>
      <c r="N29" s="77"/>
      <c r="O29" s="80"/>
      <c r="P29" s="74"/>
      <c r="Q29" s="74"/>
      <c r="R29" s="75"/>
      <c r="S29" s="61"/>
      <c r="T29" s="10"/>
      <c r="U29" s="74"/>
      <c r="V29" s="76"/>
      <c r="W29" s="24"/>
      <c r="X29" s="25"/>
      <c r="Y29" s="77"/>
      <c r="Z29" s="106"/>
      <c r="AA29" s="80"/>
      <c r="AB29" s="74"/>
      <c r="AC29" s="116"/>
      <c r="AD29" s="74"/>
      <c r="AE29" s="76"/>
      <c r="AF29" s="24"/>
      <c r="AG29" s="25"/>
      <c r="AH29" s="77"/>
      <c r="AI29" s="77"/>
      <c r="AJ29" s="80"/>
      <c r="AK29" s="79"/>
      <c r="AL29" s="79"/>
      <c r="AM29" s="127"/>
      <c r="AN29" s="142"/>
      <c r="AO29" s="142"/>
      <c r="AP29" s="138"/>
      <c r="AQ29" s="139"/>
      <c r="AR29" s="140"/>
      <c r="AS29" s="146"/>
      <c r="AT29" s="166"/>
      <c r="AU29" s="10"/>
      <c r="AV29" s="167"/>
      <c r="AW29" s="168"/>
      <c r="AX29" s="29"/>
      <c r="AY29" s="24"/>
      <c r="AZ29" s="25"/>
      <c r="BA29" s="24"/>
      <c r="BB29" s="169"/>
      <c r="BC29" s="170"/>
      <c r="BD29" s="260">
        <v>100262</v>
      </c>
      <c r="BE29" s="260">
        <v>35000</v>
      </c>
      <c r="BF29" s="260">
        <v>41000</v>
      </c>
      <c r="BG29" s="261">
        <v>40000</v>
      </c>
      <c r="BH29" s="10">
        <v>40000</v>
      </c>
      <c r="BI29" s="76">
        <f t="shared" si="63"/>
        <v>39000</v>
      </c>
      <c r="BJ29" s="24">
        <f t="shared" si="64"/>
        <v>-61262</v>
      </c>
      <c r="BK29" s="25">
        <f t="shared" si="65"/>
        <v>-0.61101912987971518</v>
      </c>
      <c r="BL29" s="309">
        <f t="shared" si="66"/>
        <v>39000</v>
      </c>
      <c r="BM29" s="293"/>
      <c r="BN29" s="293"/>
      <c r="BO29" s="293"/>
      <c r="BP29" s="293"/>
      <c r="BQ29" s="293"/>
      <c r="BR29" s="293"/>
      <c r="BS29" s="293"/>
      <c r="BT29" s="293"/>
    </row>
    <row r="30" spans="1:72" s="1" customFormat="1">
      <c r="A30" s="26"/>
      <c r="B30" s="358" t="s">
        <v>2222</v>
      </c>
      <c r="C30" s="15" t="s">
        <v>1418</v>
      </c>
      <c r="D30" s="264" t="s">
        <v>1405</v>
      </c>
      <c r="E30" s="262" t="s">
        <v>827</v>
      </c>
      <c r="F30" s="10"/>
      <c r="G30" s="10"/>
      <c r="H30" s="33"/>
      <c r="I30" s="163"/>
      <c r="J30" s="29"/>
      <c r="K30" s="24"/>
      <c r="L30" s="25"/>
      <c r="M30" s="69"/>
      <c r="N30" s="77"/>
      <c r="O30" s="80"/>
      <c r="P30" s="74"/>
      <c r="Q30" s="74"/>
      <c r="R30" s="75"/>
      <c r="S30" s="61"/>
      <c r="T30" s="10"/>
      <c r="U30" s="74"/>
      <c r="V30" s="76"/>
      <c r="W30" s="24"/>
      <c r="X30" s="25"/>
      <c r="Y30" s="77"/>
      <c r="Z30" s="106"/>
      <c r="AA30" s="80"/>
      <c r="AB30" s="74"/>
      <c r="AC30" s="116"/>
      <c r="AD30" s="74"/>
      <c r="AE30" s="76"/>
      <c r="AF30" s="24"/>
      <c r="AG30" s="25"/>
      <c r="AH30" s="77"/>
      <c r="AI30" s="77"/>
      <c r="AJ30" s="80"/>
      <c r="AK30" s="79"/>
      <c r="AL30" s="79"/>
      <c r="AM30" s="127"/>
      <c r="AN30" s="142"/>
      <c r="AO30" s="142"/>
      <c r="AP30" s="138"/>
      <c r="AQ30" s="139"/>
      <c r="AR30" s="140"/>
      <c r="AS30" s="146"/>
      <c r="AT30" s="166"/>
      <c r="AU30" s="10"/>
      <c r="AV30" s="167"/>
      <c r="AW30" s="168"/>
      <c r="AX30" s="29"/>
      <c r="AY30" s="24"/>
      <c r="AZ30" s="25"/>
      <c r="BA30" s="24"/>
      <c r="BB30" s="169"/>
      <c r="BC30" s="170"/>
      <c r="BD30" s="260">
        <v>1952</v>
      </c>
      <c r="BE30" s="260">
        <v>1500</v>
      </c>
      <c r="BF30" s="260">
        <v>2900</v>
      </c>
      <c r="BG30" s="261">
        <v>2000</v>
      </c>
      <c r="BH30" s="10">
        <v>2000</v>
      </c>
      <c r="BI30" s="76">
        <f t="shared" si="63"/>
        <v>2100</v>
      </c>
      <c r="BJ30" s="24">
        <f t="shared" si="64"/>
        <v>148</v>
      </c>
      <c r="BK30" s="25">
        <f t="shared" si="65"/>
        <v>7.5819672131147542E-2</v>
      </c>
      <c r="BL30" s="309">
        <f t="shared" si="66"/>
        <v>2100</v>
      </c>
      <c r="BM30" s="293"/>
      <c r="BN30" s="293"/>
      <c r="BO30" s="293"/>
      <c r="BP30" s="293"/>
      <c r="BQ30" s="293"/>
      <c r="BR30" s="293"/>
      <c r="BS30" s="293"/>
      <c r="BT30" s="293"/>
    </row>
    <row r="31" spans="1:72" s="1" customFormat="1">
      <c r="A31" s="26"/>
      <c r="B31" s="358" t="s">
        <v>2223</v>
      </c>
      <c r="C31" s="15" t="s">
        <v>1419</v>
      </c>
      <c r="D31" s="264" t="s">
        <v>1406</v>
      </c>
      <c r="E31" s="262" t="s">
        <v>827</v>
      </c>
      <c r="F31" s="10"/>
      <c r="G31" s="10"/>
      <c r="H31" s="33"/>
      <c r="I31" s="163"/>
      <c r="J31" s="29"/>
      <c r="K31" s="24"/>
      <c r="L31" s="25"/>
      <c r="M31" s="69"/>
      <c r="N31" s="77"/>
      <c r="O31" s="80"/>
      <c r="P31" s="74"/>
      <c r="Q31" s="74"/>
      <c r="R31" s="75"/>
      <c r="S31" s="61"/>
      <c r="T31" s="10"/>
      <c r="U31" s="74"/>
      <c r="V31" s="76"/>
      <c r="W31" s="24"/>
      <c r="X31" s="25"/>
      <c r="Y31" s="77"/>
      <c r="Z31" s="106"/>
      <c r="AA31" s="80"/>
      <c r="AB31" s="74"/>
      <c r="AC31" s="116"/>
      <c r="AD31" s="74"/>
      <c r="AE31" s="76"/>
      <c r="AF31" s="24"/>
      <c r="AG31" s="25"/>
      <c r="AH31" s="77"/>
      <c r="AI31" s="77"/>
      <c r="AJ31" s="80"/>
      <c r="AK31" s="79"/>
      <c r="AL31" s="79"/>
      <c r="AM31" s="127"/>
      <c r="AN31" s="142"/>
      <c r="AO31" s="142"/>
      <c r="AP31" s="138"/>
      <c r="AQ31" s="139"/>
      <c r="AR31" s="140"/>
      <c r="AS31" s="146"/>
      <c r="AT31" s="166"/>
      <c r="AU31" s="10"/>
      <c r="AV31" s="167"/>
      <c r="AW31" s="168"/>
      <c r="AX31" s="29"/>
      <c r="AY31" s="24"/>
      <c r="AZ31" s="25"/>
      <c r="BA31" s="24"/>
      <c r="BB31" s="169"/>
      <c r="BC31" s="170"/>
      <c r="BD31" s="260">
        <v>3970</v>
      </c>
      <c r="BE31" s="260">
        <v>8500</v>
      </c>
      <c r="BF31" s="260">
        <v>11900</v>
      </c>
      <c r="BG31" s="261">
        <v>11000</v>
      </c>
      <c r="BH31" s="10">
        <v>10000</v>
      </c>
      <c r="BI31" s="76">
        <f t="shared" si="63"/>
        <v>10350</v>
      </c>
      <c r="BJ31" s="24">
        <f t="shared" si="64"/>
        <v>6380</v>
      </c>
      <c r="BK31" s="25">
        <f t="shared" si="65"/>
        <v>1.6070528967254407</v>
      </c>
      <c r="BL31" s="309">
        <f t="shared" si="66"/>
        <v>10350</v>
      </c>
      <c r="BM31" s="293"/>
      <c r="BN31" s="293"/>
      <c r="BO31" s="293"/>
      <c r="BP31" s="293"/>
      <c r="BQ31" s="293"/>
      <c r="BR31" s="293"/>
      <c r="BS31" s="293"/>
      <c r="BT31" s="293"/>
    </row>
    <row r="32" spans="1:72" s="1" customFormat="1">
      <c r="A32" s="26"/>
      <c r="B32" s="358" t="s">
        <v>2224</v>
      </c>
      <c r="C32" s="15" t="s">
        <v>1420</v>
      </c>
      <c r="D32" s="264" t="s">
        <v>1407</v>
      </c>
      <c r="E32" s="262" t="s">
        <v>999</v>
      </c>
      <c r="F32" s="10"/>
      <c r="G32" s="10"/>
      <c r="H32" s="33"/>
      <c r="I32" s="163"/>
      <c r="J32" s="29"/>
      <c r="K32" s="24"/>
      <c r="L32" s="25"/>
      <c r="M32" s="69"/>
      <c r="N32" s="77"/>
      <c r="O32" s="80"/>
      <c r="P32" s="74"/>
      <c r="Q32" s="74"/>
      <c r="R32" s="75"/>
      <c r="S32" s="61"/>
      <c r="T32" s="10"/>
      <c r="U32" s="74"/>
      <c r="V32" s="76"/>
      <c r="W32" s="24"/>
      <c r="X32" s="25"/>
      <c r="Y32" s="77"/>
      <c r="Z32" s="106"/>
      <c r="AA32" s="80"/>
      <c r="AB32" s="74"/>
      <c r="AC32" s="116"/>
      <c r="AD32" s="74"/>
      <c r="AE32" s="76"/>
      <c r="AF32" s="24"/>
      <c r="AG32" s="25"/>
      <c r="AH32" s="77"/>
      <c r="AI32" s="77"/>
      <c r="AJ32" s="80"/>
      <c r="AK32" s="79"/>
      <c r="AL32" s="79"/>
      <c r="AM32" s="127"/>
      <c r="AN32" s="142"/>
      <c r="AO32" s="142"/>
      <c r="AP32" s="138"/>
      <c r="AQ32" s="139"/>
      <c r="AR32" s="140"/>
      <c r="AS32" s="146"/>
      <c r="AT32" s="166"/>
      <c r="AU32" s="10"/>
      <c r="AV32" s="167"/>
      <c r="AW32" s="168"/>
      <c r="AX32" s="29"/>
      <c r="AY32" s="24"/>
      <c r="AZ32" s="25"/>
      <c r="BA32" s="24"/>
      <c r="BB32" s="169"/>
      <c r="BC32" s="170"/>
      <c r="BD32" s="260">
        <v>14029</v>
      </c>
      <c r="BE32" s="260">
        <v>4500000</v>
      </c>
      <c r="BF32" s="260">
        <v>5100000</v>
      </c>
      <c r="BG32" s="261">
        <v>5000000</v>
      </c>
      <c r="BH32" s="10">
        <v>4500000</v>
      </c>
      <c r="BI32" s="76">
        <f t="shared" si="63"/>
        <v>4775000</v>
      </c>
      <c r="BJ32" s="24">
        <f t="shared" si="64"/>
        <v>4760971</v>
      </c>
      <c r="BK32" s="25">
        <f t="shared" si="65"/>
        <v>339.36638391902488</v>
      </c>
      <c r="BL32" s="309">
        <f t="shared" si="66"/>
        <v>4775000</v>
      </c>
      <c r="BM32" s="293"/>
      <c r="BN32" s="293"/>
      <c r="BO32" s="293"/>
      <c r="BP32" s="293"/>
      <c r="BQ32" s="293"/>
      <c r="BR32" s="293"/>
      <c r="BS32" s="293"/>
      <c r="BT32" s="293"/>
    </row>
    <row r="33" spans="1:72" ht="22.35" customHeight="1">
      <c r="A33" s="91" t="s">
        <v>7</v>
      </c>
      <c r="B33" s="358" t="s">
        <v>2225</v>
      </c>
      <c r="C33" s="252" t="s">
        <v>749</v>
      </c>
      <c r="D33" s="100" t="s">
        <v>7</v>
      </c>
      <c r="E33" s="47"/>
      <c r="F33" s="47"/>
      <c r="G33" s="47"/>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7"/>
      <c r="AH33" s="47"/>
      <c r="AI33" s="47"/>
      <c r="AJ33" s="147"/>
      <c r="AK33" s="148"/>
      <c r="AL33" s="148"/>
      <c r="AM33" s="149"/>
      <c r="AN33" s="148"/>
      <c r="AO33" s="148"/>
      <c r="AP33" s="124"/>
      <c r="AQ33" s="125"/>
      <c r="AR33" s="126"/>
      <c r="AS33" s="132"/>
      <c r="AT33" s="164"/>
      <c r="AU33" s="164"/>
      <c r="AV33" s="172"/>
      <c r="AW33" s="165"/>
      <c r="AX33" s="29"/>
      <c r="AY33" s="24"/>
      <c r="AZ33" s="25"/>
      <c r="BA33" s="24"/>
      <c r="BB33" s="169"/>
      <c r="BC33" s="170">
        <f t="shared" si="46"/>
        <v>0</v>
      </c>
      <c r="BD33" s="266"/>
      <c r="BE33" s="173"/>
      <c r="BF33" s="173"/>
      <c r="BG33" s="267"/>
      <c r="BH33" s="266"/>
      <c r="BI33" s="76"/>
      <c r="BJ33" s="24"/>
      <c r="BK33" s="25"/>
      <c r="BL33" s="259"/>
      <c r="BM33" s="311"/>
      <c r="BN33" s="312"/>
      <c r="BO33" s="312"/>
      <c r="BP33" s="311"/>
      <c r="BQ33" s="29"/>
      <c r="BR33" s="24"/>
      <c r="BS33" s="25"/>
      <c r="BT33" s="308"/>
    </row>
    <row r="34" spans="1:72" ht="30" customHeight="1">
      <c r="A34" s="91" t="s">
        <v>7</v>
      </c>
      <c r="B34" s="358" t="s">
        <v>2226</v>
      </c>
      <c r="C34" s="50" t="s">
        <v>59</v>
      </c>
      <c r="D34" s="99" t="s">
        <v>395</v>
      </c>
      <c r="E34" s="49" t="s">
        <v>12</v>
      </c>
      <c r="F34" s="10">
        <v>14937</v>
      </c>
      <c r="G34" s="10">
        <v>19427</v>
      </c>
      <c r="H34" s="31">
        <v>25254</v>
      </c>
      <c r="I34" s="34">
        <v>16980.2</v>
      </c>
      <c r="J34" s="29">
        <f t="shared" ref="J34:J139" si="67">AVERAGE(G34,H34,I34)</f>
        <v>20553.733333333334</v>
      </c>
      <c r="K34" s="24">
        <f t="shared" ref="K34:K139" si="68">J34-F34</f>
        <v>5616.7333333333336</v>
      </c>
      <c r="L34" s="25">
        <f t="shared" ref="L34:L139" si="69">+K34/F34</f>
        <v>0.37602820735980008</v>
      </c>
      <c r="M34" s="69" t="str">
        <f t="shared" ref="M34:M139" si="70">+IF(L34&lt;35%,J34,"REVISAR PRECIO")</f>
        <v>REVISAR PRECIO</v>
      </c>
      <c r="N34" s="77">
        <f t="shared" si="19"/>
        <v>20553.733333333334</v>
      </c>
      <c r="O34" s="73">
        <v>8922</v>
      </c>
      <c r="P34" s="74">
        <v>13225</v>
      </c>
      <c r="Q34" s="74">
        <v>14500</v>
      </c>
      <c r="R34" s="75">
        <v>15237.5</v>
      </c>
      <c r="S34" s="61">
        <v>13224.999999999998</v>
      </c>
      <c r="T34" s="10">
        <v>7000</v>
      </c>
      <c r="U34" s="74">
        <v>15208.749999999996</v>
      </c>
      <c r="V34" s="76">
        <f t="shared" si="20"/>
        <v>13066.041666666666</v>
      </c>
      <c r="W34" s="24">
        <f t="shared" ref="W34:W52" si="71">V34-O34</f>
        <v>4144.0416666666661</v>
      </c>
      <c r="X34" s="25">
        <f t="shared" ref="X34:X51" si="72">+W34/O34</f>
        <v>0.46447451991332278</v>
      </c>
      <c r="Y34" s="77" t="str">
        <f t="shared" si="4"/>
        <v>REVISAR PRECIO</v>
      </c>
      <c r="Z34" s="106">
        <f t="shared" si="21"/>
        <v>13066.041666666666</v>
      </c>
      <c r="AA34" s="73">
        <v>8922</v>
      </c>
      <c r="AB34" s="88">
        <v>12000</v>
      </c>
      <c r="AC34" s="116">
        <v>14500</v>
      </c>
      <c r="AD34" s="74">
        <v>12650</v>
      </c>
      <c r="AE34" s="76">
        <f t="shared" ref="AE34:AE52" si="73">AVERAGE(AB34,AC34,AD34)</f>
        <v>13050</v>
      </c>
      <c r="AF34" s="24">
        <f t="shared" ref="AF34:AF52" si="74">AE34-AA34</f>
        <v>4128</v>
      </c>
      <c r="AG34" s="25">
        <f t="shared" ref="AG34:AG51" si="75">+AF34/AA34</f>
        <v>0.46267652992602554</v>
      </c>
      <c r="AH34" s="77" t="str">
        <f t="shared" ref="AH34:AH51" si="76">+IF(AG34&lt;35%,AE34,"REVISAR PRECIO")</f>
        <v>REVISAR PRECIO</v>
      </c>
      <c r="AI34" s="77">
        <f t="shared" ref="AI34:AI52" si="77">AE34</f>
        <v>13050</v>
      </c>
      <c r="AJ34" s="73">
        <v>8922</v>
      </c>
      <c r="AK34" s="79">
        <v>15237.5</v>
      </c>
      <c r="AL34" s="79">
        <v>11500</v>
      </c>
      <c r="AM34" s="127">
        <v>13800</v>
      </c>
      <c r="AN34" s="128">
        <v>13000</v>
      </c>
      <c r="AO34" s="128">
        <v>12000</v>
      </c>
      <c r="AP34" s="133">
        <f t="shared" ref="AP34:AP52" si="78">AVERAGE(AK34,AL34,AM34,AN34,AO34)</f>
        <v>13107.5</v>
      </c>
      <c r="AQ34" s="127">
        <f t="shared" ref="AQ34:AQ52" si="79">AP34-AJ34</f>
        <v>4185.5</v>
      </c>
      <c r="AR34" s="134">
        <f t="shared" ref="AR34:AR51" si="80">+AQ34/AJ34</f>
        <v>0.46912127325711722</v>
      </c>
      <c r="AS34" s="132">
        <f t="shared" ref="AS34:AS52" si="81">AP34</f>
        <v>13107.5</v>
      </c>
      <c r="AT34" s="10">
        <v>8924</v>
      </c>
      <c r="AU34" s="10">
        <v>11500</v>
      </c>
      <c r="AV34" s="167">
        <v>23000</v>
      </c>
      <c r="AW34" s="168">
        <v>7805</v>
      </c>
      <c r="AX34" s="29">
        <f t="shared" ref="AX34:AX52" si="82">AVERAGE(AU34,AW34)</f>
        <v>9652.5</v>
      </c>
      <c r="AY34" s="24">
        <f t="shared" ref="AY34:AY52" si="83">AX34-AT34</f>
        <v>728.5</v>
      </c>
      <c r="AZ34" s="25">
        <f t="shared" ref="AZ34:AZ52" si="84">+AY34/AT34</f>
        <v>8.1633796503809947E-2</v>
      </c>
      <c r="BA34" s="24">
        <f t="shared" ref="BA34:BA52" si="85">AV34-AT34</f>
        <v>14076</v>
      </c>
      <c r="BB34" s="169">
        <f t="shared" ref="BB34:BB52" si="86">+BA34/AT34</f>
        <v>1.5773195876288659</v>
      </c>
      <c r="BC34" s="170">
        <f t="shared" si="46"/>
        <v>9652.5</v>
      </c>
      <c r="BD34" s="10">
        <v>8030</v>
      </c>
      <c r="BE34" s="10">
        <v>6500</v>
      </c>
      <c r="BF34" s="10">
        <v>8500</v>
      </c>
      <c r="BG34" s="268">
        <v>8000</v>
      </c>
      <c r="BH34" s="10">
        <v>9000</v>
      </c>
      <c r="BI34" s="76">
        <f t="shared" ref="BI34:BI36" si="87">AVERAGE(BE34,BF34,BG34,BH34)</f>
        <v>8000</v>
      </c>
      <c r="BJ34" s="24">
        <f t="shared" ref="BJ34:BJ36" si="88">BI34-BD34</f>
        <v>-30</v>
      </c>
      <c r="BK34" s="25">
        <f t="shared" ref="BK34:BK36" si="89">+BJ34/BD34</f>
        <v>-3.7359900373599006E-3</v>
      </c>
      <c r="BL34" s="259">
        <f t="shared" ref="BL34:BL36" si="90">BI34</f>
        <v>8000</v>
      </c>
      <c r="BM34" s="166">
        <v>8922</v>
      </c>
      <c r="BN34" s="45">
        <v>11000</v>
      </c>
      <c r="BO34" s="45">
        <v>10531</v>
      </c>
      <c r="BP34" s="45">
        <v>23500</v>
      </c>
      <c r="BQ34" s="29">
        <f t="shared" ref="BQ34:BQ36" si="91">AVERAGE(BN34,BO34,BP34)</f>
        <v>15010.333333333334</v>
      </c>
      <c r="BR34" s="24">
        <f t="shared" ref="BR34:BR36" si="92">BQ34-BM34</f>
        <v>6088.3333333333339</v>
      </c>
      <c r="BS34" s="25">
        <f t="shared" ref="BS34:BS36" si="93">+BR34/BM34</f>
        <v>0.68239557647762095</v>
      </c>
      <c r="BT34" s="308">
        <f t="shared" ref="BT34:BT36" si="94">BQ34</f>
        <v>15010.333333333334</v>
      </c>
    </row>
    <row r="35" spans="1:72" ht="30" customHeight="1">
      <c r="A35" s="91" t="s">
        <v>7</v>
      </c>
      <c r="B35" s="358" t="s">
        <v>2227</v>
      </c>
      <c r="C35" s="50" t="s">
        <v>60</v>
      </c>
      <c r="D35" s="99" t="s">
        <v>396</v>
      </c>
      <c r="E35" s="49" t="s">
        <v>12</v>
      </c>
      <c r="F35" s="10">
        <v>21113</v>
      </c>
      <c r="G35" s="10">
        <v>27459</v>
      </c>
      <c r="H35" s="31">
        <v>35697</v>
      </c>
      <c r="I35" s="34">
        <v>24001.200000000001</v>
      </c>
      <c r="J35" s="29">
        <f t="shared" si="67"/>
        <v>29052.399999999998</v>
      </c>
      <c r="K35" s="24">
        <f t="shared" si="68"/>
        <v>7939.3999999999978</v>
      </c>
      <c r="L35" s="25">
        <f t="shared" si="69"/>
        <v>0.37604319613508252</v>
      </c>
      <c r="M35" s="69" t="str">
        <f t="shared" si="70"/>
        <v>REVISAR PRECIO</v>
      </c>
      <c r="N35" s="77">
        <f t="shared" si="19"/>
        <v>29052.399999999998</v>
      </c>
      <c r="O35" s="73">
        <v>12616</v>
      </c>
      <c r="P35" s="74">
        <v>32775</v>
      </c>
      <c r="Q35" s="74">
        <v>35000</v>
      </c>
      <c r="R35" s="75">
        <v>37762.5</v>
      </c>
      <c r="S35" s="61">
        <v>45000</v>
      </c>
      <c r="T35" s="60">
        <v>18000</v>
      </c>
      <c r="U35" s="74">
        <v>37691.25</v>
      </c>
      <c r="V35" s="76">
        <f t="shared" si="20"/>
        <v>34371.458333333336</v>
      </c>
      <c r="W35" s="24">
        <f t="shared" si="71"/>
        <v>21755.458333333336</v>
      </c>
      <c r="X35" s="25">
        <f t="shared" si="72"/>
        <v>1.7244339198900869</v>
      </c>
      <c r="Y35" s="77" t="str">
        <f t="shared" si="4"/>
        <v>REVISAR PRECIO</v>
      </c>
      <c r="Z35" s="106">
        <f t="shared" si="21"/>
        <v>34371.458333333336</v>
      </c>
      <c r="AA35" s="73">
        <v>12616</v>
      </c>
      <c r="AB35" s="88">
        <v>32000</v>
      </c>
      <c r="AC35" s="116">
        <v>35555</v>
      </c>
      <c r="AD35" s="74">
        <v>31350</v>
      </c>
      <c r="AE35" s="76">
        <f t="shared" si="73"/>
        <v>32968.333333333336</v>
      </c>
      <c r="AF35" s="24">
        <f t="shared" si="74"/>
        <v>20352.333333333336</v>
      </c>
      <c r="AG35" s="25">
        <f t="shared" si="75"/>
        <v>1.6132160219826677</v>
      </c>
      <c r="AH35" s="77" t="str">
        <f t="shared" si="76"/>
        <v>REVISAR PRECIO</v>
      </c>
      <c r="AI35" s="77">
        <f t="shared" si="77"/>
        <v>32968.333333333336</v>
      </c>
      <c r="AJ35" s="73">
        <v>12616</v>
      </c>
      <c r="AK35" s="79">
        <v>37762.5</v>
      </c>
      <c r="AL35" s="79">
        <v>28500</v>
      </c>
      <c r="AM35" s="127">
        <v>34200</v>
      </c>
      <c r="AN35" s="128">
        <v>29000</v>
      </c>
      <c r="AO35" s="128">
        <v>30000</v>
      </c>
      <c r="AP35" s="133">
        <f t="shared" si="78"/>
        <v>31892.5</v>
      </c>
      <c r="AQ35" s="127">
        <f t="shared" si="79"/>
        <v>19276.5</v>
      </c>
      <c r="AR35" s="134">
        <f t="shared" si="80"/>
        <v>1.5279407102092581</v>
      </c>
      <c r="AS35" s="132">
        <f t="shared" si="81"/>
        <v>31892.5</v>
      </c>
      <c r="AT35" s="10">
        <v>12616</v>
      </c>
      <c r="AU35" s="10">
        <v>28500</v>
      </c>
      <c r="AV35" s="167">
        <v>114000</v>
      </c>
      <c r="AW35" s="168">
        <v>16500</v>
      </c>
      <c r="AX35" s="29">
        <f t="shared" si="82"/>
        <v>22500</v>
      </c>
      <c r="AY35" s="24">
        <f t="shared" si="83"/>
        <v>9884</v>
      </c>
      <c r="AZ35" s="25">
        <f t="shared" si="84"/>
        <v>0.78344958782498419</v>
      </c>
      <c r="BA35" s="24">
        <f t="shared" si="85"/>
        <v>101384</v>
      </c>
      <c r="BB35" s="169">
        <f t="shared" si="86"/>
        <v>8.0361445783132535</v>
      </c>
      <c r="BC35" s="170">
        <f t="shared" si="46"/>
        <v>22500</v>
      </c>
      <c r="BD35" s="10">
        <v>11353</v>
      </c>
      <c r="BE35" s="10">
        <v>45000</v>
      </c>
      <c r="BF35" s="10">
        <v>51000</v>
      </c>
      <c r="BG35" s="268">
        <v>48000</v>
      </c>
      <c r="BH35" s="10">
        <v>50000</v>
      </c>
      <c r="BI35" s="76">
        <f t="shared" si="87"/>
        <v>48500</v>
      </c>
      <c r="BJ35" s="24">
        <f t="shared" si="88"/>
        <v>37147</v>
      </c>
      <c r="BK35" s="25">
        <f t="shared" si="89"/>
        <v>3.2719985906808775</v>
      </c>
      <c r="BL35" s="259">
        <f t="shared" si="90"/>
        <v>48500</v>
      </c>
      <c r="BM35" s="166">
        <v>12616</v>
      </c>
      <c r="BN35" s="45">
        <v>29500</v>
      </c>
      <c r="BO35" s="45">
        <v>28500</v>
      </c>
      <c r="BP35" s="45">
        <v>23500</v>
      </c>
      <c r="BQ35" s="29">
        <f t="shared" si="91"/>
        <v>27166.666666666668</v>
      </c>
      <c r="BR35" s="24">
        <f t="shared" si="92"/>
        <v>14550.666666666668</v>
      </c>
      <c r="BS35" s="25">
        <f t="shared" si="93"/>
        <v>1.1533502430775735</v>
      </c>
      <c r="BT35" s="308">
        <f t="shared" si="94"/>
        <v>27166.666666666668</v>
      </c>
    </row>
    <row r="36" spans="1:72" ht="30" customHeight="1">
      <c r="A36" s="91" t="s">
        <v>7</v>
      </c>
      <c r="B36" s="358" t="s">
        <v>2228</v>
      </c>
      <c r="C36" s="50" t="s">
        <v>61</v>
      </c>
      <c r="D36" s="99" t="s">
        <v>397</v>
      </c>
      <c r="E36" s="49" t="s">
        <v>13</v>
      </c>
      <c r="F36" s="10">
        <v>23635</v>
      </c>
      <c r="G36" s="10">
        <v>30740</v>
      </c>
      <c r="H36" s="31">
        <v>39961</v>
      </c>
      <c r="I36" s="34">
        <v>26868.6</v>
      </c>
      <c r="J36" s="29">
        <f t="shared" si="67"/>
        <v>32523.200000000001</v>
      </c>
      <c r="K36" s="24">
        <f t="shared" si="68"/>
        <v>8888.2000000000007</v>
      </c>
      <c r="L36" s="25">
        <f t="shared" si="69"/>
        <v>0.37606092659191881</v>
      </c>
      <c r="M36" s="69" t="str">
        <f t="shared" si="70"/>
        <v>REVISAR PRECIO</v>
      </c>
      <c r="N36" s="77">
        <f t="shared" si="19"/>
        <v>32523.200000000001</v>
      </c>
      <c r="O36" s="73">
        <v>14125</v>
      </c>
      <c r="P36" s="74">
        <v>8004</v>
      </c>
      <c r="Q36" s="74">
        <v>8500</v>
      </c>
      <c r="R36" s="75">
        <v>9222</v>
      </c>
      <c r="S36" s="61">
        <v>35000</v>
      </c>
      <c r="T36" s="60">
        <v>8800</v>
      </c>
      <c r="U36" s="74">
        <v>29690.124999999993</v>
      </c>
      <c r="V36" s="76">
        <f t="shared" si="20"/>
        <v>16536.020833333332</v>
      </c>
      <c r="W36" s="24">
        <f t="shared" si="71"/>
        <v>2411.0208333333321</v>
      </c>
      <c r="X36" s="25">
        <f t="shared" si="72"/>
        <v>0.17069174041297927</v>
      </c>
      <c r="Y36" s="77">
        <f t="shared" si="4"/>
        <v>16536.020833333332</v>
      </c>
      <c r="Z36" s="106">
        <f t="shared" si="21"/>
        <v>16536.020833333332</v>
      </c>
      <c r="AA36" s="73">
        <v>14125</v>
      </c>
      <c r="AB36" s="88">
        <v>7300</v>
      </c>
      <c r="AC36" s="116">
        <v>8950</v>
      </c>
      <c r="AD36" s="74">
        <v>7656</v>
      </c>
      <c r="AE36" s="76">
        <f t="shared" si="73"/>
        <v>7968.666666666667</v>
      </c>
      <c r="AF36" s="24">
        <f t="shared" si="74"/>
        <v>-6156.333333333333</v>
      </c>
      <c r="AG36" s="25">
        <f t="shared" si="75"/>
        <v>-0.43584660766961647</v>
      </c>
      <c r="AH36" s="77">
        <f t="shared" si="76"/>
        <v>7968.666666666667</v>
      </c>
      <c r="AI36" s="77">
        <f t="shared" si="77"/>
        <v>7968.666666666667</v>
      </c>
      <c r="AJ36" s="73">
        <v>14125</v>
      </c>
      <c r="AK36" s="79">
        <v>9222</v>
      </c>
      <c r="AL36" s="79">
        <f>5800*1.2</f>
        <v>6960</v>
      </c>
      <c r="AM36" s="127">
        <v>8352</v>
      </c>
      <c r="AN36" s="128">
        <v>8500</v>
      </c>
      <c r="AO36" s="128">
        <v>7000</v>
      </c>
      <c r="AP36" s="129">
        <f t="shared" si="78"/>
        <v>8006.8</v>
      </c>
      <c r="AQ36" s="130">
        <f t="shared" si="79"/>
        <v>-6118.2</v>
      </c>
      <c r="AR36" s="131">
        <f t="shared" si="80"/>
        <v>-0.43314690265486722</v>
      </c>
      <c r="AS36" s="132">
        <f t="shared" si="81"/>
        <v>8006.8</v>
      </c>
      <c r="AT36" s="10">
        <v>14125</v>
      </c>
      <c r="AU36" s="10">
        <v>6960</v>
      </c>
      <c r="AV36" s="167">
        <v>41760</v>
      </c>
      <c r="AW36" s="168">
        <v>15560</v>
      </c>
      <c r="AX36" s="29">
        <f t="shared" si="82"/>
        <v>11260</v>
      </c>
      <c r="AY36" s="24">
        <f t="shared" si="83"/>
        <v>-2865</v>
      </c>
      <c r="AZ36" s="25">
        <f t="shared" si="84"/>
        <v>-0.20283185840707965</v>
      </c>
      <c r="BA36" s="24">
        <f t="shared" si="85"/>
        <v>27635</v>
      </c>
      <c r="BB36" s="169">
        <f t="shared" si="86"/>
        <v>1.9564601769911505</v>
      </c>
      <c r="BC36" s="170">
        <f t="shared" si="46"/>
        <v>11260</v>
      </c>
      <c r="BD36" s="10">
        <v>12710</v>
      </c>
      <c r="BE36" s="10">
        <v>35000</v>
      </c>
      <c r="BF36" s="10">
        <v>41000</v>
      </c>
      <c r="BG36" s="268">
        <v>38000</v>
      </c>
      <c r="BH36" s="10">
        <v>30000</v>
      </c>
      <c r="BI36" s="76">
        <f t="shared" si="87"/>
        <v>36000</v>
      </c>
      <c r="BJ36" s="24">
        <f t="shared" si="88"/>
        <v>23290</v>
      </c>
      <c r="BK36" s="25">
        <f t="shared" si="89"/>
        <v>1.8324154209284029</v>
      </c>
      <c r="BL36" s="259">
        <f t="shared" si="90"/>
        <v>36000</v>
      </c>
      <c r="BM36" s="166">
        <v>17826</v>
      </c>
      <c r="BN36" s="45">
        <v>7800</v>
      </c>
      <c r="BO36" s="45">
        <v>16668</v>
      </c>
      <c r="BP36" s="45">
        <v>13000</v>
      </c>
      <c r="BQ36" s="29">
        <f t="shared" si="91"/>
        <v>12489.333333333334</v>
      </c>
      <c r="BR36" s="24">
        <f t="shared" si="92"/>
        <v>-5336.6666666666661</v>
      </c>
      <c r="BS36" s="25">
        <f t="shared" si="93"/>
        <v>-0.29937544410785738</v>
      </c>
      <c r="BT36" s="308">
        <f t="shared" si="94"/>
        <v>12489.333333333334</v>
      </c>
    </row>
    <row r="37" spans="1:72" ht="30" customHeight="1">
      <c r="A37" s="91" t="s">
        <v>7</v>
      </c>
      <c r="B37" s="358" t="s">
        <v>2229</v>
      </c>
      <c r="C37" s="50" t="s">
        <v>62</v>
      </c>
      <c r="D37" s="99" t="s">
        <v>398</v>
      </c>
      <c r="E37" s="49" t="s">
        <v>24</v>
      </c>
      <c r="F37" s="10">
        <v>403782</v>
      </c>
      <c r="G37" s="10">
        <v>525150</v>
      </c>
      <c r="H37" s="31">
        <v>682695</v>
      </c>
      <c r="I37" s="34">
        <v>459020</v>
      </c>
      <c r="J37" s="29">
        <f t="shared" si="67"/>
        <v>555621.66666666663</v>
      </c>
      <c r="K37" s="24">
        <f t="shared" si="68"/>
        <v>151839.66666666663</v>
      </c>
      <c r="L37" s="25">
        <f t="shared" si="69"/>
        <v>0.37604367373153491</v>
      </c>
      <c r="M37" s="69" t="str">
        <f t="shared" si="70"/>
        <v>REVISAR PRECIO</v>
      </c>
      <c r="N37" s="77">
        <f t="shared" si="19"/>
        <v>555621.66666666663</v>
      </c>
      <c r="O37" s="73"/>
      <c r="P37" s="74">
        <v>283027.65000000002</v>
      </c>
      <c r="Q37" s="74">
        <v>380000</v>
      </c>
      <c r="R37" s="75">
        <v>326097.07499999995</v>
      </c>
      <c r="S37" s="61">
        <v>283027.64999999997</v>
      </c>
      <c r="T37" s="60"/>
      <c r="U37" s="74">
        <v>325481.79749999993</v>
      </c>
      <c r="V37" s="76">
        <f t="shared" si="20"/>
        <v>319526.8345</v>
      </c>
      <c r="W37" s="24">
        <f t="shared" si="71"/>
        <v>319526.8345</v>
      </c>
      <c r="X37" s="25"/>
      <c r="Y37" s="77">
        <f t="shared" si="4"/>
        <v>319526.8345</v>
      </c>
      <c r="Z37" s="106">
        <f t="shared" si="21"/>
        <v>319526.8345</v>
      </c>
      <c r="AA37" s="73"/>
      <c r="AB37" s="88">
        <v>272000</v>
      </c>
      <c r="AC37" s="116">
        <v>285000</v>
      </c>
      <c r="AD37" s="74">
        <v>270722.09999999998</v>
      </c>
      <c r="AE37" s="76">
        <f t="shared" si="73"/>
        <v>275907.36666666664</v>
      </c>
      <c r="AF37" s="24">
        <f t="shared" si="74"/>
        <v>275907.36666666664</v>
      </c>
      <c r="AG37" s="25"/>
      <c r="AH37" s="77"/>
      <c r="AI37" s="77">
        <f t="shared" si="77"/>
        <v>275907.36666666664</v>
      </c>
      <c r="AJ37" s="73"/>
      <c r="AK37" s="79">
        <v>326097.07499999995</v>
      </c>
      <c r="AL37" s="79">
        <f>315700-69589</f>
        <v>246111</v>
      </c>
      <c r="AM37" s="127">
        <v>295333.2</v>
      </c>
      <c r="AN37" s="128">
        <v>290000</v>
      </c>
      <c r="AO37" s="128">
        <v>260000</v>
      </c>
      <c r="AP37" s="133">
        <f t="shared" si="78"/>
        <v>283508.255</v>
      </c>
      <c r="AQ37" s="127">
        <f t="shared" si="79"/>
        <v>283508.255</v>
      </c>
      <c r="AR37" s="134"/>
      <c r="AS37" s="132">
        <f t="shared" si="81"/>
        <v>283508.255</v>
      </c>
      <c r="AT37" s="10">
        <v>7462</v>
      </c>
      <c r="AU37" s="10">
        <v>17100</v>
      </c>
      <c r="AV37" s="167">
        <v>119700</v>
      </c>
      <c r="AW37" s="168">
        <v>11500</v>
      </c>
      <c r="AX37" s="29">
        <f t="shared" si="82"/>
        <v>14300</v>
      </c>
      <c r="AY37" s="24">
        <f t="shared" si="83"/>
        <v>6838</v>
      </c>
      <c r="AZ37" s="25">
        <f t="shared" si="84"/>
        <v>0.91637630662020908</v>
      </c>
      <c r="BA37" s="24">
        <f t="shared" si="85"/>
        <v>112238</v>
      </c>
      <c r="BB37" s="169">
        <f t="shared" si="86"/>
        <v>15.041275797373359</v>
      </c>
      <c r="BC37" s="170">
        <f t="shared" si="46"/>
        <v>14300</v>
      </c>
      <c r="BD37" s="150"/>
      <c r="BE37" s="150"/>
      <c r="BF37" s="150"/>
      <c r="BG37" s="150"/>
      <c r="BH37" s="150"/>
      <c r="BI37" s="150"/>
      <c r="BJ37" s="150"/>
      <c r="BK37" s="150"/>
      <c r="BL37" s="150"/>
      <c r="BM37" s="293"/>
      <c r="BN37" s="293"/>
      <c r="BO37" s="293"/>
      <c r="BP37" s="293"/>
      <c r="BQ37" s="293"/>
      <c r="BR37" s="293"/>
      <c r="BS37" s="293"/>
      <c r="BT37" s="293"/>
    </row>
    <row r="38" spans="1:72" ht="30" customHeight="1">
      <c r="A38" s="91" t="s">
        <v>7</v>
      </c>
      <c r="B38" s="358" t="s">
        <v>2230</v>
      </c>
      <c r="C38" s="50" t="s">
        <v>63</v>
      </c>
      <c r="D38" s="99" t="s">
        <v>399</v>
      </c>
      <c r="E38" s="49" t="s">
        <v>12</v>
      </c>
      <c r="F38" s="10">
        <v>12487</v>
      </c>
      <c r="G38" s="10">
        <v>16241</v>
      </c>
      <c r="H38" s="31">
        <v>21113</v>
      </c>
      <c r="I38" s="34">
        <v>14195.4</v>
      </c>
      <c r="J38" s="29">
        <f t="shared" si="67"/>
        <v>17183.133333333335</v>
      </c>
      <c r="K38" s="24">
        <f t="shared" si="68"/>
        <v>4696.133333333335</v>
      </c>
      <c r="L38" s="25">
        <f t="shared" si="69"/>
        <v>0.37608179173006606</v>
      </c>
      <c r="M38" s="69" t="str">
        <f t="shared" si="70"/>
        <v>REVISAR PRECIO</v>
      </c>
      <c r="N38" s="77">
        <f t="shared" si="19"/>
        <v>17183.133333333335</v>
      </c>
      <c r="O38" s="73">
        <v>7461</v>
      </c>
      <c r="P38" s="74">
        <v>19665</v>
      </c>
      <c r="Q38" s="74">
        <v>28000</v>
      </c>
      <c r="R38" s="75">
        <v>22657.5</v>
      </c>
      <c r="S38" s="61">
        <v>19665</v>
      </c>
      <c r="T38" s="60">
        <v>18000</v>
      </c>
      <c r="U38" s="74">
        <v>22614.75</v>
      </c>
      <c r="V38" s="76">
        <f t="shared" si="20"/>
        <v>21767.041666666668</v>
      </c>
      <c r="W38" s="24">
        <f t="shared" si="71"/>
        <v>14306.041666666668</v>
      </c>
      <c r="X38" s="25">
        <f t="shared" si="72"/>
        <v>1.9174429254344816</v>
      </c>
      <c r="Y38" s="77" t="str">
        <f t="shared" si="4"/>
        <v>REVISAR PRECIO</v>
      </c>
      <c r="Z38" s="106">
        <f t="shared" si="21"/>
        <v>21767.041666666668</v>
      </c>
      <c r="AA38" s="73">
        <v>7461</v>
      </c>
      <c r="AB38" s="88">
        <v>20000</v>
      </c>
      <c r="AC38" s="116">
        <v>18950</v>
      </c>
      <c r="AD38" s="74">
        <v>18810</v>
      </c>
      <c r="AE38" s="76">
        <f t="shared" si="73"/>
        <v>19253.333333333332</v>
      </c>
      <c r="AF38" s="24">
        <f t="shared" si="74"/>
        <v>11792.333333333332</v>
      </c>
      <c r="AG38" s="25">
        <f t="shared" si="75"/>
        <v>1.5805298664164766</v>
      </c>
      <c r="AH38" s="77" t="str">
        <f t="shared" si="76"/>
        <v>REVISAR PRECIO</v>
      </c>
      <c r="AI38" s="77">
        <f t="shared" si="77"/>
        <v>19253.333333333332</v>
      </c>
      <c r="AJ38" s="73">
        <v>7461</v>
      </c>
      <c r="AK38" s="79">
        <v>22657.5</v>
      </c>
      <c r="AL38" s="79">
        <f>+AL35*0.6</f>
        <v>17100</v>
      </c>
      <c r="AM38" s="127">
        <v>20520</v>
      </c>
      <c r="AN38" s="128">
        <v>22000</v>
      </c>
      <c r="AO38" s="128">
        <v>17000</v>
      </c>
      <c r="AP38" s="124">
        <f t="shared" si="78"/>
        <v>19855.5</v>
      </c>
      <c r="AQ38" s="125">
        <f t="shared" si="79"/>
        <v>12394.5</v>
      </c>
      <c r="AR38" s="126">
        <f t="shared" si="80"/>
        <v>1.6612384398874145</v>
      </c>
      <c r="AS38" s="132">
        <f t="shared" si="81"/>
        <v>19855.5</v>
      </c>
      <c r="AT38" s="10">
        <v>22460</v>
      </c>
      <c r="AU38" s="10">
        <v>12125</v>
      </c>
      <c r="AV38" s="167">
        <v>48500</v>
      </c>
      <c r="AW38" s="168">
        <v>15560</v>
      </c>
      <c r="AX38" s="29">
        <f t="shared" si="82"/>
        <v>13842.5</v>
      </c>
      <c r="AY38" s="24">
        <f t="shared" si="83"/>
        <v>-8617.5</v>
      </c>
      <c r="AZ38" s="25">
        <f t="shared" si="84"/>
        <v>-0.38368210151380233</v>
      </c>
      <c r="BA38" s="24">
        <f t="shared" si="85"/>
        <v>26040</v>
      </c>
      <c r="BB38" s="169">
        <f t="shared" si="86"/>
        <v>1.1593944790739092</v>
      </c>
      <c r="BC38" s="170">
        <f t="shared" si="46"/>
        <v>13842.5</v>
      </c>
      <c r="BD38" s="10">
        <v>6720</v>
      </c>
      <c r="BE38" s="10">
        <v>45000</v>
      </c>
      <c r="BF38" s="10">
        <v>51000</v>
      </c>
      <c r="BG38" s="268">
        <v>48000</v>
      </c>
      <c r="BH38" s="10">
        <v>50000</v>
      </c>
      <c r="BI38" s="76">
        <f t="shared" ref="BI38:BI50" si="95">AVERAGE(BE38,BF38,BG38,BH38)</f>
        <v>48500</v>
      </c>
      <c r="BJ38" s="24">
        <f t="shared" ref="BJ38:BJ50" si="96">BI38-BD38</f>
        <v>41780</v>
      </c>
      <c r="BK38" s="25">
        <f t="shared" ref="BK38:BK50" si="97">+BJ38/BD38</f>
        <v>6.2172619047619051</v>
      </c>
      <c r="BL38" s="259">
        <f t="shared" ref="BL38:BL50" si="98">BI38</f>
        <v>48500</v>
      </c>
      <c r="BM38" s="166">
        <v>7461</v>
      </c>
      <c r="BN38" s="45">
        <v>16000</v>
      </c>
      <c r="BO38" s="45">
        <v>17100</v>
      </c>
      <c r="BP38" s="45">
        <v>14000</v>
      </c>
      <c r="BQ38" s="29">
        <f t="shared" ref="BQ38:BQ50" si="99">AVERAGE(BN38,BO38,BP38)</f>
        <v>15700</v>
      </c>
      <c r="BR38" s="24">
        <f t="shared" ref="BR38:BR50" si="100">BQ38-BM38</f>
        <v>8239</v>
      </c>
      <c r="BS38" s="25">
        <f t="shared" ref="BS38:BS50" si="101">+BR38/BM38</f>
        <v>1.1042755662779788</v>
      </c>
      <c r="BT38" s="308">
        <f t="shared" ref="BT38:BT50" si="102">BQ38</f>
        <v>15700</v>
      </c>
    </row>
    <row r="39" spans="1:72" ht="30" customHeight="1">
      <c r="A39" s="91" t="s">
        <v>7</v>
      </c>
      <c r="B39" s="358" t="s">
        <v>2231</v>
      </c>
      <c r="C39" s="50" t="s">
        <v>64</v>
      </c>
      <c r="D39" s="99" t="s">
        <v>400</v>
      </c>
      <c r="E39" s="49" t="s">
        <v>13</v>
      </c>
      <c r="F39" s="10">
        <v>37565</v>
      </c>
      <c r="G39" s="10">
        <v>48857</v>
      </c>
      <c r="H39" s="31">
        <v>63513</v>
      </c>
      <c r="I39" s="34">
        <v>42704.2</v>
      </c>
      <c r="J39" s="29">
        <f t="shared" si="67"/>
        <v>51691.4</v>
      </c>
      <c r="K39" s="24">
        <f t="shared" si="68"/>
        <v>14126.400000000001</v>
      </c>
      <c r="L39" s="25">
        <f t="shared" si="69"/>
        <v>0.37605217622787174</v>
      </c>
      <c r="M39" s="69" t="str">
        <f t="shared" si="70"/>
        <v>REVISAR PRECIO</v>
      </c>
      <c r="N39" s="77">
        <f t="shared" si="19"/>
        <v>51691.4</v>
      </c>
      <c r="O39" s="73">
        <v>22459</v>
      </c>
      <c r="P39" s="74">
        <v>13943.75</v>
      </c>
      <c r="Q39" s="74">
        <v>18000</v>
      </c>
      <c r="R39" s="75">
        <v>16065.625</v>
      </c>
      <c r="S39" s="61">
        <v>37444</v>
      </c>
      <c r="T39" s="60">
        <v>8800</v>
      </c>
      <c r="U39" s="74">
        <v>43060.6</v>
      </c>
      <c r="V39" s="76">
        <f t="shared" si="20"/>
        <v>22885.662500000002</v>
      </c>
      <c r="W39" s="24">
        <f t="shared" si="71"/>
        <v>426.66250000000218</v>
      </c>
      <c r="X39" s="25">
        <f t="shared" si="72"/>
        <v>1.8997395253573274E-2</v>
      </c>
      <c r="Y39" s="77">
        <f t="shared" si="4"/>
        <v>22885.662500000002</v>
      </c>
      <c r="Z39" s="106">
        <f t="shared" si="21"/>
        <v>22885.662500000002</v>
      </c>
      <c r="AA39" s="73">
        <v>22459</v>
      </c>
      <c r="AB39" s="88">
        <v>13000</v>
      </c>
      <c r="AC39" s="116">
        <v>14350</v>
      </c>
      <c r="AD39" s="74">
        <v>13337.5</v>
      </c>
      <c r="AE39" s="76">
        <f t="shared" si="73"/>
        <v>13562.5</v>
      </c>
      <c r="AF39" s="24">
        <f t="shared" si="74"/>
        <v>-8896.5</v>
      </c>
      <c r="AG39" s="25">
        <f t="shared" si="75"/>
        <v>-0.3961218219867314</v>
      </c>
      <c r="AH39" s="77">
        <f t="shared" si="76"/>
        <v>13562.5</v>
      </c>
      <c r="AI39" s="77">
        <f t="shared" si="77"/>
        <v>13562.5</v>
      </c>
      <c r="AJ39" s="73">
        <v>22459</v>
      </c>
      <c r="AK39" s="79">
        <v>16065.625</v>
      </c>
      <c r="AL39" s="79">
        <f>9700*1.25</f>
        <v>12125</v>
      </c>
      <c r="AM39" s="127">
        <v>14550</v>
      </c>
      <c r="AN39" s="128">
        <v>13500</v>
      </c>
      <c r="AO39" s="128">
        <v>14000</v>
      </c>
      <c r="AP39" s="133">
        <f t="shared" si="78"/>
        <v>14048.125</v>
      </c>
      <c r="AQ39" s="127">
        <f t="shared" si="79"/>
        <v>-8410.875</v>
      </c>
      <c r="AR39" s="134">
        <f t="shared" si="80"/>
        <v>-0.37449908722561109</v>
      </c>
      <c r="AS39" s="132">
        <f t="shared" si="81"/>
        <v>14048.125</v>
      </c>
      <c r="AT39" s="10">
        <v>6836</v>
      </c>
      <c r="AU39" s="10">
        <v>6000</v>
      </c>
      <c r="AV39" s="167">
        <v>30000</v>
      </c>
      <c r="AW39" s="168">
        <v>14500</v>
      </c>
      <c r="AX39" s="29">
        <f t="shared" si="82"/>
        <v>10250</v>
      </c>
      <c r="AY39" s="24">
        <f t="shared" si="83"/>
        <v>3414</v>
      </c>
      <c r="AZ39" s="25">
        <f t="shared" si="84"/>
        <v>0.4994148624926858</v>
      </c>
      <c r="BA39" s="24">
        <f t="shared" si="85"/>
        <v>23164</v>
      </c>
      <c r="BB39" s="169">
        <f t="shared" si="86"/>
        <v>3.3885313048566412</v>
      </c>
      <c r="BC39" s="170">
        <f t="shared" si="46"/>
        <v>10250</v>
      </c>
      <c r="BD39" s="10">
        <v>20209</v>
      </c>
      <c r="BE39" s="10">
        <v>35000</v>
      </c>
      <c r="BF39" s="10">
        <v>41000</v>
      </c>
      <c r="BG39" s="268">
        <v>40000</v>
      </c>
      <c r="BH39" s="10">
        <v>30000</v>
      </c>
      <c r="BI39" s="76">
        <f t="shared" si="95"/>
        <v>36500</v>
      </c>
      <c r="BJ39" s="24">
        <f t="shared" si="96"/>
        <v>16291</v>
      </c>
      <c r="BK39" s="25">
        <f t="shared" si="97"/>
        <v>0.80612598347271014</v>
      </c>
      <c r="BL39" s="259">
        <f t="shared" si="98"/>
        <v>36500</v>
      </c>
      <c r="BM39" s="95">
        <v>22459</v>
      </c>
      <c r="BN39" s="45">
        <v>12000</v>
      </c>
      <c r="BO39" s="45">
        <v>26494</v>
      </c>
      <c r="BP39" s="45">
        <v>18000</v>
      </c>
      <c r="BQ39" s="29">
        <f t="shared" si="99"/>
        <v>18831.333333333332</v>
      </c>
      <c r="BR39" s="24">
        <f t="shared" si="100"/>
        <v>-3627.6666666666679</v>
      </c>
      <c r="BS39" s="25">
        <f t="shared" si="101"/>
        <v>-0.16152396218294082</v>
      </c>
      <c r="BT39" s="308">
        <f t="shared" si="102"/>
        <v>18831.333333333332</v>
      </c>
    </row>
    <row r="40" spans="1:72" ht="30" customHeight="1">
      <c r="A40" s="91" t="s">
        <v>7</v>
      </c>
      <c r="B40" s="358" t="s">
        <v>2232</v>
      </c>
      <c r="C40" s="50" t="s">
        <v>65</v>
      </c>
      <c r="D40" s="99" t="s">
        <v>401</v>
      </c>
      <c r="E40" s="49" t="s">
        <v>13</v>
      </c>
      <c r="F40" s="10">
        <v>11439</v>
      </c>
      <c r="G40" s="10">
        <v>14877</v>
      </c>
      <c r="H40" s="31">
        <v>19340</v>
      </c>
      <c r="I40" s="34">
        <v>13003.6</v>
      </c>
      <c r="J40" s="29">
        <f t="shared" si="67"/>
        <v>15740.199999999999</v>
      </c>
      <c r="K40" s="24">
        <f t="shared" si="68"/>
        <v>4301.1999999999989</v>
      </c>
      <c r="L40" s="25">
        <f t="shared" si="69"/>
        <v>0.37601188915114947</v>
      </c>
      <c r="M40" s="69" t="str">
        <f t="shared" si="70"/>
        <v>REVISAR PRECIO</v>
      </c>
      <c r="N40" s="77">
        <f t="shared" si="19"/>
        <v>15740.199999999999</v>
      </c>
      <c r="O40" s="73">
        <v>6834</v>
      </c>
      <c r="P40" s="74">
        <v>6900</v>
      </c>
      <c r="Q40" s="74">
        <v>15000</v>
      </c>
      <c r="R40" s="75">
        <v>7950</v>
      </c>
      <c r="S40" s="61">
        <v>6899.9999999999991</v>
      </c>
      <c r="T40" s="60">
        <v>18000</v>
      </c>
      <c r="U40" s="74">
        <v>7934.9999999999982</v>
      </c>
      <c r="V40" s="76">
        <f t="shared" si="20"/>
        <v>10447.5</v>
      </c>
      <c r="W40" s="24">
        <f t="shared" si="71"/>
        <v>3613.5</v>
      </c>
      <c r="X40" s="25">
        <f t="shared" si="72"/>
        <v>0.52875329236172086</v>
      </c>
      <c r="Y40" s="77" t="str">
        <f t="shared" si="4"/>
        <v>REVISAR PRECIO</v>
      </c>
      <c r="Z40" s="106">
        <f t="shared" si="21"/>
        <v>10447.5</v>
      </c>
      <c r="AA40" s="73">
        <v>6834</v>
      </c>
      <c r="AB40" s="88">
        <v>6300</v>
      </c>
      <c r="AC40" s="116">
        <v>6300</v>
      </c>
      <c r="AD40" s="74">
        <v>6600</v>
      </c>
      <c r="AE40" s="76">
        <f t="shared" si="73"/>
        <v>6400</v>
      </c>
      <c r="AF40" s="24">
        <f t="shared" si="74"/>
        <v>-434</v>
      </c>
      <c r="AG40" s="25">
        <f t="shared" si="75"/>
        <v>-6.3505999414691247E-2</v>
      </c>
      <c r="AH40" s="77">
        <f t="shared" si="76"/>
        <v>6400</v>
      </c>
      <c r="AI40" s="77">
        <f t="shared" si="77"/>
        <v>6400</v>
      </c>
      <c r="AJ40" s="73">
        <v>6834</v>
      </c>
      <c r="AK40" s="79">
        <v>7950</v>
      </c>
      <c r="AL40" s="79">
        <v>6000</v>
      </c>
      <c r="AM40" s="127">
        <v>7200</v>
      </c>
      <c r="AN40" s="128">
        <v>7000</v>
      </c>
      <c r="AO40" s="128">
        <v>7000</v>
      </c>
      <c r="AP40" s="133">
        <f t="shared" si="78"/>
        <v>7030</v>
      </c>
      <c r="AQ40" s="127">
        <f t="shared" si="79"/>
        <v>196</v>
      </c>
      <c r="AR40" s="134">
        <f t="shared" si="80"/>
        <v>2.868012876792508E-2</v>
      </c>
      <c r="AS40" s="132">
        <f t="shared" si="81"/>
        <v>7030</v>
      </c>
      <c r="AT40" s="10">
        <v>7083</v>
      </c>
      <c r="AU40" s="10">
        <v>9000</v>
      </c>
      <c r="AV40" s="167">
        <v>27000</v>
      </c>
      <c r="AW40" s="168">
        <v>6500</v>
      </c>
      <c r="AX40" s="29">
        <f t="shared" si="82"/>
        <v>7750</v>
      </c>
      <c r="AY40" s="24">
        <f t="shared" si="83"/>
        <v>667</v>
      </c>
      <c r="AZ40" s="25">
        <f t="shared" si="84"/>
        <v>9.4169137371170414E-2</v>
      </c>
      <c r="BA40" s="24">
        <f t="shared" si="85"/>
        <v>19917</v>
      </c>
      <c r="BB40" s="169">
        <f t="shared" si="86"/>
        <v>2.8119440914866582</v>
      </c>
      <c r="BC40" s="170">
        <f t="shared" si="46"/>
        <v>7750</v>
      </c>
      <c r="BD40" s="10">
        <v>6151</v>
      </c>
      <c r="BE40" s="10">
        <v>6000</v>
      </c>
      <c r="BF40" s="10">
        <v>9000</v>
      </c>
      <c r="BG40" s="268">
        <v>7500</v>
      </c>
      <c r="BH40" s="10">
        <v>5000</v>
      </c>
      <c r="BI40" s="76">
        <f t="shared" si="95"/>
        <v>6875</v>
      </c>
      <c r="BJ40" s="24">
        <f t="shared" si="96"/>
        <v>724</v>
      </c>
      <c r="BK40" s="25">
        <f t="shared" si="97"/>
        <v>0.117704438302715</v>
      </c>
      <c r="BL40" s="259">
        <f t="shared" si="98"/>
        <v>6875</v>
      </c>
      <c r="BM40" s="10">
        <v>6834</v>
      </c>
      <c r="BN40" s="45">
        <v>8000</v>
      </c>
      <c r="BO40" s="45">
        <v>8066</v>
      </c>
      <c r="BP40" s="45">
        <v>18000</v>
      </c>
      <c r="BQ40" s="29">
        <f t="shared" si="99"/>
        <v>11355.333333333334</v>
      </c>
      <c r="BR40" s="24">
        <f t="shared" si="100"/>
        <v>4521.3333333333339</v>
      </c>
      <c r="BS40" s="25">
        <f t="shared" si="101"/>
        <v>0.66159399083016301</v>
      </c>
      <c r="BT40" s="308">
        <f t="shared" si="102"/>
        <v>11355.333333333334</v>
      </c>
    </row>
    <row r="41" spans="1:72" ht="30" customHeight="1">
      <c r="A41" s="91" t="s">
        <v>7</v>
      </c>
      <c r="B41" s="358" t="s">
        <v>2233</v>
      </c>
      <c r="C41" s="50" t="s">
        <v>66</v>
      </c>
      <c r="D41" s="99" t="s">
        <v>402</v>
      </c>
      <c r="E41" s="49" t="s">
        <v>13</v>
      </c>
      <c r="F41" s="10">
        <v>11844</v>
      </c>
      <c r="G41" s="10">
        <v>15404</v>
      </c>
      <c r="H41" s="31">
        <v>15404</v>
      </c>
      <c r="I41" s="34">
        <v>13463.8</v>
      </c>
      <c r="J41" s="29">
        <f t="shared" si="67"/>
        <v>14757.266666666668</v>
      </c>
      <c r="K41" s="24">
        <f t="shared" si="68"/>
        <v>2913.2666666666682</v>
      </c>
      <c r="L41" s="25">
        <f t="shared" si="69"/>
        <v>0.24596983001238334</v>
      </c>
      <c r="M41" s="69">
        <f t="shared" si="70"/>
        <v>14757.266666666668</v>
      </c>
      <c r="N41" s="77">
        <f t="shared" si="19"/>
        <v>14757.266666666668</v>
      </c>
      <c r="O41" s="73">
        <v>7081</v>
      </c>
      <c r="P41" s="74">
        <v>10350</v>
      </c>
      <c r="Q41" s="74">
        <v>13000</v>
      </c>
      <c r="R41" s="75">
        <v>11925</v>
      </c>
      <c r="S41" s="61">
        <v>14719.999999999998</v>
      </c>
      <c r="T41" s="60">
        <v>9200</v>
      </c>
      <c r="U41" s="74">
        <v>16927.999999999996</v>
      </c>
      <c r="V41" s="76">
        <f t="shared" si="20"/>
        <v>12687.166666666666</v>
      </c>
      <c r="W41" s="24">
        <f t="shared" si="71"/>
        <v>5606.1666666666661</v>
      </c>
      <c r="X41" s="25">
        <f t="shared" si="72"/>
        <v>0.79171962528833018</v>
      </c>
      <c r="Y41" s="77" t="str">
        <f t="shared" si="4"/>
        <v>REVISAR PRECIO</v>
      </c>
      <c r="Z41" s="106">
        <f t="shared" si="21"/>
        <v>12687.166666666666</v>
      </c>
      <c r="AA41" s="73">
        <v>7081</v>
      </c>
      <c r="AB41" s="88">
        <v>10000</v>
      </c>
      <c r="AC41" s="116">
        <v>11000</v>
      </c>
      <c r="AD41" s="74">
        <v>9900</v>
      </c>
      <c r="AE41" s="76">
        <f t="shared" si="73"/>
        <v>10300</v>
      </c>
      <c r="AF41" s="24">
        <f t="shared" si="74"/>
        <v>3219</v>
      </c>
      <c r="AG41" s="25">
        <f t="shared" si="75"/>
        <v>0.45459680836040106</v>
      </c>
      <c r="AH41" s="77" t="str">
        <f t="shared" si="76"/>
        <v>REVISAR PRECIO</v>
      </c>
      <c r="AI41" s="77">
        <f t="shared" si="77"/>
        <v>10300</v>
      </c>
      <c r="AJ41" s="73">
        <v>7081</v>
      </c>
      <c r="AK41" s="79">
        <v>11925</v>
      </c>
      <c r="AL41" s="79">
        <f>18000*0.5</f>
        <v>9000</v>
      </c>
      <c r="AM41" s="127">
        <v>10800</v>
      </c>
      <c r="AN41" s="128">
        <v>10000</v>
      </c>
      <c r="AO41" s="128">
        <v>10000</v>
      </c>
      <c r="AP41" s="133">
        <f t="shared" si="78"/>
        <v>10345</v>
      </c>
      <c r="AQ41" s="127">
        <f t="shared" si="79"/>
        <v>3264</v>
      </c>
      <c r="AR41" s="134">
        <f t="shared" si="80"/>
        <v>0.46095184296003389</v>
      </c>
      <c r="AS41" s="132">
        <f t="shared" si="81"/>
        <v>10345</v>
      </c>
      <c r="AT41" s="10">
        <v>9408</v>
      </c>
      <c r="AU41" s="10">
        <v>11000</v>
      </c>
      <c r="AV41" s="167">
        <v>33000</v>
      </c>
      <c r="AW41" s="168">
        <v>7500</v>
      </c>
      <c r="AX41" s="29">
        <f t="shared" si="82"/>
        <v>9250</v>
      </c>
      <c r="AY41" s="24">
        <f t="shared" si="83"/>
        <v>-158</v>
      </c>
      <c r="AZ41" s="25">
        <f t="shared" si="84"/>
        <v>-1.6794217687074831E-2</v>
      </c>
      <c r="BA41" s="24">
        <f t="shared" si="85"/>
        <v>23592</v>
      </c>
      <c r="BB41" s="169">
        <f t="shared" si="86"/>
        <v>2.5076530612244898</v>
      </c>
      <c r="BC41" s="170">
        <f t="shared" si="46"/>
        <v>9250</v>
      </c>
      <c r="BD41" s="10">
        <v>6369</v>
      </c>
      <c r="BE41" s="10">
        <v>8300</v>
      </c>
      <c r="BF41" s="10">
        <v>11200</v>
      </c>
      <c r="BG41" s="268">
        <v>9000</v>
      </c>
      <c r="BH41" s="10">
        <v>10000</v>
      </c>
      <c r="BI41" s="76">
        <f t="shared" si="95"/>
        <v>9625</v>
      </c>
      <c r="BJ41" s="24">
        <f t="shared" si="96"/>
        <v>3256</v>
      </c>
      <c r="BK41" s="25">
        <f t="shared" si="97"/>
        <v>0.51122625215889461</v>
      </c>
      <c r="BL41" s="259">
        <f t="shared" si="98"/>
        <v>9625</v>
      </c>
      <c r="BM41" s="10">
        <v>7081</v>
      </c>
      <c r="BN41" s="45">
        <v>9000</v>
      </c>
      <c r="BO41" s="45">
        <v>8351</v>
      </c>
      <c r="BP41" s="45">
        <v>18000</v>
      </c>
      <c r="BQ41" s="29">
        <f t="shared" si="99"/>
        <v>11783.666666666666</v>
      </c>
      <c r="BR41" s="24">
        <f t="shared" si="100"/>
        <v>4702.6666666666661</v>
      </c>
      <c r="BS41" s="25">
        <f t="shared" si="101"/>
        <v>0.66412465282681343</v>
      </c>
      <c r="BT41" s="308">
        <f t="shared" si="102"/>
        <v>11783.666666666666</v>
      </c>
    </row>
    <row r="42" spans="1:72" ht="30" customHeight="1">
      <c r="A42" s="91" t="s">
        <v>7</v>
      </c>
      <c r="B42" s="358" t="s">
        <v>2234</v>
      </c>
      <c r="C42" s="50" t="s">
        <v>67</v>
      </c>
      <c r="D42" s="99" t="s">
        <v>403</v>
      </c>
      <c r="E42" s="49" t="s">
        <v>13</v>
      </c>
      <c r="F42" s="10">
        <v>15746</v>
      </c>
      <c r="G42" s="10">
        <v>20480</v>
      </c>
      <c r="H42" s="31">
        <v>26623</v>
      </c>
      <c r="I42" s="34">
        <v>17900.599999999999</v>
      </c>
      <c r="J42" s="29">
        <f t="shared" si="67"/>
        <v>21667.866666666665</v>
      </c>
      <c r="K42" s="24">
        <f t="shared" si="68"/>
        <v>5921.866666666665</v>
      </c>
      <c r="L42" s="25">
        <f t="shared" si="69"/>
        <v>0.37608704856259778</v>
      </c>
      <c r="M42" s="69" t="str">
        <f t="shared" si="70"/>
        <v>REVISAR PRECIO</v>
      </c>
      <c r="N42" s="77">
        <f t="shared" si="19"/>
        <v>21667.866666666665</v>
      </c>
      <c r="O42" s="73">
        <v>9407</v>
      </c>
      <c r="P42" s="74">
        <v>12650</v>
      </c>
      <c r="Q42" s="74">
        <v>20000</v>
      </c>
      <c r="R42" s="75">
        <v>14575</v>
      </c>
      <c r="S42" s="61">
        <v>12649.999999999998</v>
      </c>
      <c r="T42" s="60">
        <v>18000</v>
      </c>
      <c r="U42" s="74">
        <v>14547.499999999996</v>
      </c>
      <c r="V42" s="76">
        <f t="shared" si="20"/>
        <v>15403.75</v>
      </c>
      <c r="W42" s="24">
        <f t="shared" si="71"/>
        <v>5996.75</v>
      </c>
      <c r="X42" s="25">
        <f t="shared" si="72"/>
        <v>0.63747741043903472</v>
      </c>
      <c r="Y42" s="77" t="str">
        <f t="shared" si="4"/>
        <v>REVISAR PRECIO</v>
      </c>
      <c r="Z42" s="106">
        <f t="shared" si="21"/>
        <v>15403.75</v>
      </c>
      <c r="AA42" s="73">
        <v>9407</v>
      </c>
      <c r="AB42" s="88">
        <v>12000</v>
      </c>
      <c r="AC42" s="116">
        <v>12000</v>
      </c>
      <c r="AD42" s="74">
        <v>12100</v>
      </c>
      <c r="AE42" s="76">
        <f t="shared" si="73"/>
        <v>12033.333333333334</v>
      </c>
      <c r="AF42" s="24">
        <f t="shared" si="74"/>
        <v>2626.3333333333339</v>
      </c>
      <c r="AG42" s="25">
        <f t="shared" si="75"/>
        <v>0.27918925622763197</v>
      </c>
      <c r="AH42" s="77">
        <f t="shared" si="76"/>
        <v>12033.333333333334</v>
      </c>
      <c r="AI42" s="77">
        <f t="shared" si="77"/>
        <v>12033.333333333334</v>
      </c>
      <c r="AJ42" s="73">
        <v>9407</v>
      </c>
      <c r="AK42" s="79">
        <v>14575</v>
      </c>
      <c r="AL42" s="79">
        <f>22000*0.5</f>
        <v>11000</v>
      </c>
      <c r="AM42" s="127">
        <v>13200</v>
      </c>
      <c r="AN42" s="128">
        <v>11500</v>
      </c>
      <c r="AO42" s="128">
        <v>11500</v>
      </c>
      <c r="AP42" s="133">
        <f t="shared" si="78"/>
        <v>12355</v>
      </c>
      <c r="AQ42" s="127">
        <f t="shared" si="79"/>
        <v>2948</v>
      </c>
      <c r="AR42" s="134">
        <f t="shared" si="80"/>
        <v>0.313383650473052</v>
      </c>
      <c r="AS42" s="132">
        <f t="shared" si="81"/>
        <v>12355</v>
      </c>
      <c r="AT42" s="10">
        <v>9408</v>
      </c>
      <c r="AU42" s="10">
        <v>19200</v>
      </c>
      <c r="AV42" s="167">
        <v>38400</v>
      </c>
      <c r="AW42" s="168">
        <v>14560</v>
      </c>
      <c r="AX42" s="29">
        <f t="shared" si="82"/>
        <v>16880</v>
      </c>
      <c r="AY42" s="24">
        <f t="shared" si="83"/>
        <v>7472</v>
      </c>
      <c r="AZ42" s="25">
        <f t="shared" si="84"/>
        <v>0.79421768707482998</v>
      </c>
      <c r="BA42" s="24">
        <f t="shared" si="85"/>
        <v>28992</v>
      </c>
      <c r="BB42" s="169">
        <f t="shared" si="86"/>
        <v>3.0816326530612246</v>
      </c>
      <c r="BC42" s="170">
        <f t="shared" si="46"/>
        <v>16880</v>
      </c>
      <c r="BD42" s="10">
        <v>8467</v>
      </c>
      <c r="BE42" s="10">
        <v>9500</v>
      </c>
      <c r="BF42" s="10">
        <v>11500</v>
      </c>
      <c r="BG42" s="268">
        <v>11000</v>
      </c>
      <c r="BH42" s="10">
        <v>10000</v>
      </c>
      <c r="BI42" s="76">
        <f t="shared" si="95"/>
        <v>10500</v>
      </c>
      <c r="BJ42" s="24">
        <f t="shared" si="96"/>
        <v>2033</v>
      </c>
      <c r="BK42" s="25">
        <f t="shared" si="97"/>
        <v>0.24010865713948271</v>
      </c>
      <c r="BL42" s="259">
        <f t="shared" si="98"/>
        <v>10500</v>
      </c>
      <c r="BM42" s="10">
        <v>9407</v>
      </c>
      <c r="BN42" s="45">
        <v>13500</v>
      </c>
      <c r="BO42" s="45">
        <v>11101</v>
      </c>
      <c r="BP42" s="45">
        <v>18000</v>
      </c>
      <c r="BQ42" s="29">
        <f t="shared" si="99"/>
        <v>14200.333333333334</v>
      </c>
      <c r="BR42" s="24">
        <f t="shared" si="100"/>
        <v>4793.3333333333339</v>
      </c>
      <c r="BS42" s="25">
        <f t="shared" si="101"/>
        <v>0.50954962616491273</v>
      </c>
      <c r="BT42" s="308">
        <f t="shared" si="102"/>
        <v>14200.333333333334</v>
      </c>
    </row>
    <row r="43" spans="1:72" ht="30" customHeight="1">
      <c r="A43" s="91" t="s">
        <v>7</v>
      </c>
      <c r="B43" s="358" t="s">
        <v>2235</v>
      </c>
      <c r="C43" s="50" t="s">
        <v>68</v>
      </c>
      <c r="D43" s="99" t="s">
        <v>404</v>
      </c>
      <c r="E43" s="49" t="s">
        <v>13</v>
      </c>
      <c r="F43" s="10">
        <v>13141</v>
      </c>
      <c r="G43" s="10">
        <v>17091</v>
      </c>
      <c r="H43" s="33">
        <v>22218</v>
      </c>
      <c r="I43" s="34">
        <v>14938.8</v>
      </c>
      <c r="J43" s="29">
        <f t="shared" si="67"/>
        <v>18082.600000000002</v>
      </c>
      <c r="K43" s="24">
        <f t="shared" si="68"/>
        <v>4941.6000000000022</v>
      </c>
      <c r="L43" s="25">
        <f t="shared" si="69"/>
        <v>0.37604444106232421</v>
      </c>
      <c r="M43" s="69" t="str">
        <f t="shared" si="70"/>
        <v>REVISAR PRECIO</v>
      </c>
      <c r="N43" s="77">
        <f t="shared" si="19"/>
        <v>18082.600000000002</v>
      </c>
      <c r="O43" s="73">
        <v>7850</v>
      </c>
      <c r="P43" s="74">
        <v>22080</v>
      </c>
      <c r="Q43" s="74">
        <v>24000</v>
      </c>
      <c r="R43" s="75">
        <v>25440</v>
      </c>
      <c r="S43" s="61">
        <v>29094.999999999996</v>
      </c>
      <c r="T43" s="60">
        <v>18000</v>
      </c>
      <c r="U43" s="74">
        <v>33459.249999999993</v>
      </c>
      <c r="V43" s="76">
        <f t="shared" si="20"/>
        <v>25345.708333333332</v>
      </c>
      <c r="W43" s="24">
        <f t="shared" si="71"/>
        <v>17495.708333333332</v>
      </c>
      <c r="X43" s="25">
        <f t="shared" si="72"/>
        <v>2.2287526539278129</v>
      </c>
      <c r="Y43" s="77" t="str">
        <f t="shared" si="4"/>
        <v>REVISAR PRECIO</v>
      </c>
      <c r="Z43" s="106">
        <f t="shared" si="21"/>
        <v>25345.708333333332</v>
      </c>
      <c r="AA43" s="73">
        <v>7850</v>
      </c>
      <c r="AB43" s="88">
        <v>20000</v>
      </c>
      <c r="AC43" s="116">
        <v>20000</v>
      </c>
      <c r="AD43" s="74">
        <v>21120</v>
      </c>
      <c r="AE43" s="76">
        <f t="shared" si="73"/>
        <v>20373.333333333332</v>
      </c>
      <c r="AF43" s="24">
        <f t="shared" si="74"/>
        <v>12523.333333333332</v>
      </c>
      <c r="AG43" s="25">
        <f t="shared" si="75"/>
        <v>1.5953290870488321</v>
      </c>
      <c r="AH43" s="77" t="str">
        <f t="shared" si="76"/>
        <v>REVISAR PRECIO</v>
      </c>
      <c r="AI43" s="77">
        <f t="shared" si="77"/>
        <v>20373.333333333332</v>
      </c>
      <c r="AJ43" s="73">
        <v>7850</v>
      </c>
      <c r="AK43" s="79">
        <v>25440</v>
      </c>
      <c r="AL43" s="79">
        <f>32000*0.6</f>
        <v>19200</v>
      </c>
      <c r="AM43" s="127">
        <v>23040</v>
      </c>
      <c r="AN43" s="128">
        <v>21000</v>
      </c>
      <c r="AO43" s="128">
        <v>20000</v>
      </c>
      <c r="AP43" s="133">
        <f t="shared" si="78"/>
        <v>21736</v>
      </c>
      <c r="AQ43" s="127">
        <f t="shared" si="79"/>
        <v>13886</v>
      </c>
      <c r="AR43" s="134">
        <f t="shared" si="80"/>
        <v>1.7689171974522293</v>
      </c>
      <c r="AS43" s="132">
        <f t="shared" si="81"/>
        <v>21736</v>
      </c>
      <c r="AT43" s="10">
        <v>20675</v>
      </c>
      <c r="AU43" s="10">
        <v>4000</v>
      </c>
      <c r="AV43" s="167">
        <v>8000</v>
      </c>
      <c r="AW43" s="168">
        <v>5860</v>
      </c>
      <c r="AX43" s="29">
        <f t="shared" si="82"/>
        <v>4930</v>
      </c>
      <c r="AY43" s="24">
        <f t="shared" si="83"/>
        <v>-15745</v>
      </c>
      <c r="AZ43" s="25">
        <f t="shared" si="84"/>
        <v>-0.76154776299879079</v>
      </c>
      <c r="BA43" s="24">
        <f t="shared" si="85"/>
        <v>-12675</v>
      </c>
      <c r="BB43" s="169">
        <f t="shared" si="86"/>
        <v>-0.61305925030229746</v>
      </c>
      <c r="BC43" s="170">
        <f t="shared" si="46"/>
        <v>4930</v>
      </c>
      <c r="BD43" s="10">
        <v>8467</v>
      </c>
      <c r="BE43" s="10">
        <v>9500</v>
      </c>
      <c r="BF43" s="10">
        <v>11500</v>
      </c>
      <c r="BG43" s="268">
        <v>10500</v>
      </c>
      <c r="BH43" s="10">
        <v>10000</v>
      </c>
      <c r="BI43" s="76">
        <f t="shared" si="95"/>
        <v>10375</v>
      </c>
      <c r="BJ43" s="24">
        <f t="shared" si="96"/>
        <v>1908</v>
      </c>
      <c r="BK43" s="25">
        <f t="shared" si="97"/>
        <v>0.22534545884020313</v>
      </c>
      <c r="BL43" s="259">
        <f t="shared" si="98"/>
        <v>10375</v>
      </c>
      <c r="BM43" s="10">
        <v>9407</v>
      </c>
      <c r="BN43" s="45">
        <v>20000</v>
      </c>
      <c r="BO43" s="45">
        <v>11101</v>
      </c>
      <c r="BP43" s="45">
        <v>20000</v>
      </c>
      <c r="BQ43" s="29">
        <f t="shared" si="99"/>
        <v>17033.666666666668</v>
      </c>
      <c r="BR43" s="24">
        <f t="shared" si="100"/>
        <v>7626.6666666666679</v>
      </c>
      <c r="BS43" s="25">
        <f t="shared" si="101"/>
        <v>0.81074377236809481</v>
      </c>
      <c r="BT43" s="308">
        <f t="shared" si="102"/>
        <v>17033.666666666668</v>
      </c>
    </row>
    <row r="44" spans="1:72" ht="30" customHeight="1">
      <c r="A44" s="91" t="s">
        <v>7</v>
      </c>
      <c r="B44" s="358" t="s">
        <v>2236</v>
      </c>
      <c r="C44" s="50" t="s">
        <v>69</v>
      </c>
      <c r="D44" s="99" t="s">
        <v>405</v>
      </c>
      <c r="E44" s="49" t="s">
        <v>13</v>
      </c>
      <c r="F44" s="10">
        <v>34586</v>
      </c>
      <c r="G44" s="10">
        <v>44982</v>
      </c>
      <c r="H44" s="33">
        <v>58477</v>
      </c>
      <c r="I44" s="34">
        <v>39317.599999999999</v>
      </c>
      <c r="J44" s="29">
        <f t="shared" si="67"/>
        <v>47592.200000000004</v>
      </c>
      <c r="K44" s="24">
        <f t="shared" si="68"/>
        <v>13006.200000000004</v>
      </c>
      <c r="L44" s="25">
        <f t="shared" si="69"/>
        <v>0.3760538946394496</v>
      </c>
      <c r="M44" s="69" t="str">
        <f t="shared" si="70"/>
        <v>REVISAR PRECIO</v>
      </c>
      <c r="N44" s="77">
        <f t="shared" si="19"/>
        <v>47592.200000000004</v>
      </c>
      <c r="O44" s="73">
        <v>20675</v>
      </c>
      <c r="P44" s="74">
        <v>4600</v>
      </c>
      <c r="Q44" s="74">
        <v>8000</v>
      </c>
      <c r="R44" s="75">
        <v>5300</v>
      </c>
      <c r="S44" s="61">
        <v>9500</v>
      </c>
      <c r="T44" s="60">
        <v>12000</v>
      </c>
      <c r="U44" s="74">
        <v>7934.9999999999982</v>
      </c>
      <c r="V44" s="76">
        <f t="shared" si="20"/>
        <v>7889.166666666667</v>
      </c>
      <c r="W44" s="24">
        <f t="shared" si="71"/>
        <v>-12785.833333333332</v>
      </c>
      <c r="X44" s="25">
        <f t="shared" si="72"/>
        <v>-0.61841999193873431</v>
      </c>
      <c r="Y44" s="77">
        <f t="shared" si="4"/>
        <v>7889.166666666667</v>
      </c>
      <c r="Z44" s="106">
        <f t="shared" si="21"/>
        <v>7889.166666666667</v>
      </c>
      <c r="AA44" s="73">
        <v>20675</v>
      </c>
      <c r="AB44" s="88">
        <v>5000</v>
      </c>
      <c r="AC44" s="116">
        <v>5000</v>
      </c>
      <c r="AD44" s="74">
        <v>4400</v>
      </c>
      <c r="AE44" s="76">
        <f t="shared" si="73"/>
        <v>4800</v>
      </c>
      <c r="AF44" s="24">
        <f t="shared" si="74"/>
        <v>-15875</v>
      </c>
      <c r="AG44" s="25">
        <f t="shared" si="75"/>
        <v>-0.7678355501813785</v>
      </c>
      <c r="AH44" s="77">
        <f t="shared" si="76"/>
        <v>4800</v>
      </c>
      <c r="AI44" s="77">
        <f t="shared" si="77"/>
        <v>4800</v>
      </c>
      <c r="AJ44" s="73">
        <v>20675</v>
      </c>
      <c r="AK44" s="79">
        <v>5300</v>
      </c>
      <c r="AL44" s="79">
        <v>4000</v>
      </c>
      <c r="AM44" s="127">
        <v>4800</v>
      </c>
      <c r="AN44" s="128">
        <v>5000</v>
      </c>
      <c r="AO44" s="128">
        <v>5000</v>
      </c>
      <c r="AP44" s="133">
        <f t="shared" si="78"/>
        <v>4820</v>
      </c>
      <c r="AQ44" s="127">
        <f t="shared" si="79"/>
        <v>-15855</v>
      </c>
      <c r="AR44" s="134">
        <f t="shared" si="80"/>
        <v>-0.76686819830713426</v>
      </c>
      <c r="AS44" s="132">
        <f t="shared" si="81"/>
        <v>4820</v>
      </c>
      <c r="AT44" s="10">
        <v>28118</v>
      </c>
      <c r="AU44" s="10">
        <v>48500</v>
      </c>
      <c r="AV44" s="167">
        <v>97000</v>
      </c>
      <c r="AW44" s="168">
        <v>35656</v>
      </c>
      <c r="AX44" s="29">
        <f t="shared" si="82"/>
        <v>42078</v>
      </c>
      <c r="AY44" s="24">
        <f t="shared" si="83"/>
        <v>13960</v>
      </c>
      <c r="AZ44" s="25">
        <f t="shared" si="84"/>
        <v>0.49647912369300806</v>
      </c>
      <c r="BA44" s="24">
        <f t="shared" si="85"/>
        <v>68882</v>
      </c>
      <c r="BB44" s="169">
        <f t="shared" si="86"/>
        <v>2.4497474927092964</v>
      </c>
      <c r="BC44" s="170">
        <f t="shared" si="46"/>
        <v>42078</v>
      </c>
      <c r="BD44" s="10">
        <v>18605</v>
      </c>
      <c r="BE44" s="10">
        <v>9500</v>
      </c>
      <c r="BF44" s="10">
        <v>11500</v>
      </c>
      <c r="BG44" s="268">
        <v>10500</v>
      </c>
      <c r="BH44" s="10">
        <v>10000</v>
      </c>
      <c r="BI44" s="76">
        <f t="shared" si="95"/>
        <v>10375</v>
      </c>
      <c r="BJ44" s="24">
        <f t="shared" si="96"/>
        <v>-8230</v>
      </c>
      <c r="BK44" s="25">
        <f t="shared" si="97"/>
        <v>-0.44235420585864016</v>
      </c>
      <c r="BL44" s="259">
        <f t="shared" si="98"/>
        <v>10375</v>
      </c>
      <c r="BM44" s="10">
        <v>20675</v>
      </c>
      <c r="BN44" s="45">
        <v>5000</v>
      </c>
      <c r="BO44" s="45">
        <v>4500</v>
      </c>
      <c r="BP44" s="45">
        <v>13000</v>
      </c>
      <c r="BQ44" s="29">
        <f t="shared" si="99"/>
        <v>7500</v>
      </c>
      <c r="BR44" s="24">
        <f t="shared" si="100"/>
        <v>-13175</v>
      </c>
      <c r="BS44" s="25">
        <f t="shared" si="101"/>
        <v>-0.63724304715840385</v>
      </c>
      <c r="BT44" s="308">
        <f t="shared" si="102"/>
        <v>7500</v>
      </c>
    </row>
    <row r="45" spans="1:72" ht="30" customHeight="1">
      <c r="A45" s="91" t="s">
        <v>7</v>
      </c>
      <c r="B45" s="358" t="s">
        <v>2237</v>
      </c>
      <c r="C45" s="50" t="s">
        <v>70</v>
      </c>
      <c r="D45" s="99" t="s">
        <v>406</v>
      </c>
      <c r="E45" s="49" t="s">
        <v>13</v>
      </c>
      <c r="F45" s="10">
        <v>47042</v>
      </c>
      <c r="G45" s="10">
        <v>61182</v>
      </c>
      <c r="H45" s="31">
        <v>79537</v>
      </c>
      <c r="I45" s="34">
        <v>53477.599999999999</v>
      </c>
      <c r="J45" s="29">
        <f t="shared" si="67"/>
        <v>64732.200000000004</v>
      </c>
      <c r="K45" s="24">
        <f t="shared" si="68"/>
        <v>17690.200000000004</v>
      </c>
      <c r="L45" s="25">
        <f t="shared" si="69"/>
        <v>0.37605118829981726</v>
      </c>
      <c r="M45" s="69" t="str">
        <f t="shared" si="70"/>
        <v>REVISAR PRECIO</v>
      </c>
      <c r="N45" s="77">
        <f t="shared" si="19"/>
        <v>64732.200000000004</v>
      </c>
      <c r="O45" s="73">
        <v>28117</v>
      </c>
      <c r="P45" s="74">
        <v>55775</v>
      </c>
      <c r="Q45" s="74">
        <v>58000</v>
      </c>
      <c r="R45" s="75">
        <v>64262.5</v>
      </c>
      <c r="S45" s="61">
        <v>55774.999999999993</v>
      </c>
      <c r="T45" s="60">
        <v>18000</v>
      </c>
      <c r="U45" s="74">
        <v>64141.249999999985</v>
      </c>
      <c r="V45" s="76">
        <f t="shared" si="20"/>
        <v>52658.958333333336</v>
      </c>
      <c r="W45" s="24">
        <f t="shared" si="71"/>
        <v>24541.958333333336</v>
      </c>
      <c r="X45" s="25">
        <f t="shared" si="72"/>
        <v>0.87285124064919217</v>
      </c>
      <c r="Y45" s="77" t="str">
        <f t="shared" si="4"/>
        <v>REVISAR PRECIO</v>
      </c>
      <c r="Z45" s="106">
        <f t="shared" si="21"/>
        <v>52658.958333333336</v>
      </c>
      <c r="AA45" s="73">
        <v>28117</v>
      </c>
      <c r="AB45" s="88">
        <v>55000</v>
      </c>
      <c r="AC45" s="116">
        <v>55000</v>
      </c>
      <c r="AD45" s="74">
        <v>53350</v>
      </c>
      <c r="AE45" s="76">
        <f t="shared" si="73"/>
        <v>54450</v>
      </c>
      <c r="AF45" s="24">
        <f t="shared" si="74"/>
        <v>26333</v>
      </c>
      <c r="AG45" s="25">
        <f t="shared" si="75"/>
        <v>0.93655084112814313</v>
      </c>
      <c r="AH45" s="77" t="str">
        <f t="shared" si="76"/>
        <v>REVISAR PRECIO</v>
      </c>
      <c r="AI45" s="77">
        <f t="shared" si="77"/>
        <v>54450</v>
      </c>
      <c r="AJ45" s="73">
        <v>28117</v>
      </c>
      <c r="AK45" s="79">
        <v>64262.5</v>
      </c>
      <c r="AL45" s="79">
        <v>48500</v>
      </c>
      <c r="AM45" s="127">
        <v>58200</v>
      </c>
      <c r="AN45" s="128">
        <v>51600</v>
      </c>
      <c r="AO45" s="128">
        <v>50000</v>
      </c>
      <c r="AP45" s="133">
        <f t="shared" si="78"/>
        <v>54512.5</v>
      </c>
      <c r="AQ45" s="127">
        <f t="shared" si="79"/>
        <v>26395.5</v>
      </c>
      <c r="AR45" s="134">
        <f t="shared" si="80"/>
        <v>0.93877369562897894</v>
      </c>
      <c r="AS45" s="132">
        <f t="shared" si="81"/>
        <v>54512.5</v>
      </c>
      <c r="AT45" s="10">
        <v>19584</v>
      </c>
      <c r="AU45" s="10">
        <v>28340</v>
      </c>
      <c r="AV45" s="167">
        <v>56680</v>
      </c>
      <c r="AW45" s="168">
        <v>27860</v>
      </c>
      <c r="AX45" s="29">
        <f t="shared" si="82"/>
        <v>28100</v>
      </c>
      <c r="AY45" s="24">
        <f t="shared" si="83"/>
        <v>8516</v>
      </c>
      <c r="AZ45" s="25">
        <f t="shared" si="84"/>
        <v>0.43484477124183007</v>
      </c>
      <c r="BA45" s="24">
        <f t="shared" si="85"/>
        <v>37096</v>
      </c>
      <c r="BB45" s="169">
        <f t="shared" si="86"/>
        <v>1.8941993464052287</v>
      </c>
      <c r="BC45" s="170">
        <f t="shared" si="46"/>
        <v>28100</v>
      </c>
      <c r="BD45" s="10">
        <v>25307</v>
      </c>
      <c r="BE45" s="10">
        <v>55000</v>
      </c>
      <c r="BF45" s="10">
        <v>66000</v>
      </c>
      <c r="BG45" s="268">
        <v>60000</v>
      </c>
      <c r="BH45" s="10">
        <v>50000</v>
      </c>
      <c r="BI45" s="76">
        <f t="shared" si="95"/>
        <v>57750</v>
      </c>
      <c r="BJ45" s="24">
        <f t="shared" si="96"/>
        <v>32443</v>
      </c>
      <c r="BK45" s="25">
        <f t="shared" si="97"/>
        <v>1.2819773185284704</v>
      </c>
      <c r="BL45" s="259">
        <f t="shared" si="98"/>
        <v>57750</v>
      </c>
      <c r="BM45" s="10">
        <v>28117</v>
      </c>
      <c r="BN45" s="45">
        <v>54000</v>
      </c>
      <c r="BO45" s="45">
        <v>33179</v>
      </c>
      <c r="BP45" s="45">
        <v>30000</v>
      </c>
      <c r="BQ45" s="29">
        <f t="shared" si="99"/>
        <v>39059.666666666664</v>
      </c>
      <c r="BR45" s="24">
        <f t="shared" si="100"/>
        <v>10942.666666666664</v>
      </c>
      <c r="BS45" s="25">
        <f t="shared" si="101"/>
        <v>0.38918329361833282</v>
      </c>
      <c r="BT45" s="308">
        <f t="shared" si="102"/>
        <v>39059.666666666664</v>
      </c>
    </row>
    <row r="46" spans="1:72" ht="30" customHeight="1">
      <c r="A46" s="91" t="s">
        <v>7</v>
      </c>
      <c r="B46" s="358" t="s">
        <v>2238</v>
      </c>
      <c r="C46" s="50" t="s">
        <v>71</v>
      </c>
      <c r="D46" s="99" t="s">
        <v>407</v>
      </c>
      <c r="E46" s="49" t="s">
        <v>13</v>
      </c>
      <c r="F46" s="10">
        <v>32759</v>
      </c>
      <c r="G46" s="10">
        <v>42606</v>
      </c>
      <c r="H46" s="33">
        <v>55388</v>
      </c>
      <c r="I46" s="34">
        <v>37240.800000000003</v>
      </c>
      <c r="J46" s="29">
        <f t="shared" si="67"/>
        <v>45078.266666666663</v>
      </c>
      <c r="K46" s="24">
        <f t="shared" si="68"/>
        <v>12319.266666666663</v>
      </c>
      <c r="L46" s="25">
        <f t="shared" si="69"/>
        <v>0.37605747021174829</v>
      </c>
      <c r="M46" s="69" t="str">
        <f t="shared" si="70"/>
        <v>REVISAR PRECIO</v>
      </c>
      <c r="N46" s="77">
        <f t="shared" si="19"/>
        <v>45078.266666666663</v>
      </c>
      <c r="O46" s="73">
        <v>19583</v>
      </c>
      <c r="P46" s="74">
        <v>32591</v>
      </c>
      <c r="Q46" s="74">
        <v>45000</v>
      </c>
      <c r="R46" s="75">
        <v>37550.5</v>
      </c>
      <c r="S46" s="61">
        <v>53589.999999999993</v>
      </c>
      <c r="T46" s="60">
        <v>120000</v>
      </c>
      <c r="U46" s="74">
        <v>61628.499999999985</v>
      </c>
      <c r="V46" s="76">
        <f t="shared" si="20"/>
        <v>58393.333333333336</v>
      </c>
      <c r="W46" s="24">
        <f t="shared" si="71"/>
        <v>38810.333333333336</v>
      </c>
      <c r="X46" s="25">
        <f t="shared" si="72"/>
        <v>1.9818379887317232</v>
      </c>
      <c r="Y46" s="77" t="str">
        <f t="shared" si="4"/>
        <v>REVISAR PRECIO</v>
      </c>
      <c r="Z46" s="106">
        <f t="shared" si="21"/>
        <v>58393.333333333336</v>
      </c>
      <c r="AA46" s="73">
        <v>19583</v>
      </c>
      <c r="AB46" s="88">
        <v>30000</v>
      </c>
      <c r="AC46" s="116">
        <v>30000</v>
      </c>
      <c r="AD46" s="74">
        <v>31174</v>
      </c>
      <c r="AE46" s="76">
        <f t="shared" si="73"/>
        <v>30391.333333333332</v>
      </c>
      <c r="AF46" s="24">
        <f t="shared" si="74"/>
        <v>10808.333333333332</v>
      </c>
      <c r="AG46" s="25">
        <f t="shared" si="75"/>
        <v>0.55192428807298843</v>
      </c>
      <c r="AH46" s="77" t="str">
        <f t="shared" si="76"/>
        <v>REVISAR PRECIO</v>
      </c>
      <c r="AI46" s="77">
        <f t="shared" si="77"/>
        <v>30391.333333333332</v>
      </c>
      <c r="AJ46" s="73">
        <v>19583</v>
      </c>
      <c r="AK46" s="79">
        <v>37550.5</v>
      </c>
      <c r="AL46" s="79">
        <f>21800*1.3</f>
        <v>28340</v>
      </c>
      <c r="AM46" s="127">
        <v>34008</v>
      </c>
      <c r="AN46" s="128">
        <v>30000</v>
      </c>
      <c r="AO46" s="128">
        <v>30000</v>
      </c>
      <c r="AP46" s="133">
        <f t="shared" si="78"/>
        <v>31979.7</v>
      </c>
      <c r="AQ46" s="127">
        <f t="shared" si="79"/>
        <v>12396.7</v>
      </c>
      <c r="AR46" s="134">
        <f t="shared" si="80"/>
        <v>0.63303375376602156</v>
      </c>
      <c r="AS46" s="132">
        <f t="shared" si="81"/>
        <v>31979.7</v>
      </c>
      <c r="AT46" s="10">
        <v>36671</v>
      </c>
      <c r="AU46" s="10">
        <v>52300</v>
      </c>
      <c r="AV46" s="167">
        <v>209200</v>
      </c>
      <c r="AW46" s="168">
        <v>48500</v>
      </c>
      <c r="AX46" s="29">
        <f t="shared" si="82"/>
        <v>50400</v>
      </c>
      <c r="AY46" s="24">
        <f t="shared" si="83"/>
        <v>13729</v>
      </c>
      <c r="AZ46" s="25">
        <f t="shared" si="84"/>
        <v>0.37438302746039104</v>
      </c>
      <c r="BA46" s="24">
        <f t="shared" si="85"/>
        <v>172529</v>
      </c>
      <c r="BB46" s="169">
        <f t="shared" si="86"/>
        <v>4.7047803441411471</v>
      </c>
      <c r="BC46" s="170">
        <f t="shared" si="46"/>
        <v>50400</v>
      </c>
      <c r="BD46" s="10">
        <v>17618</v>
      </c>
      <c r="BE46" s="10">
        <v>42000</v>
      </c>
      <c r="BF46" s="10">
        <v>48000</v>
      </c>
      <c r="BG46" s="268">
        <v>45000</v>
      </c>
      <c r="BH46" s="10">
        <v>50000</v>
      </c>
      <c r="BI46" s="76">
        <f t="shared" si="95"/>
        <v>46250</v>
      </c>
      <c r="BJ46" s="24">
        <f t="shared" si="96"/>
        <v>28632</v>
      </c>
      <c r="BK46" s="25">
        <f t="shared" si="97"/>
        <v>1.6251560903621296</v>
      </c>
      <c r="BL46" s="259">
        <f t="shared" si="98"/>
        <v>46250</v>
      </c>
      <c r="BM46" s="10">
        <v>19583</v>
      </c>
      <c r="BN46" s="45">
        <v>27000</v>
      </c>
      <c r="BO46" s="45">
        <v>23101</v>
      </c>
      <c r="BP46" s="45">
        <v>26000</v>
      </c>
      <c r="BQ46" s="29">
        <f t="shared" si="99"/>
        <v>25367</v>
      </c>
      <c r="BR46" s="24">
        <f t="shared" si="100"/>
        <v>5784</v>
      </c>
      <c r="BS46" s="25">
        <f t="shared" si="101"/>
        <v>0.29535821886329983</v>
      </c>
      <c r="BT46" s="308">
        <f t="shared" si="102"/>
        <v>25367</v>
      </c>
    </row>
    <row r="47" spans="1:72" ht="30" customHeight="1">
      <c r="A47" s="91" t="s">
        <v>7</v>
      </c>
      <c r="B47" s="358" t="s">
        <v>2239</v>
      </c>
      <c r="C47" s="50" t="s">
        <v>72</v>
      </c>
      <c r="D47" s="99" t="s">
        <v>408</v>
      </c>
      <c r="E47" s="49" t="s">
        <v>13</v>
      </c>
      <c r="F47" s="10">
        <v>61356</v>
      </c>
      <c r="G47" s="10">
        <v>79799</v>
      </c>
      <c r="H47" s="31">
        <v>103738</v>
      </c>
      <c r="I47" s="34">
        <v>69749.8</v>
      </c>
      <c r="J47" s="29">
        <f t="shared" si="67"/>
        <v>84428.933333333334</v>
      </c>
      <c r="K47" s="24">
        <f t="shared" si="68"/>
        <v>23072.933333333334</v>
      </c>
      <c r="L47" s="25">
        <f t="shared" si="69"/>
        <v>0.37605015537736053</v>
      </c>
      <c r="M47" s="69" t="str">
        <f t="shared" si="70"/>
        <v>REVISAR PRECIO</v>
      </c>
      <c r="N47" s="77">
        <f t="shared" si="19"/>
        <v>84428.933333333334</v>
      </c>
      <c r="O47" s="73">
        <v>36669</v>
      </c>
      <c r="P47" s="74">
        <v>61295</v>
      </c>
      <c r="Q47" s="74">
        <v>65000</v>
      </c>
      <c r="R47" s="75">
        <v>70622.5</v>
      </c>
      <c r="S47" s="61">
        <v>61294.999999999993</v>
      </c>
      <c r="T47" s="60">
        <v>98000</v>
      </c>
      <c r="U47" s="74">
        <v>70489.249999999985</v>
      </c>
      <c r="V47" s="76">
        <f t="shared" si="20"/>
        <v>71116.958333333328</v>
      </c>
      <c r="W47" s="24">
        <f t="shared" si="71"/>
        <v>34447.958333333328</v>
      </c>
      <c r="X47" s="25">
        <f t="shared" si="72"/>
        <v>0.93942999081876599</v>
      </c>
      <c r="Y47" s="77" t="str">
        <f t="shared" si="4"/>
        <v>REVISAR PRECIO</v>
      </c>
      <c r="Z47" s="106">
        <f t="shared" si="21"/>
        <v>71116.958333333328</v>
      </c>
      <c r="AA47" s="73">
        <v>36669</v>
      </c>
      <c r="AB47" s="88">
        <v>55000</v>
      </c>
      <c r="AC47" s="116">
        <v>60000</v>
      </c>
      <c r="AD47" s="74">
        <v>58630</v>
      </c>
      <c r="AE47" s="76">
        <f t="shared" si="73"/>
        <v>57876.666666666664</v>
      </c>
      <c r="AF47" s="24">
        <f t="shared" si="74"/>
        <v>21207.666666666664</v>
      </c>
      <c r="AG47" s="25">
        <f t="shared" si="75"/>
        <v>0.57835410473878923</v>
      </c>
      <c r="AH47" s="77" t="str">
        <f t="shared" si="76"/>
        <v>REVISAR PRECIO</v>
      </c>
      <c r="AI47" s="77">
        <f t="shared" si="77"/>
        <v>57876.666666666664</v>
      </c>
      <c r="AJ47" s="73">
        <v>36669</v>
      </c>
      <c r="AK47" s="79">
        <v>70622.5</v>
      </c>
      <c r="AL47" s="79">
        <f>41000*1.3</f>
        <v>53300</v>
      </c>
      <c r="AM47" s="127">
        <v>63960</v>
      </c>
      <c r="AN47" s="128">
        <v>60000</v>
      </c>
      <c r="AO47" s="128">
        <v>59500</v>
      </c>
      <c r="AP47" s="133">
        <f t="shared" si="78"/>
        <v>61476.5</v>
      </c>
      <c r="AQ47" s="127">
        <f t="shared" si="79"/>
        <v>24807.5</v>
      </c>
      <c r="AR47" s="134">
        <f t="shared" si="80"/>
        <v>0.67652513021898608</v>
      </c>
      <c r="AS47" s="132">
        <f t="shared" si="81"/>
        <v>61476.5</v>
      </c>
      <c r="AT47" s="10">
        <v>73349</v>
      </c>
      <c r="AU47" s="10">
        <v>92600</v>
      </c>
      <c r="AV47" s="167">
        <v>370400</v>
      </c>
      <c r="AW47" s="168">
        <v>86952</v>
      </c>
      <c r="AX47" s="29">
        <f t="shared" si="82"/>
        <v>89776</v>
      </c>
      <c r="AY47" s="24">
        <f t="shared" si="83"/>
        <v>16427</v>
      </c>
      <c r="AZ47" s="25">
        <f t="shared" si="84"/>
        <v>0.22395670015951138</v>
      </c>
      <c r="BA47" s="24">
        <f t="shared" si="85"/>
        <v>297051</v>
      </c>
      <c r="BB47" s="169">
        <f t="shared" si="86"/>
        <v>4.0498302635346084</v>
      </c>
      <c r="BC47" s="170">
        <f t="shared" si="46"/>
        <v>89776</v>
      </c>
      <c r="BD47" s="10">
        <v>33005</v>
      </c>
      <c r="BE47" s="10">
        <v>35000</v>
      </c>
      <c r="BF47" s="10">
        <v>42000</v>
      </c>
      <c r="BG47" s="268">
        <v>40000</v>
      </c>
      <c r="BH47" s="10">
        <v>40000</v>
      </c>
      <c r="BI47" s="76">
        <f t="shared" si="95"/>
        <v>39250</v>
      </c>
      <c r="BJ47" s="24">
        <f t="shared" si="96"/>
        <v>6245</v>
      </c>
      <c r="BK47" s="25">
        <f t="shared" si="97"/>
        <v>0.18921375549159219</v>
      </c>
      <c r="BL47" s="259">
        <f t="shared" si="98"/>
        <v>39250</v>
      </c>
      <c r="BM47" s="10">
        <v>36669</v>
      </c>
      <c r="BN47" s="45">
        <v>51000</v>
      </c>
      <c r="BO47" s="45">
        <v>32070</v>
      </c>
      <c r="BP47" s="45">
        <v>50000</v>
      </c>
      <c r="BQ47" s="29">
        <f t="shared" si="99"/>
        <v>44356.666666666664</v>
      </c>
      <c r="BR47" s="24">
        <f t="shared" si="100"/>
        <v>7687.6666666666642</v>
      </c>
      <c r="BS47" s="25">
        <f t="shared" si="101"/>
        <v>0.20965029498122839</v>
      </c>
      <c r="BT47" s="308">
        <f t="shared" si="102"/>
        <v>44356.666666666664</v>
      </c>
    </row>
    <row r="48" spans="1:72" ht="30" customHeight="1">
      <c r="A48" s="91" t="s">
        <v>7</v>
      </c>
      <c r="B48" s="358" t="s">
        <v>2240</v>
      </c>
      <c r="C48" s="50" t="s">
        <v>73</v>
      </c>
      <c r="D48" s="99" t="s">
        <v>409</v>
      </c>
      <c r="E48" s="49" t="s">
        <v>13</v>
      </c>
      <c r="F48" s="10">
        <v>122712</v>
      </c>
      <c r="G48" s="10">
        <v>159597</v>
      </c>
      <c r="H48" s="31">
        <v>207476</v>
      </c>
      <c r="I48" s="34">
        <v>139499.6</v>
      </c>
      <c r="J48" s="29">
        <f t="shared" si="67"/>
        <v>168857.53333333333</v>
      </c>
      <c r="K48" s="24">
        <f t="shared" si="68"/>
        <v>46145.533333333326</v>
      </c>
      <c r="L48" s="25">
        <f t="shared" si="69"/>
        <v>0.37604743898993842</v>
      </c>
      <c r="M48" s="69" t="str">
        <f t="shared" si="70"/>
        <v>REVISAR PRECIO</v>
      </c>
      <c r="N48" s="77">
        <f t="shared" si="19"/>
        <v>168857.53333333333</v>
      </c>
      <c r="O48" s="73">
        <v>73348</v>
      </c>
      <c r="P48" s="74">
        <v>106490</v>
      </c>
      <c r="Q48" s="74">
        <v>120000</v>
      </c>
      <c r="R48" s="75">
        <v>122695</v>
      </c>
      <c r="S48" s="61">
        <v>106489.99999999999</v>
      </c>
      <c r="T48" s="60">
        <v>160000</v>
      </c>
      <c r="U48" s="74">
        <v>122463.49999999997</v>
      </c>
      <c r="V48" s="76">
        <f t="shared" si="20"/>
        <v>123023.08333333333</v>
      </c>
      <c r="W48" s="24">
        <f t="shared" si="71"/>
        <v>49675.083333333328</v>
      </c>
      <c r="X48" s="25">
        <f t="shared" si="72"/>
        <v>0.67725204959008189</v>
      </c>
      <c r="Y48" s="77" t="str">
        <f t="shared" si="4"/>
        <v>REVISAR PRECIO</v>
      </c>
      <c r="Z48" s="106">
        <f t="shared" si="21"/>
        <v>123023.08333333333</v>
      </c>
      <c r="AA48" s="73">
        <v>73348</v>
      </c>
      <c r="AB48" s="88">
        <v>98000</v>
      </c>
      <c r="AC48" s="116">
        <v>100000</v>
      </c>
      <c r="AD48" s="74">
        <v>101860</v>
      </c>
      <c r="AE48" s="76">
        <f t="shared" si="73"/>
        <v>99953.333333333328</v>
      </c>
      <c r="AF48" s="24">
        <f t="shared" si="74"/>
        <v>26605.333333333328</v>
      </c>
      <c r="AG48" s="25">
        <f t="shared" si="75"/>
        <v>0.3627274545090981</v>
      </c>
      <c r="AH48" s="77" t="str">
        <f t="shared" si="76"/>
        <v>REVISAR PRECIO</v>
      </c>
      <c r="AI48" s="77">
        <f t="shared" si="77"/>
        <v>99953.333333333328</v>
      </c>
      <c r="AJ48" s="73">
        <v>73348</v>
      </c>
      <c r="AK48" s="79">
        <v>122695</v>
      </c>
      <c r="AL48" s="79">
        <v>92600</v>
      </c>
      <c r="AM48" s="127">
        <v>111120</v>
      </c>
      <c r="AN48" s="128">
        <v>111000</v>
      </c>
      <c r="AO48" s="128">
        <v>100500</v>
      </c>
      <c r="AP48" s="133">
        <f t="shared" si="78"/>
        <v>107583</v>
      </c>
      <c r="AQ48" s="127">
        <f t="shared" si="79"/>
        <v>34235</v>
      </c>
      <c r="AR48" s="134">
        <f t="shared" si="80"/>
        <v>0.46674755957899328</v>
      </c>
      <c r="AS48" s="132">
        <f t="shared" si="81"/>
        <v>107583</v>
      </c>
      <c r="AT48" s="10">
        <v>16604</v>
      </c>
      <c r="AU48" s="10">
        <v>10000</v>
      </c>
      <c r="AV48" s="167">
        <v>40000</v>
      </c>
      <c r="AW48" s="168">
        <v>6500</v>
      </c>
      <c r="AX48" s="29">
        <f t="shared" si="82"/>
        <v>8250</v>
      </c>
      <c r="AY48" s="24">
        <f t="shared" si="83"/>
        <v>-8354</v>
      </c>
      <c r="AZ48" s="25">
        <f t="shared" si="84"/>
        <v>-0.50313177547578891</v>
      </c>
      <c r="BA48" s="24">
        <f t="shared" si="85"/>
        <v>23396</v>
      </c>
      <c r="BB48" s="169">
        <f t="shared" si="86"/>
        <v>1.4090580582992049</v>
      </c>
      <c r="BC48" s="170">
        <f t="shared" si="46"/>
        <v>8250</v>
      </c>
      <c r="BD48" s="10">
        <v>66010</v>
      </c>
      <c r="BE48" s="10">
        <v>75000</v>
      </c>
      <c r="BF48" s="10">
        <v>81000</v>
      </c>
      <c r="BG48" s="268">
        <v>78000</v>
      </c>
      <c r="BH48" s="10">
        <v>80000</v>
      </c>
      <c r="BI48" s="76">
        <f t="shared" si="95"/>
        <v>78500</v>
      </c>
      <c r="BJ48" s="24">
        <f t="shared" si="96"/>
        <v>12490</v>
      </c>
      <c r="BK48" s="25">
        <f t="shared" si="97"/>
        <v>0.18921375549159219</v>
      </c>
      <c r="BL48" s="259">
        <f t="shared" si="98"/>
        <v>78500</v>
      </c>
      <c r="BM48" s="10">
        <v>79708</v>
      </c>
      <c r="BN48" s="45">
        <v>90000</v>
      </c>
      <c r="BO48" s="45">
        <v>103712</v>
      </c>
      <c r="BP48" s="45">
        <v>80000</v>
      </c>
      <c r="BQ48" s="29">
        <f t="shared" si="99"/>
        <v>91237.333333333328</v>
      </c>
      <c r="BR48" s="24">
        <f t="shared" si="100"/>
        <v>11529.333333333328</v>
      </c>
      <c r="BS48" s="25">
        <f t="shared" si="101"/>
        <v>0.14464461952794361</v>
      </c>
      <c r="BT48" s="308">
        <f t="shared" si="102"/>
        <v>91237.333333333328</v>
      </c>
    </row>
    <row r="49" spans="1:72" ht="30" customHeight="1">
      <c r="A49" s="91" t="s">
        <v>7</v>
      </c>
      <c r="B49" s="358" t="s">
        <v>2241</v>
      </c>
      <c r="C49" s="50" t="s">
        <v>74</v>
      </c>
      <c r="D49" s="99" t="s">
        <v>410</v>
      </c>
      <c r="E49" s="49" t="s">
        <v>14</v>
      </c>
      <c r="F49" s="10">
        <v>28337</v>
      </c>
      <c r="G49" s="10">
        <v>36855</v>
      </c>
      <c r="H49" s="31">
        <v>47912</v>
      </c>
      <c r="I49" s="34">
        <v>32214</v>
      </c>
      <c r="J49" s="29">
        <f t="shared" si="67"/>
        <v>38993.666666666664</v>
      </c>
      <c r="K49" s="24">
        <f t="shared" si="68"/>
        <v>10656.666666666664</v>
      </c>
      <c r="L49" s="25">
        <f t="shared" si="69"/>
        <v>0.37606897930855998</v>
      </c>
      <c r="M49" s="69" t="str">
        <f t="shared" si="70"/>
        <v>REVISAR PRECIO</v>
      </c>
      <c r="N49" s="77">
        <f t="shared" si="19"/>
        <v>38993.666666666664</v>
      </c>
      <c r="O49" s="73">
        <v>16934</v>
      </c>
      <c r="P49" s="74">
        <v>11500</v>
      </c>
      <c r="Q49" s="74">
        <v>15000</v>
      </c>
      <c r="R49" s="75">
        <v>13250</v>
      </c>
      <c r="S49" s="61">
        <v>15000</v>
      </c>
      <c r="T49" s="60">
        <v>12000</v>
      </c>
      <c r="U49" s="74">
        <v>16398.999999999996</v>
      </c>
      <c r="V49" s="76">
        <f t="shared" si="20"/>
        <v>13858.166666666666</v>
      </c>
      <c r="W49" s="24">
        <f t="shared" si="71"/>
        <v>-3075.8333333333339</v>
      </c>
      <c r="X49" s="25">
        <f t="shared" si="72"/>
        <v>-0.18163654974213617</v>
      </c>
      <c r="Y49" s="77">
        <f t="shared" si="4"/>
        <v>13858.166666666666</v>
      </c>
      <c r="Z49" s="106">
        <f t="shared" si="21"/>
        <v>13858.166666666666</v>
      </c>
      <c r="AA49" s="73">
        <v>16934</v>
      </c>
      <c r="AB49" s="88">
        <v>10500</v>
      </c>
      <c r="AC49" s="116">
        <v>10500</v>
      </c>
      <c r="AD49" s="74">
        <v>11000</v>
      </c>
      <c r="AE49" s="76">
        <f t="shared" si="73"/>
        <v>10666.666666666666</v>
      </c>
      <c r="AF49" s="24">
        <f t="shared" si="74"/>
        <v>-6267.3333333333339</v>
      </c>
      <c r="AG49" s="25">
        <f t="shared" si="75"/>
        <v>-0.37010353923073896</v>
      </c>
      <c r="AH49" s="77">
        <f t="shared" si="76"/>
        <v>10666.666666666666</v>
      </c>
      <c r="AI49" s="77">
        <f t="shared" si="77"/>
        <v>10666.666666666666</v>
      </c>
      <c r="AJ49" s="73">
        <v>16934</v>
      </c>
      <c r="AK49" s="79">
        <v>13250</v>
      </c>
      <c r="AL49" s="79">
        <v>10000</v>
      </c>
      <c r="AM49" s="127">
        <v>12000</v>
      </c>
      <c r="AN49" s="128">
        <v>12000</v>
      </c>
      <c r="AO49" s="128">
        <v>10000</v>
      </c>
      <c r="AP49" s="133">
        <f t="shared" si="78"/>
        <v>11450</v>
      </c>
      <c r="AQ49" s="127">
        <f t="shared" si="79"/>
        <v>-5484</v>
      </c>
      <c r="AR49" s="134">
        <f t="shared" si="80"/>
        <v>-0.32384551789299632</v>
      </c>
      <c r="AS49" s="132">
        <f t="shared" si="81"/>
        <v>11450</v>
      </c>
      <c r="AT49" s="10">
        <v>16394</v>
      </c>
      <c r="AU49" s="10">
        <v>28000</v>
      </c>
      <c r="AV49" s="167">
        <v>112000</v>
      </c>
      <c r="AW49" s="168">
        <v>22600</v>
      </c>
      <c r="AX49" s="29">
        <f t="shared" si="82"/>
        <v>25300</v>
      </c>
      <c r="AY49" s="24">
        <f t="shared" si="83"/>
        <v>8906</v>
      </c>
      <c r="AZ49" s="25">
        <f t="shared" si="84"/>
        <v>0.54324752958399414</v>
      </c>
      <c r="BA49" s="24">
        <f t="shared" si="85"/>
        <v>95606</v>
      </c>
      <c r="BB49" s="169">
        <f t="shared" si="86"/>
        <v>5.8317677198975231</v>
      </c>
      <c r="BC49" s="170">
        <f t="shared" si="46"/>
        <v>25300</v>
      </c>
      <c r="BD49" s="10">
        <v>15093</v>
      </c>
      <c r="BE49" s="10">
        <v>15000</v>
      </c>
      <c r="BF49" s="10">
        <v>17000</v>
      </c>
      <c r="BG49" s="268">
        <v>17000</v>
      </c>
      <c r="BH49" s="10">
        <v>10000</v>
      </c>
      <c r="BI49" s="76">
        <f t="shared" si="95"/>
        <v>14750</v>
      </c>
      <c r="BJ49" s="24">
        <f t="shared" si="96"/>
        <v>-343</v>
      </c>
      <c r="BK49" s="25">
        <f t="shared" si="97"/>
        <v>-2.2725766911813425E-2</v>
      </c>
      <c r="BL49" s="259">
        <f t="shared" si="98"/>
        <v>14750</v>
      </c>
      <c r="BM49" s="10">
        <v>16858</v>
      </c>
      <c r="BN49" s="45">
        <v>10000</v>
      </c>
      <c r="BO49" s="45">
        <v>19593</v>
      </c>
      <c r="BP49" s="45">
        <v>9000</v>
      </c>
      <c r="BQ49" s="29">
        <f t="shared" si="99"/>
        <v>12864.333333333334</v>
      </c>
      <c r="BR49" s="24">
        <f t="shared" si="100"/>
        <v>-3993.6666666666661</v>
      </c>
      <c r="BS49" s="25">
        <f t="shared" si="101"/>
        <v>-0.23690038359631427</v>
      </c>
      <c r="BT49" s="308">
        <f t="shared" si="102"/>
        <v>12864.333333333334</v>
      </c>
    </row>
    <row r="50" spans="1:72" ht="30" customHeight="1">
      <c r="A50" s="91" t="s">
        <v>7</v>
      </c>
      <c r="B50" s="358" t="s">
        <v>2242</v>
      </c>
      <c r="C50" s="50" t="s">
        <v>75</v>
      </c>
      <c r="D50" s="99" t="s">
        <v>411</v>
      </c>
      <c r="E50" s="49" t="s">
        <v>14</v>
      </c>
      <c r="F50" s="10">
        <v>27974</v>
      </c>
      <c r="G50" s="10">
        <v>36383</v>
      </c>
      <c r="H50" s="33">
        <v>36383</v>
      </c>
      <c r="I50" s="34">
        <v>31801</v>
      </c>
      <c r="J50" s="29">
        <f t="shared" si="67"/>
        <v>34855.666666666664</v>
      </c>
      <c r="K50" s="24">
        <f t="shared" si="68"/>
        <v>6881.6666666666642</v>
      </c>
      <c r="L50" s="25">
        <f t="shared" si="69"/>
        <v>0.24600224017540087</v>
      </c>
      <c r="M50" s="69">
        <f t="shared" si="70"/>
        <v>34855.666666666664</v>
      </c>
      <c r="N50" s="77">
        <f t="shared" si="19"/>
        <v>34855.666666666664</v>
      </c>
      <c r="O50" s="73">
        <v>16716</v>
      </c>
      <c r="P50" s="74">
        <v>32200</v>
      </c>
      <c r="Q50" s="74">
        <v>34000</v>
      </c>
      <c r="R50" s="75">
        <v>37100</v>
      </c>
      <c r="S50" s="61">
        <v>32199.999999999996</v>
      </c>
      <c r="T50" s="60">
        <v>10000</v>
      </c>
      <c r="U50" s="74">
        <v>37029.999999999993</v>
      </c>
      <c r="V50" s="76">
        <f t="shared" si="20"/>
        <v>30421.666666666668</v>
      </c>
      <c r="W50" s="24">
        <f t="shared" si="71"/>
        <v>13705.666666666668</v>
      </c>
      <c r="X50" s="25">
        <f t="shared" si="72"/>
        <v>0.81991305735024334</v>
      </c>
      <c r="Y50" s="77" t="str">
        <f t="shared" si="4"/>
        <v>REVISAR PRECIO</v>
      </c>
      <c r="Z50" s="106">
        <f t="shared" si="21"/>
        <v>30421.666666666668</v>
      </c>
      <c r="AA50" s="73">
        <v>16716</v>
      </c>
      <c r="AB50" s="88">
        <v>33000</v>
      </c>
      <c r="AC50" s="116">
        <v>33000</v>
      </c>
      <c r="AD50" s="74">
        <v>30800</v>
      </c>
      <c r="AE50" s="76">
        <f t="shared" si="73"/>
        <v>32266.666666666668</v>
      </c>
      <c r="AF50" s="24">
        <f t="shared" si="74"/>
        <v>15550.666666666668</v>
      </c>
      <c r="AG50" s="25">
        <f t="shared" si="75"/>
        <v>0.93028635239690527</v>
      </c>
      <c r="AH50" s="77" t="str">
        <f t="shared" si="76"/>
        <v>REVISAR PRECIO</v>
      </c>
      <c r="AI50" s="77">
        <f t="shared" si="77"/>
        <v>32266.666666666668</v>
      </c>
      <c r="AJ50" s="73">
        <v>16716</v>
      </c>
      <c r="AK50" s="79">
        <v>37100</v>
      </c>
      <c r="AL50" s="79">
        <f>70000*0.4</f>
        <v>28000</v>
      </c>
      <c r="AM50" s="127">
        <v>33600</v>
      </c>
      <c r="AN50" s="128">
        <v>26000</v>
      </c>
      <c r="AO50" s="128">
        <v>30000</v>
      </c>
      <c r="AP50" s="133">
        <f t="shared" si="78"/>
        <v>30940</v>
      </c>
      <c r="AQ50" s="127">
        <f t="shared" si="79"/>
        <v>14224</v>
      </c>
      <c r="AR50" s="134">
        <f t="shared" si="80"/>
        <v>0.85092127303182574</v>
      </c>
      <c r="AS50" s="132">
        <f t="shared" si="81"/>
        <v>30940</v>
      </c>
      <c r="AT50" s="10">
        <v>8819</v>
      </c>
      <c r="AU50" s="10">
        <v>11061.79</v>
      </c>
      <c r="AV50" s="167">
        <v>33185.370000000003</v>
      </c>
      <c r="AW50" s="168">
        <v>10000</v>
      </c>
      <c r="AX50" s="29">
        <f t="shared" si="82"/>
        <v>10530.895</v>
      </c>
      <c r="AY50" s="24">
        <f t="shared" si="83"/>
        <v>1711.8950000000004</v>
      </c>
      <c r="AZ50" s="25">
        <f t="shared" si="84"/>
        <v>0.19411441206486002</v>
      </c>
      <c r="BA50" s="24">
        <f t="shared" si="85"/>
        <v>24366.370000000003</v>
      </c>
      <c r="BB50" s="169">
        <f t="shared" si="86"/>
        <v>2.7629402426578982</v>
      </c>
      <c r="BC50" s="170">
        <f t="shared" si="46"/>
        <v>10530.895</v>
      </c>
      <c r="BD50" s="10">
        <v>14894</v>
      </c>
      <c r="BE50" s="10">
        <v>18000</v>
      </c>
      <c r="BF50" s="10">
        <v>21000</v>
      </c>
      <c r="BG50" s="269">
        <v>20000</v>
      </c>
      <c r="BH50" s="10">
        <v>15000</v>
      </c>
      <c r="BI50" s="76">
        <f t="shared" si="95"/>
        <v>18500</v>
      </c>
      <c r="BJ50" s="24">
        <f t="shared" si="96"/>
        <v>3606</v>
      </c>
      <c r="BK50" s="25">
        <f t="shared" si="97"/>
        <v>0.24211091714784477</v>
      </c>
      <c r="BL50" s="259">
        <f t="shared" si="98"/>
        <v>18500</v>
      </c>
      <c r="BM50" s="10">
        <v>16631</v>
      </c>
      <c r="BN50" s="45">
        <v>35000</v>
      </c>
      <c r="BO50" s="45">
        <v>19338</v>
      </c>
      <c r="BP50" s="45">
        <v>27000</v>
      </c>
      <c r="BQ50" s="29">
        <f t="shared" si="99"/>
        <v>27112.666666666668</v>
      </c>
      <c r="BR50" s="24">
        <f t="shared" si="100"/>
        <v>10481.666666666668</v>
      </c>
      <c r="BS50" s="25">
        <f t="shared" si="101"/>
        <v>0.63024873228709444</v>
      </c>
      <c r="BT50" s="308">
        <f t="shared" si="102"/>
        <v>27112.666666666668</v>
      </c>
    </row>
    <row r="51" spans="1:72" ht="30" customHeight="1">
      <c r="A51" s="91" t="s">
        <v>7</v>
      </c>
      <c r="B51" s="358" t="s">
        <v>2243</v>
      </c>
      <c r="C51" s="50" t="s">
        <v>76</v>
      </c>
      <c r="D51" s="99" t="s">
        <v>412</v>
      </c>
      <c r="E51" s="49" t="s">
        <v>12</v>
      </c>
      <c r="F51" s="10">
        <v>28856</v>
      </c>
      <c r="G51" s="10">
        <v>37530</v>
      </c>
      <c r="H51" s="31">
        <v>48789</v>
      </c>
      <c r="I51" s="34">
        <v>32804</v>
      </c>
      <c r="J51" s="29">
        <f t="shared" si="67"/>
        <v>39707.666666666664</v>
      </c>
      <c r="K51" s="24">
        <f t="shared" si="68"/>
        <v>10851.666666666664</v>
      </c>
      <c r="L51" s="25">
        <f t="shared" si="69"/>
        <v>0.37606274835967091</v>
      </c>
      <c r="M51" s="69" t="str">
        <f t="shared" si="70"/>
        <v>REVISAR PRECIO</v>
      </c>
      <c r="N51" s="77">
        <f t="shared" si="19"/>
        <v>39707.666666666664</v>
      </c>
      <c r="O51" s="73">
        <v>7120</v>
      </c>
      <c r="P51" s="74">
        <v>6210</v>
      </c>
      <c r="Q51" s="74">
        <v>6000</v>
      </c>
      <c r="R51" s="75">
        <v>7155</v>
      </c>
      <c r="S51" s="61">
        <v>6209.9999999999991</v>
      </c>
      <c r="T51" s="60"/>
      <c r="U51" s="74">
        <v>7141.4999999999982</v>
      </c>
      <c r="V51" s="76">
        <f t="shared" si="20"/>
        <v>6543.3</v>
      </c>
      <c r="W51" s="24">
        <f t="shared" si="71"/>
        <v>-576.69999999999982</v>
      </c>
      <c r="X51" s="25">
        <f t="shared" si="72"/>
        <v>-8.0997191011235925E-2</v>
      </c>
      <c r="Y51" s="77">
        <f t="shared" si="4"/>
        <v>6543.3</v>
      </c>
      <c r="Z51" s="106">
        <f t="shared" si="21"/>
        <v>6543.3</v>
      </c>
      <c r="AA51" s="73">
        <v>7120</v>
      </c>
      <c r="AB51" s="88">
        <v>6000</v>
      </c>
      <c r="AC51" s="116">
        <v>6000</v>
      </c>
      <c r="AD51" s="74">
        <v>5940</v>
      </c>
      <c r="AE51" s="76">
        <f t="shared" si="73"/>
        <v>5980</v>
      </c>
      <c r="AF51" s="24">
        <f t="shared" si="74"/>
        <v>-1140</v>
      </c>
      <c r="AG51" s="25">
        <f t="shared" si="75"/>
        <v>-0.1601123595505618</v>
      </c>
      <c r="AH51" s="77">
        <f t="shared" si="76"/>
        <v>5980</v>
      </c>
      <c r="AI51" s="77">
        <f t="shared" si="77"/>
        <v>5980</v>
      </c>
      <c r="AJ51" s="73">
        <v>7120</v>
      </c>
      <c r="AK51" s="79">
        <v>7155</v>
      </c>
      <c r="AL51" s="79">
        <f>18000*0.6*0.5</f>
        <v>5400</v>
      </c>
      <c r="AM51" s="127">
        <v>6480</v>
      </c>
      <c r="AN51" s="128">
        <v>6000</v>
      </c>
      <c r="AO51" s="128">
        <v>6000</v>
      </c>
      <c r="AP51" s="129">
        <f t="shared" si="78"/>
        <v>6207</v>
      </c>
      <c r="AQ51" s="130">
        <f t="shared" si="79"/>
        <v>-913</v>
      </c>
      <c r="AR51" s="131">
        <f t="shared" si="80"/>
        <v>-0.1282303370786517</v>
      </c>
      <c r="AS51" s="132">
        <f t="shared" si="81"/>
        <v>6207</v>
      </c>
      <c r="AT51" s="10">
        <v>2991</v>
      </c>
      <c r="AU51" s="10">
        <v>5400</v>
      </c>
      <c r="AV51" s="167">
        <v>16200</v>
      </c>
      <c r="AW51" s="168">
        <v>3850</v>
      </c>
      <c r="AX51" s="29">
        <f t="shared" si="82"/>
        <v>4625</v>
      </c>
      <c r="AY51" s="24">
        <f t="shared" si="83"/>
        <v>1634</v>
      </c>
      <c r="AZ51" s="25">
        <f t="shared" si="84"/>
        <v>0.54630558341691737</v>
      </c>
      <c r="BA51" s="24">
        <f t="shared" si="85"/>
        <v>13209</v>
      </c>
      <c r="BB51" s="169">
        <f t="shared" si="86"/>
        <v>4.4162487462387165</v>
      </c>
      <c r="BC51" s="170">
        <f t="shared" si="46"/>
        <v>4625</v>
      </c>
      <c r="BD51" s="150"/>
      <c r="BE51" s="150"/>
      <c r="BF51" s="150"/>
      <c r="BG51" s="150"/>
      <c r="BH51" s="150"/>
      <c r="BI51" s="150"/>
      <c r="BJ51" s="150"/>
      <c r="BK51" s="150"/>
      <c r="BL51" s="150"/>
      <c r="BM51" s="293"/>
      <c r="BN51" s="293"/>
      <c r="BO51" s="293"/>
      <c r="BP51" s="293"/>
      <c r="BQ51" s="293"/>
      <c r="BR51" s="293"/>
      <c r="BS51" s="293"/>
      <c r="BT51" s="293"/>
    </row>
    <row r="52" spans="1:72" ht="27" customHeight="1">
      <c r="A52" s="91" t="s">
        <v>7</v>
      </c>
      <c r="B52" s="358" t="s">
        <v>2244</v>
      </c>
      <c r="C52" s="50" t="s">
        <v>77</v>
      </c>
      <c r="D52" s="99" t="s">
        <v>413</v>
      </c>
      <c r="E52" s="49" t="s">
        <v>11</v>
      </c>
      <c r="F52" s="10">
        <v>23635</v>
      </c>
      <c r="G52" s="10">
        <v>30740</v>
      </c>
      <c r="H52" s="31">
        <v>39961</v>
      </c>
      <c r="I52" s="34">
        <v>26868.6</v>
      </c>
      <c r="J52" s="29">
        <f t="shared" si="67"/>
        <v>32523.200000000001</v>
      </c>
      <c r="K52" s="24">
        <f t="shared" si="68"/>
        <v>8888.2000000000007</v>
      </c>
      <c r="L52" s="25">
        <f t="shared" si="69"/>
        <v>0.37606092659191881</v>
      </c>
      <c r="M52" s="69" t="str">
        <f t="shared" si="70"/>
        <v>REVISAR PRECIO</v>
      </c>
      <c r="N52" s="77">
        <f t="shared" si="19"/>
        <v>32523.200000000001</v>
      </c>
      <c r="O52" s="73"/>
      <c r="P52" s="74">
        <v>9200</v>
      </c>
      <c r="Q52" s="74">
        <v>13000</v>
      </c>
      <c r="R52" s="75">
        <v>10600</v>
      </c>
      <c r="S52" s="61">
        <v>13224.999999999998</v>
      </c>
      <c r="T52" s="60"/>
      <c r="U52" s="74">
        <v>15208.749999999996</v>
      </c>
      <c r="V52" s="76">
        <f t="shared" si="20"/>
        <v>12246.75</v>
      </c>
      <c r="W52" s="24">
        <f t="shared" si="71"/>
        <v>12246.75</v>
      </c>
      <c r="X52" s="25"/>
      <c r="Y52" s="77">
        <f t="shared" si="4"/>
        <v>12246.75</v>
      </c>
      <c r="Z52" s="106">
        <f t="shared" si="21"/>
        <v>12246.75</v>
      </c>
      <c r="AA52" s="73"/>
      <c r="AB52" s="88">
        <v>8400</v>
      </c>
      <c r="AC52" s="116">
        <v>8400</v>
      </c>
      <c r="AD52" s="74">
        <v>8800</v>
      </c>
      <c r="AE52" s="76">
        <f t="shared" si="73"/>
        <v>8533.3333333333339</v>
      </c>
      <c r="AF52" s="24">
        <f t="shared" si="74"/>
        <v>8533.3333333333339</v>
      </c>
      <c r="AG52" s="25"/>
      <c r="AH52" s="77"/>
      <c r="AI52" s="77">
        <f t="shared" si="77"/>
        <v>8533.3333333333339</v>
      </c>
      <c r="AJ52" s="73"/>
      <c r="AK52" s="79">
        <v>10600</v>
      </c>
      <c r="AL52" s="79">
        <v>8000</v>
      </c>
      <c r="AM52" s="127">
        <v>9600</v>
      </c>
      <c r="AN52" s="128">
        <v>9000</v>
      </c>
      <c r="AO52" s="128">
        <v>9000</v>
      </c>
      <c r="AP52" s="133">
        <f t="shared" si="78"/>
        <v>9240</v>
      </c>
      <c r="AQ52" s="127">
        <f t="shared" si="79"/>
        <v>9240</v>
      </c>
      <c r="AR52" s="134"/>
      <c r="AS52" s="132">
        <f t="shared" si="81"/>
        <v>9240</v>
      </c>
      <c r="AT52" s="10">
        <v>13471</v>
      </c>
      <c r="AU52" s="10">
        <v>209599.5</v>
      </c>
      <c r="AV52" s="167">
        <v>628798.5</v>
      </c>
      <c r="AW52" s="168">
        <v>115600</v>
      </c>
      <c r="AX52" s="29">
        <f t="shared" si="82"/>
        <v>162599.75</v>
      </c>
      <c r="AY52" s="24">
        <f t="shared" si="83"/>
        <v>149128.75</v>
      </c>
      <c r="AZ52" s="25">
        <f t="shared" si="84"/>
        <v>11.070354836315047</v>
      </c>
      <c r="BA52" s="24">
        <f t="shared" si="85"/>
        <v>615327.5</v>
      </c>
      <c r="BB52" s="169">
        <f t="shared" si="86"/>
        <v>45.677937792294557</v>
      </c>
      <c r="BC52" s="170">
        <f t="shared" si="46"/>
        <v>162599.75</v>
      </c>
      <c r="BD52" s="150"/>
      <c r="BE52" s="150"/>
      <c r="BF52" s="150"/>
      <c r="BG52" s="150"/>
      <c r="BH52" s="150"/>
      <c r="BI52" s="150"/>
      <c r="BJ52" s="150"/>
      <c r="BK52" s="150"/>
      <c r="BL52" s="150"/>
      <c r="BM52" s="293"/>
      <c r="BN52" s="293"/>
      <c r="BO52" s="293"/>
      <c r="BP52" s="293"/>
      <c r="BQ52" s="293"/>
      <c r="BR52" s="293"/>
      <c r="BS52" s="293"/>
      <c r="BT52" s="293"/>
    </row>
    <row r="53" spans="1:72" s="1" customFormat="1" ht="27" customHeight="1">
      <c r="A53" s="91"/>
      <c r="B53" s="358" t="s">
        <v>2245</v>
      </c>
      <c r="C53" s="271" t="s">
        <v>1433</v>
      </c>
      <c r="D53" s="264" t="s">
        <v>1423</v>
      </c>
      <c r="E53" s="263" t="s">
        <v>1399</v>
      </c>
      <c r="F53" s="10"/>
      <c r="G53" s="10"/>
      <c r="H53" s="31"/>
      <c r="I53" s="270"/>
      <c r="J53" s="29"/>
      <c r="K53" s="24"/>
      <c r="L53" s="25"/>
      <c r="M53" s="69"/>
      <c r="N53" s="77"/>
      <c r="O53" s="73"/>
      <c r="P53" s="74"/>
      <c r="Q53" s="74"/>
      <c r="R53" s="75"/>
      <c r="S53" s="61"/>
      <c r="T53" s="60"/>
      <c r="U53" s="74"/>
      <c r="V53" s="76"/>
      <c r="W53" s="24"/>
      <c r="X53" s="25"/>
      <c r="Y53" s="77"/>
      <c r="Z53" s="106"/>
      <c r="AA53" s="73"/>
      <c r="AB53" s="88"/>
      <c r="AC53" s="116"/>
      <c r="AD53" s="74"/>
      <c r="AE53" s="76"/>
      <c r="AF53" s="24"/>
      <c r="AG53" s="25"/>
      <c r="AH53" s="77"/>
      <c r="AI53" s="77"/>
      <c r="AJ53" s="73"/>
      <c r="AK53" s="79"/>
      <c r="AL53" s="79"/>
      <c r="AM53" s="127"/>
      <c r="AN53" s="128"/>
      <c r="AO53" s="128"/>
      <c r="AP53" s="124"/>
      <c r="AQ53" s="125"/>
      <c r="AR53" s="126"/>
      <c r="AS53" s="132"/>
      <c r="AT53" s="10"/>
      <c r="AU53" s="10"/>
      <c r="AV53" s="167"/>
      <c r="AW53" s="168"/>
      <c r="AX53" s="29"/>
      <c r="AY53" s="24"/>
      <c r="AZ53" s="25"/>
      <c r="BA53" s="24"/>
      <c r="BB53" s="169"/>
      <c r="BC53" s="170"/>
      <c r="BD53" s="10">
        <v>4775</v>
      </c>
      <c r="BE53" s="10">
        <v>6000</v>
      </c>
      <c r="BF53" s="10">
        <v>8500</v>
      </c>
      <c r="BG53" s="269">
        <v>8000</v>
      </c>
      <c r="BH53" s="10">
        <v>8000</v>
      </c>
      <c r="BI53" s="76">
        <f t="shared" ref="BI53:BI60" si="103">AVERAGE(BE53,BF53,BG53,BH53)</f>
        <v>7625</v>
      </c>
      <c r="BJ53" s="24">
        <f t="shared" ref="BJ53:BJ60" si="104">BI53-BD53</f>
        <v>2850</v>
      </c>
      <c r="BK53" s="25">
        <f t="shared" ref="BK53:BK60" si="105">+BJ53/BD53</f>
        <v>0.59685863874345546</v>
      </c>
      <c r="BL53" s="309">
        <f t="shared" ref="BL53:BL60" si="106">BI53</f>
        <v>7625</v>
      </c>
      <c r="BM53" s="293"/>
      <c r="BN53" s="293"/>
      <c r="BO53" s="293"/>
      <c r="BP53" s="293"/>
      <c r="BQ53" s="293"/>
      <c r="BR53" s="293"/>
      <c r="BS53" s="293"/>
      <c r="BT53" s="293"/>
    </row>
    <row r="54" spans="1:72" s="1" customFormat="1" ht="78" customHeight="1">
      <c r="A54" s="91"/>
      <c r="B54" s="358" t="s">
        <v>2246</v>
      </c>
      <c r="C54" s="271" t="s">
        <v>1434</v>
      </c>
      <c r="D54" s="264" t="s">
        <v>1424</v>
      </c>
      <c r="E54" s="263" t="s">
        <v>999</v>
      </c>
      <c r="F54" s="10"/>
      <c r="G54" s="10"/>
      <c r="H54" s="31"/>
      <c r="I54" s="270"/>
      <c r="J54" s="29"/>
      <c r="K54" s="24"/>
      <c r="L54" s="25"/>
      <c r="M54" s="69"/>
      <c r="N54" s="77"/>
      <c r="O54" s="73"/>
      <c r="P54" s="74"/>
      <c r="Q54" s="74"/>
      <c r="R54" s="75"/>
      <c r="S54" s="61"/>
      <c r="T54" s="60"/>
      <c r="U54" s="74"/>
      <c r="V54" s="76"/>
      <c r="W54" s="24"/>
      <c r="X54" s="25"/>
      <c r="Y54" s="77"/>
      <c r="Z54" s="106"/>
      <c r="AA54" s="73"/>
      <c r="AB54" s="88"/>
      <c r="AC54" s="116"/>
      <c r="AD54" s="74"/>
      <c r="AE54" s="76"/>
      <c r="AF54" s="24"/>
      <c r="AG54" s="25"/>
      <c r="AH54" s="77"/>
      <c r="AI54" s="77"/>
      <c r="AJ54" s="73"/>
      <c r="AK54" s="79"/>
      <c r="AL54" s="79"/>
      <c r="AM54" s="127"/>
      <c r="AN54" s="128"/>
      <c r="AO54" s="128"/>
      <c r="AP54" s="124"/>
      <c r="AQ54" s="125"/>
      <c r="AR54" s="126"/>
      <c r="AS54" s="132"/>
      <c r="AT54" s="10"/>
      <c r="AU54" s="10"/>
      <c r="AV54" s="167"/>
      <c r="AW54" s="168"/>
      <c r="AX54" s="29"/>
      <c r="AY54" s="24"/>
      <c r="AZ54" s="25"/>
      <c r="BA54" s="24"/>
      <c r="BB54" s="169"/>
      <c r="BC54" s="170"/>
      <c r="BD54" s="10">
        <v>101536</v>
      </c>
      <c r="BE54" s="10"/>
      <c r="BF54" s="10" t="s">
        <v>1441</v>
      </c>
      <c r="BG54" s="10"/>
      <c r="BH54" s="10" t="s">
        <v>1421</v>
      </c>
      <c r="BI54" s="76"/>
      <c r="BJ54" s="24"/>
      <c r="BK54" s="25"/>
      <c r="BL54" s="310" t="s">
        <v>807</v>
      </c>
      <c r="BM54" s="293"/>
      <c r="BN54" s="293"/>
      <c r="BO54" s="293"/>
      <c r="BP54" s="293"/>
      <c r="BQ54" s="293"/>
      <c r="BR54" s="293"/>
      <c r="BS54" s="293"/>
      <c r="BT54" s="293"/>
    </row>
    <row r="55" spans="1:72" s="1" customFormat="1" ht="45" customHeight="1">
      <c r="A55" s="91"/>
      <c r="B55" s="358" t="s">
        <v>2247</v>
      </c>
      <c r="C55" s="271" t="s">
        <v>1435</v>
      </c>
      <c r="D55" s="264" t="s">
        <v>1425</v>
      </c>
      <c r="E55" s="263" t="s">
        <v>1426</v>
      </c>
      <c r="F55" s="10"/>
      <c r="G55" s="10"/>
      <c r="H55" s="31"/>
      <c r="I55" s="270"/>
      <c r="J55" s="29"/>
      <c r="K55" s="24"/>
      <c r="L55" s="25"/>
      <c r="M55" s="69"/>
      <c r="N55" s="77"/>
      <c r="O55" s="73"/>
      <c r="P55" s="74"/>
      <c r="Q55" s="74"/>
      <c r="R55" s="75"/>
      <c r="S55" s="61"/>
      <c r="T55" s="60"/>
      <c r="U55" s="74"/>
      <c r="V55" s="76"/>
      <c r="W55" s="24"/>
      <c r="X55" s="25"/>
      <c r="Y55" s="77"/>
      <c r="Z55" s="106"/>
      <c r="AA55" s="73"/>
      <c r="AB55" s="88"/>
      <c r="AC55" s="116"/>
      <c r="AD55" s="74"/>
      <c r="AE55" s="76"/>
      <c r="AF55" s="24"/>
      <c r="AG55" s="25"/>
      <c r="AH55" s="77"/>
      <c r="AI55" s="77"/>
      <c r="AJ55" s="73"/>
      <c r="AK55" s="79"/>
      <c r="AL55" s="79"/>
      <c r="AM55" s="127"/>
      <c r="AN55" s="128"/>
      <c r="AO55" s="128"/>
      <c r="AP55" s="124"/>
      <c r="AQ55" s="125"/>
      <c r="AR55" s="126"/>
      <c r="AS55" s="132"/>
      <c r="AT55" s="10"/>
      <c r="AU55" s="10"/>
      <c r="AV55" s="167"/>
      <c r="AW55" s="168"/>
      <c r="AX55" s="29"/>
      <c r="AY55" s="24"/>
      <c r="AZ55" s="25"/>
      <c r="BA55" s="24"/>
      <c r="BB55" s="169"/>
      <c r="BC55" s="170"/>
      <c r="BD55" s="10">
        <v>570997</v>
      </c>
      <c r="BE55" s="10"/>
      <c r="BF55" s="10" t="s">
        <v>1441</v>
      </c>
      <c r="BG55" s="10"/>
      <c r="BH55" s="10" t="s">
        <v>1421</v>
      </c>
      <c r="BI55" s="76"/>
      <c r="BJ55" s="24"/>
      <c r="BK55" s="25"/>
      <c r="BL55" s="310" t="s">
        <v>807</v>
      </c>
      <c r="BM55" s="293"/>
      <c r="BN55" s="293"/>
      <c r="BO55" s="293"/>
      <c r="BP55" s="293"/>
      <c r="BQ55" s="293"/>
      <c r="BR55" s="293"/>
      <c r="BS55" s="293"/>
      <c r="BT55" s="293"/>
    </row>
    <row r="56" spans="1:72" s="1" customFormat="1" ht="47.1" customHeight="1">
      <c r="A56" s="91"/>
      <c r="B56" s="358" t="s">
        <v>2248</v>
      </c>
      <c r="C56" s="271" t="s">
        <v>1436</v>
      </c>
      <c r="D56" s="264" t="s">
        <v>1427</v>
      </c>
      <c r="E56" s="263" t="s">
        <v>1426</v>
      </c>
      <c r="F56" s="10"/>
      <c r="G56" s="10"/>
      <c r="H56" s="31"/>
      <c r="I56" s="270"/>
      <c r="J56" s="29"/>
      <c r="K56" s="24"/>
      <c r="L56" s="25"/>
      <c r="M56" s="69"/>
      <c r="N56" s="77"/>
      <c r="O56" s="73"/>
      <c r="P56" s="74"/>
      <c r="Q56" s="74"/>
      <c r="R56" s="75"/>
      <c r="S56" s="61"/>
      <c r="T56" s="60"/>
      <c r="U56" s="74"/>
      <c r="V56" s="76"/>
      <c r="W56" s="24"/>
      <c r="X56" s="25"/>
      <c r="Y56" s="77"/>
      <c r="Z56" s="106"/>
      <c r="AA56" s="73"/>
      <c r="AB56" s="88"/>
      <c r="AC56" s="116"/>
      <c r="AD56" s="74"/>
      <c r="AE56" s="76"/>
      <c r="AF56" s="24"/>
      <c r="AG56" s="25"/>
      <c r="AH56" s="77"/>
      <c r="AI56" s="77"/>
      <c r="AJ56" s="73"/>
      <c r="AK56" s="79"/>
      <c r="AL56" s="79"/>
      <c r="AM56" s="127"/>
      <c r="AN56" s="128"/>
      <c r="AO56" s="128"/>
      <c r="AP56" s="124"/>
      <c r="AQ56" s="125"/>
      <c r="AR56" s="126"/>
      <c r="AS56" s="132"/>
      <c r="AT56" s="10"/>
      <c r="AU56" s="10"/>
      <c r="AV56" s="167"/>
      <c r="AW56" s="168"/>
      <c r="AX56" s="29"/>
      <c r="AY56" s="24"/>
      <c r="AZ56" s="25"/>
      <c r="BA56" s="24"/>
      <c r="BB56" s="169"/>
      <c r="BC56" s="170"/>
      <c r="BD56" s="10">
        <v>1019118</v>
      </c>
      <c r="BE56" s="10"/>
      <c r="BF56" s="10" t="s">
        <v>1441</v>
      </c>
      <c r="BG56" s="10"/>
      <c r="BH56" s="10" t="s">
        <v>1421</v>
      </c>
      <c r="BI56" s="76"/>
      <c r="BJ56" s="24"/>
      <c r="BK56" s="25"/>
      <c r="BL56" s="310" t="s">
        <v>807</v>
      </c>
      <c r="BM56" s="293"/>
      <c r="BN56" s="293"/>
      <c r="BO56" s="293"/>
      <c r="BP56" s="293"/>
      <c r="BQ56" s="293"/>
      <c r="BR56" s="293"/>
      <c r="BS56" s="293"/>
      <c r="BT56" s="293"/>
    </row>
    <row r="57" spans="1:72" s="1" customFormat="1" ht="27" customHeight="1">
      <c r="A57" s="91"/>
      <c r="B57" s="358" t="s">
        <v>2249</v>
      </c>
      <c r="C57" s="271" t="s">
        <v>1437</v>
      </c>
      <c r="D57" s="264" t="s">
        <v>1428</v>
      </c>
      <c r="E57" s="263" t="s">
        <v>999</v>
      </c>
      <c r="F57" s="10"/>
      <c r="G57" s="10"/>
      <c r="H57" s="31"/>
      <c r="I57" s="270"/>
      <c r="J57" s="29"/>
      <c r="K57" s="24"/>
      <c r="L57" s="25"/>
      <c r="M57" s="69"/>
      <c r="N57" s="77"/>
      <c r="O57" s="73"/>
      <c r="P57" s="74"/>
      <c r="Q57" s="74"/>
      <c r="R57" s="75"/>
      <c r="S57" s="61"/>
      <c r="T57" s="60"/>
      <c r="U57" s="74"/>
      <c r="V57" s="76"/>
      <c r="W57" s="24"/>
      <c r="X57" s="25"/>
      <c r="Y57" s="77"/>
      <c r="Z57" s="106"/>
      <c r="AA57" s="73"/>
      <c r="AB57" s="88"/>
      <c r="AC57" s="116"/>
      <c r="AD57" s="74"/>
      <c r="AE57" s="76"/>
      <c r="AF57" s="24"/>
      <c r="AG57" s="25"/>
      <c r="AH57" s="77"/>
      <c r="AI57" s="77"/>
      <c r="AJ57" s="73"/>
      <c r="AK57" s="79"/>
      <c r="AL57" s="79"/>
      <c r="AM57" s="127"/>
      <c r="AN57" s="128"/>
      <c r="AO57" s="128"/>
      <c r="AP57" s="124"/>
      <c r="AQ57" s="125"/>
      <c r="AR57" s="126"/>
      <c r="AS57" s="132"/>
      <c r="AT57" s="10"/>
      <c r="AU57" s="10"/>
      <c r="AV57" s="167"/>
      <c r="AW57" s="168"/>
      <c r="AX57" s="29"/>
      <c r="AY57" s="24"/>
      <c r="AZ57" s="25"/>
      <c r="BA57" s="24"/>
      <c r="BB57" s="169"/>
      <c r="BC57" s="170"/>
      <c r="BD57" s="10">
        <v>76356</v>
      </c>
      <c r="BE57" s="10">
        <v>18000</v>
      </c>
      <c r="BF57" s="10">
        <v>21000</v>
      </c>
      <c r="BG57" s="268">
        <v>19000</v>
      </c>
      <c r="BH57" s="10" t="s">
        <v>1421</v>
      </c>
      <c r="BI57" s="76">
        <f t="shared" si="103"/>
        <v>19333.333333333332</v>
      </c>
      <c r="BJ57" s="24">
        <f t="shared" si="104"/>
        <v>-57022.666666666672</v>
      </c>
      <c r="BK57" s="25">
        <f t="shared" si="105"/>
        <v>-0.74680007683308025</v>
      </c>
      <c r="BL57" s="309">
        <f t="shared" si="106"/>
        <v>19333.333333333332</v>
      </c>
      <c r="BM57" s="293"/>
      <c r="BN57" s="293"/>
      <c r="BO57" s="293"/>
      <c r="BP57" s="293"/>
      <c r="BQ57" s="293"/>
      <c r="BR57" s="293"/>
      <c r="BS57" s="293"/>
      <c r="BT57" s="293"/>
    </row>
    <row r="58" spans="1:72" s="1" customFormat="1" ht="27" customHeight="1">
      <c r="A58" s="91"/>
      <c r="B58" s="358" t="s">
        <v>2250</v>
      </c>
      <c r="C58" s="271" t="s">
        <v>1438</v>
      </c>
      <c r="D58" s="264" t="s">
        <v>1429</v>
      </c>
      <c r="E58" s="263" t="s">
        <v>1430</v>
      </c>
      <c r="F58" s="10"/>
      <c r="G58" s="10"/>
      <c r="H58" s="31"/>
      <c r="I58" s="270"/>
      <c r="J58" s="29"/>
      <c r="K58" s="24"/>
      <c r="L58" s="25"/>
      <c r="M58" s="69"/>
      <c r="N58" s="77"/>
      <c r="O58" s="73"/>
      <c r="P58" s="74"/>
      <c r="Q58" s="74"/>
      <c r="R58" s="75"/>
      <c r="S58" s="61"/>
      <c r="T58" s="60"/>
      <c r="U58" s="74"/>
      <c r="V58" s="76"/>
      <c r="W58" s="24"/>
      <c r="X58" s="25"/>
      <c r="Y58" s="77"/>
      <c r="Z58" s="106"/>
      <c r="AA58" s="73"/>
      <c r="AB58" s="88"/>
      <c r="AC58" s="116"/>
      <c r="AD58" s="74"/>
      <c r="AE58" s="76"/>
      <c r="AF58" s="24"/>
      <c r="AG58" s="25"/>
      <c r="AH58" s="77"/>
      <c r="AI58" s="77"/>
      <c r="AJ58" s="73"/>
      <c r="AK58" s="79"/>
      <c r="AL58" s="79"/>
      <c r="AM58" s="127"/>
      <c r="AN58" s="128"/>
      <c r="AO58" s="128"/>
      <c r="AP58" s="124"/>
      <c r="AQ58" s="125"/>
      <c r="AR58" s="126"/>
      <c r="AS58" s="132"/>
      <c r="AT58" s="10"/>
      <c r="AU58" s="10"/>
      <c r="AV58" s="167"/>
      <c r="AW58" s="168"/>
      <c r="AX58" s="29"/>
      <c r="AY58" s="24"/>
      <c r="AZ58" s="25"/>
      <c r="BA58" s="24"/>
      <c r="BB58" s="169"/>
      <c r="BC58" s="170"/>
      <c r="BD58" s="10">
        <v>73597</v>
      </c>
      <c r="BE58" s="10">
        <v>6500</v>
      </c>
      <c r="BF58" s="10">
        <v>9500</v>
      </c>
      <c r="BG58" s="268">
        <v>8500</v>
      </c>
      <c r="BH58" s="10">
        <v>8000</v>
      </c>
      <c r="BI58" s="76">
        <f t="shared" si="103"/>
        <v>8125</v>
      </c>
      <c r="BJ58" s="24">
        <f t="shared" si="104"/>
        <v>-65472</v>
      </c>
      <c r="BK58" s="25">
        <f t="shared" si="105"/>
        <v>-0.88960147832112724</v>
      </c>
      <c r="BL58" s="309">
        <f t="shared" si="106"/>
        <v>8125</v>
      </c>
      <c r="BM58" s="293"/>
      <c r="BN58" s="293"/>
      <c r="BO58" s="293"/>
      <c r="BP58" s="293"/>
      <c r="BQ58" s="293"/>
      <c r="BR58" s="293"/>
      <c r="BS58" s="293"/>
      <c r="BT58" s="293"/>
    </row>
    <row r="59" spans="1:72" s="1" customFormat="1" ht="27" customHeight="1">
      <c r="A59" s="91"/>
      <c r="B59" s="358" t="s">
        <v>2251</v>
      </c>
      <c r="C59" s="271" t="s">
        <v>1439</v>
      </c>
      <c r="D59" s="264" t="s">
        <v>1431</v>
      </c>
      <c r="E59" s="263" t="s">
        <v>1430</v>
      </c>
      <c r="F59" s="10"/>
      <c r="G59" s="10"/>
      <c r="H59" s="31"/>
      <c r="I59" s="270"/>
      <c r="J59" s="29"/>
      <c r="K59" s="24"/>
      <c r="L59" s="25"/>
      <c r="M59" s="69"/>
      <c r="N59" s="77"/>
      <c r="O59" s="73"/>
      <c r="P59" s="74"/>
      <c r="Q59" s="74"/>
      <c r="R59" s="75"/>
      <c r="S59" s="61"/>
      <c r="T59" s="60"/>
      <c r="U59" s="74"/>
      <c r="V59" s="76"/>
      <c r="W59" s="24"/>
      <c r="X59" s="25"/>
      <c r="Y59" s="77"/>
      <c r="Z59" s="106"/>
      <c r="AA59" s="73"/>
      <c r="AB59" s="88"/>
      <c r="AC59" s="116"/>
      <c r="AD59" s="74"/>
      <c r="AE59" s="76"/>
      <c r="AF59" s="24"/>
      <c r="AG59" s="25"/>
      <c r="AH59" s="77"/>
      <c r="AI59" s="77"/>
      <c r="AJ59" s="73"/>
      <c r="AK59" s="79"/>
      <c r="AL59" s="79"/>
      <c r="AM59" s="127"/>
      <c r="AN59" s="128"/>
      <c r="AO59" s="128"/>
      <c r="AP59" s="124"/>
      <c r="AQ59" s="125"/>
      <c r="AR59" s="126"/>
      <c r="AS59" s="132"/>
      <c r="AT59" s="10"/>
      <c r="AU59" s="10"/>
      <c r="AV59" s="167"/>
      <c r="AW59" s="168"/>
      <c r="AX59" s="29"/>
      <c r="AY59" s="24"/>
      <c r="AZ59" s="25"/>
      <c r="BA59" s="24"/>
      <c r="BB59" s="169"/>
      <c r="BC59" s="170"/>
      <c r="BD59" s="10">
        <v>186285</v>
      </c>
      <c r="BE59" s="10">
        <v>6500</v>
      </c>
      <c r="BF59" s="10">
        <v>9500</v>
      </c>
      <c r="BG59" s="268">
        <v>8500</v>
      </c>
      <c r="BH59" s="10">
        <v>8000</v>
      </c>
      <c r="BI59" s="76">
        <f t="shared" si="103"/>
        <v>8125</v>
      </c>
      <c r="BJ59" s="24">
        <f t="shared" si="104"/>
        <v>-178160</v>
      </c>
      <c r="BK59" s="25">
        <f t="shared" si="105"/>
        <v>-0.95638403521485893</v>
      </c>
      <c r="BL59" s="309">
        <f t="shared" si="106"/>
        <v>8125</v>
      </c>
      <c r="BM59" s="293"/>
      <c r="BN59" s="293"/>
      <c r="BO59" s="293"/>
      <c r="BP59" s="293"/>
      <c r="BQ59" s="293"/>
      <c r="BR59" s="293"/>
      <c r="BS59" s="293"/>
      <c r="BT59" s="293"/>
    </row>
    <row r="60" spans="1:72" s="1" customFormat="1" ht="27" customHeight="1">
      <c r="A60" s="91"/>
      <c r="B60" s="358" t="s">
        <v>2252</v>
      </c>
      <c r="C60" s="271" t="s">
        <v>1440</v>
      </c>
      <c r="D60" s="264" t="s">
        <v>1432</v>
      </c>
      <c r="E60" s="263" t="s">
        <v>827</v>
      </c>
      <c r="F60" s="10"/>
      <c r="G60" s="10"/>
      <c r="H60" s="31"/>
      <c r="I60" s="270"/>
      <c r="J60" s="29"/>
      <c r="K60" s="24"/>
      <c r="L60" s="25"/>
      <c r="M60" s="69"/>
      <c r="N60" s="77"/>
      <c r="O60" s="73"/>
      <c r="P60" s="74"/>
      <c r="Q60" s="74"/>
      <c r="R60" s="75"/>
      <c r="S60" s="61"/>
      <c r="T60" s="60"/>
      <c r="U60" s="74"/>
      <c r="V60" s="76"/>
      <c r="W60" s="24"/>
      <c r="X60" s="25"/>
      <c r="Y60" s="77"/>
      <c r="Z60" s="106"/>
      <c r="AA60" s="73"/>
      <c r="AB60" s="88"/>
      <c r="AC60" s="116"/>
      <c r="AD60" s="74"/>
      <c r="AE60" s="76"/>
      <c r="AF60" s="24"/>
      <c r="AG60" s="25"/>
      <c r="AH60" s="77"/>
      <c r="AI60" s="77"/>
      <c r="AJ60" s="73"/>
      <c r="AK60" s="79"/>
      <c r="AL60" s="79"/>
      <c r="AM60" s="127"/>
      <c r="AN60" s="128"/>
      <c r="AO60" s="128"/>
      <c r="AP60" s="124"/>
      <c r="AQ60" s="125"/>
      <c r="AR60" s="126"/>
      <c r="AS60" s="132"/>
      <c r="AT60" s="10"/>
      <c r="AU60" s="10"/>
      <c r="AV60" s="167"/>
      <c r="AW60" s="168"/>
      <c r="AX60" s="29"/>
      <c r="AY60" s="24"/>
      <c r="AZ60" s="25"/>
      <c r="BA60" s="24"/>
      <c r="BB60" s="169"/>
      <c r="BC60" s="170"/>
      <c r="BD60" s="10">
        <v>5222</v>
      </c>
      <c r="BE60" s="10">
        <v>6500</v>
      </c>
      <c r="BF60" s="10">
        <v>9500</v>
      </c>
      <c r="BG60" s="268">
        <v>8500</v>
      </c>
      <c r="BH60" s="10">
        <v>8000</v>
      </c>
      <c r="BI60" s="76">
        <f t="shared" si="103"/>
        <v>8125</v>
      </c>
      <c r="BJ60" s="24">
        <f t="shared" si="104"/>
        <v>2903</v>
      </c>
      <c r="BK60" s="25">
        <f t="shared" si="105"/>
        <v>0.55591727307545002</v>
      </c>
      <c r="BL60" s="309">
        <f t="shared" si="106"/>
        <v>8125</v>
      </c>
      <c r="BM60" s="293"/>
      <c r="BN60" s="293"/>
      <c r="BO60" s="293"/>
      <c r="BP60" s="293"/>
      <c r="BQ60" s="293"/>
      <c r="BR60" s="293"/>
      <c r="BS60" s="293"/>
      <c r="BT60" s="293"/>
    </row>
    <row r="61" spans="1:72" s="1" customFormat="1" ht="27" customHeight="1">
      <c r="A61" s="91"/>
      <c r="B61" s="358" t="s">
        <v>2253</v>
      </c>
      <c r="C61" s="271" t="s">
        <v>2148</v>
      </c>
      <c r="D61" s="313" t="s">
        <v>2149</v>
      </c>
      <c r="E61" s="49" t="s">
        <v>1466</v>
      </c>
      <c r="F61" s="10"/>
      <c r="G61" s="10"/>
      <c r="H61" s="31"/>
      <c r="I61" s="270"/>
      <c r="J61" s="29"/>
      <c r="K61" s="24"/>
      <c r="L61" s="25"/>
      <c r="M61" s="69"/>
      <c r="N61" s="77"/>
      <c r="O61" s="73"/>
      <c r="P61" s="74"/>
      <c r="Q61" s="74"/>
      <c r="R61" s="75"/>
      <c r="S61" s="61"/>
      <c r="T61" s="60"/>
      <c r="U61" s="74"/>
      <c r="V61" s="76"/>
      <c r="W61" s="24"/>
      <c r="X61" s="25"/>
      <c r="Y61" s="77"/>
      <c r="Z61" s="106"/>
      <c r="AA61" s="73"/>
      <c r="AB61" s="88"/>
      <c r="AC61" s="116"/>
      <c r="AD61" s="74"/>
      <c r="AE61" s="76"/>
      <c r="AF61" s="24"/>
      <c r="AG61" s="25"/>
      <c r="AH61" s="77"/>
      <c r="AI61" s="77"/>
      <c r="AJ61" s="73"/>
      <c r="AK61" s="79"/>
      <c r="AL61" s="79"/>
      <c r="AM61" s="127"/>
      <c r="AN61" s="128"/>
      <c r="AO61" s="128"/>
      <c r="AP61" s="124"/>
      <c r="AQ61" s="125"/>
      <c r="AR61" s="126"/>
      <c r="AS61" s="132"/>
      <c r="AT61" s="10"/>
      <c r="AU61" s="10"/>
      <c r="AV61" s="167"/>
      <c r="AW61" s="168"/>
      <c r="AX61" s="29"/>
      <c r="AY61" s="24"/>
      <c r="AZ61" s="25"/>
      <c r="BA61" s="24"/>
      <c r="BB61" s="169"/>
      <c r="BC61" s="170"/>
      <c r="BD61" s="10"/>
      <c r="BE61" s="10"/>
      <c r="BF61" s="10"/>
      <c r="BG61" s="268"/>
      <c r="BH61" s="10"/>
      <c r="BI61" s="76"/>
      <c r="BJ61" s="24"/>
      <c r="BK61" s="25"/>
      <c r="BL61" s="259"/>
      <c r="BM61" s="10">
        <v>66864</v>
      </c>
      <c r="BN61" s="45">
        <v>46000</v>
      </c>
      <c r="BO61" s="45">
        <v>30380</v>
      </c>
      <c r="BP61" s="45">
        <v>40000</v>
      </c>
      <c r="BQ61" s="29">
        <f t="shared" ref="BQ61" si="107">AVERAGE(BN61,BO61,BP61)</f>
        <v>38793.333333333336</v>
      </c>
      <c r="BR61" s="24">
        <f t="shared" ref="BR61" si="108">BQ61-BM61</f>
        <v>-28070.666666666664</v>
      </c>
      <c r="BS61" s="25">
        <f t="shared" ref="BS61" si="109">+BR61/BM61</f>
        <v>-0.41981734067161197</v>
      </c>
      <c r="BT61" s="308">
        <f t="shared" ref="BT61" si="110">BQ61</f>
        <v>38793.333333333336</v>
      </c>
    </row>
    <row r="62" spans="1:72" ht="24.6" customHeight="1">
      <c r="A62" s="91" t="s">
        <v>8</v>
      </c>
      <c r="B62" s="358" t="s">
        <v>2254</v>
      </c>
      <c r="C62" s="252" t="s">
        <v>750</v>
      </c>
      <c r="D62" s="100" t="s">
        <v>8</v>
      </c>
      <c r="E62" s="47"/>
      <c r="F62" s="47"/>
      <c r="G62" s="47"/>
      <c r="H62" s="47"/>
      <c r="I62" s="47"/>
      <c r="J62" s="47"/>
      <c r="K62" s="47"/>
      <c r="L62" s="47"/>
      <c r="M62" s="47"/>
      <c r="N62" s="47"/>
      <c r="O62" s="47"/>
      <c r="P62" s="47"/>
      <c r="Q62" s="47"/>
      <c r="R62" s="47"/>
      <c r="S62" s="47"/>
      <c r="T62" s="47"/>
      <c r="U62" s="47"/>
      <c r="V62" s="47"/>
      <c r="W62" s="47"/>
      <c r="X62" s="47"/>
      <c r="Y62" s="47"/>
      <c r="Z62" s="47"/>
      <c r="AA62" s="47"/>
      <c r="AB62" s="47"/>
      <c r="AC62" s="47"/>
      <c r="AD62" s="47"/>
      <c r="AE62" s="47"/>
      <c r="AF62" s="47"/>
      <c r="AG62" s="47"/>
      <c r="AH62" s="47"/>
      <c r="AI62" s="47"/>
      <c r="AJ62" s="147"/>
      <c r="AK62" s="148"/>
      <c r="AL62" s="148"/>
      <c r="AM62" s="149"/>
      <c r="AN62" s="148"/>
      <c r="AO62" s="148"/>
      <c r="AP62" s="124"/>
      <c r="AQ62" s="125"/>
      <c r="AR62" s="126"/>
      <c r="AS62" s="132"/>
      <c r="AT62" s="173"/>
      <c r="AU62" s="173"/>
      <c r="AV62" s="174"/>
      <c r="AW62" s="175"/>
      <c r="AX62" s="29"/>
      <c r="AY62" s="24"/>
      <c r="AZ62" s="25"/>
      <c r="BA62" s="24"/>
      <c r="BB62" s="169"/>
      <c r="BC62" s="170"/>
      <c r="BD62" s="266"/>
      <c r="BE62" s="173"/>
      <c r="BF62" s="173"/>
      <c r="BG62" s="272"/>
      <c r="BH62" s="266"/>
      <c r="BI62" s="76"/>
      <c r="BJ62" s="24"/>
      <c r="BK62" s="25"/>
      <c r="BL62" s="259"/>
      <c r="BM62" s="314"/>
      <c r="BN62" s="315"/>
      <c r="BO62" s="315"/>
      <c r="BP62" s="314"/>
      <c r="BQ62" s="29"/>
      <c r="BR62" s="24"/>
      <c r="BS62" s="25"/>
      <c r="BT62" s="308"/>
    </row>
    <row r="63" spans="1:72" ht="34.35" customHeight="1">
      <c r="A63" s="91" t="s">
        <v>8</v>
      </c>
      <c r="B63" s="358" t="s">
        <v>2255</v>
      </c>
      <c r="C63" s="50" t="s">
        <v>78</v>
      </c>
      <c r="D63" s="99" t="s">
        <v>414</v>
      </c>
      <c r="E63" s="49" t="s">
        <v>14</v>
      </c>
      <c r="F63" s="10">
        <v>83870</v>
      </c>
      <c r="G63" s="10">
        <v>109080</v>
      </c>
      <c r="H63" s="31">
        <v>141804</v>
      </c>
      <c r="I63" s="35">
        <v>95344</v>
      </c>
      <c r="J63" s="29">
        <f t="shared" si="67"/>
        <v>115409.33333333333</v>
      </c>
      <c r="K63" s="24">
        <f t="shared" si="68"/>
        <v>31539.333333333328</v>
      </c>
      <c r="L63" s="25">
        <f t="shared" si="69"/>
        <v>0.37605023647708752</v>
      </c>
      <c r="M63" s="69" t="str">
        <f t="shared" si="70"/>
        <v>REVISAR PRECIO</v>
      </c>
      <c r="N63" s="77">
        <f t="shared" si="19"/>
        <v>115409.33333333333</v>
      </c>
      <c r="O63" s="73">
        <v>30375</v>
      </c>
      <c r="P63" s="74">
        <v>69000</v>
      </c>
      <c r="Q63" s="74">
        <v>100000</v>
      </c>
      <c r="R63" s="75">
        <v>79500</v>
      </c>
      <c r="S63" s="61">
        <v>90390</v>
      </c>
      <c r="T63" s="60">
        <v>40000</v>
      </c>
      <c r="U63" s="74">
        <v>103948.49999999999</v>
      </c>
      <c r="V63" s="76">
        <f t="shared" si="20"/>
        <v>80473.083333333328</v>
      </c>
      <c r="W63" s="24">
        <f t="shared" ref="W63:W78" si="111">V63-O63</f>
        <v>50098.083333333328</v>
      </c>
      <c r="X63" s="25">
        <f t="shared" ref="X63:X78" si="112">+W63/O63</f>
        <v>1.6493196159122083</v>
      </c>
      <c r="Y63" s="77" t="str">
        <f t="shared" si="4"/>
        <v>REVISAR PRECIO</v>
      </c>
      <c r="Z63" s="106">
        <f t="shared" si="21"/>
        <v>80473.083333333328</v>
      </c>
      <c r="AA63" s="73">
        <v>30375</v>
      </c>
      <c r="AB63" s="88">
        <v>63000</v>
      </c>
      <c r="AC63" s="116">
        <v>63000</v>
      </c>
      <c r="AD63" s="74">
        <v>66000</v>
      </c>
      <c r="AE63" s="76">
        <f t="shared" ref="AE63:AE78" si="113">AVERAGE(AB63,AC63,AD63)</f>
        <v>64000</v>
      </c>
      <c r="AF63" s="24">
        <f t="shared" ref="AF63:AF78" si="114">AE63-AA63</f>
        <v>33625</v>
      </c>
      <c r="AG63" s="25">
        <f t="shared" ref="AG63:AG78" si="115">+AF63/AA63</f>
        <v>1.1069958847736625</v>
      </c>
      <c r="AH63" s="77" t="str">
        <f t="shared" ref="AH63:AH78" si="116">+IF(AG63&lt;35%,AE63,"REVISAR PRECIO")</f>
        <v>REVISAR PRECIO</v>
      </c>
      <c r="AI63" s="77">
        <f t="shared" ref="AI63:AI78" si="117">AE63</f>
        <v>64000</v>
      </c>
      <c r="AJ63" s="73">
        <v>30375</v>
      </c>
      <c r="AK63" s="79">
        <v>79500</v>
      </c>
      <c r="AL63" s="79">
        <v>60000</v>
      </c>
      <c r="AM63" s="127">
        <v>72000</v>
      </c>
      <c r="AN63" s="128">
        <v>65000</v>
      </c>
      <c r="AO63" s="128">
        <v>62000</v>
      </c>
      <c r="AP63" s="133">
        <f t="shared" ref="AP63:AP78" si="118">AVERAGE(AK63,AL63,AM63,AN63,AO63)</f>
        <v>67700</v>
      </c>
      <c r="AQ63" s="127">
        <f t="shared" ref="AQ63:AQ78" si="119">AP63-AJ63</f>
        <v>37325</v>
      </c>
      <c r="AR63" s="134">
        <f t="shared" ref="AR63:AR78" si="120">+AQ63/AJ63</f>
        <v>1.2288065843621399</v>
      </c>
      <c r="AS63" s="132">
        <f t="shared" ref="AS63:AS78" si="121">AP63</f>
        <v>67700</v>
      </c>
      <c r="AT63" s="10">
        <v>29778</v>
      </c>
      <c r="AU63" s="10">
        <v>60000</v>
      </c>
      <c r="AV63" s="167">
        <v>60000</v>
      </c>
      <c r="AW63" s="168">
        <v>60000</v>
      </c>
      <c r="AX63" s="29">
        <f t="shared" ref="AX63:AX68" si="122">AVERAGE(AU63,AW63)</f>
        <v>60000</v>
      </c>
      <c r="AY63" s="24">
        <f t="shared" ref="AY63:AY68" si="123">AX63-AT63</f>
        <v>30222</v>
      </c>
      <c r="AZ63" s="25">
        <f t="shared" ref="AZ63:AZ68" si="124">+AY63/AT63</f>
        <v>1.0149103364900263</v>
      </c>
      <c r="BA63" s="24">
        <f t="shared" ref="BA63:BA68" si="125">AV63-AT63</f>
        <v>30222</v>
      </c>
      <c r="BB63" s="169">
        <f t="shared" ref="BB63:BB68" si="126">+BA63/AT63</f>
        <v>1.0149103364900263</v>
      </c>
      <c r="BC63" s="170">
        <f t="shared" ref="BC63:BC68" si="127">AX63</f>
        <v>60000</v>
      </c>
      <c r="BD63" s="10">
        <v>27072</v>
      </c>
      <c r="BE63" s="10">
        <v>45000</v>
      </c>
      <c r="BF63" s="10">
        <v>51000</v>
      </c>
      <c r="BG63" s="268">
        <v>50000</v>
      </c>
      <c r="BH63" s="10">
        <v>45000</v>
      </c>
      <c r="BI63" s="76">
        <f t="shared" ref="BI63:BI68" si="128">AVERAGE(BE63,BF63,BG63,BH63)</f>
        <v>47750</v>
      </c>
      <c r="BJ63" s="24">
        <f t="shared" ref="BJ63:BJ68" si="129">BI63-BD63</f>
        <v>20678</v>
      </c>
      <c r="BK63" s="25">
        <f t="shared" ref="BK63:BK68" si="130">+BJ63/BD63</f>
        <v>0.76381501182033096</v>
      </c>
      <c r="BL63" s="259">
        <f t="shared" ref="BL63:BL68" si="131">BI63</f>
        <v>47750</v>
      </c>
      <c r="BM63" s="10">
        <v>30224</v>
      </c>
      <c r="BN63" s="45">
        <v>90000</v>
      </c>
      <c r="BO63" s="45">
        <v>50000</v>
      </c>
      <c r="BP63" s="45">
        <v>70000</v>
      </c>
      <c r="BQ63" s="29">
        <f t="shared" ref="BQ63:BQ68" si="132">AVERAGE(BN63,BO63,BP63)</f>
        <v>70000</v>
      </c>
      <c r="BR63" s="24">
        <f t="shared" ref="BR63:BR68" si="133">BQ63-BM63</f>
        <v>39776</v>
      </c>
      <c r="BS63" s="25">
        <f t="shared" ref="BS63:BS68" si="134">+BR63/BM63</f>
        <v>1.316040232927475</v>
      </c>
      <c r="BT63" s="308">
        <f t="shared" ref="BT63:BT68" si="135">BQ63</f>
        <v>70000</v>
      </c>
    </row>
    <row r="64" spans="1:72" ht="34.35" customHeight="1">
      <c r="A64" s="91" t="s">
        <v>8</v>
      </c>
      <c r="B64" s="358" t="s">
        <v>2256</v>
      </c>
      <c r="C64" s="50" t="s">
        <v>79</v>
      </c>
      <c r="D64" s="99" t="s">
        <v>415</v>
      </c>
      <c r="E64" s="48" t="s">
        <v>13</v>
      </c>
      <c r="F64" s="10">
        <v>16961</v>
      </c>
      <c r="G64" s="10">
        <v>22059</v>
      </c>
      <c r="H64" s="31">
        <v>28677</v>
      </c>
      <c r="I64" s="35">
        <v>19281.2</v>
      </c>
      <c r="J64" s="29">
        <f t="shared" si="67"/>
        <v>23339.066666666666</v>
      </c>
      <c r="K64" s="24">
        <f t="shared" si="68"/>
        <v>6378.0666666666657</v>
      </c>
      <c r="L64" s="25">
        <f t="shared" si="69"/>
        <v>0.37604307922095781</v>
      </c>
      <c r="M64" s="69" t="str">
        <f t="shared" si="70"/>
        <v>REVISAR PRECIO</v>
      </c>
      <c r="N64" s="77">
        <f t="shared" si="19"/>
        <v>23339.066666666666</v>
      </c>
      <c r="O64" s="73">
        <v>10765</v>
      </c>
      <c r="P64" s="74">
        <v>4600</v>
      </c>
      <c r="Q64" s="74">
        <v>8000</v>
      </c>
      <c r="R64" s="75">
        <v>5300</v>
      </c>
      <c r="S64" s="61">
        <v>16099.999999999998</v>
      </c>
      <c r="T64" s="60">
        <v>30000</v>
      </c>
      <c r="U64" s="74">
        <v>18514.999999999996</v>
      </c>
      <c r="V64" s="76">
        <f t="shared" si="20"/>
        <v>13752.5</v>
      </c>
      <c r="W64" s="24">
        <f t="shared" si="111"/>
        <v>2987.5</v>
      </c>
      <c r="X64" s="25">
        <f t="shared" si="112"/>
        <v>0.27751973989781697</v>
      </c>
      <c r="Y64" s="77">
        <f t="shared" si="4"/>
        <v>13752.5</v>
      </c>
      <c r="Z64" s="106">
        <f t="shared" si="21"/>
        <v>13752.5</v>
      </c>
      <c r="AA64" s="73">
        <v>10765</v>
      </c>
      <c r="AB64" s="88">
        <v>4500</v>
      </c>
      <c r="AC64" s="116">
        <v>5250</v>
      </c>
      <c r="AD64" s="74">
        <v>4400</v>
      </c>
      <c r="AE64" s="76">
        <f t="shared" si="113"/>
        <v>4716.666666666667</v>
      </c>
      <c r="AF64" s="24">
        <f t="shared" si="114"/>
        <v>-6048.333333333333</v>
      </c>
      <c r="AG64" s="25">
        <f t="shared" si="115"/>
        <v>-0.56185167982659856</v>
      </c>
      <c r="AH64" s="77">
        <f t="shared" si="116"/>
        <v>4716.666666666667</v>
      </c>
      <c r="AI64" s="77">
        <f t="shared" si="117"/>
        <v>4716.666666666667</v>
      </c>
      <c r="AJ64" s="73">
        <v>10765</v>
      </c>
      <c r="AK64" s="79">
        <v>5300</v>
      </c>
      <c r="AL64" s="79">
        <f>+AL73</f>
        <v>4000</v>
      </c>
      <c r="AM64" s="127">
        <v>4800</v>
      </c>
      <c r="AN64" s="128">
        <v>4500</v>
      </c>
      <c r="AO64" s="128">
        <v>5000</v>
      </c>
      <c r="AP64" s="133">
        <f t="shared" si="118"/>
        <v>4720</v>
      </c>
      <c r="AQ64" s="127">
        <f t="shared" si="119"/>
        <v>-6045</v>
      </c>
      <c r="AR64" s="134">
        <f t="shared" si="120"/>
        <v>-0.56154203437064565</v>
      </c>
      <c r="AS64" s="132">
        <f t="shared" si="121"/>
        <v>4720</v>
      </c>
      <c r="AT64" s="10">
        <v>10557</v>
      </c>
      <c r="AU64" s="10">
        <v>4000</v>
      </c>
      <c r="AV64" s="167">
        <v>8000</v>
      </c>
      <c r="AW64" s="168">
        <v>3568</v>
      </c>
      <c r="AX64" s="29">
        <f t="shared" si="122"/>
        <v>3784</v>
      </c>
      <c r="AY64" s="24">
        <f t="shared" si="123"/>
        <v>-6773</v>
      </c>
      <c r="AZ64" s="25">
        <f t="shared" si="124"/>
        <v>-0.64156483849578483</v>
      </c>
      <c r="BA64" s="24">
        <f t="shared" si="125"/>
        <v>-2557</v>
      </c>
      <c r="BB64" s="169">
        <f t="shared" si="126"/>
        <v>-0.24220896087903759</v>
      </c>
      <c r="BC64" s="170">
        <f t="shared" si="127"/>
        <v>3784</v>
      </c>
      <c r="BD64" s="10">
        <v>9597</v>
      </c>
      <c r="BE64" s="10">
        <v>23000</v>
      </c>
      <c r="BF64" s="10">
        <v>25000</v>
      </c>
      <c r="BG64" s="268">
        <v>25000</v>
      </c>
      <c r="BH64" s="10">
        <v>25000</v>
      </c>
      <c r="BI64" s="76">
        <f t="shared" si="128"/>
        <v>24500</v>
      </c>
      <c r="BJ64" s="24">
        <f t="shared" si="129"/>
        <v>14903</v>
      </c>
      <c r="BK64" s="25">
        <f t="shared" si="130"/>
        <v>1.5528811086797958</v>
      </c>
      <c r="BL64" s="259">
        <f t="shared" si="131"/>
        <v>24500</v>
      </c>
      <c r="BM64" s="10">
        <v>10717</v>
      </c>
      <c r="BN64" s="45">
        <v>12000</v>
      </c>
      <c r="BO64" s="45">
        <v>12457</v>
      </c>
      <c r="BP64" s="45">
        <v>60000</v>
      </c>
      <c r="BQ64" s="29">
        <f t="shared" si="132"/>
        <v>28152.333333333332</v>
      </c>
      <c r="BR64" s="24">
        <f t="shared" si="133"/>
        <v>17435.333333333332</v>
      </c>
      <c r="BS64" s="25">
        <f t="shared" si="134"/>
        <v>1.6268856334173118</v>
      </c>
      <c r="BT64" s="308">
        <f t="shared" si="135"/>
        <v>28152.333333333332</v>
      </c>
    </row>
    <row r="65" spans="1:72" s="1" customFormat="1" ht="34.35" customHeight="1">
      <c r="A65" s="91" t="s">
        <v>8</v>
      </c>
      <c r="B65" s="358" t="s">
        <v>2257</v>
      </c>
      <c r="C65" s="50" t="s">
        <v>80</v>
      </c>
      <c r="D65" s="99" t="s">
        <v>416</v>
      </c>
      <c r="E65" s="49" t="s">
        <v>14</v>
      </c>
      <c r="F65" s="10">
        <v>22566</v>
      </c>
      <c r="G65" s="10">
        <v>29349</v>
      </c>
      <c r="H65" s="33">
        <v>38154</v>
      </c>
      <c r="I65" s="35">
        <v>25653.200000000001</v>
      </c>
      <c r="J65" s="29">
        <f t="shared" si="67"/>
        <v>31052.066666666666</v>
      </c>
      <c r="K65" s="24">
        <f t="shared" si="68"/>
        <v>8486.0666666666657</v>
      </c>
      <c r="L65" s="25">
        <f t="shared" si="69"/>
        <v>0.37605542261218938</v>
      </c>
      <c r="M65" s="69" t="str">
        <f t="shared" si="70"/>
        <v>REVISAR PRECIO</v>
      </c>
      <c r="N65" s="77">
        <f t="shared" si="19"/>
        <v>31052.066666666666</v>
      </c>
      <c r="O65" s="73">
        <v>14333</v>
      </c>
      <c r="P65" s="74">
        <v>20700</v>
      </c>
      <c r="Q65" s="74">
        <v>35000</v>
      </c>
      <c r="R65" s="75">
        <v>23850</v>
      </c>
      <c r="S65" s="61">
        <v>27599.999999999996</v>
      </c>
      <c r="T65" s="60">
        <v>18000</v>
      </c>
      <c r="U65" s="74">
        <v>31739.999999999993</v>
      </c>
      <c r="V65" s="76">
        <f t="shared" si="20"/>
        <v>26148.333333333332</v>
      </c>
      <c r="W65" s="24">
        <f t="shared" si="111"/>
        <v>11815.333333333332</v>
      </c>
      <c r="X65" s="25">
        <f t="shared" si="112"/>
        <v>0.82434475220353953</v>
      </c>
      <c r="Y65" s="77" t="str">
        <f t="shared" si="4"/>
        <v>REVISAR PRECIO</v>
      </c>
      <c r="Z65" s="106">
        <f t="shared" si="21"/>
        <v>26148.333333333332</v>
      </c>
      <c r="AA65" s="73">
        <v>14333</v>
      </c>
      <c r="AB65" s="88">
        <v>18000</v>
      </c>
      <c r="AC65" s="116">
        <v>18000</v>
      </c>
      <c r="AD65" s="74">
        <v>19800</v>
      </c>
      <c r="AE65" s="76">
        <f t="shared" si="113"/>
        <v>18600</v>
      </c>
      <c r="AF65" s="24">
        <f t="shared" si="114"/>
        <v>4267</v>
      </c>
      <c r="AG65" s="25">
        <f t="shared" si="115"/>
        <v>0.29770459778134373</v>
      </c>
      <c r="AH65" s="77">
        <f t="shared" si="116"/>
        <v>18600</v>
      </c>
      <c r="AI65" s="77">
        <f t="shared" si="117"/>
        <v>18600</v>
      </c>
      <c r="AJ65" s="73">
        <v>14333</v>
      </c>
      <c r="AK65" s="79">
        <v>23850</v>
      </c>
      <c r="AL65" s="79">
        <v>18000</v>
      </c>
      <c r="AM65" s="127">
        <v>21600</v>
      </c>
      <c r="AN65" s="128">
        <v>22000</v>
      </c>
      <c r="AO65" s="128">
        <v>20000</v>
      </c>
      <c r="AP65" s="133">
        <f t="shared" si="118"/>
        <v>21090</v>
      </c>
      <c r="AQ65" s="127">
        <f t="shared" si="119"/>
        <v>6757</v>
      </c>
      <c r="AR65" s="134">
        <f t="shared" si="120"/>
        <v>0.47142956812949138</v>
      </c>
      <c r="AS65" s="132">
        <f t="shared" si="121"/>
        <v>21090</v>
      </c>
      <c r="AT65" s="10">
        <v>14050</v>
      </c>
      <c r="AU65" s="10">
        <v>18000</v>
      </c>
      <c r="AV65" s="167">
        <v>54000</v>
      </c>
      <c r="AW65" s="168">
        <v>12000</v>
      </c>
      <c r="AX65" s="29">
        <f t="shared" si="122"/>
        <v>15000</v>
      </c>
      <c r="AY65" s="24">
        <f t="shared" si="123"/>
        <v>950</v>
      </c>
      <c r="AZ65" s="25">
        <f t="shared" si="124"/>
        <v>6.7615658362989328E-2</v>
      </c>
      <c r="BA65" s="24">
        <f t="shared" si="125"/>
        <v>39950</v>
      </c>
      <c r="BB65" s="169">
        <f t="shared" si="126"/>
        <v>2.8434163701067616</v>
      </c>
      <c r="BC65" s="170">
        <f t="shared" si="127"/>
        <v>15000</v>
      </c>
      <c r="BD65" s="10">
        <v>12776</v>
      </c>
      <c r="BE65" s="10">
        <v>25000</v>
      </c>
      <c r="BF65" s="10">
        <v>27000</v>
      </c>
      <c r="BG65" s="268">
        <v>27000</v>
      </c>
      <c r="BH65" s="10">
        <v>30000</v>
      </c>
      <c r="BI65" s="76">
        <f t="shared" si="128"/>
        <v>27250</v>
      </c>
      <c r="BJ65" s="24">
        <f t="shared" si="129"/>
        <v>14474</v>
      </c>
      <c r="BK65" s="25">
        <f t="shared" si="130"/>
        <v>1.1329054477144647</v>
      </c>
      <c r="BL65" s="259">
        <f t="shared" si="131"/>
        <v>27250</v>
      </c>
      <c r="BM65" s="10">
        <v>14267</v>
      </c>
      <c r="BN65" s="45">
        <v>35000</v>
      </c>
      <c r="BO65" s="45">
        <v>16580</v>
      </c>
      <c r="BP65" s="45">
        <v>15000</v>
      </c>
      <c r="BQ65" s="29">
        <f t="shared" si="132"/>
        <v>22193.333333333332</v>
      </c>
      <c r="BR65" s="24">
        <f t="shared" si="133"/>
        <v>7926.3333333333321</v>
      </c>
      <c r="BS65" s="25">
        <f t="shared" si="134"/>
        <v>0.55557113151561865</v>
      </c>
      <c r="BT65" s="308">
        <f t="shared" si="135"/>
        <v>22193.333333333332</v>
      </c>
    </row>
    <row r="66" spans="1:72" ht="34.35" customHeight="1">
      <c r="A66" s="91" t="s">
        <v>8</v>
      </c>
      <c r="B66" s="358" t="s">
        <v>2258</v>
      </c>
      <c r="C66" s="50" t="s">
        <v>81</v>
      </c>
      <c r="D66" s="99" t="s">
        <v>417</v>
      </c>
      <c r="E66" s="49" t="s">
        <v>14</v>
      </c>
      <c r="F66" s="10">
        <v>22566</v>
      </c>
      <c r="G66" s="10">
        <v>29349</v>
      </c>
      <c r="H66" s="33">
        <v>38154</v>
      </c>
      <c r="I66" s="35">
        <v>25653.200000000001</v>
      </c>
      <c r="J66" s="29">
        <f t="shared" si="67"/>
        <v>31052.066666666666</v>
      </c>
      <c r="K66" s="24">
        <f t="shared" si="68"/>
        <v>8486.0666666666657</v>
      </c>
      <c r="L66" s="25">
        <f t="shared" si="69"/>
        <v>0.37605542261218938</v>
      </c>
      <c r="M66" s="69" t="str">
        <f t="shared" si="70"/>
        <v>REVISAR PRECIO</v>
      </c>
      <c r="N66" s="77">
        <f t="shared" si="19"/>
        <v>31052.066666666666</v>
      </c>
      <c r="O66" s="73">
        <v>14333</v>
      </c>
      <c r="P66" s="74">
        <v>20700</v>
      </c>
      <c r="Q66" s="74">
        <v>30000</v>
      </c>
      <c r="R66" s="75">
        <v>23850</v>
      </c>
      <c r="S66" s="61">
        <v>26449.999999999996</v>
      </c>
      <c r="T66" s="60">
        <v>15000</v>
      </c>
      <c r="U66" s="74">
        <v>30417.499999999993</v>
      </c>
      <c r="V66" s="76">
        <f t="shared" si="20"/>
        <v>24402.916666666668</v>
      </c>
      <c r="W66" s="24">
        <f t="shared" si="111"/>
        <v>10069.916666666668</v>
      </c>
      <c r="X66" s="25">
        <f t="shared" si="112"/>
        <v>0.70256866438754395</v>
      </c>
      <c r="Y66" s="77" t="str">
        <f t="shared" si="4"/>
        <v>REVISAR PRECIO</v>
      </c>
      <c r="Z66" s="106">
        <f t="shared" si="21"/>
        <v>24402.916666666668</v>
      </c>
      <c r="AA66" s="73">
        <v>14333</v>
      </c>
      <c r="AB66" s="88">
        <v>20000</v>
      </c>
      <c r="AC66" s="116">
        <v>20000</v>
      </c>
      <c r="AD66" s="74">
        <v>19800</v>
      </c>
      <c r="AE66" s="76">
        <f t="shared" si="113"/>
        <v>19933.333333333332</v>
      </c>
      <c r="AF66" s="24">
        <f t="shared" si="114"/>
        <v>5600.3333333333321</v>
      </c>
      <c r="AG66" s="25">
        <f t="shared" si="115"/>
        <v>0.39073001697713894</v>
      </c>
      <c r="AH66" s="77" t="str">
        <f t="shared" si="116"/>
        <v>REVISAR PRECIO</v>
      </c>
      <c r="AI66" s="77">
        <f t="shared" si="117"/>
        <v>19933.333333333332</v>
      </c>
      <c r="AJ66" s="73">
        <v>14333</v>
      </c>
      <c r="AK66" s="79">
        <v>23850</v>
      </c>
      <c r="AL66" s="79">
        <v>18000</v>
      </c>
      <c r="AM66" s="127">
        <v>21600</v>
      </c>
      <c r="AN66" s="128">
        <v>22000</v>
      </c>
      <c r="AO66" s="128">
        <v>20000</v>
      </c>
      <c r="AP66" s="133">
        <f t="shared" si="118"/>
        <v>21090</v>
      </c>
      <c r="AQ66" s="127">
        <f t="shared" si="119"/>
        <v>6757</v>
      </c>
      <c r="AR66" s="134">
        <f t="shared" si="120"/>
        <v>0.47142956812949138</v>
      </c>
      <c r="AS66" s="132">
        <f t="shared" si="121"/>
        <v>21090</v>
      </c>
      <c r="AT66" s="10">
        <v>14050</v>
      </c>
      <c r="AU66" s="10">
        <v>18000</v>
      </c>
      <c r="AV66" s="167">
        <v>72000</v>
      </c>
      <c r="AW66" s="168">
        <v>12000</v>
      </c>
      <c r="AX66" s="29">
        <f t="shared" si="122"/>
        <v>15000</v>
      </c>
      <c r="AY66" s="24">
        <f t="shared" si="123"/>
        <v>950</v>
      </c>
      <c r="AZ66" s="25">
        <f t="shared" si="124"/>
        <v>6.7615658362989328E-2</v>
      </c>
      <c r="BA66" s="24">
        <f t="shared" si="125"/>
        <v>57950</v>
      </c>
      <c r="BB66" s="169">
        <f t="shared" si="126"/>
        <v>4.1245551601423491</v>
      </c>
      <c r="BC66" s="170">
        <f t="shared" si="127"/>
        <v>15000</v>
      </c>
      <c r="BD66" s="10">
        <v>12776</v>
      </c>
      <c r="BE66" s="10">
        <v>20000</v>
      </c>
      <c r="BF66" s="10">
        <v>23000</v>
      </c>
      <c r="BG66" s="268">
        <v>23000</v>
      </c>
      <c r="BH66" s="10">
        <v>30000</v>
      </c>
      <c r="BI66" s="76">
        <f t="shared" si="128"/>
        <v>24000</v>
      </c>
      <c r="BJ66" s="24">
        <f t="shared" si="129"/>
        <v>11224</v>
      </c>
      <c r="BK66" s="25">
        <f t="shared" si="130"/>
        <v>0.87852222917971201</v>
      </c>
      <c r="BL66" s="259">
        <f t="shared" si="131"/>
        <v>24000</v>
      </c>
      <c r="BM66" s="10">
        <v>14267</v>
      </c>
      <c r="BN66" s="45">
        <v>35000</v>
      </c>
      <c r="BO66" s="45">
        <v>16580</v>
      </c>
      <c r="BP66" s="45">
        <v>15000</v>
      </c>
      <c r="BQ66" s="29">
        <f t="shared" si="132"/>
        <v>22193.333333333332</v>
      </c>
      <c r="BR66" s="24">
        <f t="shared" si="133"/>
        <v>7926.3333333333321</v>
      </c>
      <c r="BS66" s="25">
        <f t="shared" si="134"/>
        <v>0.55557113151561865</v>
      </c>
      <c r="BT66" s="308">
        <f t="shared" si="135"/>
        <v>22193.333333333332</v>
      </c>
    </row>
    <row r="67" spans="1:72" ht="34.35" customHeight="1">
      <c r="A67" s="91" t="s">
        <v>8</v>
      </c>
      <c r="B67" s="358" t="s">
        <v>2259</v>
      </c>
      <c r="C67" s="50" t="s">
        <v>82</v>
      </c>
      <c r="D67" s="99" t="s">
        <v>418</v>
      </c>
      <c r="E67" s="49" t="s">
        <v>14</v>
      </c>
      <c r="F67" s="10">
        <v>25857</v>
      </c>
      <c r="G67" s="10">
        <v>33629</v>
      </c>
      <c r="H67" s="31">
        <v>33629</v>
      </c>
      <c r="I67" s="35">
        <v>29393.8</v>
      </c>
      <c r="J67" s="29">
        <f t="shared" si="67"/>
        <v>32217.266666666666</v>
      </c>
      <c r="K67" s="24">
        <f t="shared" si="68"/>
        <v>6360.2666666666664</v>
      </c>
      <c r="L67" s="25">
        <f t="shared" si="69"/>
        <v>0.24597852290159983</v>
      </c>
      <c r="M67" s="69">
        <f t="shared" si="70"/>
        <v>32217.266666666666</v>
      </c>
      <c r="N67" s="77">
        <f>J67</f>
        <v>32217.266666666666</v>
      </c>
      <c r="O67" s="73">
        <v>16422</v>
      </c>
      <c r="P67" s="74">
        <v>5750</v>
      </c>
      <c r="Q67" s="74">
        <v>30000</v>
      </c>
      <c r="R67" s="75">
        <v>6625</v>
      </c>
      <c r="S67" s="61">
        <v>38640</v>
      </c>
      <c r="T67" s="60">
        <v>28000</v>
      </c>
      <c r="U67" s="74">
        <v>44436</v>
      </c>
      <c r="V67" s="76">
        <f t="shared" si="20"/>
        <v>25575.166666666668</v>
      </c>
      <c r="W67" s="24">
        <f t="shared" si="111"/>
        <v>9153.1666666666679</v>
      </c>
      <c r="X67" s="25">
        <f t="shared" si="112"/>
        <v>0.55737222425201971</v>
      </c>
      <c r="Y67" s="77" t="str">
        <f t="shared" si="4"/>
        <v>REVISAR PRECIO</v>
      </c>
      <c r="Z67" s="106">
        <f t="shared" si="21"/>
        <v>25575.166666666668</v>
      </c>
      <c r="AA67" s="73">
        <v>16422</v>
      </c>
      <c r="AB67" s="88">
        <v>5000</v>
      </c>
      <c r="AC67" s="116">
        <v>7000</v>
      </c>
      <c r="AD67" s="74">
        <v>5500</v>
      </c>
      <c r="AE67" s="76">
        <f t="shared" si="113"/>
        <v>5833.333333333333</v>
      </c>
      <c r="AF67" s="24">
        <f t="shared" si="114"/>
        <v>-10588.666666666668</v>
      </c>
      <c r="AG67" s="25">
        <f t="shared" si="115"/>
        <v>-0.64478545041204893</v>
      </c>
      <c r="AH67" s="77">
        <f t="shared" si="116"/>
        <v>5833.333333333333</v>
      </c>
      <c r="AI67" s="77">
        <f t="shared" si="117"/>
        <v>5833.333333333333</v>
      </c>
      <c r="AJ67" s="73">
        <v>16422</v>
      </c>
      <c r="AK67" s="79">
        <v>6625</v>
      </c>
      <c r="AL67" s="79">
        <v>5000</v>
      </c>
      <c r="AM67" s="127">
        <v>6000</v>
      </c>
      <c r="AN67" s="128">
        <v>5500</v>
      </c>
      <c r="AO67" s="128">
        <v>6000</v>
      </c>
      <c r="AP67" s="133">
        <f t="shared" si="118"/>
        <v>5825</v>
      </c>
      <c r="AQ67" s="127">
        <f t="shared" si="119"/>
        <v>-10597</v>
      </c>
      <c r="AR67" s="134">
        <f t="shared" si="120"/>
        <v>-0.64529289976860305</v>
      </c>
      <c r="AS67" s="132">
        <f t="shared" si="121"/>
        <v>5825</v>
      </c>
      <c r="AT67" s="10">
        <v>16101</v>
      </c>
      <c r="AU67" s="10">
        <v>5000</v>
      </c>
      <c r="AV67" s="167">
        <v>25000</v>
      </c>
      <c r="AW67" s="168">
        <v>5000</v>
      </c>
      <c r="AX67" s="29">
        <f t="shared" si="122"/>
        <v>5000</v>
      </c>
      <c r="AY67" s="24">
        <f t="shared" si="123"/>
        <v>-11101</v>
      </c>
      <c r="AZ67" s="25">
        <f t="shared" si="124"/>
        <v>-0.68946028197006393</v>
      </c>
      <c r="BA67" s="24">
        <f t="shared" si="125"/>
        <v>8899</v>
      </c>
      <c r="BB67" s="169">
        <f t="shared" si="126"/>
        <v>0.55269859014968015</v>
      </c>
      <c r="BC67" s="170">
        <f t="shared" si="127"/>
        <v>5000</v>
      </c>
      <c r="BD67" s="10">
        <v>14637</v>
      </c>
      <c r="BE67" s="10">
        <v>35000</v>
      </c>
      <c r="BF67" s="10">
        <v>39000</v>
      </c>
      <c r="BG67" s="268">
        <v>38000</v>
      </c>
      <c r="BH67" s="10">
        <v>35000</v>
      </c>
      <c r="BI67" s="76">
        <f t="shared" si="128"/>
        <v>36750</v>
      </c>
      <c r="BJ67" s="24">
        <f t="shared" si="129"/>
        <v>22113</v>
      </c>
      <c r="BK67" s="25">
        <f t="shared" si="130"/>
        <v>1.5107604017216643</v>
      </c>
      <c r="BL67" s="259">
        <f t="shared" si="131"/>
        <v>36750</v>
      </c>
      <c r="BM67" s="10">
        <v>16337</v>
      </c>
      <c r="BN67" s="45">
        <v>23000</v>
      </c>
      <c r="BO67" s="45">
        <v>9498</v>
      </c>
      <c r="BP67" s="45">
        <v>15000</v>
      </c>
      <c r="BQ67" s="29">
        <f t="shared" si="132"/>
        <v>15832.666666666666</v>
      </c>
      <c r="BR67" s="24">
        <f t="shared" si="133"/>
        <v>-504.33333333333394</v>
      </c>
      <c r="BS67" s="25">
        <f t="shared" si="134"/>
        <v>-3.0870620881026746E-2</v>
      </c>
      <c r="BT67" s="308">
        <f t="shared" si="135"/>
        <v>15832.666666666666</v>
      </c>
    </row>
    <row r="68" spans="1:72" ht="34.35" customHeight="1">
      <c r="A68" s="91" t="s">
        <v>8</v>
      </c>
      <c r="B68" s="358" t="s">
        <v>2260</v>
      </c>
      <c r="C68" s="50" t="s">
        <v>83</v>
      </c>
      <c r="D68" s="99" t="s">
        <v>419</v>
      </c>
      <c r="E68" s="48" t="s">
        <v>13</v>
      </c>
      <c r="F68" s="10">
        <v>18341</v>
      </c>
      <c r="G68" s="10">
        <v>23855</v>
      </c>
      <c r="H68" s="31">
        <v>31011</v>
      </c>
      <c r="I68" s="35">
        <v>20850.599999999999</v>
      </c>
      <c r="J68" s="29">
        <f t="shared" si="67"/>
        <v>25238.866666666669</v>
      </c>
      <c r="K68" s="24">
        <f t="shared" si="68"/>
        <v>6897.8666666666686</v>
      </c>
      <c r="L68" s="25">
        <f t="shared" si="69"/>
        <v>0.37608999872780485</v>
      </c>
      <c r="M68" s="69" t="str">
        <f t="shared" si="70"/>
        <v>REVISAR PRECIO</v>
      </c>
      <c r="N68" s="77">
        <f t="shared" si="19"/>
        <v>25238.866666666669</v>
      </c>
      <c r="O68" s="73">
        <v>11648</v>
      </c>
      <c r="P68" s="74">
        <v>46000</v>
      </c>
      <c r="Q68" s="74">
        <v>80000</v>
      </c>
      <c r="R68" s="75">
        <v>53000</v>
      </c>
      <c r="S68" s="61">
        <v>46000</v>
      </c>
      <c r="T68" s="60">
        <v>16000</v>
      </c>
      <c r="U68" s="74">
        <v>52899.999999999993</v>
      </c>
      <c r="V68" s="76">
        <f t="shared" si="20"/>
        <v>48983.333333333336</v>
      </c>
      <c r="W68" s="24">
        <f t="shared" si="111"/>
        <v>37335.333333333336</v>
      </c>
      <c r="X68" s="25">
        <f t="shared" si="112"/>
        <v>3.2052999084249088</v>
      </c>
      <c r="Y68" s="77" t="str">
        <f t="shared" si="4"/>
        <v>REVISAR PRECIO</v>
      </c>
      <c r="Z68" s="106">
        <f t="shared" si="21"/>
        <v>48983.333333333336</v>
      </c>
      <c r="AA68" s="73">
        <v>11648</v>
      </c>
      <c r="AB68" s="88">
        <v>43000</v>
      </c>
      <c r="AC68" s="116">
        <v>43000</v>
      </c>
      <c r="AD68" s="74">
        <v>44000</v>
      </c>
      <c r="AE68" s="76">
        <f t="shared" si="113"/>
        <v>43333.333333333336</v>
      </c>
      <c r="AF68" s="24">
        <f t="shared" si="114"/>
        <v>31685.333333333336</v>
      </c>
      <c r="AG68" s="25">
        <f t="shared" si="115"/>
        <v>2.7202380952380953</v>
      </c>
      <c r="AH68" s="77" t="str">
        <f t="shared" si="116"/>
        <v>REVISAR PRECIO</v>
      </c>
      <c r="AI68" s="77">
        <f t="shared" si="117"/>
        <v>43333.333333333336</v>
      </c>
      <c r="AJ68" s="73">
        <v>11648</v>
      </c>
      <c r="AK68" s="79">
        <v>53000</v>
      </c>
      <c r="AL68" s="79">
        <v>40000</v>
      </c>
      <c r="AM68" s="127">
        <v>48000</v>
      </c>
      <c r="AN68" s="128">
        <v>40000</v>
      </c>
      <c r="AO68" s="128">
        <v>45000</v>
      </c>
      <c r="AP68" s="133">
        <f t="shared" si="118"/>
        <v>45200</v>
      </c>
      <c r="AQ68" s="127">
        <f t="shared" si="119"/>
        <v>33552</v>
      </c>
      <c r="AR68" s="134">
        <f t="shared" si="120"/>
        <v>2.8804945054945055</v>
      </c>
      <c r="AS68" s="132">
        <f t="shared" si="121"/>
        <v>45200</v>
      </c>
      <c r="AT68" s="10">
        <v>11420</v>
      </c>
      <c r="AU68" s="10">
        <v>40000</v>
      </c>
      <c r="AV68" s="167">
        <v>80000</v>
      </c>
      <c r="AW68" s="168">
        <v>35000</v>
      </c>
      <c r="AX68" s="29">
        <f t="shared" si="122"/>
        <v>37500</v>
      </c>
      <c r="AY68" s="24">
        <f t="shared" si="123"/>
        <v>26080</v>
      </c>
      <c r="AZ68" s="25">
        <f t="shared" si="124"/>
        <v>2.2837127845884413</v>
      </c>
      <c r="BA68" s="24">
        <f t="shared" si="125"/>
        <v>68580</v>
      </c>
      <c r="BB68" s="169">
        <f t="shared" si="126"/>
        <v>6.0052539404553418</v>
      </c>
      <c r="BC68" s="170">
        <f t="shared" si="127"/>
        <v>37500</v>
      </c>
      <c r="BD68" s="10">
        <v>10385</v>
      </c>
      <c r="BE68" s="10">
        <v>35000</v>
      </c>
      <c r="BF68" s="10">
        <v>39000</v>
      </c>
      <c r="BG68" s="268">
        <v>38000</v>
      </c>
      <c r="BH68" s="10">
        <v>35000</v>
      </c>
      <c r="BI68" s="76">
        <f t="shared" si="128"/>
        <v>36750</v>
      </c>
      <c r="BJ68" s="24">
        <f t="shared" si="129"/>
        <v>26365</v>
      </c>
      <c r="BK68" s="25">
        <f t="shared" si="130"/>
        <v>2.5387578237843043</v>
      </c>
      <c r="BL68" s="259">
        <f t="shared" si="131"/>
        <v>36750</v>
      </c>
      <c r="BM68" s="10">
        <v>11591</v>
      </c>
      <c r="BN68" s="45">
        <v>50000</v>
      </c>
      <c r="BO68" s="45">
        <v>40000</v>
      </c>
      <c r="BP68" s="45">
        <v>15000</v>
      </c>
      <c r="BQ68" s="29">
        <f t="shared" si="132"/>
        <v>35000</v>
      </c>
      <c r="BR68" s="24">
        <f t="shared" si="133"/>
        <v>23409</v>
      </c>
      <c r="BS68" s="25">
        <f t="shared" si="134"/>
        <v>2.0195841601242344</v>
      </c>
      <c r="BT68" s="308">
        <f t="shared" si="135"/>
        <v>35000</v>
      </c>
    </row>
    <row r="69" spans="1:72" ht="34.35" customHeight="1">
      <c r="A69" s="91" t="s">
        <v>8</v>
      </c>
      <c r="B69" s="358" t="s">
        <v>2261</v>
      </c>
      <c r="C69" s="50" t="s">
        <v>84</v>
      </c>
      <c r="D69" s="178" t="s">
        <v>420</v>
      </c>
      <c r="E69" s="48" t="s">
        <v>13</v>
      </c>
      <c r="F69" s="10">
        <v>8968</v>
      </c>
      <c r="G69" s="10">
        <v>11664</v>
      </c>
      <c r="H69" s="33">
        <v>15163</v>
      </c>
      <c r="I69" s="35">
        <v>10195.200000000001</v>
      </c>
      <c r="J69" s="29">
        <f t="shared" si="67"/>
        <v>12340.733333333332</v>
      </c>
      <c r="K69" s="24">
        <f t="shared" si="68"/>
        <v>3372.7333333333318</v>
      </c>
      <c r="L69" s="25">
        <f t="shared" si="69"/>
        <v>0.37608534046981845</v>
      </c>
      <c r="M69" s="69" t="str">
        <f t="shared" si="70"/>
        <v>REVISAR PRECIO</v>
      </c>
      <c r="N69" s="77">
        <f t="shared" si="19"/>
        <v>12340.733333333332</v>
      </c>
      <c r="O69" s="73">
        <v>5695</v>
      </c>
      <c r="P69" s="74">
        <v>22310</v>
      </c>
      <c r="Q69" s="74">
        <v>25000</v>
      </c>
      <c r="R69" s="75">
        <v>25705</v>
      </c>
      <c r="S69" s="61">
        <v>22310</v>
      </c>
      <c r="T69" s="60">
        <v>12000</v>
      </c>
      <c r="U69" s="74">
        <v>25656.499999999996</v>
      </c>
      <c r="V69" s="76">
        <f t="shared" si="20"/>
        <v>22163.583333333332</v>
      </c>
      <c r="W69" s="24">
        <f t="shared" si="111"/>
        <v>16468.583333333332</v>
      </c>
      <c r="X69" s="25">
        <f t="shared" si="112"/>
        <v>2.891761779338601</v>
      </c>
      <c r="Y69" s="77" t="str">
        <f t="shared" si="4"/>
        <v>REVISAR PRECIO</v>
      </c>
      <c r="Z69" s="106">
        <f t="shared" si="21"/>
        <v>22163.583333333332</v>
      </c>
      <c r="AA69" s="73">
        <v>5695</v>
      </c>
      <c r="AB69" s="88">
        <v>25000</v>
      </c>
      <c r="AC69" s="116">
        <v>25000</v>
      </c>
      <c r="AD69" s="74">
        <v>21340</v>
      </c>
      <c r="AE69" s="76">
        <f t="shared" si="113"/>
        <v>23780</v>
      </c>
      <c r="AF69" s="24">
        <f t="shared" si="114"/>
        <v>18085</v>
      </c>
      <c r="AG69" s="25">
        <f t="shared" si="115"/>
        <v>3.1755926251097453</v>
      </c>
      <c r="AH69" s="77" t="str">
        <f t="shared" si="116"/>
        <v>REVISAR PRECIO</v>
      </c>
      <c r="AI69" s="77">
        <f t="shared" si="117"/>
        <v>23780</v>
      </c>
      <c r="AJ69" s="73">
        <v>5695</v>
      </c>
      <c r="AK69" s="79">
        <v>25705</v>
      </c>
      <c r="AL69" s="79">
        <v>19400</v>
      </c>
      <c r="AM69" s="127">
        <v>23280</v>
      </c>
      <c r="AN69" s="128">
        <v>21000</v>
      </c>
      <c r="AO69" s="128">
        <v>20000</v>
      </c>
      <c r="AP69" s="133">
        <f t="shared" si="118"/>
        <v>21877</v>
      </c>
      <c r="AQ69" s="127">
        <f t="shared" si="119"/>
        <v>16182</v>
      </c>
      <c r="AR69" s="134">
        <f t="shared" si="120"/>
        <v>2.8414398595259001</v>
      </c>
      <c r="AS69" s="132">
        <f t="shared" si="121"/>
        <v>21877</v>
      </c>
      <c r="AT69" s="250"/>
      <c r="AU69" s="250"/>
      <c r="AV69" s="250"/>
      <c r="AW69" s="250"/>
      <c r="AX69" s="250"/>
      <c r="AY69" s="250"/>
      <c r="AZ69" s="250"/>
      <c r="BA69" s="250"/>
      <c r="BB69" s="250"/>
      <c r="BC69" s="251"/>
      <c r="BD69" s="150"/>
      <c r="BE69" s="150"/>
      <c r="BF69" s="150"/>
      <c r="BG69" s="150"/>
      <c r="BH69" s="150"/>
      <c r="BI69" s="150"/>
      <c r="BJ69" s="150"/>
      <c r="BK69" s="150"/>
      <c r="BL69" s="150"/>
    </row>
    <row r="70" spans="1:72" ht="34.35" customHeight="1">
      <c r="A70" s="91" t="s">
        <v>8</v>
      </c>
      <c r="B70" s="358" t="s">
        <v>2262</v>
      </c>
      <c r="C70" s="50" t="s">
        <v>85</v>
      </c>
      <c r="D70" s="99" t="s">
        <v>421</v>
      </c>
      <c r="E70" s="48" t="s">
        <v>13</v>
      </c>
      <c r="F70" s="10">
        <v>37368</v>
      </c>
      <c r="G70" s="10">
        <v>48600</v>
      </c>
      <c r="H70" s="33">
        <v>63180</v>
      </c>
      <c r="I70" s="35">
        <v>42480</v>
      </c>
      <c r="J70" s="29">
        <f t="shared" si="67"/>
        <v>51420</v>
      </c>
      <c r="K70" s="24">
        <f t="shared" si="68"/>
        <v>14052</v>
      </c>
      <c r="L70" s="25">
        <f t="shared" si="69"/>
        <v>0.37604367373153502</v>
      </c>
      <c r="M70" s="69" t="str">
        <f t="shared" si="70"/>
        <v>REVISAR PRECIO</v>
      </c>
      <c r="N70" s="77">
        <f t="shared" si="19"/>
        <v>51420</v>
      </c>
      <c r="O70" s="73">
        <v>23731</v>
      </c>
      <c r="P70" s="74">
        <v>20930</v>
      </c>
      <c r="Q70" s="74">
        <v>25000</v>
      </c>
      <c r="R70" s="75">
        <v>24115</v>
      </c>
      <c r="S70" s="61">
        <v>25874.999999999996</v>
      </c>
      <c r="T70" s="60">
        <v>9000</v>
      </c>
      <c r="U70" s="74">
        <v>29756.249999999993</v>
      </c>
      <c r="V70" s="76">
        <f t="shared" si="20"/>
        <v>22446.041666666668</v>
      </c>
      <c r="W70" s="24">
        <f t="shared" si="111"/>
        <v>-1284.9583333333321</v>
      </c>
      <c r="X70" s="25">
        <f t="shared" si="112"/>
        <v>-5.4146826232916105E-2</v>
      </c>
      <c r="Y70" s="77">
        <f t="shared" si="4"/>
        <v>22446.041666666668</v>
      </c>
      <c r="Z70" s="107">
        <f>AVERAGE(P70,Q70,R70,S70,U70)</f>
        <v>25135.25</v>
      </c>
      <c r="AA70" s="73">
        <v>23731</v>
      </c>
      <c r="AB70" s="88">
        <v>20000</v>
      </c>
      <c r="AC70" s="116">
        <v>20000</v>
      </c>
      <c r="AD70" s="74">
        <v>20020</v>
      </c>
      <c r="AE70" s="76">
        <f t="shared" si="113"/>
        <v>20006.666666666668</v>
      </c>
      <c r="AF70" s="24">
        <f t="shared" si="114"/>
        <v>-3724.3333333333321</v>
      </c>
      <c r="AG70" s="25">
        <f t="shared" si="115"/>
        <v>-0.15693958675712494</v>
      </c>
      <c r="AH70" s="77">
        <f t="shared" si="116"/>
        <v>20006.666666666668</v>
      </c>
      <c r="AI70" s="77">
        <f t="shared" si="117"/>
        <v>20006.666666666668</v>
      </c>
      <c r="AJ70" s="73">
        <v>23731</v>
      </c>
      <c r="AK70" s="79">
        <v>24115</v>
      </c>
      <c r="AL70" s="79">
        <v>18200</v>
      </c>
      <c r="AM70" s="127">
        <v>21840</v>
      </c>
      <c r="AN70" s="128">
        <v>60000</v>
      </c>
      <c r="AO70" s="128">
        <v>20000</v>
      </c>
      <c r="AP70" s="133">
        <f t="shared" si="118"/>
        <v>28831</v>
      </c>
      <c r="AQ70" s="127">
        <f t="shared" si="119"/>
        <v>5100</v>
      </c>
      <c r="AR70" s="134">
        <f t="shared" si="120"/>
        <v>0.21490876912055962</v>
      </c>
      <c r="AS70" s="132">
        <f t="shared" si="121"/>
        <v>28831</v>
      </c>
      <c r="AT70" s="10">
        <v>23267</v>
      </c>
      <c r="AU70" s="10">
        <v>18200</v>
      </c>
      <c r="AV70" s="167">
        <v>36400</v>
      </c>
      <c r="AW70" s="168">
        <v>19600</v>
      </c>
      <c r="AX70" s="29">
        <f t="shared" ref="AX70:AX88" si="136">AVERAGE(AU70,AW70)</f>
        <v>18900</v>
      </c>
      <c r="AY70" s="24">
        <f t="shared" ref="AY70:AY88" si="137">AX70-AT70</f>
        <v>-4367</v>
      </c>
      <c r="AZ70" s="25">
        <f t="shared" ref="AZ70:AZ88" si="138">+AY70/AT70</f>
        <v>-0.18769072076331283</v>
      </c>
      <c r="BA70" s="24">
        <f t="shared" ref="BA70:BA88" si="139">AV70-AT70</f>
        <v>13133</v>
      </c>
      <c r="BB70" s="169">
        <f t="shared" ref="BB70:BB88" si="140">+BA70/AT70</f>
        <v>0.56444750075213823</v>
      </c>
      <c r="BC70" s="170">
        <f t="shared" ref="BC70:BC88" si="141">AX70</f>
        <v>18900</v>
      </c>
      <c r="BD70" s="10">
        <v>21149</v>
      </c>
      <c r="BE70" s="10">
        <v>35000</v>
      </c>
      <c r="BF70" s="10">
        <v>39000</v>
      </c>
      <c r="BG70" s="268">
        <v>38000</v>
      </c>
      <c r="BH70" s="10">
        <v>40000</v>
      </c>
      <c r="BI70" s="76">
        <f t="shared" ref="BI70" si="142">AVERAGE(BE70,BF70,BG70,BH70)</f>
        <v>38000</v>
      </c>
      <c r="BJ70" s="24">
        <f t="shared" ref="BJ70" si="143">BI70-BD70</f>
        <v>16851</v>
      </c>
      <c r="BK70" s="25">
        <f t="shared" ref="BK70" si="144">+BJ70/BD70</f>
        <v>0.79677526124166631</v>
      </c>
      <c r="BL70" s="259">
        <f t="shared" ref="BL70" si="145">BI70</f>
        <v>38000</v>
      </c>
    </row>
    <row r="71" spans="1:72" ht="34.35" customHeight="1">
      <c r="A71" s="91" t="s">
        <v>8</v>
      </c>
      <c r="B71" s="358" t="s">
        <v>2263</v>
      </c>
      <c r="C71" s="50" t="s">
        <v>86</v>
      </c>
      <c r="D71" s="99" t="s">
        <v>422</v>
      </c>
      <c r="E71" s="49" t="s">
        <v>14</v>
      </c>
      <c r="F71" s="10">
        <v>119578</v>
      </c>
      <c r="G71" s="10">
        <v>155520</v>
      </c>
      <c r="H71" s="31">
        <v>202176</v>
      </c>
      <c r="I71" s="35">
        <v>135936</v>
      </c>
      <c r="J71" s="29">
        <f t="shared" si="67"/>
        <v>164544</v>
      </c>
      <c r="K71" s="24">
        <f t="shared" si="68"/>
        <v>44966</v>
      </c>
      <c r="L71" s="25">
        <f t="shared" si="69"/>
        <v>0.37603907073207449</v>
      </c>
      <c r="M71" s="69" t="str">
        <f t="shared" si="70"/>
        <v>REVISAR PRECIO</v>
      </c>
      <c r="N71" s="77">
        <f t="shared" si="19"/>
        <v>164544</v>
      </c>
      <c r="O71" s="73">
        <v>75939</v>
      </c>
      <c r="P71" s="74">
        <v>63250</v>
      </c>
      <c r="Q71" s="74">
        <v>80000</v>
      </c>
      <c r="R71" s="75">
        <v>72875</v>
      </c>
      <c r="S71" s="61">
        <v>63249.999999999993</v>
      </c>
      <c r="T71" s="60">
        <v>180000</v>
      </c>
      <c r="U71" s="74">
        <v>72737.499999999985</v>
      </c>
      <c r="V71" s="76">
        <f t="shared" si="20"/>
        <v>88685.416666666672</v>
      </c>
      <c r="W71" s="24">
        <f t="shared" si="111"/>
        <v>12746.416666666672</v>
      </c>
      <c r="X71" s="25">
        <f t="shared" si="112"/>
        <v>0.16785073106923545</v>
      </c>
      <c r="Y71" s="77">
        <f t="shared" si="4"/>
        <v>88685.416666666672</v>
      </c>
      <c r="Z71" s="106">
        <f t="shared" si="21"/>
        <v>88685.416666666672</v>
      </c>
      <c r="AA71" s="73">
        <v>75939</v>
      </c>
      <c r="AB71" s="88">
        <v>65000</v>
      </c>
      <c r="AC71" s="116">
        <v>65000</v>
      </c>
      <c r="AD71" s="74">
        <v>60500</v>
      </c>
      <c r="AE71" s="76">
        <f t="shared" si="113"/>
        <v>63500</v>
      </c>
      <c r="AF71" s="24">
        <f t="shared" si="114"/>
        <v>-12439</v>
      </c>
      <c r="AG71" s="25">
        <f t="shared" si="115"/>
        <v>-0.16380252571142628</v>
      </c>
      <c r="AH71" s="77">
        <f t="shared" si="116"/>
        <v>63500</v>
      </c>
      <c r="AI71" s="77">
        <f t="shared" si="117"/>
        <v>63500</v>
      </c>
      <c r="AJ71" s="73">
        <v>75939</v>
      </c>
      <c r="AK71" s="79">
        <v>72875</v>
      </c>
      <c r="AL71" s="79">
        <v>55000</v>
      </c>
      <c r="AM71" s="127">
        <v>85250</v>
      </c>
      <c r="AN71" s="128">
        <v>60000</v>
      </c>
      <c r="AO71" s="128">
        <v>70000</v>
      </c>
      <c r="AP71" s="133">
        <f t="shared" si="118"/>
        <v>68625</v>
      </c>
      <c r="AQ71" s="127">
        <f t="shared" si="119"/>
        <v>-7314</v>
      </c>
      <c r="AR71" s="134">
        <f t="shared" si="120"/>
        <v>-9.6314146881049265E-2</v>
      </c>
      <c r="AS71" s="132">
        <f t="shared" si="121"/>
        <v>68625</v>
      </c>
      <c r="AT71" s="10">
        <v>74450</v>
      </c>
      <c r="AU71" s="10">
        <v>55000</v>
      </c>
      <c r="AV71" s="167">
        <v>165000</v>
      </c>
      <c r="AW71" s="168">
        <v>55000</v>
      </c>
      <c r="AX71" s="29">
        <f t="shared" si="136"/>
        <v>55000</v>
      </c>
      <c r="AY71" s="24">
        <f t="shared" si="137"/>
        <v>-19450</v>
      </c>
      <c r="AZ71" s="25">
        <f t="shared" si="138"/>
        <v>-0.26124916051040969</v>
      </c>
      <c r="BA71" s="24">
        <f t="shared" si="139"/>
        <v>90550</v>
      </c>
      <c r="BB71" s="169">
        <f t="shared" si="140"/>
        <v>1.2162525184687709</v>
      </c>
      <c r="BC71" s="170">
        <f t="shared" si="141"/>
        <v>55000</v>
      </c>
      <c r="BD71" s="10">
        <v>67671</v>
      </c>
      <c r="BE71" s="10">
        <v>55000</v>
      </c>
      <c r="BF71" s="10">
        <v>60500</v>
      </c>
      <c r="BG71" s="268">
        <v>60500</v>
      </c>
      <c r="BH71" s="10">
        <v>50000</v>
      </c>
      <c r="BI71" s="76">
        <f t="shared" ref="BI71" si="146">AVERAGE(BE71,BF71,BG71,BH71)</f>
        <v>56500</v>
      </c>
      <c r="BJ71" s="24">
        <f t="shared" ref="BJ71" si="147">BI71-BD71</f>
        <v>-11171</v>
      </c>
      <c r="BK71" s="25">
        <f t="shared" ref="BK71" si="148">+BJ71/BD71</f>
        <v>-0.1650780984468975</v>
      </c>
      <c r="BL71" s="259">
        <f t="shared" ref="BL71" si="149">BI71</f>
        <v>56500</v>
      </c>
      <c r="BM71" s="10">
        <v>75559</v>
      </c>
      <c r="BN71" s="45">
        <v>70000</v>
      </c>
      <c r="BO71" s="45">
        <v>87844</v>
      </c>
      <c r="BP71" s="45">
        <v>15000</v>
      </c>
      <c r="BQ71" s="29">
        <f t="shared" ref="BQ71:BQ86" si="150">AVERAGE(BN71,BO71,BP71)</f>
        <v>57614.666666666664</v>
      </c>
      <c r="BR71" s="24">
        <f t="shared" ref="BR71:BR86" si="151">BQ71-BM71</f>
        <v>-17944.333333333336</v>
      </c>
      <c r="BS71" s="25">
        <f t="shared" ref="BS71:BS86" si="152">+BR71/BM71</f>
        <v>-0.23748770276649156</v>
      </c>
      <c r="BT71" s="308">
        <f t="shared" ref="BT71:BT86" si="153">BQ71</f>
        <v>57614.666666666664</v>
      </c>
    </row>
    <row r="72" spans="1:72" ht="34.35" customHeight="1">
      <c r="A72" s="91" t="s">
        <v>8</v>
      </c>
      <c r="B72" s="358" t="s">
        <v>2264</v>
      </c>
      <c r="C72" s="50" t="s">
        <v>87</v>
      </c>
      <c r="D72" s="99" t="s">
        <v>423</v>
      </c>
      <c r="E72" s="48" t="s">
        <v>13</v>
      </c>
      <c r="F72" s="10">
        <v>18642</v>
      </c>
      <c r="G72" s="10">
        <v>24246</v>
      </c>
      <c r="H72" s="31">
        <v>31520</v>
      </c>
      <c r="I72" s="35">
        <v>21192.799999999999</v>
      </c>
      <c r="J72" s="29">
        <f t="shared" si="67"/>
        <v>25652.933333333334</v>
      </c>
      <c r="K72" s="24">
        <f t="shared" si="68"/>
        <v>7010.9333333333343</v>
      </c>
      <c r="L72" s="25">
        <f t="shared" si="69"/>
        <v>0.37608268068519118</v>
      </c>
      <c r="M72" s="69" t="str">
        <f t="shared" si="70"/>
        <v>REVISAR PRECIO</v>
      </c>
      <c r="N72" s="77">
        <f t="shared" si="19"/>
        <v>25652.933333333334</v>
      </c>
      <c r="O72" s="73">
        <v>11837</v>
      </c>
      <c r="P72" s="74">
        <v>6900</v>
      </c>
      <c r="Q72" s="74">
        <v>8000</v>
      </c>
      <c r="R72" s="75">
        <v>7950</v>
      </c>
      <c r="S72" s="61">
        <v>13109.999999999998</v>
      </c>
      <c r="T72" s="60">
        <v>25000</v>
      </c>
      <c r="U72" s="74">
        <v>15076.499999999996</v>
      </c>
      <c r="V72" s="76">
        <f t="shared" si="20"/>
        <v>12672.75</v>
      </c>
      <c r="W72" s="24">
        <f t="shared" si="111"/>
        <v>835.75</v>
      </c>
      <c r="X72" s="25">
        <f t="shared" si="112"/>
        <v>7.0604882994001861E-2</v>
      </c>
      <c r="Y72" s="77">
        <f t="shared" si="4"/>
        <v>12672.75</v>
      </c>
      <c r="Z72" s="107">
        <f>AVERAGE(P72,Q72,R72,S72,U72)</f>
        <v>10207.299999999999</v>
      </c>
      <c r="AA72" s="73">
        <v>11837</v>
      </c>
      <c r="AB72" s="88">
        <v>6300</v>
      </c>
      <c r="AC72" s="116">
        <v>8400</v>
      </c>
      <c r="AD72" s="74">
        <v>6600</v>
      </c>
      <c r="AE72" s="76">
        <f t="shared" si="113"/>
        <v>7100</v>
      </c>
      <c r="AF72" s="24">
        <f t="shared" si="114"/>
        <v>-4737</v>
      </c>
      <c r="AG72" s="25">
        <f t="shared" si="115"/>
        <v>-0.40018585790318495</v>
      </c>
      <c r="AH72" s="77">
        <f t="shared" si="116"/>
        <v>7100</v>
      </c>
      <c r="AI72" s="77">
        <f t="shared" si="117"/>
        <v>7100</v>
      </c>
      <c r="AJ72" s="73">
        <v>11837</v>
      </c>
      <c r="AK72" s="79">
        <v>7950</v>
      </c>
      <c r="AL72" s="79">
        <v>6000</v>
      </c>
      <c r="AM72" s="127">
        <v>7200</v>
      </c>
      <c r="AN72" s="128">
        <v>6500</v>
      </c>
      <c r="AO72" s="128">
        <v>6000</v>
      </c>
      <c r="AP72" s="133">
        <f t="shared" si="118"/>
        <v>6730</v>
      </c>
      <c r="AQ72" s="127">
        <f t="shared" si="119"/>
        <v>-5107</v>
      </c>
      <c r="AR72" s="134">
        <f t="shared" si="120"/>
        <v>-0.43144377798428657</v>
      </c>
      <c r="AS72" s="132">
        <f t="shared" si="121"/>
        <v>6730</v>
      </c>
      <c r="AT72" s="10">
        <v>11610</v>
      </c>
      <c r="AU72" s="10">
        <v>6000</v>
      </c>
      <c r="AV72" s="167">
        <v>18000</v>
      </c>
      <c r="AW72" s="168">
        <v>5000</v>
      </c>
      <c r="AX72" s="29">
        <f t="shared" si="136"/>
        <v>5500</v>
      </c>
      <c r="AY72" s="24">
        <f t="shared" si="137"/>
        <v>-6110</v>
      </c>
      <c r="AZ72" s="25">
        <f t="shared" si="138"/>
        <v>-0.52627045650301463</v>
      </c>
      <c r="BA72" s="24">
        <f t="shared" si="139"/>
        <v>6390</v>
      </c>
      <c r="BB72" s="169">
        <f t="shared" si="140"/>
        <v>0.55038759689922478</v>
      </c>
      <c r="BC72" s="170">
        <f t="shared" si="141"/>
        <v>5500</v>
      </c>
      <c r="BD72" s="150"/>
      <c r="BE72" s="150"/>
      <c r="BF72" s="150"/>
      <c r="BG72" s="150"/>
      <c r="BH72" s="150"/>
      <c r="BI72" s="150"/>
      <c r="BJ72" s="150"/>
      <c r="BK72" s="150"/>
      <c r="BL72" s="150"/>
      <c r="BM72" s="10">
        <v>11780</v>
      </c>
      <c r="BN72" s="45">
        <v>6000</v>
      </c>
      <c r="BO72" s="45">
        <v>13692</v>
      </c>
      <c r="BP72" s="45">
        <v>15000</v>
      </c>
      <c r="BQ72" s="29">
        <f t="shared" si="150"/>
        <v>11564</v>
      </c>
      <c r="BR72" s="24">
        <f t="shared" si="151"/>
        <v>-216</v>
      </c>
      <c r="BS72" s="25">
        <f t="shared" si="152"/>
        <v>-1.833616298811545E-2</v>
      </c>
      <c r="BT72" s="308">
        <f t="shared" si="153"/>
        <v>11564</v>
      </c>
    </row>
    <row r="73" spans="1:72" ht="34.35" customHeight="1">
      <c r="A73" s="91" t="s">
        <v>8</v>
      </c>
      <c r="B73" s="358" t="s">
        <v>2265</v>
      </c>
      <c r="C73" s="50" t="s">
        <v>88</v>
      </c>
      <c r="D73" s="99" t="s">
        <v>424</v>
      </c>
      <c r="E73" s="48" t="s">
        <v>13</v>
      </c>
      <c r="F73" s="10">
        <v>20635</v>
      </c>
      <c r="G73" s="10">
        <v>26838</v>
      </c>
      <c r="H73" s="33">
        <v>34889</v>
      </c>
      <c r="I73" s="35">
        <v>23458.400000000001</v>
      </c>
      <c r="J73" s="29">
        <f t="shared" si="67"/>
        <v>28395.133333333331</v>
      </c>
      <c r="K73" s="24">
        <f t="shared" si="68"/>
        <v>7760.1333333333314</v>
      </c>
      <c r="L73" s="25">
        <f t="shared" si="69"/>
        <v>0.37606655359017843</v>
      </c>
      <c r="M73" s="69" t="str">
        <f t="shared" si="70"/>
        <v>REVISAR PRECIO</v>
      </c>
      <c r="N73" s="77">
        <f t="shared" si="19"/>
        <v>28395.133333333331</v>
      </c>
      <c r="O73" s="73">
        <v>13100</v>
      </c>
      <c r="P73" s="74">
        <v>4600</v>
      </c>
      <c r="Q73" s="74">
        <v>8000</v>
      </c>
      <c r="R73" s="75">
        <v>5300</v>
      </c>
      <c r="S73" s="61">
        <v>8740</v>
      </c>
      <c r="T73" s="60">
        <v>15000</v>
      </c>
      <c r="U73" s="74">
        <v>10051</v>
      </c>
      <c r="V73" s="76">
        <f t="shared" si="20"/>
        <v>8615.1666666666661</v>
      </c>
      <c r="W73" s="24">
        <f t="shared" si="111"/>
        <v>-4484.8333333333339</v>
      </c>
      <c r="X73" s="25">
        <f t="shared" si="112"/>
        <v>-0.34235368956743006</v>
      </c>
      <c r="Y73" s="77">
        <f t="shared" si="4"/>
        <v>8615.1666666666661</v>
      </c>
      <c r="Z73" s="106">
        <f t="shared" si="21"/>
        <v>8615.1666666666661</v>
      </c>
      <c r="AA73" s="73">
        <v>13100</v>
      </c>
      <c r="AB73" s="88">
        <v>4500</v>
      </c>
      <c r="AC73" s="116">
        <v>4500</v>
      </c>
      <c r="AD73" s="74">
        <v>4400</v>
      </c>
      <c r="AE73" s="76">
        <f t="shared" si="113"/>
        <v>4466.666666666667</v>
      </c>
      <c r="AF73" s="24">
        <f t="shared" si="114"/>
        <v>-8633.3333333333321</v>
      </c>
      <c r="AG73" s="25">
        <f t="shared" si="115"/>
        <v>-0.65903307888040707</v>
      </c>
      <c r="AH73" s="77">
        <f t="shared" si="116"/>
        <v>4466.666666666667</v>
      </c>
      <c r="AI73" s="77">
        <f t="shared" si="117"/>
        <v>4466.666666666667</v>
      </c>
      <c r="AJ73" s="73">
        <v>13100</v>
      </c>
      <c r="AK73" s="79">
        <v>5300</v>
      </c>
      <c r="AL73" s="79">
        <v>4000</v>
      </c>
      <c r="AM73" s="127">
        <v>4800</v>
      </c>
      <c r="AN73" s="128">
        <v>5000</v>
      </c>
      <c r="AO73" s="128">
        <v>5000</v>
      </c>
      <c r="AP73" s="129">
        <f t="shared" si="118"/>
        <v>4820</v>
      </c>
      <c r="AQ73" s="130">
        <f t="shared" si="119"/>
        <v>-8280</v>
      </c>
      <c r="AR73" s="131">
        <f t="shared" si="120"/>
        <v>-0.63206106870229006</v>
      </c>
      <c r="AS73" s="132">
        <f t="shared" si="121"/>
        <v>4820</v>
      </c>
      <c r="AT73" s="10">
        <v>12844</v>
      </c>
      <c r="AU73" s="10">
        <v>4000</v>
      </c>
      <c r="AV73" s="167">
        <v>12000</v>
      </c>
      <c r="AW73" s="168">
        <v>3500</v>
      </c>
      <c r="AX73" s="29">
        <f t="shared" si="136"/>
        <v>3750</v>
      </c>
      <c r="AY73" s="24">
        <f t="shared" si="137"/>
        <v>-9094</v>
      </c>
      <c r="AZ73" s="25">
        <f t="shared" si="138"/>
        <v>-0.70803488009965743</v>
      </c>
      <c r="BA73" s="24">
        <f t="shared" si="139"/>
        <v>-844</v>
      </c>
      <c r="BB73" s="169">
        <f t="shared" si="140"/>
        <v>-6.5711616318903765E-2</v>
      </c>
      <c r="BC73" s="170">
        <f t="shared" si="141"/>
        <v>3750</v>
      </c>
      <c r="BD73" s="10">
        <v>11676</v>
      </c>
      <c r="BE73" s="10">
        <v>35000</v>
      </c>
      <c r="BF73" s="10">
        <v>39000</v>
      </c>
      <c r="BG73" s="268">
        <v>38000</v>
      </c>
      <c r="BH73" s="10">
        <v>35000</v>
      </c>
      <c r="BI73" s="76">
        <f t="shared" ref="BI73" si="154">AVERAGE(BE73,BF73,BG73,BH73)</f>
        <v>36750</v>
      </c>
      <c r="BJ73" s="24">
        <f t="shared" ref="BJ73" si="155">BI73-BD73</f>
        <v>25074</v>
      </c>
      <c r="BK73" s="25">
        <f t="shared" ref="BK73" si="156">+BJ73/BD73</f>
        <v>2.1474820143884892</v>
      </c>
      <c r="BL73" s="259">
        <f t="shared" ref="BL73" si="157">BI73</f>
        <v>36750</v>
      </c>
      <c r="BM73" s="10">
        <v>13034</v>
      </c>
      <c r="BN73" s="45">
        <v>18000</v>
      </c>
      <c r="BO73" s="45">
        <v>15156</v>
      </c>
      <c r="BP73" s="45">
        <v>15000</v>
      </c>
      <c r="BQ73" s="29">
        <f t="shared" si="150"/>
        <v>16052</v>
      </c>
      <c r="BR73" s="24">
        <f t="shared" si="151"/>
        <v>3018</v>
      </c>
      <c r="BS73" s="25">
        <f t="shared" si="152"/>
        <v>0.2315482584011048</v>
      </c>
      <c r="BT73" s="308">
        <f t="shared" si="153"/>
        <v>16052</v>
      </c>
    </row>
    <row r="74" spans="1:72" ht="34.35" customHeight="1">
      <c r="A74" s="91" t="s">
        <v>8</v>
      </c>
      <c r="B74" s="358" t="s">
        <v>2266</v>
      </c>
      <c r="C74" s="50" t="s">
        <v>89</v>
      </c>
      <c r="D74" s="99" t="s">
        <v>425</v>
      </c>
      <c r="E74" s="48" t="s">
        <v>14</v>
      </c>
      <c r="F74" s="10">
        <v>61854</v>
      </c>
      <c r="G74" s="10">
        <v>80447</v>
      </c>
      <c r="H74" s="31">
        <v>104580</v>
      </c>
      <c r="I74" s="35">
        <v>70316.2</v>
      </c>
      <c r="J74" s="29">
        <f t="shared" si="67"/>
        <v>85114.400000000009</v>
      </c>
      <c r="K74" s="24">
        <f t="shared" si="68"/>
        <v>23260.400000000009</v>
      </c>
      <c r="L74" s="25">
        <f t="shared" si="69"/>
        <v>0.37605328677207633</v>
      </c>
      <c r="M74" s="69" t="str">
        <f t="shared" si="70"/>
        <v>REVISAR PRECIO</v>
      </c>
      <c r="N74" s="77">
        <f t="shared" si="19"/>
        <v>85114.400000000009</v>
      </c>
      <c r="O74" s="73"/>
      <c r="P74" s="74">
        <v>3795</v>
      </c>
      <c r="Q74" s="74">
        <v>40000</v>
      </c>
      <c r="R74" s="75">
        <v>4372.5</v>
      </c>
      <c r="S74" s="61">
        <v>18170</v>
      </c>
      <c r="T74" s="60">
        <v>12000</v>
      </c>
      <c r="U74" s="74">
        <v>20895.5</v>
      </c>
      <c r="V74" s="76">
        <f t="shared" si="20"/>
        <v>16538.833333333332</v>
      </c>
      <c r="W74" s="24">
        <f t="shared" si="111"/>
        <v>16538.833333333332</v>
      </c>
      <c r="X74" s="25"/>
      <c r="Y74" s="77">
        <f t="shared" si="4"/>
        <v>16538.833333333332</v>
      </c>
      <c r="Z74" s="106">
        <f t="shared" si="21"/>
        <v>16538.833333333332</v>
      </c>
      <c r="AA74" s="73"/>
      <c r="AB74" s="88">
        <v>4000</v>
      </c>
      <c r="AC74" s="116">
        <v>4000</v>
      </c>
      <c r="AD74" s="74">
        <v>3630</v>
      </c>
      <c r="AE74" s="76">
        <f t="shared" si="113"/>
        <v>3876.6666666666665</v>
      </c>
      <c r="AF74" s="24">
        <f t="shared" si="114"/>
        <v>3876.6666666666665</v>
      </c>
      <c r="AG74" s="25"/>
      <c r="AH74" s="77"/>
      <c r="AI74" s="77">
        <f t="shared" si="117"/>
        <v>3876.6666666666665</v>
      </c>
      <c r="AJ74" s="73"/>
      <c r="AK74" s="79">
        <v>4372.5</v>
      </c>
      <c r="AL74" s="79">
        <v>3300</v>
      </c>
      <c r="AM74" s="127">
        <v>3960</v>
      </c>
      <c r="AN74" s="128">
        <v>4000</v>
      </c>
      <c r="AO74" s="128">
        <v>3000</v>
      </c>
      <c r="AP74" s="133">
        <f t="shared" si="118"/>
        <v>3726.5</v>
      </c>
      <c r="AQ74" s="127">
        <f t="shared" si="119"/>
        <v>3726.5</v>
      </c>
      <c r="AR74" s="134"/>
      <c r="AS74" s="132">
        <f t="shared" si="121"/>
        <v>3726.5</v>
      </c>
      <c r="AT74" s="10">
        <v>38512</v>
      </c>
      <c r="AU74" s="10">
        <v>3300</v>
      </c>
      <c r="AV74" s="167">
        <v>13200</v>
      </c>
      <c r="AW74" s="168">
        <v>8500</v>
      </c>
      <c r="AX74" s="29">
        <f t="shared" si="136"/>
        <v>5900</v>
      </c>
      <c r="AY74" s="24">
        <f t="shared" si="137"/>
        <v>-32612</v>
      </c>
      <c r="AZ74" s="25">
        <f t="shared" si="138"/>
        <v>-0.84680099709181555</v>
      </c>
      <c r="BA74" s="24">
        <f t="shared" si="139"/>
        <v>-25312</v>
      </c>
      <c r="BB74" s="169">
        <f t="shared" si="140"/>
        <v>-0.6572496884088076</v>
      </c>
      <c r="BC74" s="170">
        <f t="shared" si="141"/>
        <v>5900</v>
      </c>
      <c r="BD74" s="150"/>
      <c r="BE74" s="150"/>
      <c r="BF74" s="150"/>
      <c r="BG74" s="150"/>
      <c r="BH74" s="150"/>
      <c r="BI74" s="150"/>
      <c r="BJ74" s="150"/>
      <c r="BK74" s="150"/>
      <c r="BL74" s="150"/>
      <c r="BM74" s="10">
        <v>39089</v>
      </c>
      <c r="BN74" s="316">
        <v>20000</v>
      </c>
      <c r="BO74" s="45">
        <v>45438</v>
      </c>
      <c r="BP74" s="317">
        <v>30000</v>
      </c>
      <c r="BQ74" s="29">
        <f t="shared" si="150"/>
        <v>31812.666666666668</v>
      </c>
      <c r="BR74" s="24">
        <f t="shared" si="151"/>
        <v>-7276.3333333333321</v>
      </c>
      <c r="BS74" s="25">
        <f t="shared" si="152"/>
        <v>-0.18614785063146491</v>
      </c>
      <c r="BT74" s="308">
        <f t="shared" si="153"/>
        <v>31812.666666666668</v>
      </c>
    </row>
    <row r="75" spans="1:72" ht="34.35" customHeight="1">
      <c r="A75" s="91" t="s">
        <v>8</v>
      </c>
      <c r="B75" s="358" t="s">
        <v>2267</v>
      </c>
      <c r="C75" s="50" t="s">
        <v>90</v>
      </c>
      <c r="D75" s="99" t="s">
        <v>426</v>
      </c>
      <c r="E75" s="48" t="s">
        <v>14</v>
      </c>
      <c r="F75" s="10">
        <v>35728</v>
      </c>
      <c r="G75" s="10">
        <v>46467</v>
      </c>
      <c r="H75" s="31">
        <v>60407</v>
      </c>
      <c r="I75" s="36">
        <v>40615.599999999999</v>
      </c>
      <c r="J75" s="29">
        <f t="shared" si="67"/>
        <v>49163.200000000004</v>
      </c>
      <c r="K75" s="24">
        <f t="shared" si="68"/>
        <v>13435.200000000004</v>
      </c>
      <c r="L75" s="25">
        <f t="shared" si="69"/>
        <v>0.37604120017913134</v>
      </c>
      <c r="M75" s="69" t="str">
        <f t="shared" si="70"/>
        <v>REVISAR PRECIO</v>
      </c>
      <c r="N75" s="77">
        <f t="shared" si="19"/>
        <v>49163.200000000004</v>
      </c>
      <c r="O75" s="73">
        <v>22686</v>
      </c>
      <c r="P75" s="74">
        <v>4600</v>
      </c>
      <c r="Q75" s="74">
        <v>12000</v>
      </c>
      <c r="R75" s="75">
        <v>5300</v>
      </c>
      <c r="S75" s="61">
        <v>18170</v>
      </c>
      <c r="T75" s="60">
        <v>12000</v>
      </c>
      <c r="U75" s="74">
        <v>20895.5</v>
      </c>
      <c r="V75" s="76">
        <f t="shared" si="20"/>
        <v>12160.916666666666</v>
      </c>
      <c r="W75" s="24">
        <f t="shared" si="111"/>
        <v>-10525.083333333334</v>
      </c>
      <c r="X75" s="25">
        <f t="shared" si="112"/>
        <v>-0.46394619295306949</v>
      </c>
      <c r="Y75" s="77">
        <f t="shared" si="4"/>
        <v>12160.916666666666</v>
      </c>
      <c r="Z75" s="106">
        <f t="shared" si="21"/>
        <v>12160.916666666666</v>
      </c>
      <c r="AA75" s="73">
        <v>22686</v>
      </c>
      <c r="AB75" s="88">
        <v>5000</v>
      </c>
      <c r="AC75" s="116">
        <v>5000</v>
      </c>
      <c r="AD75" s="74">
        <v>4400</v>
      </c>
      <c r="AE75" s="76">
        <f t="shared" si="113"/>
        <v>4800</v>
      </c>
      <c r="AF75" s="24">
        <f t="shared" si="114"/>
        <v>-17886</v>
      </c>
      <c r="AG75" s="25">
        <f t="shared" si="115"/>
        <v>-0.78841576302565464</v>
      </c>
      <c r="AH75" s="77">
        <f t="shared" si="116"/>
        <v>4800</v>
      </c>
      <c r="AI75" s="77">
        <f t="shared" si="117"/>
        <v>4800</v>
      </c>
      <c r="AJ75" s="73">
        <v>22686</v>
      </c>
      <c r="AK75" s="79">
        <v>5300</v>
      </c>
      <c r="AL75" s="79">
        <v>4000</v>
      </c>
      <c r="AM75" s="127">
        <v>5800</v>
      </c>
      <c r="AN75" s="128">
        <v>4000</v>
      </c>
      <c r="AO75" s="128">
        <v>10000</v>
      </c>
      <c r="AP75" s="124">
        <f t="shared" si="118"/>
        <v>5820</v>
      </c>
      <c r="AQ75" s="125">
        <f t="shared" si="119"/>
        <v>-16866</v>
      </c>
      <c r="AR75" s="126">
        <f t="shared" si="120"/>
        <v>-0.74345411266860617</v>
      </c>
      <c r="AS75" s="132">
        <f t="shared" si="121"/>
        <v>5820</v>
      </c>
      <c r="AT75" s="10">
        <v>22242</v>
      </c>
      <c r="AU75" s="10">
        <v>4000</v>
      </c>
      <c r="AV75" s="167">
        <v>16000</v>
      </c>
      <c r="AW75" s="168">
        <v>4000</v>
      </c>
      <c r="AX75" s="29">
        <f t="shared" si="136"/>
        <v>4000</v>
      </c>
      <c r="AY75" s="24">
        <f t="shared" si="137"/>
        <v>-18242</v>
      </c>
      <c r="AZ75" s="25">
        <f t="shared" si="138"/>
        <v>-0.82016005754878163</v>
      </c>
      <c r="BA75" s="24">
        <f t="shared" si="139"/>
        <v>-6242</v>
      </c>
      <c r="BB75" s="169">
        <f t="shared" si="140"/>
        <v>-0.28064023019512635</v>
      </c>
      <c r="BC75" s="170">
        <f t="shared" si="141"/>
        <v>4000</v>
      </c>
      <c r="BD75" s="10">
        <v>20218</v>
      </c>
      <c r="BE75" s="10">
        <v>42000</v>
      </c>
      <c r="BF75" s="10">
        <v>45000</v>
      </c>
      <c r="BG75" s="268">
        <v>45000</v>
      </c>
      <c r="BH75" s="10">
        <v>45000</v>
      </c>
      <c r="BI75" s="76">
        <f t="shared" ref="BI75:BI76" si="158">AVERAGE(BE75,BF75,BG75,BH75)</f>
        <v>44250</v>
      </c>
      <c r="BJ75" s="24">
        <f t="shared" ref="BJ75:BJ76" si="159">BI75-BD75</f>
        <v>24032</v>
      </c>
      <c r="BK75" s="25">
        <f t="shared" ref="BK75:BK76" si="160">+BJ75/BD75</f>
        <v>1.1886437827678307</v>
      </c>
      <c r="BL75" s="259">
        <f t="shared" ref="BL75:BL76" si="161">BI75</f>
        <v>44250</v>
      </c>
      <c r="BM75" s="10">
        <v>22573</v>
      </c>
      <c r="BN75" s="45">
        <v>12000</v>
      </c>
      <c r="BO75" s="45">
        <v>26246</v>
      </c>
      <c r="BP75" s="317">
        <v>35000</v>
      </c>
      <c r="BQ75" s="29">
        <f t="shared" si="150"/>
        <v>24415.333333333332</v>
      </c>
      <c r="BR75" s="24">
        <f t="shared" si="151"/>
        <v>1842.3333333333321</v>
      </c>
      <c r="BS75" s="25">
        <f t="shared" si="152"/>
        <v>8.1616680695225804E-2</v>
      </c>
      <c r="BT75" s="308">
        <f t="shared" si="153"/>
        <v>24415.333333333332</v>
      </c>
    </row>
    <row r="76" spans="1:72" ht="34.35" customHeight="1">
      <c r="A76" s="91" t="s">
        <v>8</v>
      </c>
      <c r="B76" s="358" t="s">
        <v>2268</v>
      </c>
      <c r="C76" s="50" t="s">
        <v>91</v>
      </c>
      <c r="D76" s="99" t="s">
        <v>427</v>
      </c>
      <c r="E76" s="48" t="s">
        <v>13</v>
      </c>
      <c r="F76" s="10">
        <v>31555</v>
      </c>
      <c r="G76" s="10">
        <v>41040</v>
      </c>
      <c r="H76" s="33">
        <v>41040</v>
      </c>
      <c r="I76" s="36">
        <v>35872</v>
      </c>
      <c r="J76" s="29">
        <f t="shared" si="67"/>
        <v>39317.333333333336</v>
      </c>
      <c r="K76" s="24">
        <f t="shared" si="68"/>
        <v>7762.3333333333358</v>
      </c>
      <c r="L76" s="25">
        <f t="shared" si="69"/>
        <v>0.24599376749590671</v>
      </c>
      <c r="M76" s="69">
        <f t="shared" si="70"/>
        <v>39317.333333333336</v>
      </c>
      <c r="N76" s="77">
        <f t="shared" si="19"/>
        <v>39317.333333333336</v>
      </c>
      <c r="O76" s="73">
        <v>8876</v>
      </c>
      <c r="P76" s="74">
        <v>5290</v>
      </c>
      <c r="Q76" s="74">
        <v>12000</v>
      </c>
      <c r="R76" s="75">
        <v>6095</v>
      </c>
      <c r="S76" s="61">
        <v>15524.999999999998</v>
      </c>
      <c r="T76" s="60">
        <v>9000</v>
      </c>
      <c r="U76" s="74">
        <v>17853.749999999996</v>
      </c>
      <c r="V76" s="76">
        <f t="shared" si="20"/>
        <v>10960.625</v>
      </c>
      <c r="W76" s="24">
        <f t="shared" si="111"/>
        <v>2084.625</v>
      </c>
      <c r="X76" s="25">
        <f t="shared" si="112"/>
        <v>0.23486086074808471</v>
      </c>
      <c r="Y76" s="77">
        <f t="shared" si="4"/>
        <v>10960.625</v>
      </c>
      <c r="Z76" s="106">
        <f t="shared" si="21"/>
        <v>10960.625</v>
      </c>
      <c r="AA76" s="73">
        <v>8876</v>
      </c>
      <c r="AB76" s="88">
        <v>5000</v>
      </c>
      <c r="AC76" s="116">
        <v>5000</v>
      </c>
      <c r="AD76" s="74">
        <v>5060</v>
      </c>
      <c r="AE76" s="76">
        <f t="shared" si="113"/>
        <v>5020</v>
      </c>
      <c r="AF76" s="24">
        <f t="shared" si="114"/>
        <v>-3856</v>
      </c>
      <c r="AG76" s="25">
        <f t="shared" si="115"/>
        <v>-0.43442992338891395</v>
      </c>
      <c r="AH76" s="77">
        <f t="shared" si="116"/>
        <v>5020</v>
      </c>
      <c r="AI76" s="77">
        <f t="shared" si="117"/>
        <v>5020</v>
      </c>
      <c r="AJ76" s="73">
        <v>8876</v>
      </c>
      <c r="AK76" s="79">
        <v>6095</v>
      </c>
      <c r="AL76" s="79">
        <v>4600</v>
      </c>
      <c r="AM76" s="127">
        <v>5520</v>
      </c>
      <c r="AN76" s="128">
        <v>4000</v>
      </c>
      <c r="AO76" s="128">
        <v>5000</v>
      </c>
      <c r="AP76" s="133">
        <f t="shared" si="118"/>
        <v>5043</v>
      </c>
      <c r="AQ76" s="127">
        <f t="shared" si="119"/>
        <v>-3833</v>
      </c>
      <c r="AR76" s="134">
        <f t="shared" si="120"/>
        <v>-0.43183866606579541</v>
      </c>
      <c r="AS76" s="132">
        <f t="shared" si="121"/>
        <v>5043</v>
      </c>
      <c r="AT76" s="10">
        <v>8705</v>
      </c>
      <c r="AU76" s="10">
        <v>4600</v>
      </c>
      <c r="AV76" s="167">
        <v>23000</v>
      </c>
      <c r="AW76" s="168">
        <v>4562</v>
      </c>
      <c r="AX76" s="29">
        <f t="shared" si="136"/>
        <v>4581</v>
      </c>
      <c r="AY76" s="24">
        <f t="shared" si="137"/>
        <v>-4124</v>
      </c>
      <c r="AZ76" s="25">
        <f t="shared" si="138"/>
        <v>-0.47375071797817347</v>
      </c>
      <c r="BA76" s="24">
        <f t="shared" si="139"/>
        <v>14295</v>
      </c>
      <c r="BB76" s="169">
        <f t="shared" si="140"/>
        <v>1.6421596783457784</v>
      </c>
      <c r="BC76" s="170">
        <f t="shared" si="141"/>
        <v>4581</v>
      </c>
      <c r="BD76" s="10">
        <v>7907</v>
      </c>
      <c r="BE76" s="10">
        <v>25000</v>
      </c>
      <c r="BF76" s="10">
        <v>28000</v>
      </c>
      <c r="BG76" s="268">
        <v>28000</v>
      </c>
      <c r="BH76" s="10">
        <v>20000</v>
      </c>
      <c r="BI76" s="76">
        <f t="shared" si="158"/>
        <v>25250</v>
      </c>
      <c r="BJ76" s="24">
        <f t="shared" si="159"/>
        <v>17343</v>
      </c>
      <c r="BK76" s="25">
        <f t="shared" si="160"/>
        <v>2.1933729606677628</v>
      </c>
      <c r="BL76" s="259">
        <f t="shared" si="161"/>
        <v>25250</v>
      </c>
      <c r="BM76" s="10">
        <v>8828</v>
      </c>
      <c r="BN76" s="45">
        <v>14000</v>
      </c>
      <c r="BO76" s="45">
        <v>10267</v>
      </c>
      <c r="BP76" s="45">
        <v>13000</v>
      </c>
      <c r="BQ76" s="29">
        <f t="shared" si="150"/>
        <v>12422.333333333334</v>
      </c>
      <c r="BR76" s="24">
        <f t="shared" si="151"/>
        <v>3594.3333333333339</v>
      </c>
      <c r="BS76" s="25">
        <f t="shared" si="152"/>
        <v>0.40715148769068121</v>
      </c>
      <c r="BT76" s="308">
        <f t="shared" si="153"/>
        <v>12422.333333333334</v>
      </c>
    </row>
    <row r="77" spans="1:72" ht="34.35" customHeight="1">
      <c r="A77" s="91" t="s">
        <v>8</v>
      </c>
      <c r="B77" s="358" t="s">
        <v>2269</v>
      </c>
      <c r="C77" s="50" t="s">
        <v>92</v>
      </c>
      <c r="D77" s="99" t="s">
        <v>428</v>
      </c>
      <c r="E77" s="48" t="s">
        <v>13</v>
      </c>
      <c r="F77" s="10">
        <v>93752</v>
      </c>
      <c r="G77" s="10">
        <v>121932</v>
      </c>
      <c r="H77" s="31">
        <v>158512</v>
      </c>
      <c r="I77" s="36">
        <v>106577.60000000001</v>
      </c>
      <c r="J77" s="29">
        <f t="shared" si="67"/>
        <v>129007.2</v>
      </c>
      <c r="K77" s="24">
        <f t="shared" si="68"/>
        <v>35255.199999999997</v>
      </c>
      <c r="L77" s="25">
        <f t="shared" si="69"/>
        <v>0.37604744432118781</v>
      </c>
      <c r="M77" s="69" t="str">
        <f t="shared" si="70"/>
        <v>REVISAR PRECIO</v>
      </c>
      <c r="N77" s="77">
        <f t="shared" si="19"/>
        <v>129007.2</v>
      </c>
      <c r="O77" s="73">
        <v>14884</v>
      </c>
      <c r="P77" s="74">
        <v>14145</v>
      </c>
      <c r="Q77" s="74">
        <v>30000</v>
      </c>
      <c r="R77" s="75">
        <v>16297.5</v>
      </c>
      <c r="S77" s="61">
        <v>33235</v>
      </c>
      <c r="T77" s="60">
        <v>38000</v>
      </c>
      <c r="U77" s="74">
        <v>38220.25</v>
      </c>
      <c r="V77" s="76">
        <f t="shared" si="20"/>
        <v>28316.291666666668</v>
      </c>
      <c r="W77" s="24">
        <f t="shared" si="111"/>
        <v>13432.291666666668</v>
      </c>
      <c r="X77" s="25">
        <f t="shared" si="112"/>
        <v>0.90246517513213298</v>
      </c>
      <c r="Y77" s="77" t="str">
        <f t="shared" si="4"/>
        <v>REVISAR PRECIO</v>
      </c>
      <c r="Z77" s="106">
        <f t="shared" si="21"/>
        <v>28316.291666666668</v>
      </c>
      <c r="AA77" s="73">
        <v>14884</v>
      </c>
      <c r="AB77" s="88">
        <v>15000</v>
      </c>
      <c r="AC77" s="116">
        <v>17500</v>
      </c>
      <c r="AD77" s="74">
        <v>13530</v>
      </c>
      <c r="AE77" s="76">
        <f t="shared" si="113"/>
        <v>15343.333333333334</v>
      </c>
      <c r="AF77" s="24">
        <f t="shared" si="114"/>
        <v>459.33333333333394</v>
      </c>
      <c r="AG77" s="25">
        <f t="shared" si="115"/>
        <v>3.0860879691839153E-2</v>
      </c>
      <c r="AH77" s="77">
        <f t="shared" si="116"/>
        <v>15343.333333333334</v>
      </c>
      <c r="AI77" s="77">
        <f t="shared" si="117"/>
        <v>15343.333333333334</v>
      </c>
      <c r="AJ77" s="73">
        <v>14884</v>
      </c>
      <c r="AK77" s="79">
        <v>16297.5</v>
      </c>
      <c r="AL77" s="79">
        <v>12300</v>
      </c>
      <c r="AM77" s="127">
        <v>14760</v>
      </c>
      <c r="AN77" s="128">
        <v>13500</v>
      </c>
      <c r="AO77" s="128">
        <v>13000</v>
      </c>
      <c r="AP77" s="133">
        <f t="shared" si="118"/>
        <v>13971.5</v>
      </c>
      <c r="AQ77" s="127">
        <f t="shared" si="119"/>
        <v>-912.5</v>
      </c>
      <c r="AR77" s="134">
        <f t="shared" si="120"/>
        <v>-6.1307444235420588E-2</v>
      </c>
      <c r="AS77" s="132">
        <f t="shared" si="121"/>
        <v>13971.5</v>
      </c>
      <c r="AT77" s="10">
        <v>14591</v>
      </c>
      <c r="AU77" s="10">
        <v>12300</v>
      </c>
      <c r="AV77" s="167">
        <v>61500</v>
      </c>
      <c r="AW77" s="168">
        <v>12000</v>
      </c>
      <c r="AX77" s="29">
        <f t="shared" si="136"/>
        <v>12150</v>
      </c>
      <c r="AY77" s="24">
        <f t="shared" si="137"/>
        <v>-2441</v>
      </c>
      <c r="AZ77" s="25">
        <f t="shared" si="138"/>
        <v>-0.16729490781988898</v>
      </c>
      <c r="BA77" s="24">
        <f t="shared" si="139"/>
        <v>46909</v>
      </c>
      <c r="BB77" s="169">
        <f t="shared" si="140"/>
        <v>3.214927009800562</v>
      </c>
      <c r="BC77" s="170">
        <f t="shared" si="141"/>
        <v>12150</v>
      </c>
      <c r="BD77" s="10">
        <v>13261</v>
      </c>
      <c r="BE77" s="10">
        <v>45000</v>
      </c>
      <c r="BF77" s="10">
        <v>48000</v>
      </c>
      <c r="BG77" s="268">
        <v>47000</v>
      </c>
      <c r="BH77" s="10">
        <v>50000</v>
      </c>
      <c r="BI77" s="76">
        <f t="shared" ref="BI77" si="162">AVERAGE(BE77,BF77,BG77,BH77)</f>
        <v>47500</v>
      </c>
      <c r="BJ77" s="24">
        <f t="shared" ref="BJ77" si="163">BI77-BD77</f>
        <v>34239</v>
      </c>
      <c r="BK77" s="25">
        <f t="shared" ref="BK77" si="164">+BJ77/BD77</f>
        <v>2.5819319809969081</v>
      </c>
      <c r="BL77" s="259">
        <f t="shared" ref="BL77" si="165">BI77</f>
        <v>47500</v>
      </c>
      <c r="BM77" s="10">
        <v>14809</v>
      </c>
      <c r="BN77" s="45"/>
      <c r="BO77" s="45">
        <v>17218</v>
      </c>
      <c r="BP77" s="45">
        <v>75000</v>
      </c>
      <c r="BQ77" s="29">
        <f t="shared" si="150"/>
        <v>46109</v>
      </c>
      <c r="BR77" s="24">
        <f t="shared" si="151"/>
        <v>31300</v>
      </c>
      <c r="BS77" s="25">
        <f t="shared" si="152"/>
        <v>2.113579579985144</v>
      </c>
      <c r="BT77" s="308">
        <f t="shared" si="153"/>
        <v>46109</v>
      </c>
    </row>
    <row r="78" spans="1:72" s="68" customFormat="1" ht="34.35" customHeight="1">
      <c r="A78" s="231" t="s">
        <v>8</v>
      </c>
      <c r="B78" s="358" t="s">
        <v>2270</v>
      </c>
      <c r="C78" s="50" t="s">
        <v>93</v>
      </c>
      <c r="D78" s="101" t="s">
        <v>429</v>
      </c>
      <c r="E78" s="65" t="s">
        <v>13</v>
      </c>
      <c r="F78" s="60">
        <v>17158</v>
      </c>
      <c r="G78" s="60">
        <v>22316</v>
      </c>
      <c r="H78" s="66">
        <v>29010</v>
      </c>
      <c r="I78" s="36">
        <v>19505.400000000001</v>
      </c>
      <c r="J78" s="63">
        <f t="shared" si="67"/>
        <v>23610.466666666664</v>
      </c>
      <c r="K78" s="67">
        <f t="shared" si="68"/>
        <v>6452.4666666666635</v>
      </c>
      <c r="L78" s="64">
        <f t="shared" si="69"/>
        <v>0.37606170105295861</v>
      </c>
      <c r="M78" s="78" t="str">
        <f t="shared" si="70"/>
        <v>REVISAR PRECIO</v>
      </c>
      <c r="N78" s="81">
        <f t="shared" si="19"/>
        <v>23610.466666666664</v>
      </c>
      <c r="O78" s="82">
        <v>9682</v>
      </c>
      <c r="P78" s="83">
        <v>4600</v>
      </c>
      <c r="Q78" s="83">
        <v>8000</v>
      </c>
      <c r="R78" s="84">
        <v>5300</v>
      </c>
      <c r="S78" s="85">
        <v>7244.9999999999991</v>
      </c>
      <c r="T78" s="60">
        <v>14000</v>
      </c>
      <c r="U78" s="83">
        <v>8331.7499999999982</v>
      </c>
      <c r="V78" s="86">
        <f t="shared" si="20"/>
        <v>7912.791666666667</v>
      </c>
      <c r="W78" s="67">
        <f t="shared" si="111"/>
        <v>-1769.208333333333</v>
      </c>
      <c r="X78" s="64">
        <f t="shared" si="112"/>
        <v>-0.18273170143909656</v>
      </c>
      <c r="Y78" s="81">
        <f t="shared" si="4"/>
        <v>7912.791666666667</v>
      </c>
      <c r="Z78" s="108">
        <f t="shared" si="21"/>
        <v>7912.791666666667</v>
      </c>
      <c r="AA78" s="73">
        <v>9682</v>
      </c>
      <c r="AB78" s="88">
        <v>4200</v>
      </c>
      <c r="AC78" s="116">
        <v>4200</v>
      </c>
      <c r="AD78" s="74">
        <v>4400</v>
      </c>
      <c r="AE78" s="76">
        <f t="shared" si="113"/>
        <v>4266.666666666667</v>
      </c>
      <c r="AF78" s="24">
        <f t="shared" si="114"/>
        <v>-5415.333333333333</v>
      </c>
      <c r="AG78" s="25">
        <f t="shared" si="115"/>
        <v>-0.5593196997865455</v>
      </c>
      <c r="AH78" s="77">
        <f t="shared" si="116"/>
        <v>4266.666666666667</v>
      </c>
      <c r="AI78" s="77">
        <f t="shared" si="117"/>
        <v>4266.666666666667</v>
      </c>
      <c r="AJ78" s="73">
        <v>9682</v>
      </c>
      <c r="AK78" s="79">
        <v>5300</v>
      </c>
      <c r="AL78" s="79">
        <f>+AL73</f>
        <v>4000</v>
      </c>
      <c r="AM78" s="127">
        <v>4800</v>
      </c>
      <c r="AN78" s="127">
        <v>4200</v>
      </c>
      <c r="AO78" s="127">
        <v>4000</v>
      </c>
      <c r="AP78" s="133">
        <f t="shared" si="118"/>
        <v>4460</v>
      </c>
      <c r="AQ78" s="127">
        <f t="shared" si="119"/>
        <v>-5222</v>
      </c>
      <c r="AR78" s="134">
        <f t="shared" si="120"/>
        <v>-0.53935137368312336</v>
      </c>
      <c r="AS78" s="132">
        <f t="shared" si="121"/>
        <v>4460</v>
      </c>
      <c r="AT78" s="10">
        <v>9493</v>
      </c>
      <c r="AU78" s="10">
        <v>4000</v>
      </c>
      <c r="AV78" s="167">
        <v>20000</v>
      </c>
      <c r="AW78" s="168">
        <v>4000</v>
      </c>
      <c r="AX78" s="29">
        <f t="shared" si="136"/>
        <v>4000</v>
      </c>
      <c r="AY78" s="24">
        <f t="shared" si="137"/>
        <v>-5493</v>
      </c>
      <c r="AZ78" s="25">
        <f t="shared" si="138"/>
        <v>-0.57863689034025068</v>
      </c>
      <c r="BA78" s="24">
        <f t="shared" si="139"/>
        <v>10507</v>
      </c>
      <c r="BB78" s="169">
        <f t="shared" si="140"/>
        <v>1.1068155482987465</v>
      </c>
      <c r="BC78" s="170">
        <f t="shared" si="141"/>
        <v>4000</v>
      </c>
      <c r="BD78" s="10">
        <v>8629</v>
      </c>
      <c r="BE78" s="10">
        <v>35000</v>
      </c>
      <c r="BF78" s="10">
        <v>39000</v>
      </c>
      <c r="BG78" s="268">
        <v>38000</v>
      </c>
      <c r="BH78" s="10">
        <v>38000</v>
      </c>
      <c r="BI78" s="76">
        <f t="shared" ref="BI78" si="166">AVERAGE(BE78,BF78,BG78,BH78)</f>
        <v>37500</v>
      </c>
      <c r="BJ78" s="24">
        <f t="shared" ref="BJ78" si="167">BI78-BD78</f>
        <v>28871</v>
      </c>
      <c r="BK78" s="25">
        <f t="shared" ref="BK78" si="168">+BJ78/BD78</f>
        <v>3.3458106385444433</v>
      </c>
      <c r="BL78" s="259">
        <f t="shared" ref="BL78" si="169">BI78</f>
        <v>37500</v>
      </c>
      <c r="BM78" s="10">
        <v>9635</v>
      </c>
      <c r="BN78" s="45">
        <v>4500</v>
      </c>
      <c r="BO78" s="45">
        <v>11237</v>
      </c>
      <c r="BP78" s="45">
        <v>9000</v>
      </c>
      <c r="BQ78" s="29">
        <f t="shared" si="150"/>
        <v>8245.6666666666661</v>
      </c>
      <c r="BR78" s="24">
        <f t="shared" si="151"/>
        <v>-1389.3333333333339</v>
      </c>
      <c r="BS78" s="25">
        <f t="shared" si="152"/>
        <v>-0.14419650579484525</v>
      </c>
      <c r="BT78" s="308">
        <f t="shared" si="153"/>
        <v>8245.6666666666661</v>
      </c>
    </row>
    <row r="79" spans="1:72" s="68" customFormat="1" ht="34.35" customHeight="1">
      <c r="A79" s="231" t="s">
        <v>8</v>
      </c>
      <c r="B79" s="358" t="s">
        <v>2271</v>
      </c>
      <c r="C79" s="50" t="s">
        <v>94</v>
      </c>
      <c r="D79" s="101" t="s">
        <v>430</v>
      </c>
      <c r="E79" s="65" t="s">
        <v>12</v>
      </c>
      <c r="F79" s="60">
        <v>11117</v>
      </c>
      <c r="G79" s="60">
        <v>14459</v>
      </c>
      <c r="H79" s="92">
        <v>18796</v>
      </c>
      <c r="I79" s="36">
        <v>12637.8</v>
      </c>
      <c r="J79" s="63">
        <f t="shared" si="67"/>
        <v>15297.6</v>
      </c>
      <c r="K79" s="67">
        <f t="shared" si="68"/>
        <v>4180.6000000000004</v>
      </c>
      <c r="L79" s="64">
        <f t="shared" si="69"/>
        <v>0.37605469101376277</v>
      </c>
      <c r="M79" s="78" t="str">
        <f t="shared" si="70"/>
        <v>REVISAR PRECIO</v>
      </c>
      <c r="N79" s="81">
        <f t="shared" si="19"/>
        <v>15297.6</v>
      </c>
      <c r="O79" s="82"/>
      <c r="P79" s="83"/>
      <c r="Q79" s="83"/>
      <c r="R79" s="84"/>
      <c r="S79" s="85"/>
      <c r="T79" s="60"/>
      <c r="U79" s="83"/>
      <c r="V79" s="86"/>
      <c r="W79" s="67"/>
      <c r="X79" s="64"/>
      <c r="Y79" s="81"/>
      <c r="Z79" s="108"/>
      <c r="AA79" s="117"/>
      <c r="AB79" s="117"/>
      <c r="AC79" s="117"/>
      <c r="AD79" s="117"/>
      <c r="AE79" s="117"/>
      <c r="AF79" s="117"/>
      <c r="AG79" s="117"/>
      <c r="AH79" s="117"/>
      <c r="AI79" s="117"/>
      <c r="AJ79" s="250"/>
      <c r="AK79" s="250"/>
      <c r="AL79" s="250"/>
      <c r="AM79" s="250"/>
      <c r="AN79" s="250"/>
      <c r="AO79" s="250"/>
      <c r="AP79" s="250"/>
      <c r="AQ79" s="250"/>
      <c r="AR79" s="250"/>
      <c r="AS79" s="250"/>
      <c r="AT79" s="10">
        <v>6152</v>
      </c>
      <c r="AU79" s="10"/>
      <c r="AV79" s="167">
        <v>0</v>
      </c>
      <c r="AW79" s="168">
        <v>6500</v>
      </c>
      <c r="AX79" s="29">
        <f t="shared" si="136"/>
        <v>6500</v>
      </c>
      <c r="AY79" s="24">
        <f t="shared" si="137"/>
        <v>348</v>
      </c>
      <c r="AZ79" s="25">
        <f t="shared" si="138"/>
        <v>5.6566970091027305E-2</v>
      </c>
      <c r="BA79" s="24">
        <f t="shared" si="139"/>
        <v>-6152</v>
      </c>
      <c r="BB79" s="169">
        <f t="shared" si="140"/>
        <v>-1</v>
      </c>
      <c r="BC79" s="170">
        <f t="shared" si="141"/>
        <v>6500</v>
      </c>
      <c r="BD79" s="150"/>
      <c r="BE79" s="150"/>
      <c r="BF79" s="150"/>
      <c r="BG79" s="150"/>
      <c r="BH79" s="150"/>
      <c r="BI79" s="150"/>
      <c r="BJ79" s="150"/>
      <c r="BK79" s="150"/>
      <c r="BL79" s="150"/>
      <c r="BM79" s="10">
        <v>6246</v>
      </c>
      <c r="BN79" s="45"/>
      <c r="BO79" s="45">
        <v>7258</v>
      </c>
      <c r="BP79" s="45">
        <v>18000</v>
      </c>
      <c r="BQ79" s="29">
        <f t="shared" si="150"/>
        <v>12629</v>
      </c>
      <c r="BR79" s="24">
        <f t="shared" si="151"/>
        <v>6383</v>
      </c>
      <c r="BS79" s="25">
        <f t="shared" si="152"/>
        <v>1.0219340377841819</v>
      </c>
      <c r="BT79" s="308">
        <f t="shared" si="153"/>
        <v>12629</v>
      </c>
    </row>
    <row r="80" spans="1:72" ht="34.35" customHeight="1">
      <c r="A80" s="91" t="s">
        <v>8</v>
      </c>
      <c r="B80" s="358" t="s">
        <v>2272</v>
      </c>
      <c r="C80" s="50" t="s">
        <v>95</v>
      </c>
      <c r="D80" s="99" t="s">
        <v>431</v>
      </c>
      <c r="E80" s="48" t="s">
        <v>13</v>
      </c>
      <c r="F80" s="10">
        <v>11615</v>
      </c>
      <c r="G80" s="10">
        <v>15107</v>
      </c>
      <c r="H80" s="33">
        <v>19638</v>
      </c>
      <c r="I80" s="90">
        <v>13204.2</v>
      </c>
      <c r="J80" s="29">
        <f t="shared" si="67"/>
        <v>15983.066666666666</v>
      </c>
      <c r="K80" s="24">
        <f t="shared" si="68"/>
        <v>4368.0666666666657</v>
      </c>
      <c r="L80" s="25">
        <f t="shared" si="69"/>
        <v>0.37607117233462467</v>
      </c>
      <c r="M80" s="69" t="str">
        <f t="shared" si="70"/>
        <v>REVISAR PRECIO</v>
      </c>
      <c r="N80" s="77">
        <f t="shared" si="19"/>
        <v>15983.066666666666</v>
      </c>
      <c r="O80" s="73">
        <v>6559</v>
      </c>
      <c r="P80" s="74">
        <v>18400</v>
      </c>
      <c r="Q80" s="74">
        <v>16000</v>
      </c>
      <c r="R80" s="75">
        <v>21200</v>
      </c>
      <c r="S80" s="61">
        <v>18400</v>
      </c>
      <c r="T80" s="60">
        <v>14000</v>
      </c>
      <c r="U80" s="74">
        <v>21160</v>
      </c>
      <c r="V80" s="76">
        <f t="shared" ref="V80:V94" si="170">AVERAGE(P80,Q80,R80,S80,T80,U80)</f>
        <v>18193.333333333332</v>
      </c>
      <c r="W80" s="24">
        <f t="shared" ref="W80:W94" si="171">V80-O80</f>
        <v>11634.333333333332</v>
      </c>
      <c r="X80" s="25">
        <f t="shared" ref="X80:X94" si="172">+W80/O80</f>
        <v>1.7737968186207245</v>
      </c>
      <c r="Y80" s="77" t="str">
        <f t="shared" ref="Y80:Y94" si="173">+IF(X80&lt;35%,V80,"REVISAR PRECIO")</f>
        <v>REVISAR PRECIO</v>
      </c>
      <c r="Z80" s="106">
        <f t="shared" ref="Z80:Z94" si="174">V80</f>
        <v>18193.333333333332</v>
      </c>
      <c r="AA80" s="73">
        <v>6559</v>
      </c>
      <c r="AB80" s="88">
        <v>18000</v>
      </c>
      <c r="AC80" s="116">
        <v>18000</v>
      </c>
      <c r="AD80" s="74">
        <v>17600</v>
      </c>
      <c r="AE80" s="76">
        <f t="shared" ref="AE80:AE94" si="175">AVERAGE(AB80,AC80,AD80)</f>
        <v>17866.666666666668</v>
      </c>
      <c r="AF80" s="24">
        <f t="shared" ref="AF80:AF94" si="176">AE80-AA80</f>
        <v>11307.666666666668</v>
      </c>
      <c r="AG80" s="25">
        <f t="shared" ref="AG80:AG94" si="177">+AF80/AA80</f>
        <v>1.723992478528231</v>
      </c>
      <c r="AH80" s="77" t="str">
        <f t="shared" ref="AH80:AH94" si="178">+IF(AG80&lt;35%,AE80,"REVISAR PRECIO")</f>
        <v>REVISAR PRECIO</v>
      </c>
      <c r="AI80" s="77">
        <f t="shared" ref="AI80:AI94" si="179">AE80</f>
        <v>17866.666666666668</v>
      </c>
      <c r="AJ80" s="73">
        <v>6559</v>
      </c>
      <c r="AK80" s="79">
        <v>21200</v>
      </c>
      <c r="AL80" s="79">
        <v>16000</v>
      </c>
      <c r="AM80" s="127">
        <v>19200</v>
      </c>
      <c r="AN80" s="128">
        <v>16000</v>
      </c>
      <c r="AO80" s="128">
        <v>20000</v>
      </c>
      <c r="AP80" s="133">
        <f t="shared" ref="AP80:AP94" si="180">AVERAGE(AK80,AL80,AM80,AN80,AO80)</f>
        <v>18480</v>
      </c>
      <c r="AQ80" s="127">
        <f t="shared" ref="AQ80:AQ94" si="181">AP80-AJ80</f>
        <v>11921</v>
      </c>
      <c r="AR80" s="134">
        <f t="shared" ref="AR80:AR94" si="182">+AQ80/AJ80</f>
        <v>1.8175026680896478</v>
      </c>
      <c r="AS80" s="132">
        <f>AP80</f>
        <v>18480</v>
      </c>
      <c r="AT80" s="10">
        <v>6427</v>
      </c>
      <c r="AU80" s="10">
        <v>16000</v>
      </c>
      <c r="AV80" s="167">
        <v>96000</v>
      </c>
      <c r="AW80" s="168">
        <v>13850</v>
      </c>
      <c r="AX80" s="29">
        <f t="shared" si="136"/>
        <v>14925</v>
      </c>
      <c r="AY80" s="24">
        <f t="shared" si="137"/>
        <v>8498</v>
      </c>
      <c r="AZ80" s="25">
        <f t="shared" si="138"/>
        <v>1.3222343239458534</v>
      </c>
      <c r="BA80" s="24">
        <f t="shared" si="139"/>
        <v>89573</v>
      </c>
      <c r="BB80" s="169">
        <f t="shared" si="140"/>
        <v>13.936984596234636</v>
      </c>
      <c r="BC80" s="170">
        <f t="shared" si="141"/>
        <v>14925</v>
      </c>
      <c r="BD80" s="150"/>
      <c r="BE80" s="150"/>
      <c r="BF80" s="150"/>
      <c r="BG80" s="150"/>
      <c r="BH80" s="150"/>
      <c r="BI80" s="150"/>
      <c r="BJ80" s="150"/>
      <c r="BK80" s="150"/>
      <c r="BL80" s="150"/>
      <c r="BM80" s="10">
        <v>6521</v>
      </c>
      <c r="BN80" s="45">
        <v>15000</v>
      </c>
      <c r="BO80" s="45">
        <v>7585</v>
      </c>
      <c r="BP80" s="45">
        <v>15000</v>
      </c>
      <c r="BQ80" s="29">
        <f t="shared" si="150"/>
        <v>12528.333333333334</v>
      </c>
      <c r="BR80" s="24">
        <f t="shared" si="151"/>
        <v>6007.3333333333339</v>
      </c>
      <c r="BS80" s="25">
        <f t="shared" si="152"/>
        <v>0.92122885038082103</v>
      </c>
      <c r="BT80" s="308">
        <f t="shared" si="153"/>
        <v>12528.333333333334</v>
      </c>
    </row>
    <row r="81" spans="1:72" ht="42.6" customHeight="1">
      <c r="A81" s="91" t="s">
        <v>8</v>
      </c>
      <c r="B81" s="358" t="s">
        <v>2273</v>
      </c>
      <c r="C81" s="50" t="s">
        <v>96</v>
      </c>
      <c r="D81" s="99" t="s">
        <v>432</v>
      </c>
      <c r="E81" s="48" t="s">
        <v>14</v>
      </c>
      <c r="F81" s="10">
        <v>925356</v>
      </c>
      <c r="G81" s="10">
        <v>1203498</v>
      </c>
      <c r="H81" s="31">
        <v>1564547</v>
      </c>
      <c r="I81" s="90">
        <v>1051946.3999999999</v>
      </c>
      <c r="J81" s="29">
        <f t="shared" si="67"/>
        <v>1273330.4666666666</v>
      </c>
      <c r="K81" s="24">
        <f t="shared" si="68"/>
        <v>347974.46666666656</v>
      </c>
      <c r="L81" s="25">
        <f t="shared" si="69"/>
        <v>0.37604388653303872</v>
      </c>
      <c r="M81" s="69" t="str">
        <f t="shared" si="70"/>
        <v>REVISAR PRECIO</v>
      </c>
      <c r="N81" s="77">
        <f t="shared" si="19"/>
        <v>1273330.4666666666</v>
      </c>
      <c r="O81" s="73">
        <v>522358</v>
      </c>
      <c r="P81" s="74" t="s">
        <v>810</v>
      </c>
      <c r="Q81" s="74"/>
      <c r="R81" s="75"/>
      <c r="S81" s="61">
        <v>1380000</v>
      </c>
      <c r="T81" s="60">
        <v>350000</v>
      </c>
      <c r="U81" s="74">
        <v>1586999.9999999998</v>
      </c>
      <c r="V81" s="76">
        <f t="shared" si="170"/>
        <v>1105666.6666666667</v>
      </c>
      <c r="W81" s="24">
        <f t="shared" si="171"/>
        <v>583308.66666666674</v>
      </c>
      <c r="X81" s="25">
        <f t="shared" si="172"/>
        <v>1.1166837047899463</v>
      </c>
      <c r="Y81" s="77" t="str">
        <f t="shared" si="173"/>
        <v>REVISAR PRECIO</v>
      </c>
      <c r="Z81" s="109" t="s">
        <v>807</v>
      </c>
      <c r="AA81" s="73">
        <v>522358</v>
      </c>
      <c r="AB81" s="88"/>
      <c r="AC81" s="123"/>
      <c r="AD81" s="74" t="s">
        <v>810</v>
      </c>
      <c r="AE81" s="76"/>
      <c r="AF81" s="24"/>
      <c r="AG81" s="25"/>
      <c r="AH81" s="121"/>
      <c r="AI81" s="122" t="s">
        <v>807</v>
      </c>
      <c r="AJ81" s="73">
        <v>522358</v>
      </c>
      <c r="AK81" s="79"/>
      <c r="AL81" s="79"/>
      <c r="AM81" s="127"/>
      <c r="AN81" s="128">
        <v>350000</v>
      </c>
      <c r="AO81" s="128"/>
      <c r="AP81" s="133">
        <f t="shared" si="180"/>
        <v>350000</v>
      </c>
      <c r="AQ81" s="127">
        <f t="shared" si="181"/>
        <v>-172358</v>
      </c>
      <c r="AR81" s="134">
        <f t="shared" si="182"/>
        <v>-0.32996144406709577</v>
      </c>
      <c r="AS81" s="151" t="s">
        <v>807</v>
      </c>
      <c r="AT81" s="10">
        <v>512116</v>
      </c>
      <c r="AU81" s="10"/>
      <c r="AV81" s="167">
        <v>12000</v>
      </c>
      <c r="AW81" s="168">
        <v>460500</v>
      </c>
      <c r="AX81" s="29">
        <f t="shared" si="136"/>
        <v>460500</v>
      </c>
      <c r="AY81" s="24">
        <f t="shared" si="137"/>
        <v>-51616</v>
      </c>
      <c r="AZ81" s="25">
        <f t="shared" si="138"/>
        <v>-0.10078966484155934</v>
      </c>
      <c r="BA81" s="24">
        <f t="shared" si="139"/>
        <v>-500116</v>
      </c>
      <c r="BB81" s="169">
        <f t="shared" si="140"/>
        <v>-0.97656780885580607</v>
      </c>
      <c r="BC81" s="170">
        <f t="shared" si="141"/>
        <v>460500</v>
      </c>
      <c r="BD81" s="10">
        <v>465469</v>
      </c>
      <c r="BE81" s="10"/>
      <c r="BF81" s="10">
        <v>39000</v>
      </c>
      <c r="BG81" s="268">
        <v>39000</v>
      </c>
      <c r="BH81" s="10">
        <v>55000</v>
      </c>
      <c r="BI81" s="76">
        <f t="shared" ref="BI81" si="183">AVERAGE(BE81,BF81,BG81,BH81)</f>
        <v>44333.333333333336</v>
      </c>
      <c r="BJ81" s="24">
        <f t="shared" ref="BJ81" si="184">BI81-BD81</f>
        <v>-421135.66666666669</v>
      </c>
      <c r="BK81" s="25">
        <f t="shared" ref="BK81" si="185">+BJ81/BD81</f>
        <v>-0.90475556195292639</v>
      </c>
      <c r="BL81" s="259">
        <f t="shared" ref="BL81" si="186">BI81</f>
        <v>44333.333333333336</v>
      </c>
      <c r="BM81" s="10">
        <v>519767</v>
      </c>
      <c r="BN81" s="45"/>
      <c r="BO81" s="45">
        <v>604244</v>
      </c>
      <c r="BP81" s="45">
        <v>85000</v>
      </c>
      <c r="BQ81" s="29">
        <f t="shared" si="150"/>
        <v>344622</v>
      </c>
      <c r="BR81" s="24">
        <f t="shared" si="151"/>
        <v>-175145</v>
      </c>
      <c r="BS81" s="25">
        <f t="shared" si="152"/>
        <v>-0.33696829540928919</v>
      </c>
      <c r="BT81" s="308" t="s">
        <v>807</v>
      </c>
    </row>
    <row r="82" spans="1:72" ht="30.6" customHeight="1">
      <c r="A82" s="91" t="s">
        <v>8</v>
      </c>
      <c r="B82" s="358" t="s">
        <v>2274</v>
      </c>
      <c r="C82" s="50" t="s">
        <v>97</v>
      </c>
      <c r="D82" s="99" t="s">
        <v>433</v>
      </c>
      <c r="E82" s="48" t="s">
        <v>10</v>
      </c>
      <c r="F82" s="10">
        <v>66339</v>
      </c>
      <c r="G82" s="10">
        <v>86279</v>
      </c>
      <c r="H82" s="33">
        <v>112162</v>
      </c>
      <c r="I82" s="90">
        <v>75413.8</v>
      </c>
      <c r="J82" s="29">
        <f t="shared" si="67"/>
        <v>91284.933333333334</v>
      </c>
      <c r="K82" s="24">
        <f t="shared" si="68"/>
        <v>24945.933333333334</v>
      </c>
      <c r="L82" s="25">
        <f t="shared" si="69"/>
        <v>0.37603722295080322</v>
      </c>
      <c r="M82" s="69" t="str">
        <f t="shared" si="70"/>
        <v>REVISAR PRECIO</v>
      </c>
      <c r="N82" s="77">
        <f t="shared" si="19"/>
        <v>91284.933333333334</v>
      </c>
      <c r="O82" s="73">
        <v>37447</v>
      </c>
      <c r="P82" s="74">
        <v>40250</v>
      </c>
      <c r="Q82" s="74">
        <v>45000</v>
      </c>
      <c r="R82" s="75">
        <v>46375</v>
      </c>
      <c r="S82" s="61">
        <v>40250</v>
      </c>
      <c r="T82" s="60">
        <v>10000</v>
      </c>
      <c r="U82" s="74">
        <v>46287.5</v>
      </c>
      <c r="V82" s="76">
        <f t="shared" si="170"/>
        <v>38027.083333333336</v>
      </c>
      <c r="W82" s="24">
        <f t="shared" si="171"/>
        <v>580.08333333333576</v>
      </c>
      <c r="X82" s="25">
        <f t="shared" si="172"/>
        <v>1.549078252819547E-2</v>
      </c>
      <c r="Y82" s="77">
        <f t="shared" si="173"/>
        <v>38027.083333333336</v>
      </c>
      <c r="Z82" s="105">
        <f>AVERAGE(P82,Q82,R82,S82,U82,V82)</f>
        <v>42698.263888888891</v>
      </c>
      <c r="AA82" s="73">
        <v>37447</v>
      </c>
      <c r="AB82" s="88">
        <v>40000</v>
      </c>
      <c r="AC82" s="116">
        <v>40000</v>
      </c>
      <c r="AD82" s="74">
        <v>38500</v>
      </c>
      <c r="AE82" s="76">
        <f t="shared" si="175"/>
        <v>39500</v>
      </c>
      <c r="AF82" s="24">
        <f t="shared" si="176"/>
        <v>2053</v>
      </c>
      <c r="AG82" s="25">
        <f t="shared" si="177"/>
        <v>5.4824151467407267E-2</v>
      </c>
      <c r="AH82" s="77">
        <f t="shared" si="178"/>
        <v>39500</v>
      </c>
      <c r="AI82" s="77">
        <f t="shared" si="179"/>
        <v>39500</v>
      </c>
      <c r="AJ82" s="73">
        <v>37447</v>
      </c>
      <c r="AK82" s="79">
        <v>46375</v>
      </c>
      <c r="AL82" s="79">
        <v>35000</v>
      </c>
      <c r="AM82" s="127">
        <v>42000</v>
      </c>
      <c r="AN82" s="128">
        <v>42000</v>
      </c>
      <c r="AO82" s="128">
        <v>40000</v>
      </c>
      <c r="AP82" s="129">
        <f t="shared" si="180"/>
        <v>41075</v>
      </c>
      <c r="AQ82" s="130">
        <f t="shared" si="181"/>
        <v>3628</v>
      </c>
      <c r="AR82" s="131">
        <f t="shared" si="182"/>
        <v>9.6883595481614015E-2</v>
      </c>
      <c r="AS82" s="132">
        <f t="shared" ref="AS82:AS94" si="187">AP82</f>
        <v>41075</v>
      </c>
      <c r="AT82" s="10">
        <v>36717</v>
      </c>
      <c r="AU82" s="10">
        <v>35000</v>
      </c>
      <c r="AV82" s="167">
        <v>70000</v>
      </c>
      <c r="AW82" s="168">
        <v>33502</v>
      </c>
      <c r="AX82" s="29">
        <f t="shared" si="136"/>
        <v>34251</v>
      </c>
      <c r="AY82" s="24">
        <f t="shared" si="137"/>
        <v>-2466</v>
      </c>
      <c r="AZ82" s="25">
        <f t="shared" si="138"/>
        <v>-6.7162349865185059E-2</v>
      </c>
      <c r="BA82" s="24">
        <f t="shared" si="139"/>
        <v>33283</v>
      </c>
      <c r="BB82" s="169">
        <f t="shared" si="140"/>
        <v>0.90647384045537494</v>
      </c>
      <c r="BC82" s="170">
        <f t="shared" si="141"/>
        <v>34251</v>
      </c>
      <c r="BD82" s="10">
        <v>33366</v>
      </c>
      <c r="BE82" s="10">
        <v>35000</v>
      </c>
      <c r="BF82" s="10">
        <v>39000</v>
      </c>
      <c r="BG82" s="268">
        <v>38000</v>
      </c>
      <c r="BH82" s="10">
        <v>40000</v>
      </c>
      <c r="BI82" s="76">
        <f t="shared" ref="BI82:BI84" si="188">AVERAGE(BE82,BF82,BG82,BH82)</f>
        <v>38000</v>
      </c>
      <c r="BJ82" s="24">
        <f t="shared" ref="BJ82:BJ84" si="189">BI82-BD82</f>
        <v>4634</v>
      </c>
      <c r="BK82" s="25">
        <f t="shared" ref="BK82:BK84" si="190">+BJ82/BD82</f>
        <v>0.13888389378409158</v>
      </c>
      <c r="BL82" s="259">
        <f t="shared" ref="BL82:BL84" si="191">BI82</f>
        <v>38000</v>
      </c>
      <c r="BM82" s="10">
        <v>37257</v>
      </c>
      <c r="BN82" s="45">
        <v>35000</v>
      </c>
      <c r="BO82" s="45">
        <v>43317</v>
      </c>
      <c r="BP82" s="45">
        <v>65000</v>
      </c>
      <c r="BQ82" s="29">
        <f t="shared" si="150"/>
        <v>47772.333333333336</v>
      </c>
      <c r="BR82" s="24">
        <f t="shared" si="151"/>
        <v>10515.333333333336</v>
      </c>
      <c r="BS82" s="25">
        <f t="shared" si="152"/>
        <v>0.28223778976657637</v>
      </c>
      <c r="BT82" s="308">
        <f t="shared" si="153"/>
        <v>47772.333333333336</v>
      </c>
    </row>
    <row r="83" spans="1:72" ht="30.6" customHeight="1">
      <c r="A83" s="91" t="s">
        <v>8</v>
      </c>
      <c r="B83" s="358" t="s">
        <v>2275</v>
      </c>
      <c r="C83" s="50" t="s">
        <v>98</v>
      </c>
      <c r="D83" s="99" t="s">
        <v>434</v>
      </c>
      <c r="E83" s="48" t="s">
        <v>14</v>
      </c>
      <c r="F83" s="10">
        <v>7692</v>
      </c>
      <c r="G83" s="10">
        <v>10004</v>
      </c>
      <c r="H83" s="31">
        <v>13005</v>
      </c>
      <c r="I83" s="90">
        <v>8743.7999999999993</v>
      </c>
      <c r="J83" s="29">
        <f t="shared" si="67"/>
        <v>10584.266666666666</v>
      </c>
      <c r="K83" s="24">
        <f t="shared" si="68"/>
        <v>2892.2666666666664</v>
      </c>
      <c r="L83" s="25">
        <f t="shared" si="69"/>
        <v>0.37600970705494885</v>
      </c>
      <c r="M83" s="69" t="str">
        <f t="shared" si="70"/>
        <v>REVISAR PRECIO</v>
      </c>
      <c r="N83" s="77">
        <f t="shared" si="19"/>
        <v>10584.266666666666</v>
      </c>
      <c r="O83" s="73"/>
      <c r="P83" s="74">
        <v>1150</v>
      </c>
      <c r="Q83" s="74">
        <v>5000</v>
      </c>
      <c r="R83" s="75">
        <v>1325</v>
      </c>
      <c r="S83" s="61">
        <v>6209.9999999999991</v>
      </c>
      <c r="T83" s="60">
        <v>12000</v>
      </c>
      <c r="U83" s="74">
        <v>7141.4999999999982</v>
      </c>
      <c r="V83" s="76">
        <f t="shared" si="170"/>
        <v>5471.083333333333</v>
      </c>
      <c r="W83" s="24">
        <f t="shared" si="171"/>
        <v>5471.083333333333</v>
      </c>
      <c r="X83" s="25"/>
      <c r="Y83" s="77">
        <f t="shared" si="173"/>
        <v>5471.083333333333</v>
      </c>
      <c r="Z83" s="107">
        <f>AVERAGE(Q83,S83,T83,U83)</f>
        <v>7587.875</v>
      </c>
      <c r="AA83" s="73"/>
      <c r="AB83" s="88">
        <v>1000</v>
      </c>
      <c r="AC83" s="116">
        <v>1000</v>
      </c>
      <c r="AD83" s="74">
        <v>1100</v>
      </c>
      <c r="AE83" s="76">
        <f t="shared" si="175"/>
        <v>1033.3333333333333</v>
      </c>
      <c r="AF83" s="24">
        <f t="shared" si="176"/>
        <v>1033.3333333333333</v>
      </c>
      <c r="AG83" s="25"/>
      <c r="AH83" s="77"/>
      <c r="AI83" s="77">
        <f t="shared" si="179"/>
        <v>1033.3333333333333</v>
      </c>
      <c r="AJ83" s="73"/>
      <c r="AK83" s="79">
        <v>1325</v>
      </c>
      <c r="AL83" s="79">
        <v>1000</v>
      </c>
      <c r="AM83" s="127">
        <v>1200</v>
      </c>
      <c r="AN83" s="128">
        <v>2000</v>
      </c>
      <c r="AO83" s="128">
        <v>2000</v>
      </c>
      <c r="AP83" s="133">
        <f t="shared" si="180"/>
        <v>1505</v>
      </c>
      <c r="AQ83" s="127">
        <f t="shared" si="181"/>
        <v>1505</v>
      </c>
      <c r="AR83" s="134"/>
      <c r="AS83" s="132">
        <f t="shared" si="187"/>
        <v>1505</v>
      </c>
      <c r="AT83" s="10">
        <v>4263</v>
      </c>
      <c r="AU83" s="10">
        <v>1000</v>
      </c>
      <c r="AV83" s="167">
        <v>2000</v>
      </c>
      <c r="AW83" s="168">
        <v>1500</v>
      </c>
      <c r="AX83" s="29">
        <f t="shared" si="136"/>
        <v>1250</v>
      </c>
      <c r="AY83" s="24">
        <f t="shared" si="137"/>
        <v>-3013</v>
      </c>
      <c r="AZ83" s="25">
        <f t="shared" si="138"/>
        <v>-0.7067792634295097</v>
      </c>
      <c r="BA83" s="24">
        <f t="shared" si="139"/>
        <v>-2263</v>
      </c>
      <c r="BB83" s="169">
        <f t="shared" si="140"/>
        <v>-0.53084682148721563</v>
      </c>
      <c r="BC83" s="170">
        <f t="shared" si="141"/>
        <v>1250</v>
      </c>
      <c r="BD83" s="10">
        <v>3873</v>
      </c>
      <c r="BE83" s="10">
        <v>15000</v>
      </c>
      <c r="BF83" s="10">
        <v>18000</v>
      </c>
      <c r="BG83" s="268">
        <v>18000</v>
      </c>
      <c r="BH83" s="10">
        <v>10000</v>
      </c>
      <c r="BI83" s="76">
        <f t="shared" si="188"/>
        <v>15250</v>
      </c>
      <c r="BJ83" s="24">
        <f t="shared" si="189"/>
        <v>11377</v>
      </c>
      <c r="BK83" s="25">
        <f t="shared" si="190"/>
        <v>2.9375161373612189</v>
      </c>
      <c r="BL83" s="259">
        <f t="shared" si="191"/>
        <v>15250</v>
      </c>
      <c r="BM83" s="10">
        <v>4319</v>
      </c>
      <c r="BN83" s="45">
        <v>3000</v>
      </c>
      <c r="BO83" s="45">
        <v>5025</v>
      </c>
      <c r="BP83" s="45">
        <v>15000</v>
      </c>
      <c r="BQ83" s="29">
        <f t="shared" si="150"/>
        <v>7675</v>
      </c>
      <c r="BR83" s="24">
        <f t="shared" si="151"/>
        <v>3356</v>
      </c>
      <c r="BS83" s="25">
        <f t="shared" si="152"/>
        <v>0.77703172030562628</v>
      </c>
      <c r="BT83" s="308">
        <f t="shared" si="153"/>
        <v>7675</v>
      </c>
    </row>
    <row r="84" spans="1:72" ht="30.6" customHeight="1">
      <c r="A84" s="91" t="s">
        <v>8</v>
      </c>
      <c r="B84" s="358" t="s">
        <v>2276</v>
      </c>
      <c r="C84" s="50" t="s">
        <v>99</v>
      </c>
      <c r="D84" s="99" t="s">
        <v>435</v>
      </c>
      <c r="E84" s="48" t="s">
        <v>14</v>
      </c>
      <c r="F84" s="10">
        <v>70626</v>
      </c>
      <c r="G84" s="10">
        <v>91854</v>
      </c>
      <c r="H84" s="31">
        <v>119410</v>
      </c>
      <c r="I84" s="90">
        <v>80287.199999999997</v>
      </c>
      <c r="J84" s="29">
        <f t="shared" si="67"/>
        <v>97183.733333333337</v>
      </c>
      <c r="K84" s="24">
        <f t="shared" si="68"/>
        <v>26557.733333333337</v>
      </c>
      <c r="L84" s="25">
        <f t="shared" si="69"/>
        <v>0.37603337769848694</v>
      </c>
      <c r="M84" s="69" t="str">
        <f t="shared" si="70"/>
        <v>REVISAR PRECIO</v>
      </c>
      <c r="N84" s="77">
        <f t="shared" si="19"/>
        <v>97183.733333333337</v>
      </c>
      <c r="O84" s="73"/>
      <c r="P84" s="74">
        <v>920</v>
      </c>
      <c r="Q84" s="74">
        <v>25000</v>
      </c>
      <c r="R84" s="75">
        <v>1060</v>
      </c>
      <c r="S84" s="61">
        <v>1380</v>
      </c>
      <c r="T84" s="60">
        <v>32000</v>
      </c>
      <c r="U84" s="74">
        <v>1586.9999999999998</v>
      </c>
      <c r="V84" s="76">
        <f t="shared" si="170"/>
        <v>10324.5</v>
      </c>
      <c r="W84" s="24">
        <f t="shared" si="171"/>
        <v>10324.5</v>
      </c>
      <c r="X84" s="25"/>
      <c r="Y84" s="77">
        <f t="shared" si="173"/>
        <v>10324.5</v>
      </c>
      <c r="Z84" s="106">
        <f t="shared" si="174"/>
        <v>10324.5</v>
      </c>
      <c r="AA84" s="73"/>
      <c r="AB84" s="88">
        <v>1000</v>
      </c>
      <c r="AC84" s="116">
        <v>1000</v>
      </c>
      <c r="AD84" s="74">
        <v>880</v>
      </c>
      <c r="AE84" s="76">
        <f t="shared" si="175"/>
        <v>960</v>
      </c>
      <c r="AF84" s="24">
        <f t="shared" si="176"/>
        <v>960</v>
      </c>
      <c r="AG84" s="25"/>
      <c r="AH84" s="77"/>
      <c r="AI84" s="77">
        <f t="shared" si="179"/>
        <v>960</v>
      </c>
      <c r="AJ84" s="73"/>
      <c r="AK84" s="79">
        <v>1060</v>
      </c>
      <c r="AL84" s="79">
        <v>800</v>
      </c>
      <c r="AM84" s="127">
        <v>960</v>
      </c>
      <c r="AN84" s="128">
        <v>1500</v>
      </c>
      <c r="AO84" s="128">
        <v>1000</v>
      </c>
      <c r="AP84" s="133">
        <f t="shared" si="180"/>
        <v>1064</v>
      </c>
      <c r="AQ84" s="127">
        <f t="shared" si="181"/>
        <v>1064</v>
      </c>
      <c r="AR84" s="134"/>
      <c r="AS84" s="132">
        <f t="shared" si="187"/>
        <v>1064</v>
      </c>
      <c r="AT84" s="10">
        <v>39091</v>
      </c>
      <c r="AU84" s="10">
        <v>800</v>
      </c>
      <c r="AV84" s="167">
        <v>2400</v>
      </c>
      <c r="AW84" s="168">
        <v>2600</v>
      </c>
      <c r="AX84" s="29">
        <f t="shared" si="136"/>
        <v>1700</v>
      </c>
      <c r="AY84" s="24">
        <f t="shared" si="137"/>
        <v>-37391</v>
      </c>
      <c r="AZ84" s="25">
        <f t="shared" si="138"/>
        <v>-0.9565117290424906</v>
      </c>
      <c r="BA84" s="24">
        <f t="shared" si="139"/>
        <v>-36691</v>
      </c>
      <c r="BB84" s="169">
        <f t="shared" si="140"/>
        <v>-0.93860479394233964</v>
      </c>
      <c r="BC84" s="170">
        <f t="shared" si="141"/>
        <v>1700</v>
      </c>
      <c r="BD84" s="10">
        <v>35530</v>
      </c>
      <c r="BE84" s="10">
        <v>10000</v>
      </c>
      <c r="BF84" s="10">
        <v>12000</v>
      </c>
      <c r="BG84" s="268">
        <v>12000</v>
      </c>
      <c r="BH84" s="10">
        <v>15000</v>
      </c>
      <c r="BI84" s="76">
        <f t="shared" si="188"/>
        <v>12250</v>
      </c>
      <c r="BJ84" s="24">
        <f t="shared" si="189"/>
        <v>-23280</v>
      </c>
      <c r="BK84" s="25">
        <f t="shared" si="190"/>
        <v>-0.65522094005066145</v>
      </c>
      <c r="BL84" s="259">
        <f t="shared" si="191"/>
        <v>12250</v>
      </c>
      <c r="BM84" s="10">
        <v>39669</v>
      </c>
      <c r="BN84" s="45">
        <v>4000</v>
      </c>
      <c r="BO84" s="45">
        <v>52838</v>
      </c>
      <c r="BP84" s="45">
        <v>25000</v>
      </c>
      <c r="BQ84" s="29">
        <f t="shared" si="150"/>
        <v>27279.333333333332</v>
      </c>
      <c r="BR84" s="24">
        <f t="shared" si="151"/>
        <v>-12389.666666666668</v>
      </c>
      <c r="BS84" s="25">
        <f t="shared" si="152"/>
        <v>-0.31232616568773269</v>
      </c>
      <c r="BT84" s="308">
        <f t="shared" si="153"/>
        <v>27279.333333333332</v>
      </c>
    </row>
    <row r="85" spans="1:72" ht="30.6" customHeight="1">
      <c r="A85" s="91" t="s">
        <v>8</v>
      </c>
      <c r="B85" s="358" t="s">
        <v>2277</v>
      </c>
      <c r="C85" s="50" t="s">
        <v>100</v>
      </c>
      <c r="D85" s="99" t="s">
        <v>436</v>
      </c>
      <c r="E85" s="48" t="s">
        <v>14</v>
      </c>
      <c r="F85" s="10">
        <v>28109</v>
      </c>
      <c r="G85" s="10">
        <v>36558</v>
      </c>
      <c r="H85" s="31">
        <v>36558</v>
      </c>
      <c r="I85" s="37">
        <v>31742</v>
      </c>
      <c r="J85" s="29">
        <f t="shared" si="67"/>
        <v>34952.666666666664</v>
      </c>
      <c r="K85" s="24">
        <f t="shared" si="68"/>
        <v>6843.6666666666642</v>
      </c>
      <c r="L85" s="25">
        <f t="shared" si="69"/>
        <v>0.24346887710934806</v>
      </c>
      <c r="M85" s="69">
        <f t="shared" si="70"/>
        <v>34952.666666666664</v>
      </c>
      <c r="N85" s="77">
        <f t="shared" si="19"/>
        <v>34952.666666666664</v>
      </c>
      <c r="O85" s="73"/>
      <c r="P85" s="74">
        <v>2070</v>
      </c>
      <c r="Q85" s="74">
        <v>30000</v>
      </c>
      <c r="R85" s="75">
        <v>2385</v>
      </c>
      <c r="S85" s="61">
        <v>14719.999999999998</v>
      </c>
      <c r="T85" s="60">
        <v>12000</v>
      </c>
      <c r="U85" s="74">
        <v>16927.999999999996</v>
      </c>
      <c r="V85" s="76">
        <f t="shared" si="170"/>
        <v>13017.166666666666</v>
      </c>
      <c r="W85" s="24">
        <f t="shared" si="171"/>
        <v>13017.166666666666</v>
      </c>
      <c r="X85" s="25"/>
      <c r="Y85" s="77">
        <f t="shared" si="173"/>
        <v>13017.166666666666</v>
      </c>
      <c r="Z85" s="107">
        <f>AVERAGE(Q85,R85,S85,T85,U85)</f>
        <v>15206.6</v>
      </c>
      <c r="AA85" s="73"/>
      <c r="AB85" s="88">
        <v>2000</v>
      </c>
      <c r="AC85" s="116">
        <v>2000</v>
      </c>
      <c r="AD85" s="74">
        <v>1980</v>
      </c>
      <c r="AE85" s="76">
        <f t="shared" si="175"/>
        <v>1993.3333333333333</v>
      </c>
      <c r="AF85" s="24">
        <f t="shared" si="176"/>
        <v>1993.3333333333333</v>
      </c>
      <c r="AG85" s="25"/>
      <c r="AH85" s="77"/>
      <c r="AI85" s="77">
        <f t="shared" si="179"/>
        <v>1993.3333333333333</v>
      </c>
      <c r="AJ85" s="73"/>
      <c r="AK85" s="79">
        <v>2385</v>
      </c>
      <c r="AL85" s="79">
        <v>1800</v>
      </c>
      <c r="AM85" s="127">
        <v>2160</v>
      </c>
      <c r="AN85" s="128">
        <v>2500</v>
      </c>
      <c r="AO85" s="128">
        <v>3000</v>
      </c>
      <c r="AP85" s="133">
        <f t="shared" si="180"/>
        <v>2369</v>
      </c>
      <c r="AQ85" s="127">
        <f t="shared" si="181"/>
        <v>2369</v>
      </c>
      <c r="AR85" s="134"/>
      <c r="AS85" s="132">
        <f t="shared" si="187"/>
        <v>2369</v>
      </c>
      <c r="AT85" s="10">
        <v>15559</v>
      </c>
      <c r="AU85" s="10">
        <v>1800</v>
      </c>
      <c r="AV85" s="167">
        <v>5400</v>
      </c>
      <c r="AW85" s="168">
        <v>3650</v>
      </c>
      <c r="AX85" s="29">
        <f t="shared" si="136"/>
        <v>2725</v>
      </c>
      <c r="AY85" s="24">
        <f t="shared" si="137"/>
        <v>-12834</v>
      </c>
      <c r="AZ85" s="25">
        <f t="shared" si="138"/>
        <v>-0.82486020952503369</v>
      </c>
      <c r="BA85" s="24">
        <f t="shared" si="139"/>
        <v>-10159</v>
      </c>
      <c r="BB85" s="169">
        <f t="shared" si="140"/>
        <v>-0.65293399318722278</v>
      </c>
      <c r="BC85" s="170">
        <f t="shared" si="141"/>
        <v>2725</v>
      </c>
      <c r="BD85" s="150"/>
      <c r="BE85" s="150"/>
      <c r="BF85" s="150"/>
      <c r="BG85" s="150"/>
      <c r="BH85" s="150"/>
      <c r="BI85" s="150"/>
      <c r="BJ85" s="150"/>
      <c r="BK85" s="150"/>
      <c r="BL85" s="150"/>
      <c r="BM85" s="10">
        <v>15786</v>
      </c>
      <c r="BN85" s="45"/>
      <c r="BO85" s="45">
        <v>18353</v>
      </c>
      <c r="BP85" s="45">
        <v>15000</v>
      </c>
      <c r="BQ85" s="29">
        <f t="shared" si="150"/>
        <v>16676.5</v>
      </c>
      <c r="BR85" s="24">
        <f t="shared" si="151"/>
        <v>890.5</v>
      </c>
      <c r="BS85" s="25">
        <f t="shared" si="152"/>
        <v>5.6410743696946659E-2</v>
      </c>
      <c r="BT85" s="308">
        <f t="shared" si="153"/>
        <v>16676.5</v>
      </c>
    </row>
    <row r="86" spans="1:72" ht="30.6" customHeight="1">
      <c r="A86" s="91" t="s">
        <v>8</v>
      </c>
      <c r="B86" s="358" t="s">
        <v>2278</v>
      </c>
      <c r="C86" s="50" t="s">
        <v>101</v>
      </c>
      <c r="D86" s="99" t="s">
        <v>437</v>
      </c>
      <c r="E86" s="48" t="s">
        <v>13</v>
      </c>
      <c r="F86" s="10">
        <v>2190</v>
      </c>
      <c r="G86" s="10">
        <v>2849</v>
      </c>
      <c r="H86" s="33">
        <v>3703</v>
      </c>
      <c r="I86" s="90">
        <v>2489.8000000000002</v>
      </c>
      <c r="J86" s="29">
        <f t="shared" si="67"/>
        <v>3013.9333333333329</v>
      </c>
      <c r="K86" s="24">
        <f t="shared" si="68"/>
        <v>823.93333333333294</v>
      </c>
      <c r="L86" s="25">
        <f t="shared" si="69"/>
        <v>0.37622526636225251</v>
      </c>
      <c r="M86" s="69" t="str">
        <f t="shared" si="70"/>
        <v>REVISAR PRECIO</v>
      </c>
      <c r="N86" s="77">
        <f t="shared" si="19"/>
        <v>3013.9333333333329</v>
      </c>
      <c r="O86" s="73">
        <v>1234</v>
      </c>
      <c r="P86" s="74">
        <v>5980</v>
      </c>
      <c r="Q86" s="74">
        <v>8000</v>
      </c>
      <c r="R86" s="75">
        <v>6890</v>
      </c>
      <c r="S86" s="61">
        <v>8625</v>
      </c>
      <c r="T86" s="60">
        <v>6000</v>
      </c>
      <c r="U86" s="74">
        <v>9918.75</v>
      </c>
      <c r="V86" s="76">
        <f t="shared" si="170"/>
        <v>7568.958333333333</v>
      </c>
      <c r="W86" s="24">
        <f t="shared" si="171"/>
        <v>6334.958333333333</v>
      </c>
      <c r="X86" s="25">
        <f t="shared" si="172"/>
        <v>5.1336777417612103</v>
      </c>
      <c r="Y86" s="77" t="str">
        <f t="shared" si="173"/>
        <v>REVISAR PRECIO</v>
      </c>
      <c r="Z86" s="106">
        <f t="shared" si="174"/>
        <v>7568.958333333333</v>
      </c>
      <c r="AA86" s="73">
        <v>1234</v>
      </c>
      <c r="AB86" s="88">
        <v>5500</v>
      </c>
      <c r="AC86" s="116">
        <v>5500</v>
      </c>
      <c r="AD86" s="74">
        <v>5720</v>
      </c>
      <c r="AE86" s="76">
        <f t="shared" si="175"/>
        <v>5573.333333333333</v>
      </c>
      <c r="AF86" s="24">
        <f t="shared" si="176"/>
        <v>4339.333333333333</v>
      </c>
      <c r="AG86" s="25">
        <f t="shared" si="177"/>
        <v>3.5164775796866556</v>
      </c>
      <c r="AH86" s="77" t="str">
        <f t="shared" si="178"/>
        <v>REVISAR PRECIO</v>
      </c>
      <c r="AI86" s="77">
        <f t="shared" si="179"/>
        <v>5573.333333333333</v>
      </c>
      <c r="AJ86" s="73">
        <v>1234</v>
      </c>
      <c r="AK86" s="79">
        <v>6890</v>
      </c>
      <c r="AL86" s="79">
        <v>5200</v>
      </c>
      <c r="AM86" s="127">
        <v>6240</v>
      </c>
      <c r="AN86" s="128">
        <v>6000</v>
      </c>
      <c r="AO86" s="128">
        <v>6000</v>
      </c>
      <c r="AP86" s="124">
        <f t="shared" si="180"/>
        <v>6066</v>
      </c>
      <c r="AQ86" s="125">
        <f t="shared" si="181"/>
        <v>4832</v>
      </c>
      <c r="AR86" s="126">
        <f t="shared" si="182"/>
        <v>3.9157212317666126</v>
      </c>
      <c r="AS86" s="132">
        <f t="shared" si="187"/>
        <v>6066</v>
      </c>
      <c r="AT86" s="10">
        <v>1216</v>
      </c>
      <c r="AU86" s="10">
        <v>5200</v>
      </c>
      <c r="AV86" s="167">
        <v>20800</v>
      </c>
      <c r="AW86" s="168">
        <v>5000</v>
      </c>
      <c r="AX86" s="29">
        <f t="shared" si="136"/>
        <v>5100</v>
      </c>
      <c r="AY86" s="24">
        <f t="shared" si="137"/>
        <v>3884</v>
      </c>
      <c r="AZ86" s="25">
        <f t="shared" si="138"/>
        <v>3.1940789473684212</v>
      </c>
      <c r="BA86" s="24">
        <f t="shared" si="139"/>
        <v>19584</v>
      </c>
      <c r="BB86" s="169">
        <f t="shared" si="140"/>
        <v>16.105263157894736</v>
      </c>
      <c r="BC86" s="170">
        <f t="shared" si="141"/>
        <v>5100</v>
      </c>
      <c r="BD86" s="10">
        <v>1101</v>
      </c>
      <c r="BE86" s="10">
        <v>10000</v>
      </c>
      <c r="BF86" s="10">
        <v>12000</v>
      </c>
      <c r="BG86" s="268">
        <v>12000</v>
      </c>
      <c r="BH86" s="10">
        <v>10000</v>
      </c>
      <c r="BI86" s="76">
        <f t="shared" ref="BI86" si="192">AVERAGE(BE86,BF86,BG86,BH86)</f>
        <v>11000</v>
      </c>
      <c r="BJ86" s="24">
        <f t="shared" ref="BJ86" si="193">BI86-BD86</f>
        <v>9899</v>
      </c>
      <c r="BK86" s="25">
        <f t="shared" ref="BK86" si="194">+BJ86/BD86</f>
        <v>8.9909173478655759</v>
      </c>
      <c r="BL86" s="259">
        <f t="shared" ref="BL86" si="195">BI86</f>
        <v>11000</v>
      </c>
      <c r="BM86" s="10">
        <v>1224</v>
      </c>
      <c r="BN86" s="45">
        <v>6000</v>
      </c>
      <c r="BO86" s="45">
        <v>1428</v>
      </c>
      <c r="BP86" s="45">
        <v>15000</v>
      </c>
      <c r="BQ86" s="29">
        <f t="shared" si="150"/>
        <v>7476</v>
      </c>
      <c r="BR86" s="24">
        <f t="shared" si="151"/>
        <v>6252</v>
      </c>
      <c r="BS86" s="25">
        <f t="shared" si="152"/>
        <v>5.1078431372549016</v>
      </c>
      <c r="BT86" s="308">
        <f t="shared" si="153"/>
        <v>7476</v>
      </c>
    </row>
    <row r="87" spans="1:72" ht="17.100000000000001" customHeight="1">
      <c r="A87" s="91" t="s">
        <v>8</v>
      </c>
      <c r="B87" s="358" t="s">
        <v>2279</v>
      </c>
      <c r="C87" s="50" t="s">
        <v>102</v>
      </c>
      <c r="D87" s="99" t="s">
        <v>438</v>
      </c>
      <c r="E87" s="48" t="s">
        <v>15</v>
      </c>
      <c r="F87" s="10">
        <v>544431</v>
      </c>
      <c r="G87" s="10">
        <v>708075</v>
      </c>
      <c r="H87" s="31">
        <v>920498</v>
      </c>
      <c r="I87" s="90">
        <v>618910</v>
      </c>
      <c r="J87" s="29">
        <f t="shared" si="67"/>
        <v>749161</v>
      </c>
      <c r="K87" s="24">
        <f t="shared" si="68"/>
        <v>204730</v>
      </c>
      <c r="L87" s="25">
        <f t="shared" si="69"/>
        <v>0.37604397986154353</v>
      </c>
      <c r="M87" s="69" t="str">
        <f t="shared" si="70"/>
        <v>REVISAR PRECIO</v>
      </c>
      <c r="N87" s="77">
        <f t="shared" si="19"/>
        <v>749161</v>
      </c>
      <c r="O87" s="73">
        <v>142386</v>
      </c>
      <c r="P87" s="74">
        <v>345000</v>
      </c>
      <c r="Q87" s="74">
        <v>450000</v>
      </c>
      <c r="R87" s="75">
        <v>397500</v>
      </c>
      <c r="S87" s="61">
        <v>517499.99999999994</v>
      </c>
      <c r="T87" s="60">
        <v>160000</v>
      </c>
      <c r="U87" s="74">
        <v>595124.99999999988</v>
      </c>
      <c r="V87" s="76">
        <f t="shared" si="170"/>
        <v>410854.16666666669</v>
      </c>
      <c r="W87" s="24">
        <f t="shared" si="171"/>
        <v>268468.16666666669</v>
      </c>
      <c r="X87" s="25">
        <f t="shared" si="172"/>
        <v>1.8854955309276662</v>
      </c>
      <c r="Y87" s="77" t="str">
        <f t="shared" si="173"/>
        <v>REVISAR PRECIO</v>
      </c>
      <c r="Z87" s="107">
        <f>AVERAGE(P87,Q87,R87,S87,U87)</f>
        <v>461025</v>
      </c>
      <c r="AA87" s="73">
        <v>142386</v>
      </c>
      <c r="AB87" s="88">
        <v>315000</v>
      </c>
      <c r="AC87" s="116">
        <v>325000</v>
      </c>
      <c r="AD87" s="74">
        <v>330000</v>
      </c>
      <c r="AE87" s="76">
        <f t="shared" si="175"/>
        <v>323333.33333333331</v>
      </c>
      <c r="AF87" s="24">
        <f t="shared" si="176"/>
        <v>180947.33333333331</v>
      </c>
      <c r="AG87" s="25">
        <f t="shared" si="177"/>
        <v>1.2708225059579825</v>
      </c>
      <c r="AH87" s="77" t="str">
        <f t="shared" si="178"/>
        <v>REVISAR PRECIO</v>
      </c>
      <c r="AI87" s="77">
        <f t="shared" si="179"/>
        <v>323333.33333333331</v>
      </c>
      <c r="AJ87" s="73">
        <v>142386</v>
      </c>
      <c r="AK87" s="79">
        <v>397500</v>
      </c>
      <c r="AL87" s="79">
        <v>300000</v>
      </c>
      <c r="AM87" s="127">
        <v>360000</v>
      </c>
      <c r="AN87" s="128">
        <v>350000</v>
      </c>
      <c r="AO87" s="128">
        <v>320000</v>
      </c>
      <c r="AP87" s="133">
        <f t="shared" si="180"/>
        <v>345500</v>
      </c>
      <c r="AQ87" s="127">
        <f t="shared" si="181"/>
        <v>203114</v>
      </c>
      <c r="AR87" s="134">
        <f t="shared" si="182"/>
        <v>1.4265026055932466</v>
      </c>
      <c r="AS87" s="132">
        <f t="shared" si="187"/>
        <v>345500</v>
      </c>
      <c r="AT87" s="10">
        <v>139596</v>
      </c>
      <c r="AU87" s="10">
        <v>30760.6</v>
      </c>
      <c r="AV87" s="167">
        <v>123042.4</v>
      </c>
      <c r="AW87" s="168">
        <v>160000</v>
      </c>
      <c r="AX87" s="29">
        <f t="shared" si="136"/>
        <v>95380.3</v>
      </c>
      <c r="AY87" s="24">
        <f t="shared" si="137"/>
        <v>-44215.7</v>
      </c>
      <c r="AZ87" s="25">
        <f t="shared" si="138"/>
        <v>-0.3167404510157884</v>
      </c>
      <c r="BA87" s="24">
        <f t="shared" si="139"/>
        <v>-16553.600000000006</v>
      </c>
      <c r="BB87" s="169">
        <f t="shared" si="140"/>
        <v>-0.11858219433221587</v>
      </c>
      <c r="BC87" s="170">
        <f t="shared" si="141"/>
        <v>95380.3</v>
      </c>
      <c r="BD87" s="150"/>
      <c r="BE87" s="150"/>
      <c r="BF87" s="150"/>
      <c r="BG87" s="150"/>
      <c r="BH87" s="150"/>
      <c r="BI87" s="150"/>
      <c r="BJ87" s="150"/>
      <c r="BK87" s="150"/>
      <c r="BL87" s="150"/>
      <c r="BM87" s="293"/>
      <c r="BN87" s="293"/>
      <c r="BO87" s="293"/>
      <c r="BP87" s="293"/>
      <c r="BQ87" s="293"/>
      <c r="BR87" s="293"/>
      <c r="BS87" s="293"/>
      <c r="BT87" s="293"/>
    </row>
    <row r="88" spans="1:72" ht="17.100000000000001" customHeight="1">
      <c r="A88" s="91" t="s">
        <v>8</v>
      </c>
      <c r="B88" s="358" t="s">
        <v>2280</v>
      </c>
      <c r="C88" s="50" t="s">
        <v>103</v>
      </c>
      <c r="D88" s="99" t="s">
        <v>9</v>
      </c>
      <c r="E88" s="48" t="s">
        <v>16</v>
      </c>
      <c r="F88" s="10">
        <v>17750</v>
      </c>
      <c r="G88" s="10">
        <v>23085</v>
      </c>
      <c r="H88" s="31">
        <v>30011</v>
      </c>
      <c r="I88" s="90">
        <v>20178</v>
      </c>
      <c r="J88" s="29">
        <f t="shared" si="67"/>
        <v>24424.666666666668</v>
      </c>
      <c r="K88" s="24">
        <f t="shared" si="68"/>
        <v>6674.6666666666679</v>
      </c>
      <c r="L88" s="25">
        <f t="shared" si="69"/>
        <v>0.37603755868544608</v>
      </c>
      <c r="M88" s="69" t="str">
        <f t="shared" si="70"/>
        <v>REVISAR PRECIO</v>
      </c>
      <c r="N88" s="77">
        <f t="shared" si="19"/>
        <v>24424.666666666668</v>
      </c>
      <c r="O88" s="73">
        <v>1804</v>
      </c>
      <c r="P88" s="74">
        <v>6900</v>
      </c>
      <c r="Q88" s="74">
        <v>8000</v>
      </c>
      <c r="R88" s="75">
        <v>7950</v>
      </c>
      <c r="S88" s="61">
        <v>6899.9999999999991</v>
      </c>
      <c r="T88" s="60">
        <v>7500</v>
      </c>
      <c r="U88" s="74">
        <v>7934.9999999999982</v>
      </c>
      <c r="V88" s="76">
        <f t="shared" si="170"/>
        <v>7530.833333333333</v>
      </c>
      <c r="W88" s="24">
        <f t="shared" si="171"/>
        <v>5726.833333333333</v>
      </c>
      <c r="X88" s="25">
        <f t="shared" si="172"/>
        <v>3.1745195861049518</v>
      </c>
      <c r="Y88" s="77" t="str">
        <f t="shared" si="173"/>
        <v>REVISAR PRECIO</v>
      </c>
      <c r="Z88" s="106">
        <f t="shared" si="174"/>
        <v>7530.833333333333</v>
      </c>
      <c r="AA88" s="73">
        <v>1804</v>
      </c>
      <c r="AB88" s="88">
        <v>6000</v>
      </c>
      <c r="AC88" s="116">
        <v>6000</v>
      </c>
      <c r="AD88" s="74">
        <v>6600</v>
      </c>
      <c r="AE88" s="76">
        <f t="shared" si="175"/>
        <v>6200</v>
      </c>
      <c r="AF88" s="24">
        <f t="shared" si="176"/>
        <v>4396</v>
      </c>
      <c r="AG88" s="25">
        <f t="shared" si="177"/>
        <v>2.4368070953436809</v>
      </c>
      <c r="AH88" s="77" t="str">
        <f t="shared" si="178"/>
        <v>REVISAR PRECIO</v>
      </c>
      <c r="AI88" s="77">
        <f t="shared" si="179"/>
        <v>6200</v>
      </c>
      <c r="AJ88" s="73">
        <v>1804</v>
      </c>
      <c r="AK88" s="79">
        <v>7950</v>
      </c>
      <c r="AL88" s="79">
        <v>6000</v>
      </c>
      <c r="AM88" s="127">
        <v>7200</v>
      </c>
      <c r="AN88" s="128">
        <v>8000</v>
      </c>
      <c r="AO88" s="128">
        <v>7000</v>
      </c>
      <c r="AP88" s="133">
        <f t="shared" si="180"/>
        <v>7230</v>
      </c>
      <c r="AQ88" s="127">
        <f t="shared" si="181"/>
        <v>5426</v>
      </c>
      <c r="AR88" s="134">
        <f t="shared" si="182"/>
        <v>3.0077605321507761</v>
      </c>
      <c r="AS88" s="132">
        <f t="shared" si="187"/>
        <v>7230</v>
      </c>
      <c r="AT88" s="10">
        <v>1776</v>
      </c>
      <c r="AU88" s="10">
        <v>6000</v>
      </c>
      <c r="AV88" s="167">
        <v>24000</v>
      </c>
      <c r="AW88" s="168">
        <v>38000</v>
      </c>
      <c r="AX88" s="29">
        <f t="shared" si="136"/>
        <v>22000</v>
      </c>
      <c r="AY88" s="24">
        <f t="shared" si="137"/>
        <v>20224</v>
      </c>
      <c r="AZ88" s="25">
        <f t="shared" si="138"/>
        <v>11.387387387387387</v>
      </c>
      <c r="BA88" s="24">
        <f t="shared" si="139"/>
        <v>22224</v>
      </c>
      <c r="BB88" s="169">
        <f t="shared" si="140"/>
        <v>12.513513513513514</v>
      </c>
      <c r="BC88" s="170">
        <f t="shared" si="141"/>
        <v>22000</v>
      </c>
      <c r="BD88" s="150"/>
      <c r="BE88" s="150"/>
      <c r="BF88" s="150"/>
      <c r="BG88" s="150"/>
      <c r="BH88" s="150"/>
      <c r="BI88" s="150"/>
      <c r="BJ88" s="150"/>
      <c r="BK88" s="150"/>
      <c r="BL88" s="150"/>
      <c r="BM88" s="10">
        <v>1804</v>
      </c>
      <c r="BN88" s="45">
        <v>8000</v>
      </c>
      <c r="BO88" s="45">
        <v>2091</v>
      </c>
      <c r="BP88" s="45">
        <v>230000</v>
      </c>
      <c r="BQ88" s="29">
        <f t="shared" ref="BQ88" si="196">AVERAGE(BN88,BO88,BP88)</f>
        <v>80030.333333333328</v>
      </c>
      <c r="BR88" s="24">
        <f t="shared" ref="BR88" si="197">BQ88-BM88</f>
        <v>78226.333333333328</v>
      </c>
      <c r="BS88" s="25">
        <f t="shared" ref="BS88" si="198">+BR88/BM88</f>
        <v>43.362712490761268</v>
      </c>
      <c r="BT88" s="308" t="s">
        <v>807</v>
      </c>
    </row>
    <row r="89" spans="1:72" ht="17.100000000000001" customHeight="1">
      <c r="A89" s="91" t="s">
        <v>8</v>
      </c>
      <c r="B89" s="358" t="s">
        <v>2281</v>
      </c>
      <c r="C89" s="50" t="s">
        <v>104</v>
      </c>
      <c r="D89" s="99" t="s">
        <v>439</v>
      </c>
      <c r="E89" s="48" t="s">
        <v>740</v>
      </c>
      <c r="F89" s="10">
        <v>61564</v>
      </c>
      <c r="G89" s="10">
        <v>80069</v>
      </c>
      <c r="H89" s="33">
        <v>104089</v>
      </c>
      <c r="I89" s="90">
        <v>69985.8</v>
      </c>
      <c r="J89" s="29">
        <f t="shared" si="67"/>
        <v>84714.599999999991</v>
      </c>
      <c r="K89" s="24">
        <f t="shared" si="68"/>
        <v>23150.599999999991</v>
      </c>
      <c r="L89" s="25">
        <f t="shared" si="69"/>
        <v>0.37604119290494431</v>
      </c>
      <c r="M89" s="69" t="str">
        <f t="shared" si="70"/>
        <v>REVISAR PRECIO</v>
      </c>
      <c r="N89" s="77">
        <f t="shared" si="19"/>
        <v>84714.599999999991</v>
      </c>
      <c r="O89" s="73">
        <v>15188</v>
      </c>
      <c r="P89" s="74">
        <v>13800</v>
      </c>
      <c r="Q89" s="74">
        <v>15000</v>
      </c>
      <c r="R89" s="75">
        <v>15900</v>
      </c>
      <c r="S89" s="61">
        <v>13799.999999999998</v>
      </c>
      <c r="T89" s="60"/>
      <c r="U89" s="74">
        <v>15869.999999999996</v>
      </c>
      <c r="V89" s="76">
        <f t="shared" si="170"/>
        <v>14874</v>
      </c>
      <c r="W89" s="24">
        <f t="shared" si="171"/>
        <v>-314</v>
      </c>
      <c r="X89" s="25">
        <f t="shared" si="172"/>
        <v>-2.0674216486700026E-2</v>
      </c>
      <c r="Y89" s="77">
        <f t="shared" si="173"/>
        <v>14874</v>
      </c>
      <c r="Z89" s="106">
        <f t="shared" si="174"/>
        <v>14874</v>
      </c>
      <c r="AA89" s="73">
        <v>15188</v>
      </c>
      <c r="AB89" s="88">
        <v>13000</v>
      </c>
      <c r="AC89" s="116">
        <v>13000</v>
      </c>
      <c r="AD89" s="74">
        <v>13200</v>
      </c>
      <c r="AE89" s="76">
        <f t="shared" si="175"/>
        <v>13066.666666666666</v>
      </c>
      <c r="AF89" s="24">
        <f t="shared" si="176"/>
        <v>-2121.3333333333339</v>
      </c>
      <c r="AG89" s="25">
        <f t="shared" si="177"/>
        <v>-0.13967167061715394</v>
      </c>
      <c r="AH89" s="77">
        <f t="shared" si="178"/>
        <v>13066.666666666666</v>
      </c>
      <c r="AI89" s="77">
        <f t="shared" si="179"/>
        <v>13066.666666666666</v>
      </c>
      <c r="AJ89" s="73">
        <v>15188</v>
      </c>
      <c r="AK89" s="79">
        <v>15900</v>
      </c>
      <c r="AL89" s="79">
        <v>12000</v>
      </c>
      <c r="AM89" s="127">
        <v>14400</v>
      </c>
      <c r="AN89" s="128">
        <v>13500</v>
      </c>
      <c r="AO89" s="128">
        <v>13000</v>
      </c>
      <c r="AP89" s="129">
        <f t="shared" si="180"/>
        <v>13760</v>
      </c>
      <c r="AQ89" s="130">
        <f t="shared" si="181"/>
        <v>-1428</v>
      </c>
      <c r="AR89" s="131">
        <f t="shared" si="182"/>
        <v>-9.402159599683961E-2</v>
      </c>
      <c r="AS89" s="132">
        <f t="shared" si="187"/>
        <v>13760</v>
      </c>
      <c r="AT89" s="250"/>
      <c r="AU89" s="250"/>
      <c r="AV89" s="250"/>
      <c r="AW89" s="250"/>
      <c r="AX89" s="250"/>
      <c r="AY89" s="250"/>
      <c r="AZ89" s="250"/>
      <c r="BA89" s="250"/>
      <c r="BB89" s="250"/>
      <c r="BC89" s="251"/>
      <c r="BD89" s="150"/>
      <c r="BE89" s="150"/>
      <c r="BF89" s="150"/>
      <c r="BG89" s="150"/>
      <c r="BH89" s="150"/>
      <c r="BI89" s="150"/>
      <c r="BJ89" s="150"/>
      <c r="BK89" s="150"/>
      <c r="BL89" s="150"/>
      <c r="BM89" s="293"/>
      <c r="BN89" s="293"/>
      <c r="BO89" s="293"/>
      <c r="BP89" s="293"/>
      <c r="BQ89" s="293"/>
      <c r="BR89" s="293"/>
      <c r="BS89" s="293"/>
      <c r="BT89" s="293"/>
    </row>
    <row r="90" spans="1:72" ht="17.100000000000001" customHeight="1">
      <c r="A90" s="91" t="s">
        <v>8</v>
      </c>
      <c r="B90" s="358" t="s">
        <v>2282</v>
      </c>
      <c r="C90" s="50" t="s">
        <v>763</v>
      </c>
      <c r="D90" s="99" t="s">
        <v>440</v>
      </c>
      <c r="E90" s="48" t="s">
        <v>740</v>
      </c>
      <c r="F90" s="10">
        <v>195767</v>
      </c>
      <c r="G90" s="10">
        <v>254610</v>
      </c>
      <c r="H90" s="33">
        <v>330993</v>
      </c>
      <c r="I90" s="90">
        <v>222548</v>
      </c>
      <c r="J90" s="29">
        <f t="shared" si="67"/>
        <v>269383.66666666669</v>
      </c>
      <c r="K90" s="24">
        <f t="shared" si="68"/>
        <v>73616.666666666686</v>
      </c>
      <c r="L90" s="25">
        <f t="shared" si="69"/>
        <v>0.3760422679341599</v>
      </c>
      <c r="M90" s="69" t="str">
        <f t="shared" si="70"/>
        <v>REVISAR PRECIO</v>
      </c>
      <c r="N90" s="77">
        <f t="shared" si="19"/>
        <v>269383.66666666669</v>
      </c>
      <c r="O90" s="73"/>
      <c r="P90" s="74">
        <v>1035</v>
      </c>
      <c r="Q90" s="74">
        <v>10000</v>
      </c>
      <c r="R90" s="75">
        <v>1192.5</v>
      </c>
      <c r="S90" s="61">
        <v>18170</v>
      </c>
      <c r="T90" s="60"/>
      <c r="U90" s="74">
        <v>20895.5</v>
      </c>
      <c r="V90" s="76">
        <f t="shared" si="170"/>
        <v>10258.6</v>
      </c>
      <c r="W90" s="24">
        <f t="shared" si="171"/>
        <v>10258.6</v>
      </c>
      <c r="X90" s="25"/>
      <c r="Y90" s="77">
        <f t="shared" si="173"/>
        <v>10258.6</v>
      </c>
      <c r="Z90" s="107">
        <f>AVERAGE(Q90,S90,T90,U90)</f>
        <v>16355.166666666666</v>
      </c>
      <c r="AA90" s="73"/>
      <c r="AB90" s="88">
        <v>1000</v>
      </c>
      <c r="AC90" s="116">
        <v>1000</v>
      </c>
      <c r="AD90" s="74">
        <v>990</v>
      </c>
      <c r="AE90" s="76">
        <f t="shared" si="175"/>
        <v>996.66666666666663</v>
      </c>
      <c r="AF90" s="24">
        <f t="shared" si="176"/>
        <v>996.66666666666663</v>
      </c>
      <c r="AG90" s="25"/>
      <c r="AH90" s="77"/>
      <c r="AI90" s="77">
        <f t="shared" si="179"/>
        <v>996.66666666666663</v>
      </c>
      <c r="AJ90" s="73"/>
      <c r="AK90" s="79">
        <v>1192.5</v>
      </c>
      <c r="AL90" s="79">
        <v>900</v>
      </c>
      <c r="AM90" s="127">
        <v>1620</v>
      </c>
      <c r="AN90" s="128">
        <v>2000</v>
      </c>
      <c r="AO90" s="128">
        <v>1000</v>
      </c>
      <c r="AP90" s="133">
        <f t="shared" si="180"/>
        <v>1342.5</v>
      </c>
      <c r="AQ90" s="127">
        <f t="shared" si="181"/>
        <v>1342.5</v>
      </c>
      <c r="AR90" s="134"/>
      <c r="AS90" s="132">
        <f t="shared" si="187"/>
        <v>1342.5</v>
      </c>
      <c r="AT90" s="250"/>
      <c r="AU90" s="250"/>
      <c r="AV90" s="250"/>
      <c r="AW90" s="250"/>
      <c r="AX90" s="250"/>
      <c r="AY90" s="250"/>
      <c r="AZ90" s="250"/>
      <c r="BA90" s="250"/>
      <c r="BB90" s="250"/>
      <c r="BC90" s="251"/>
      <c r="BD90" s="150"/>
      <c r="BE90" s="150"/>
      <c r="BF90" s="150"/>
      <c r="BG90" s="150"/>
      <c r="BH90" s="150"/>
      <c r="BI90" s="150"/>
      <c r="BJ90" s="150"/>
      <c r="BK90" s="150"/>
      <c r="BL90" s="150"/>
      <c r="BM90" s="293"/>
      <c r="BN90" s="293"/>
      <c r="BO90" s="293"/>
      <c r="BP90" s="293"/>
      <c r="BQ90" s="293"/>
      <c r="BR90" s="293"/>
      <c r="BS90" s="293"/>
      <c r="BT90" s="293"/>
    </row>
    <row r="91" spans="1:72" ht="32.450000000000003" customHeight="1">
      <c r="A91" s="91" t="s">
        <v>8</v>
      </c>
      <c r="B91" s="358" t="s">
        <v>2283</v>
      </c>
      <c r="C91" s="50" t="s">
        <v>764</v>
      </c>
      <c r="D91" s="99" t="s">
        <v>441</v>
      </c>
      <c r="E91" s="48" t="s">
        <v>12</v>
      </c>
      <c r="F91" s="10">
        <v>16276</v>
      </c>
      <c r="G91" s="10">
        <v>21168</v>
      </c>
      <c r="H91" s="31">
        <v>27518</v>
      </c>
      <c r="I91" s="90">
        <v>18502.400000000001</v>
      </c>
      <c r="J91" s="29">
        <f t="shared" si="67"/>
        <v>22396.133333333331</v>
      </c>
      <c r="K91" s="24">
        <f t="shared" si="68"/>
        <v>6120.1333333333314</v>
      </c>
      <c r="L91" s="25">
        <f t="shared" si="69"/>
        <v>0.37602195461620369</v>
      </c>
      <c r="M91" s="69" t="str">
        <f t="shared" si="70"/>
        <v>REVISAR PRECIO</v>
      </c>
      <c r="N91" s="77">
        <f t="shared" si="19"/>
        <v>22396.133333333331</v>
      </c>
      <c r="O91" s="73"/>
      <c r="P91" s="74">
        <v>3450</v>
      </c>
      <c r="Q91" s="74">
        <v>5000</v>
      </c>
      <c r="R91" s="75">
        <v>3975</v>
      </c>
      <c r="S91" s="61">
        <v>3449.9999999999995</v>
      </c>
      <c r="T91" s="60"/>
      <c r="U91" s="74">
        <v>3967.4999999999991</v>
      </c>
      <c r="V91" s="76">
        <f t="shared" si="170"/>
        <v>3968.5</v>
      </c>
      <c r="W91" s="24">
        <f t="shared" si="171"/>
        <v>3968.5</v>
      </c>
      <c r="X91" s="25"/>
      <c r="Y91" s="77">
        <f t="shared" si="173"/>
        <v>3968.5</v>
      </c>
      <c r="Z91" s="106">
        <f t="shared" si="174"/>
        <v>3968.5</v>
      </c>
      <c r="AA91" s="73"/>
      <c r="AB91" s="88">
        <v>3500</v>
      </c>
      <c r="AC91" s="116">
        <v>3500</v>
      </c>
      <c r="AD91" s="74">
        <v>3300</v>
      </c>
      <c r="AE91" s="76">
        <f t="shared" si="175"/>
        <v>3433.3333333333335</v>
      </c>
      <c r="AF91" s="24">
        <f t="shared" si="176"/>
        <v>3433.3333333333335</v>
      </c>
      <c r="AG91" s="25"/>
      <c r="AH91" s="77"/>
      <c r="AI91" s="77">
        <f t="shared" si="179"/>
        <v>3433.3333333333335</v>
      </c>
      <c r="AJ91" s="73"/>
      <c r="AK91" s="79">
        <v>3975</v>
      </c>
      <c r="AL91" s="79">
        <v>3000</v>
      </c>
      <c r="AM91" s="127">
        <v>3600</v>
      </c>
      <c r="AN91" s="128">
        <v>4000</v>
      </c>
      <c r="AO91" s="128">
        <v>4000</v>
      </c>
      <c r="AP91" s="133">
        <f t="shared" si="180"/>
        <v>3715</v>
      </c>
      <c r="AQ91" s="127">
        <f t="shared" si="181"/>
        <v>3715</v>
      </c>
      <c r="AR91" s="134"/>
      <c r="AS91" s="132">
        <f t="shared" si="187"/>
        <v>3715</v>
      </c>
      <c r="AT91" s="250"/>
      <c r="AU91" s="250"/>
      <c r="AV91" s="250"/>
      <c r="AW91" s="250"/>
      <c r="AX91" s="250"/>
      <c r="AY91" s="250"/>
      <c r="AZ91" s="250"/>
      <c r="BA91" s="250"/>
      <c r="BB91" s="250"/>
      <c r="BC91" s="251"/>
      <c r="BD91" s="150"/>
      <c r="BE91" s="150"/>
      <c r="BF91" s="150"/>
      <c r="BG91" s="150"/>
      <c r="BH91" s="150"/>
      <c r="BI91" s="150"/>
      <c r="BJ91" s="150"/>
      <c r="BK91" s="150"/>
      <c r="BL91" s="150"/>
      <c r="BM91" s="293"/>
      <c r="BN91" s="293"/>
      <c r="BO91" s="293"/>
      <c r="BP91" s="293"/>
      <c r="BQ91" s="293"/>
      <c r="BR91" s="293"/>
      <c r="BS91" s="293"/>
      <c r="BT91" s="293"/>
    </row>
    <row r="92" spans="1:72" ht="24.6" customHeight="1">
      <c r="A92" s="91" t="s">
        <v>8</v>
      </c>
      <c r="B92" s="358" t="s">
        <v>2284</v>
      </c>
      <c r="C92" s="50" t="s">
        <v>765</v>
      </c>
      <c r="D92" s="99" t="s">
        <v>442</v>
      </c>
      <c r="E92" s="48" t="s">
        <v>740</v>
      </c>
      <c r="F92" s="10">
        <v>249120</v>
      </c>
      <c r="G92" s="10">
        <v>324000</v>
      </c>
      <c r="H92" s="31">
        <v>421200</v>
      </c>
      <c r="I92" s="90">
        <v>283200</v>
      </c>
      <c r="J92" s="29">
        <f t="shared" si="67"/>
        <v>342800</v>
      </c>
      <c r="K92" s="24">
        <f t="shared" si="68"/>
        <v>93680</v>
      </c>
      <c r="L92" s="25">
        <f t="shared" si="69"/>
        <v>0.37604367373153502</v>
      </c>
      <c r="M92" s="69" t="str">
        <f t="shared" si="70"/>
        <v>REVISAR PRECIO</v>
      </c>
      <c r="N92" s="77">
        <f t="shared" si="19"/>
        <v>342800</v>
      </c>
      <c r="O92" s="73">
        <v>142386</v>
      </c>
      <c r="P92" s="74">
        <v>19320</v>
      </c>
      <c r="Q92" s="74">
        <v>50000</v>
      </c>
      <c r="R92" s="75">
        <v>22260</v>
      </c>
      <c r="S92" s="61">
        <v>100624.99999999999</v>
      </c>
      <c r="T92" s="60"/>
      <c r="U92" s="74">
        <v>115718.74999999997</v>
      </c>
      <c r="V92" s="76">
        <f t="shared" si="170"/>
        <v>61584.75</v>
      </c>
      <c r="W92" s="24">
        <f t="shared" si="171"/>
        <v>-80801.25</v>
      </c>
      <c r="X92" s="25">
        <f t="shared" si="172"/>
        <v>-0.56748030002949723</v>
      </c>
      <c r="Y92" s="77">
        <f t="shared" si="173"/>
        <v>61584.75</v>
      </c>
      <c r="Z92" s="107">
        <f>AVERAGE(Q92,R92,S92,T92,U92)</f>
        <v>72150.9375</v>
      </c>
      <c r="AA92" s="73">
        <v>142386</v>
      </c>
      <c r="AB92" s="88">
        <v>20000</v>
      </c>
      <c r="AC92" s="116">
        <v>20000</v>
      </c>
      <c r="AD92" s="74">
        <v>18480</v>
      </c>
      <c r="AE92" s="76">
        <f t="shared" si="175"/>
        <v>19493.333333333332</v>
      </c>
      <c r="AF92" s="24">
        <f t="shared" si="176"/>
        <v>-122892.66666666667</v>
      </c>
      <c r="AG92" s="25">
        <f t="shared" si="177"/>
        <v>-0.86309515448616203</v>
      </c>
      <c r="AH92" s="77">
        <f t="shared" si="178"/>
        <v>19493.333333333332</v>
      </c>
      <c r="AI92" s="77">
        <f t="shared" si="179"/>
        <v>19493.333333333332</v>
      </c>
      <c r="AJ92" s="73">
        <v>142386</v>
      </c>
      <c r="AK92" s="79">
        <v>22260</v>
      </c>
      <c r="AL92" s="79">
        <v>16800</v>
      </c>
      <c r="AM92" s="127">
        <v>20160</v>
      </c>
      <c r="AN92" s="128">
        <v>20000</v>
      </c>
      <c r="AO92" s="128">
        <v>18000</v>
      </c>
      <c r="AP92" s="124">
        <f t="shared" si="180"/>
        <v>19444</v>
      </c>
      <c r="AQ92" s="125">
        <f t="shared" si="181"/>
        <v>-122942</v>
      </c>
      <c r="AR92" s="126">
        <f t="shared" si="182"/>
        <v>-0.86344163049738032</v>
      </c>
      <c r="AS92" s="132">
        <f t="shared" si="187"/>
        <v>19444</v>
      </c>
      <c r="AT92" s="250"/>
      <c r="AU92" s="250"/>
      <c r="AV92" s="250"/>
      <c r="AW92" s="250"/>
      <c r="AX92" s="250"/>
      <c r="AY92" s="250"/>
      <c r="AZ92" s="250"/>
      <c r="BA92" s="250"/>
      <c r="BB92" s="250"/>
      <c r="BC92" s="251"/>
      <c r="BD92" s="150"/>
      <c r="BE92" s="150"/>
      <c r="BF92" s="150"/>
      <c r="BG92" s="150"/>
      <c r="BH92" s="150"/>
      <c r="BI92" s="150"/>
      <c r="BJ92" s="150"/>
      <c r="BK92" s="150"/>
      <c r="BL92" s="150"/>
      <c r="BM92" s="293"/>
      <c r="BN92" s="293"/>
      <c r="BO92" s="293"/>
      <c r="BP92" s="293"/>
      <c r="BQ92" s="293"/>
      <c r="BR92" s="293"/>
      <c r="BS92" s="293"/>
      <c r="BT92" s="293"/>
    </row>
    <row r="93" spans="1:72" s="1" customFormat="1" ht="24.6" customHeight="1">
      <c r="A93" s="91" t="s">
        <v>8</v>
      </c>
      <c r="B93" s="358" t="s">
        <v>2285</v>
      </c>
      <c r="C93" s="50" t="s">
        <v>766</v>
      </c>
      <c r="D93" s="99" t="s">
        <v>443</v>
      </c>
      <c r="E93" s="48" t="s">
        <v>24</v>
      </c>
      <c r="F93" s="10">
        <v>58128</v>
      </c>
      <c r="G93" s="10">
        <v>75600</v>
      </c>
      <c r="H93" s="33">
        <v>98280</v>
      </c>
      <c r="I93" s="90">
        <v>66080</v>
      </c>
      <c r="J93" s="29">
        <f t="shared" si="67"/>
        <v>79986.666666666672</v>
      </c>
      <c r="K93" s="24">
        <f t="shared" si="68"/>
        <v>21858.666666666672</v>
      </c>
      <c r="L93" s="25">
        <f t="shared" si="69"/>
        <v>0.37604367373153508</v>
      </c>
      <c r="M93" s="69" t="str">
        <f t="shared" si="70"/>
        <v>REVISAR PRECIO</v>
      </c>
      <c r="N93" s="77">
        <f t="shared" si="19"/>
        <v>79986.666666666672</v>
      </c>
      <c r="O93" s="73">
        <v>18985</v>
      </c>
      <c r="P93" s="74">
        <v>46345</v>
      </c>
      <c r="Q93" s="74">
        <v>60000</v>
      </c>
      <c r="R93" s="75">
        <v>53397.5</v>
      </c>
      <c r="S93" s="61">
        <v>55889.999999999993</v>
      </c>
      <c r="T93" s="60"/>
      <c r="U93" s="74">
        <v>64273.499999999985</v>
      </c>
      <c r="V93" s="76">
        <f t="shared" si="170"/>
        <v>55981.2</v>
      </c>
      <c r="W93" s="24">
        <f t="shared" si="171"/>
        <v>36996.199999999997</v>
      </c>
      <c r="X93" s="25">
        <f t="shared" si="172"/>
        <v>1.9487068738477744</v>
      </c>
      <c r="Y93" s="77" t="str">
        <f t="shared" si="173"/>
        <v>REVISAR PRECIO</v>
      </c>
      <c r="Z93" s="106">
        <f t="shared" si="174"/>
        <v>55981.2</v>
      </c>
      <c r="AA93" s="73">
        <v>18985</v>
      </c>
      <c r="AB93" s="88">
        <v>45000</v>
      </c>
      <c r="AC93" s="116">
        <v>45000</v>
      </c>
      <c r="AD93" s="74">
        <v>44330</v>
      </c>
      <c r="AE93" s="76">
        <f t="shared" si="175"/>
        <v>44776.666666666664</v>
      </c>
      <c r="AF93" s="24">
        <f t="shared" si="176"/>
        <v>25791.666666666664</v>
      </c>
      <c r="AG93" s="25">
        <f t="shared" si="177"/>
        <v>1.3585286629795452</v>
      </c>
      <c r="AH93" s="77" t="str">
        <f t="shared" si="178"/>
        <v>REVISAR PRECIO</v>
      </c>
      <c r="AI93" s="77">
        <f t="shared" si="179"/>
        <v>44776.666666666664</v>
      </c>
      <c r="AJ93" s="73">
        <v>18985</v>
      </c>
      <c r="AK93" s="79">
        <v>53397.5</v>
      </c>
      <c r="AL93" s="79">
        <f>31000*1.3</f>
        <v>40300</v>
      </c>
      <c r="AM93" s="127">
        <v>48360</v>
      </c>
      <c r="AN93" s="128">
        <v>50000</v>
      </c>
      <c r="AO93" s="128">
        <v>45000</v>
      </c>
      <c r="AP93" s="133">
        <f t="shared" si="180"/>
        <v>47411.5</v>
      </c>
      <c r="AQ93" s="127">
        <f t="shared" si="181"/>
        <v>28426.5</v>
      </c>
      <c r="AR93" s="134">
        <f t="shared" si="182"/>
        <v>1.4973136686858046</v>
      </c>
      <c r="AS93" s="132">
        <f t="shared" si="187"/>
        <v>47411.5</v>
      </c>
      <c r="AT93" s="250"/>
      <c r="AU93" s="250"/>
      <c r="AV93" s="250"/>
      <c r="AW93" s="250"/>
      <c r="AX93" s="250"/>
      <c r="AY93" s="250"/>
      <c r="AZ93" s="250"/>
      <c r="BA93" s="250"/>
      <c r="BB93" s="250"/>
      <c r="BC93" s="251"/>
      <c r="BD93" s="150"/>
      <c r="BE93" s="150"/>
      <c r="BF93" s="150"/>
      <c r="BG93" s="150"/>
      <c r="BH93" s="150"/>
      <c r="BI93" s="150"/>
      <c r="BJ93" s="150"/>
      <c r="BK93" s="150"/>
      <c r="BL93" s="150"/>
      <c r="BM93" s="293"/>
      <c r="BN93" s="293"/>
      <c r="BO93" s="293"/>
      <c r="BP93" s="293"/>
      <c r="BQ93" s="293"/>
      <c r="BR93" s="293"/>
      <c r="BS93" s="293"/>
      <c r="BT93" s="293"/>
    </row>
    <row r="94" spans="1:72" ht="24.6" customHeight="1">
      <c r="A94" s="91" t="s">
        <v>8</v>
      </c>
      <c r="B94" s="358" t="s">
        <v>2286</v>
      </c>
      <c r="C94" s="50" t="s">
        <v>767</v>
      </c>
      <c r="D94" s="99" t="s">
        <v>444</v>
      </c>
      <c r="E94" s="48" t="s">
        <v>11</v>
      </c>
      <c r="F94" s="10">
        <v>179750</v>
      </c>
      <c r="G94" s="10">
        <v>233780</v>
      </c>
      <c r="H94" s="33">
        <v>233780</v>
      </c>
      <c r="I94" s="90">
        <v>204340.6</v>
      </c>
      <c r="J94" s="29">
        <f t="shared" si="67"/>
        <v>223966.86666666667</v>
      </c>
      <c r="K94" s="24">
        <f t="shared" si="68"/>
        <v>44216.866666666669</v>
      </c>
      <c r="L94" s="25">
        <f t="shared" si="69"/>
        <v>0.24599091330551692</v>
      </c>
      <c r="M94" s="69">
        <f t="shared" si="70"/>
        <v>223966.86666666667</v>
      </c>
      <c r="N94" s="77">
        <f t="shared" si="19"/>
        <v>223966.86666666667</v>
      </c>
      <c r="O94" s="73">
        <v>102736</v>
      </c>
      <c r="P94" s="74">
        <v>2875</v>
      </c>
      <c r="Q94" s="74">
        <v>9000</v>
      </c>
      <c r="R94" s="75">
        <v>3312.5</v>
      </c>
      <c r="S94" s="61">
        <v>74175</v>
      </c>
      <c r="T94" s="60"/>
      <c r="U94" s="74">
        <v>85301.25</v>
      </c>
      <c r="V94" s="76">
        <f t="shared" si="170"/>
        <v>34932.75</v>
      </c>
      <c r="W94" s="24">
        <f t="shared" si="171"/>
        <v>-67803.25</v>
      </c>
      <c r="X94" s="25">
        <f t="shared" si="172"/>
        <v>-0.65997556844728233</v>
      </c>
      <c r="Y94" s="77">
        <f t="shared" si="173"/>
        <v>34932.75</v>
      </c>
      <c r="Z94" s="106">
        <f t="shared" si="174"/>
        <v>34932.75</v>
      </c>
      <c r="AA94" s="73">
        <v>102736</v>
      </c>
      <c r="AB94" s="88">
        <v>3000</v>
      </c>
      <c r="AC94" s="116">
        <v>3000</v>
      </c>
      <c r="AD94" s="74">
        <v>2750</v>
      </c>
      <c r="AE94" s="76">
        <f t="shared" si="175"/>
        <v>2916.6666666666665</v>
      </c>
      <c r="AF94" s="24">
        <f t="shared" si="176"/>
        <v>-99819.333333333328</v>
      </c>
      <c r="AG94" s="25">
        <f t="shared" si="177"/>
        <v>-0.97161008150340022</v>
      </c>
      <c r="AH94" s="77">
        <f t="shared" si="178"/>
        <v>2916.6666666666665</v>
      </c>
      <c r="AI94" s="77">
        <f t="shared" si="179"/>
        <v>2916.6666666666665</v>
      </c>
      <c r="AJ94" s="73">
        <v>102736</v>
      </c>
      <c r="AK94" s="79">
        <v>3312.5</v>
      </c>
      <c r="AL94" s="79">
        <v>2500</v>
      </c>
      <c r="AM94" s="127">
        <v>3000</v>
      </c>
      <c r="AN94" s="128">
        <v>2200</v>
      </c>
      <c r="AO94" s="128">
        <v>2000</v>
      </c>
      <c r="AP94" s="133">
        <f t="shared" si="180"/>
        <v>2602.5</v>
      </c>
      <c r="AQ94" s="127">
        <f t="shared" si="181"/>
        <v>-100133.5</v>
      </c>
      <c r="AR94" s="134">
        <f t="shared" si="182"/>
        <v>-0.97466808129574833</v>
      </c>
      <c r="AS94" s="132">
        <f t="shared" si="187"/>
        <v>2602.5</v>
      </c>
      <c r="AT94" s="250"/>
      <c r="AU94" s="250"/>
      <c r="AV94" s="250"/>
      <c r="AW94" s="250"/>
      <c r="AX94" s="250"/>
      <c r="AY94" s="250"/>
      <c r="AZ94" s="250"/>
      <c r="BA94" s="250"/>
      <c r="BB94" s="250"/>
      <c r="BC94" s="251"/>
      <c r="BD94" s="150"/>
      <c r="BE94" s="150"/>
      <c r="BF94" s="150"/>
      <c r="BG94" s="150"/>
      <c r="BH94" s="150"/>
      <c r="BI94" s="150"/>
      <c r="BJ94" s="150"/>
      <c r="BK94" s="150"/>
      <c r="BL94" s="150"/>
      <c r="BM94" s="293"/>
      <c r="BN94" s="293"/>
      <c r="BO94" s="293"/>
      <c r="BP94" s="293"/>
      <c r="BQ94" s="293"/>
      <c r="BR94" s="293"/>
      <c r="BS94" s="293"/>
      <c r="BT94" s="293"/>
    </row>
    <row r="95" spans="1:72" s="1" customFormat="1" ht="35.1" customHeight="1">
      <c r="A95" s="91"/>
      <c r="B95" s="358" t="s">
        <v>2287</v>
      </c>
      <c r="C95" s="50" t="s">
        <v>842</v>
      </c>
      <c r="D95" s="177" t="s">
        <v>840</v>
      </c>
      <c r="E95" s="62" t="s">
        <v>13</v>
      </c>
      <c r="F95" s="10"/>
      <c r="G95" s="10"/>
      <c r="H95" s="33"/>
      <c r="I95" s="176"/>
      <c r="J95" s="29"/>
      <c r="K95" s="24"/>
      <c r="L95" s="25"/>
      <c r="M95" s="69"/>
      <c r="N95" s="77"/>
      <c r="O95" s="73"/>
      <c r="P95" s="74"/>
      <c r="Q95" s="74"/>
      <c r="R95" s="75"/>
      <c r="S95" s="61"/>
      <c r="T95" s="60"/>
      <c r="U95" s="74"/>
      <c r="V95" s="76"/>
      <c r="W95" s="24"/>
      <c r="X95" s="25"/>
      <c r="Y95" s="77"/>
      <c r="Z95" s="106"/>
      <c r="AA95" s="73"/>
      <c r="AB95" s="88"/>
      <c r="AC95" s="116"/>
      <c r="AD95" s="74"/>
      <c r="AE95" s="76"/>
      <c r="AF95" s="24"/>
      <c r="AG95" s="25"/>
      <c r="AH95" s="77"/>
      <c r="AI95" s="77"/>
      <c r="AJ95" s="73"/>
      <c r="AK95" s="79"/>
      <c r="AL95" s="79"/>
      <c r="AM95" s="127"/>
      <c r="AN95" s="128"/>
      <c r="AO95" s="128"/>
      <c r="AP95" s="133"/>
      <c r="AQ95" s="127"/>
      <c r="AR95" s="134"/>
      <c r="AS95" s="132"/>
      <c r="AT95" s="10">
        <v>5583</v>
      </c>
      <c r="AU95" s="10">
        <v>22029.85</v>
      </c>
      <c r="AV95" s="167">
        <v>44059.7</v>
      </c>
      <c r="AW95" s="168">
        <v>18690</v>
      </c>
      <c r="AX95" s="29">
        <f t="shared" ref="AX95:AX96" si="199">AVERAGE(AU95,AW95)</f>
        <v>20359.924999999999</v>
      </c>
      <c r="AY95" s="24">
        <f t="shared" ref="AY95:AY96" si="200">AX95-AT95</f>
        <v>14776.924999999999</v>
      </c>
      <c r="AZ95" s="25">
        <f t="shared" ref="AZ95:AZ96" si="201">+AY95/AT95</f>
        <v>2.6467714490417338</v>
      </c>
      <c r="BA95" s="24">
        <f t="shared" ref="BA95:BA96" si="202">AV95-AT95</f>
        <v>38476.699999999997</v>
      </c>
      <c r="BB95" s="169">
        <f t="shared" ref="BB95:BB96" si="203">+BA95/AT95</f>
        <v>6.89176070213147</v>
      </c>
      <c r="BC95" s="170">
        <f t="shared" ref="BC95:BC96" si="204">AX95</f>
        <v>20359.924999999999</v>
      </c>
      <c r="BD95" s="150"/>
      <c r="BE95" s="150"/>
      <c r="BF95" s="150"/>
      <c r="BG95" s="150"/>
      <c r="BH95" s="150"/>
      <c r="BI95" s="150"/>
      <c r="BJ95" s="150"/>
      <c r="BK95" s="150"/>
      <c r="BL95" s="150"/>
      <c r="BM95" s="293"/>
      <c r="BN95" s="293"/>
      <c r="BO95" s="293"/>
      <c r="BP95" s="293"/>
      <c r="BQ95" s="293"/>
      <c r="BR95" s="293"/>
      <c r="BS95" s="293"/>
      <c r="BT95" s="293"/>
    </row>
    <row r="96" spans="1:72" s="1" customFormat="1" ht="39.950000000000003" customHeight="1">
      <c r="A96" s="91"/>
      <c r="B96" s="358" t="s">
        <v>2288</v>
      </c>
      <c r="C96" s="50" t="s">
        <v>843</v>
      </c>
      <c r="D96" s="177" t="s">
        <v>841</v>
      </c>
      <c r="E96" s="62" t="s">
        <v>14</v>
      </c>
      <c r="F96" s="10"/>
      <c r="G96" s="10"/>
      <c r="H96" s="33"/>
      <c r="I96" s="176"/>
      <c r="J96" s="29"/>
      <c r="K96" s="24"/>
      <c r="L96" s="25"/>
      <c r="M96" s="69"/>
      <c r="N96" s="77"/>
      <c r="O96" s="73"/>
      <c r="P96" s="74"/>
      <c r="Q96" s="74"/>
      <c r="R96" s="75"/>
      <c r="S96" s="61"/>
      <c r="T96" s="60"/>
      <c r="U96" s="74"/>
      <c r="V96" s="76"/>
      <c r="W96" s="24"/>
      <c r="X96" s="25"/>
      <c r="Y96" s="77"/>
      <c r="Z96" s="106"/>
      <c r="AA96" s="73"/>
      <c r="AB96" s="88"/>
      <c r="AC96" s="116"/>
      <c r="AD96" s="74"/>
      <c r="AE96" s="76"/>
      <c r="AF96" s="24"/>
      <c r="AG96" s="25"/>
      <c r="AH96" s="77"/>
      <c r="AI96" s="77"/>
      <c r="AJ96" s="73"/>
      <c r="AK96" s="79"/>
      <c r="AL96" s="79"/>
      <c r="AM96" s="127"/>
      <c r="AN96" s="128"/>
      <c r="AO96" s="128"/>
      <c r="AP96" s="133"/>
      <c r="AQ96" s="127"/>
      <c r="AR96" s="134"/>
      <c r="AS96" s="132"/>
      <c r="AT96" s="10">
        <v>37117</v>
      </c>
      <c r="AU96" s="10">
        <v>3300</v>
      </c>
      <c r="AV96" s="167">
        <v>13200</v>
      </c>
      <c r="AW96" s="168">
        <v>8500</v>
      </c>
      <c r="AX96" s="29">
        <f t="shared" si="199"/>
        <v>5900</v>
      </c>
      <c r="AY96" s="24">
        <f t="shared" si="200"/>
        <v>-31217</v>
      </c>
      <c r="AZ96" s="25">
        <f t="shared" si="201"/>
        <v>-0.84104318775763132</v>
      </c>
      <c r="BA96" s="24">
        <f t="shared" si="202"/>
        <v>-23917</v>
      </c>
      <c r="BB96" s="169">
        <f t="shared" si="203"/>
        <v>-0.64436780989842934</v>
      </c>
      <c r="BC96" s="170">
        <f t="shared" si="204"/>
        <v>5900</v>
      </c>
      <c r="BD96" s="10">
        <v>33726</v>
      </c>
      <c r="BE96" s="10">
        <v>45000</v>
      </c>
      <c r="BF96" s="10">
        <v>48000</v>
      </c>
      <c r="BG96" s="268">
        <v>47000</v>
      </c>
      <c r="BH96" s="10">
        <v>60000</v>
      </c>
      <c r="BI96" s="76">
        <f t="shared" ref="BI96:BI121" si="205">AVERAGE(BE96,BF96,BG96,BH96)</f>
        <v>50000</v>
      </c>
      <c r="BJ96" s="24">
        <f t="shared" ref="BJ96:BJ121" si="206">BI96-BD96</f>
        <v>16274</v>
      </c>
      <c r="BK96" s="25">
        <f t="shared" ref="BK96:BK121" si="207">+BJ96/BD96</f>
        <v>0.48253572911107157</v>
      </c>
      <c r="BL96" s="309">
        <f t="shared" ref="BL96:BL121" si="208">BI96</f>
        <v>50000</v>
      </c>
      <c r="BM96" s="293"/>
      <c r="BN96" s="293"/>
      <c r="BO96" s="293"/>
      <c r="BP96" s="293"/>
      <c r="BQ96" s="293"/>
      <c r="BR96" s="293"/>
      <c r="BS96" s="293"/>
      <c r="BT96" s="293"/>
    </row>
    <row r="97" spans="1:72" s="1" customFormat="1" ht="39.950000000000003" customHeight="1">
      <c r="A97" s="91"/>
      <c r="B97" s="358" t="s">
        <v>2289</v>
      </c>
      <c r="C97" s="50" t="s">
        <v>1468</v>
      </c>
      <c r="D97" s="264" t="s">
        <v>1442</v>
      </c>
      <c r="E97" s="263" t="s">
        <v>999</v>
      </c>
      <c r="F97" s="10"/>
      <c r="G97" s="10"/>
      <c r="H97" s="33"/>
      <c r="I97" s="176"/>
      <c r="J97" s="29"/>
      <c r="K97" s="24"/>
      <c r="L97" s="25"/>
      <c r="M97" s="69"/>
      <c r="N97" s="77"/>
      <c r="O97" s="73"/>
      <c r="P97" s="74"/>
      <c r="Q97" s="74"/>
      <c r="R97" s="75"/>
      <c r="S97" s="61"/>
      <c r="T97" s="60"/>
      <c r="U97" s="74"/>
      <c r="V97" s="76"/>
      <c r="W97" s="24"/>
      <c r="X97" s="25"/>
      <c r="Y97" s="77"/>
      <c r="Z97" s="106"/>
      <c r="AA97" s="73"/>
      <c r="AB97" s="88"/>
      <c r="AC97" s="116"/>
      <c r="AD97" s="74"/>
      <c r="AE97" s="76"/>
      <c r="AF97" s="24"/>
      <c r="AG97" s="25"/>
      <c r="AH97" s="77"/>
      <c r="AI97" s="77"/>
      <c r="AJ97" s="73"/>
      <c r="AK97" s="79"/>
      <c r="AL97" s="79"/>
      <c r="AM97" s="127"/>
      <c r="AN97" s="128"/>
      <c r="AO97" s="128"/>
      <c r="AP97" s="133"/>
      <c r="AQ97" s="127"/>
      <c r="AR97" s="134"/>
      <c r="AS97" s="132"/>
      <c r="AT97" s="10"/>
      <c r="AU97" s="10"/>
      <c r="AV97" s="167"/>
      <c r="AW97" s="168"/>
      <c r="AX97" s="29"/>
      <c r="AY97" s="24"/>
      <c r="AZ97" s="25"/>
      <c r="BA97" s="24"/>
      <c r="BB97" s="169"/>
      <c r="BC97" s="170"/>
      <c r="BD97" s="10">
        <v>11211</v>
      </c>
      <c r="BE97" s="10">
        <v>25000</v>
      </c>
      <c r="BF97" s="10">
        <v>28000</v>
      </c>
      <c r="BG97" s="268">
        <v>28000</v>
      </c>
      <c r="BH97" s="10">
        <v>30000</v>
      </c>
      <c r="BI97" s="76">
        <f t="shared" si="205"/>
        <v>27750</v>
      </c>
      <c r="BJ97" s="24">
        <f t="shared" si="206"/>
        <v>16539</v>
      </c>
      <c r="BK97" s="25">
        <f t="shared" si="207"/>
        <v>1.4752475247524752</v>
      </c>
      <c r="BL97" s="309">
        <f t="shared" si="208"/>
        <v>27750</v>
      </c>
      <c r="BM97" s="293"/>
      <c r="BN97" s="293"/>
      <c r="BO97" s="293"/>
      <c r="BP97" s="293"/>
      <c r="BQ97" s="293"/>
      <c r="BR97" s="293"/>
      <c r="BS97" s="293"/>
      <c r="BT97" s="293"/>
    </row>
    <row r="98" spans="1:72" s="1" customFormat="1" ht="39.950000000000003" customHeight="1">
      <c r="A98" s="91"/>
      <c r="B98" s="358" t="s">
        <v>2290</v>
      </c>
      <c r="C98" s="50" t="s">
        <v>1469</v>
      </c>
      <c r="D98" s="264" t="s">
        <v>1443</v>
      </c>
      <c r="E98" s="263" t="s">
        <v>999</v>
      </c>
      <c r="F98" s="10"/>
      <c r="G98" s="10"/>
      <c r="H98" s="33"/>
      <c r="I98" s="176"/>
      <c r="J98" s="29"/>
      <c r="K98" s="24"/>
      <c r="L98" s="25"/>
      <c r="M98" s="69"/>
      <c r="N98" s="77"/>
      <c r="O98" s="73"/>
      <c r="P98" s="74"/>
      <c r="Q98" s="74"/>
      <c r="R98" s="75"/>
      <c r="S98" s="61"/>
      <c r="T98" s="60"/>
      <c r="U98" s="74"/>
      <c r="V98" s="76"/>
      <c r="W98" s="24"/>
      <c r="X98" s="25"/>
      <c r="Y98" s="77"/>
      <c r="Z98" s="106"/>
      <c r="AA98" s="73"/>
      <c r="AB98" s="88"/>
      <c r="AC98" s="116"/>
      <c r="AD98" s="74"/>
      <c r="AE98" s="76"/>
      <c r="AF98" s="24"/>
      <c r="AG98" s="25"/>
      <c r="AH98" s="77"/>
      <c r="AI98" s="77"/>
      <c r="AJ98" s="73"/>
      <c r="AK98" s="79"/>
      <c r="AL98" s="79"/>
      <c r="AM98" s="127"/>
      <c r="AN98" s="128"/>
      <c r="AO98" s="128"/>
      <c r="AP98" s="133"/>
      <c r="AQ98" s="127"/>
      <c r="AR98" s="134"/>
      <c r="AS98" s="132"/>
      <c r="AT98" s="10"/>
      <c r="AU98" s="10"/>
      <c r="AV98" s="167"/>
      <c r="AW98" s="168"/>
      <c r="AX98" s="29"/>
      <c r="AY98" s="24"/>
      <c r="AZ98" s="25"/>
      <c r="BA98" s="24"/>
      <c r="BB98" s="169"/>
      <c r="BC98" s="170"/>
      <c r="BD98" s="10">
        <v>14011</v>
      </c>
      <c r="BE98" s="10">
        <v>20000</v>
      </c>
      <c r="BF98" s="10">
        <v>23000</v>
      </c>
      <c r="BG98" s="268">
        <v>22000</v>
      </c>
      <c r="BH98" s="10">
        <v>30000</v>
      </c>
      <c r="BI98" s="76">
        <f t="shared" si="205"/>
        <v>23750</v>
      </c>
      <c r="BJ98" s="24">
        <f t="shared" si="206"/>
        <v>9739</v>
      </c>
      <c r="BK98" s="25">
        <f t="shared" si="207"/>
        <v>0.69509670972807081</v>
      </c>
      <c r="BL98" s="309">
        <f t="shared" si="208"/>
        <v>23750</v>
      </c>
      <c r="BM98" s="293"/>
      <c r="BN98" s="293"/>
      <c r="BO98" s="293"/>
      <c r="BP98" s="293"/>
      <c r="BQ98" s="293"/>
      <c r="BR98" s="293"/>
      <c r="BS98" s="293"/>
      <c r="BT98" s="293"/>
    </row>
    <row r="99" spans="1:72" s="1" customFormat="1" ht="39.950000000000003" customHeight="1">
      <c r="A99" s="91"/>
      <c r="B99" s="358" t="s">
        <v>2291</v>
      </c>
      <c r="C99" s="50" t="s">
        <v>1470</v>
      </c>
      <c r="D99" s="264" t="s">
        <v>1444</v>
      </c>
      <c r="E99" s="263" t="s">
        <v>999</v>
      </c>
      <c r="F99" s="10"/>
      <c r="G99" s="10"/>
      <c r="H99" s="33"/>
      <c r="I99" s="176"/>
      <c r="J99" s="29"/>
      <c r="K99" s="24"/>
      <c r="L99" s="25"/>
      <c r="M99" s="69"/>
      <c r="N99" s="77"/>
      <c r="O99" s="73"/>
      <c r="P99" s="74"/>
      <c r="Q99" s="74"/>
      <c r="R99" s="75"/>
      <c r="S99" s="61"/>
      <c r="T99" s="60"/>
      <c r="U99" s="74"/>
      <c r="V99" s="76"/>
      <c r="W99" s="24"/>
      <c r="X99" s="25"/>
      <c r="Y99" s="77"/>
      <c r="Z99" s="106"/>
      <c r="AA99" s="73"/>
      <c r="AB99" s="88"/>
      <c r="AC99" s="116"/>
      <c r="AD99" s="74"/>
      <c r="AE99" s="76"/>
      <c r="AF99" s="24"/>
      <c r="AG99" s="25"/>
      <c r="AH99" s="77"/>
      <c r="AI99" s="77"/>
      <c r="AJ99" s="73"/>
      <c r="AK99" s="79"/>
      <c r="AL99" s="79"/>
      <c r="AM99" s="127"/>
      <c r="AN99" s="128"/>
      <c r="AO99" s="128"/>
      <c r="AP99" s="133"/>
      <c r="AQ99" s="127"/>
      <c r="AR99" s="134"/>
      <c r="AS99" s="132"/>
      <c r="AT99" s="10"/>
      <c r="AU99" s="10"/>
      <c r="AV99" s="167"/>
      <c r="AW99" s="168"/>
      <c r="AX99" s="29"/>
      <c r="AY99" s="24"/>
      <c r="AZ99" s="25"/>
      <c r="BA99" s="24"/>
      <c r="BB99" s="169"/>
      <c r="BC99" s="170"/>
      <c r="BD99" s="10">
        <v>56053</v>
      </c>
      <c r="BE99" s="10">
        <v>15000</v>
      </c>
      <c r="BF99" s="10">
        <v>18000</v>
      </c>
      <c r="BG99" s="268">
        <v>18000</v>
      </c>
      <c r="BH99" s="10">
        <v>25000</v>
      </c>
      <c r="BI99" s="76">
        <f t="shared" si="205"/>
        <v>19000</v>
      </c>
      <c r="BJ99" s="24">
        <f t="shared" si="206"/>
        <v>-37053</v>
      </c>
      <c r="BK99" s="25">
        <f t="shared" si="207"/>
        <v>-0.66103509178812914</v>
      </c>
      <c r="BL99" s="309">
        <f t="shared" si="208"/>
        <v>19000</v>
      </c>
      <c r="BM99" s="293"/>
      <c r="BN99" s="293"/>
      <c r="BO99" s="293"/>
      <c r="BP99" s="293"/>
      <c r="BQ99" s="293"/>
      <c r="BR99" s="293"/>
      <c r="BS99" s="293"/>
      <c r="BT99" s="293"/>
    </row>
    <row r="100" spans="1:72" s="1" customFormat="1" ht="39.950000000000003" customHeight="1">
      <c r="A100" s="91"/>
      <c r="B100" s="358" t="s">
        <v>2292</v>
      </c>
      <c r="C100" s="50" t="s">
        <v>1471</v>
      </c>
      <c r="D100" s="264" t="s">
        <v>1445</v>
      </c>
      <c r="E100" s="263" t="s">
        <v>1399</v>
      </c>
      <c r="F100" s="10"/>
      <c r="G100" s="10"/>
      <c r="H100" s="33"/>
      <c r="I100" s="176"/>
      <c r="J100" s="29"/>
      <c r="K100" s="24"/>
      <c r="L100" s="25"/>
      <c r="M100" s="69"/>
      <c r="N100" s="77"/>
      <c r="O100" s="73"/>
      <c r="P100" s="74"/>
      <c r="Q100" s="74"/>
      <c r="R100" s="75"/>
      <c r="S100" s="61"/>
      <c r="T100" s="60"/>
      <c r="U100" s="74"/>
      <c r="V100" s="76"/>
      <c r="W100" s="24"/>
      <c r="X100" s="25"/>
      <c r="Y100" s="77"/>
      <c r="Z100" s="106"/>
      <c r="AA100" s="73"/>
      <c r="AB100" s="88"/>
      <c r="AC100" s="116"/>
      <c r="AD100" s="74"/>
      <c r="AE100" s="76"/>
      <c r="AF100" s="24"/>
      <c r="AG100" s="25"/>
      <c r="AH100" s="77"/>
      <c r="AI100" s="77"/>
      <c r="AJ100" s="73"/>
      <c r="AK100" s="79"/>
      <c r="AL100" s="79"/>
      <c r="AM100" s="127"/>
      <c r="AN100" s="128"/>
      <c r="AO100" s="128"/>
      <c r="AP100" s="133"/>
      <c r="AQ100" s="127"/>
      <c r="AR100" s="134"/>
      <c r="AS100" s="132"/>
      <c r="AT100" s="10"/>
      <c r="AU100" s="10"/>
      <c r="AV100" s="167"/>
      <c r="AW100" s="168"/>
      <c r="AX100" s="29"/>
      <c r="AY100" s="24"/>
      <c r="AZ100" s="25"/>
      <c r="BA100" s="24"/>
      <c r="BB100" s="169"/>
      <c r="BC100" s="170"/>
      <c r="BD100" s="10">
        <v>56964</v>
      </c>
      <c r="BE100" s="10">
        <v>35000</v>
      </c>
      <c r="BF100" s="10">
        <v>39000</v>
      </c>
      <c r="BG100" s="268">
        <v>38000</v>
      </c>
      <c r="BH100" s="10">
        <v>35000</v>
      </c>
      <c r="BI100" s="76">
        <f t="shared" si="205"/>
        <v>36750</v>
      </c>
      <c r="BJ100" s="24">
        <f t="shared" si="206"/>
        <v>-20214</v>
      </c>
      <c r="BK100" s="25">
        <f t="shared" si="207"/>
        <v>-0.354855698335791</v>
      </c>
      <c r="BL100" s="309">
        <f t="shared" si="208"/>
        <v>36750</v>
      </c>
      <c r="BM100" s="293"/>
      <c r="BN100" s="293"/>
      <c r="BO100" s="293"/>
      <c r="BP100" s="293"/>
      <c r="BQ100" s="293"/>
      <c r="BR100" s="293"/>
      <c r="BS100" s="293"/>
      <c r="BT100" s="293"/>
    </row>
    <row r="101" spans="1:72" s="1" customFormat="1" ht="39.950000000000003" customHeight="1">
      <c r="A101" s="91"/>
      <c r="B101" s="358" t="s">
        <v>2293</v>
      </c>
      <c r="C101" s="50" t="s">
        <v>1472</v>
      </c>
      <c r="D101" s="264" t="s">
        <v>840</v>
      </c>
      <c r="E101" s="263" t="s">
        <v>1399</v>
      </c>
      <c r="F101" s="10"/>
      <c r="G101" s="10"/>
      <c r="H101" s="33"/>
      <c r="I101" s="176"/>
      <c r="J101" s="29"/>
      <c r="K101" s="24"/>
      <c r="L101" s="25"/>
      <c r="M101" s="69"/>
      <c r="N101" s="77"/>
      <c r="O101" s="73"/>
      <c r="P101" s="74"/>
      <c r="Q101" s="74"/>
      <c r="R101" s="75"/>
      <c r="S101" s="61"/>
      <c r="T101" s="60"/>
      <c r="U101" s="74"/>
      <c r="V101" s="76"/>
      <c r="W101" s="24"/>
      <c r="X101" s="25"/>
      <c r="Y101" s="77"/>
      <c r="Z101" s="106"/>
      <c r="AA101" s="73"/>
      <c r="AB101" s="88"/>
      <c r="AC101" s="116"/>
      <c r="AD101" s="74"/>
      <c r="AE101" s="76"/>
      <c r="AF101" s="24"/>
      <c r="AG101" s="25"/>
      <c r="AH101" s="77"/>
      <c r="AI101" s="77"/>
      <c r="AJ101" s="73"/>
      <c r="AK101" s="79"/>
      <c r="AL101" s="79"/>
      <c r="AM101" s="127"/>
      <c r="AN101" s="128"/>
      <c r="AO101" s="128"/>
      <c r="AP101" s="133"/>
      <c r="AQ101" s="127"/>
      <c r="AR101" s="134"/>
      <c r="AS101" s="132"/>
      <c r="AT101" s="10"/>
      <c r="AU101" s="10"/>
      <c r="AV101" s="167"/>
      <c r="AW101" s="168"/>
      <c r="AX101" s="29"/>
      <c r="AY101" s="24"/>
      <c r="AZ101" s="25"/>
      <c r="BA101" s="24"/>
      <c r="BB101" s="169"/>
      <c r="BC101" s="170"/>
      <c r="BD101" s="10">
        <v>5078</v>
      </c>
      <c r="BE101" s="10">
        <v>45000</v>
      </c>
      <c r="BF101" s="10">
        <v>48000</v>
      </c>
      <c r="BG101" s="268">
        <v>48000</v>
      </c>
      <c r="BH101" s="10">
        <v>50000</v>
      </c>
      <c r="BI101" s="76">
        <f t="shared" si="205"/>
        <v>47750</v>
      </c>
      <c r="BJ101" s="24">
        <f t="shared" si="206"/>
        <v>42672</v>
      </c>
      <c r="BK101" s="25">
        <f t="shared" si="207"/>
        <v>8.4033083891295792</v>
      </c>
      <c r="BL101" s="309">
        <f t="shared" si="208"/>
        <v>47750</v>
      </c>
      <c r="BM101" s="293"/>
      <c r="BN101" s="293"/>
      <c r="BO101" s="293"/>
      <c r="BP101" s="293"/>
      <c r="BQ101" s="293"/>
      <c r="BR101" s="293"/>
      <c r="BS101" s="293"/>
      <c r="BT101" s="293"/>
    </row>
    <row r="102" spans="1:72" s="1" customFormat="1" ht="39.950000000000003" customHeight="1">
      <c r="A102" s="91"/>
      <c r="B102" s="358" t="s">
        <v>2294</v>
      </c>
      <c r="C102" s="50" t="s">
        <v>1473</v>
      </c>
      <c r="D102" s="264" t="s">
        <v>1446</v>
      </c>
      <c r="E102" s="262" t="s">
        <v>999</v>
      </c>
      <c r="F102" s="10"/>
      <c r="G102" s="10"/>
      <c r="H102" s="33"/>
      <c r="I102" s="176"/>
      <c r="J102" s="29"/>
      <c r="K102" s="24"/>
      <c r="L102" s="25"/>
      <c r="M102" s="69"/>
      <c r="N102" s="77"/>
      <c r="O102" s="73"/>
      <c r="P102" s="74"/>
      <c r="Q102" s="74"/>
      <c r="R102" s="75"/>
      <c r="S102" s="61"/>
      <c r="T102" s="60"/>
      <c r="U102" s="74"/>
      <c r="V102" s="76"/>
      <c r="W102" s="24"/>
      <c r="X102" s="25"/>
      <c r="Y102" s="77"/>
      <c r="Z102" s="106"/>
      <c r="AA102" s="73"/>
      <c r="AB102" s="88"/>
      <c r="AC102" s="116"/>
      <c r="AD102" s="74"/>
      <c r="AE102" s="76"/>
      <c r="AF102" s="24"/>
      <c r="AG102" s="25"/>
      <c r="AH102" s="77"/>
      <c r="AI102" s="77"/>
      <c r="AJ102" s="73"/>
      <c r="AK102" s="79"/>
      <c r="AL102" s="79"/>
      <c r="AM102" s="127"/>
      <c r="AN102" s="128"/>
      <c r="AO102" s="128"/>
      <c r="AP102" s="133"/>
      <c r="AQ102" s="127"/>
      <c r="AR102" s="134"/>
      <c r="AS102" s="132"/>
      <c r="AT102" s="10"/>
      <c r="AU102" s="10"/>
      <c r="AV102" s="167"/>
      <c r="AW102" s="168"/>
      <c r="AX102" s="29"/>
      <c r="AY102" s="24"/>
      <c r="AZ102" s="25"/>
      <c r="BA102" s="24"/>
      <c r="BB102" s="169"/>
      <c r="BC102" s="170"/>
      <c r="BD102" s="10">
        <v>28022</v>
      </c>
      <c r="BE102" s="10">
        <v>20000</v>
      </c>
      <c r="BF102" s="10">
        <v>22000</v>
      </c>
      <c r="BG102" s="268">
        <v>22000</v>
      </c>
      <c r="BH102" s="10">
        <v>25000</v>
      </c>
      <c r="BI102" s="76">
        <f t="shared" si="205"/>
        <v>22250</v>
      </c>
      <c r="BJ102" s="24">
        <f t="shared" si="206"/>
        <v>-5772</v>
      </c>
      <c r="BK102" s="25">
        <f t="shared" si="207"/>
        <v>-0.20598101491685106</v>
      </c>
      <c r="BL102" s="309">
        <f t="shared" si="208"/>
        <v>22250</v>
      </c>
      <c r="BM102" s="293"/>
      <c r="BN102" s="293"/>
      <c r="BO102" s="293"/>
      <c r="BP102" s="293"/>
      <c r="BQ102" s="293"/>
      <c r="BR102" s="293"/>
      <c r="BS102" s="293"/>
      <c r="BT102" s="293"/>
    </row>
    <row r="103" spans="1:72" s="1" customFormat="1" ht="39.950000000000003" customHeight="1">
      <c r="A103" s="91"/>
      <c r="B103" s="358" t="s">
        <v>2295</v>
      </c>
      <c r="C103" s="50" t="s">
        <v>1474</v>
      </c>
      <c r="D103" s="264" t="s">
        <v>1447</v>
      </c>
      <c r="E103" s="263" t="s">
        <v>1399</v>
      </c>
      <c r="F103" s="10"/>
      <c r="G103" s="10"/>
      <c r="H103" s="33"/>
      <c r="I103" s="176"/>
      <c r="J103" s="29"/>
      <c r="K103" s="24"/>
      <c r="L103" s="25"/>
      <c r="M103" s="69"/>
      <c r="N103" s="77"/>
      <c r="O103" s="73"/>
      <c r="P103" s="74"/>
      <c r="Q103" s="74"/>
      <c r="R103" s="75"/>
      <c r="S103" s="61"/>
      <c r="T103" s="60"/>
      <c r="U103" s="74"/>
      <c r="V103" s="76"/>
      <c r="W103" s="24"/>
      <c r="X103" s="25"/>
      <c r="Y103" s="77"/>
      <c r="Z103" s="106"/>
      <c r="AA103" s="73"/>
      <c r="AB103" s="88"/>
      <c r="AC103" s="116"/>
      <c r="AD103" s="74"/>
      <c r="AE103" s="76"/>
      <c r="AF103" s="24"/>
      <c r="AG103" s="25"/>
      <c r="AH103" s="77"/>
      <c r="AI103" s="77"/>
      <c r="AJ103" s="73"/>
      <c r="AK103" s="79"/>
      <c r="AL103" s="79"/>
      <c r="AM103" s="127"/>
      <c r="AN103" s="128"/>
      <c r="AO103" s="128"/>
      <c r="AP103" s="133"/>
      <c r="AQ103" s="127"/>
      <c r="AR103" s="134"/>
      <c r="AS103" s="132"/>
      <c r="AT103" s="10"/>
      <c r="AU103" s="10"/>
      <c r="AV103" s="167"/>
      <c r="AW103" s="168"/>
      <c r="AX103" s="29"/>
      <c r="AY103" s="24"/>
      <c r="AZ103" s="25"/>
      <c r="BA103" s="24"/>
      <c r="BB103" s="169"/>
      <c r="BC103" s="170"/>
      <c r="BD103" s="10">
        <v>39925</v>
      </c>
      <c r="BE103" s="10"/>
      <c r="BF103" s="10">
        <v>39000</v>
      </c>
      <c r="BG103" s="268">
        <v>39000</v>
      </c>
      <c r="BH103" s="10">
        <v>10000</v>
      </c>
      <c r="BI103" s="76">
        <f t="shared" si="205"/>
        <v>29333.333333333332</v>
      </c>
      <c r="BJ103" s="24">
        <f t="shared" si="206"/>
        <v>-10591.666666666668</v>
      </c>
      <c r="BK103" s="25">
        <f t="shared" si="207"/>
        <v>-0.2652890836986016</v>
      </c>
      <c r="BL103" s="309">
        <f t="shared" si="208"/>
        <v>29333.333333333332</v>
      </c>
      <c r="BM103" s="293"/>
      <c r="BN103" s="293"/>
      <c r="BO103" s="293"/>
      <c r="BP103" s="293"/>
      <c r="BQ103" s="293"/>
      <c r="BR103" s="293"/>
      <c r="BS103" s="293"/>
      <c r="BT103" s="293"/>
    </row>
    <row r="104" spans="1:72" s="1" customFormat="1" ht="39.950000000000003" customHeight="1">
      <c r="A104" s="91"/>
      <c r="B104" s="358" t="s">
        <v>2296</v>
      </c>
      <c r="C104" s="50" t="s">
        <v>1475</v>
      </c>
      <c r="D104" s="264" t="s">
        <v>1448</v>
      </c>
      <c r="E104" s="262" t="s">
        <v>999</v>
      </c>
      <c r="F104" s="10"/>
      <c r="G104" s="10"/>
      <c r="H104" s="33"/>
      <c r="I104" s="176"/>
      <c r="J104" s="29"/>
      <c r="K104" s="24"/>
      <c r="L104" s="25"/>
      <c r="M104" s="69"/>
      <c r="N104" s="77"/>
      <c r="O104" s="73"/>
      <c r="P104" s="74"/>
      <c r="Q104" s="74"/>
      <c r="R104" s="75"/>
      <c r="S104" s="61"/>
      <c r="T104" s="60"/>
      <c r="U104" s="74"/>
      <c r="V104" s="76"/>
      <c r="W104" s="24"/>
      <c r="X104" s="25"/>
      <c r="Y104" s="77"/>
      <c r="Z104" s="106"/>
      <c r="AA104" s="73"/>
      <c r="AB104" s="88"/>
      <c r="AC104" s="116"/>
      <c r="AD104" s="74"/>
      <c r="AE104" s="76"/>
      <c r="AF104" s="24"/>
      <c r="AG104" s="25"/>
      <c r="AH104" s="77"/>
      <c r="AI104" s="77"/>
      <c r="AJ104" s="73"/>
      <c r="AK104" s="79"/>
      <c r="AL104" s="79"/>
      <c r="AM104" s="127"/>
      <c r="AN104" s="128"/>
      <c r="AO104" s="128"/>
      <c r="AP104" s="133"/>
      <c r="AQ104" s="127"/>
      <c r="AR104" s="134"/>
      <c r="AS104" s="132"/>
      <c r="AT104" s="10"/>
      <c r="AU104" s="10"/>
      <c r="AV104" s="167"/>
      <c r="AW104" s="168"/>
      <c r="AX104" s="29"/>
      <c r="AY104" s="24"/>
      <c r="AZ104" s="25"/>
      <c r="BA104" s="24"/>
      <c r="BB104" s="169"/>
      <c r="BC104" s="170"/>
      <c r="BD104" s="10">
        <v>30575</v>
      </c>
      <c r="BE104" s="10">
        <v>35000</v>
      </c>
      <c r="BF104" s="10">
        <v>39000</v>
      </c>
      <c r="BG104" s="268">
        <v>38000</v>
      </c>
      <c r="BH104" s="10">
        <v>50000</v>
      </c>
      <c r="BI104" s="76">
        <f t="shared" si="205"/>
        <v>40500</v>
      </c>
      <c r="BJ104" s="24">
        <f t="shared" si="206"/>
        <v>9925</v>
      </c>
      <c r="BK104" s="25">
        <f t="shared" si="207"/>
        <v>0.32461161079313167</v>
      </c>
      <c r="BL104" s="309">
        <f t="shared" si="208"/>
        <v>40500</v>
      </c>
      <c r="BM104" s="293"/>
      <c r="BN104" s="293"/>
      <c r="BO104" s="293"/>
      <c r="BP104" s="293"/>
      <c r="BQ104" s="293"/>
      <c r="BR104" s="293"/>
      <c r="BS104" s="293"/>
      <c r="BT104" s="293"/>
    </row>
    <row r="105" spans="1:72" s="1" customFormat="1" ht="39.950000000000003" customHeight="1">
      <c r="A105" s="91"/>
      <c r="B105" s="358" t="s">
        <v>2297</v>
      </c>
      <c r="C105" s="50" t="s">
        <v>1476</v>
      </c>
      <c r="D105" s="264" t="s">
        <v>1449</v>
      </c>
      <c r="E105" s="262" t="s">
        <v>999</v>
      </c>
      <c r="F105" s="10"/>
      <c r="G105" s="10"/>
      <c r="H105" s="33"/>
      <c r="I105" s="176"/>
      <c r="J105" s="29"/>
      <c r="K105" s="24"/>
      <c r="L105" s="25"/>
      <c r="M105" s="69"/>
      <c r="N105" s="77"/>
      <c r="O105" s="73"/>
      <c r="P105" s="74"/>
      <c r="Q105" s="74"/>
      <c r="R105" s="75"/>
      <c r="S105" s="61"/>
      <c r="T105" s="60"/>
      <c r="U105" s="74"/>
      <c r="V105" s="76"/>
      <c r="W105" s="24"/>
      <c r="X105" s="25"/>
      <c r="Y105" s="77"/>
      <c r="Z105" s="106"/>
      <c r="AA105" s="73"/>
      <c r="AB105" s="88"/>
      <c r="AC105" s="116"/>
      <c r="AD105" s="74"/>
      <c r="AE105" s="76"/>
      <c r="AF105" s="24"/>
      <c r="AG105" s="25"/>
      <c r="AH105" s="77"/>
      <c r="AI105" s="77"/>
      <c r="AJ105" s="73"/>
      <c r="AK105" s="79"/>
      <c r="AL105" s="79"/>
      <c r="AM105" s="127"/>
      <c r="AN105" s="128"/>
      <c r="AO105" s="128"/>
      <c r="AP105" s="133"/>
      <c r="AQ105" s="127"/>
      <c r="AR105" s="134"/>
      <c r="AS105" s="132"/>
      <c r="AT105" s="10"/>
      <c r="AU105" s="10"/>
      <c r="AV105" s="167"/>
      <c r="AW105" s="168"/>
      <c r="AX105" s="29"/>
      <c r="AY105" s="24"/>
      <c r="AZ105" s="25"/>
      <c r="BA105" s="24"/>
      <c r="BB105" s="169"/>
      <c r="BC105" s="170"/>
      <c r="BD105" s="10">
        <v>360512</v>
      </c>
      <c r="BE105" s="10">
        <v>100000</v>
      </c>
      <c r="BF105" s="10">
        <v>110000</v>
      </c>
      <c r="BG105" s="268">
        <v>105000</v>
      </c>
      <c r="BH105" s="10">
        <v>120000</v>
      </c>
      <c r="BI105" s="76">
        <f t="shared" si="205"/>
        <v>108750</v>
      </c>
      <c r="BJ105" s="24">
        <f t="shared" si="206"/>
        <v>-251762</v>
      </c>
      <c r="BK105" s="25">
        <f t="shared" si="207"/>
        <v>-0.69834568613527426</v>
      </c>
      <c r="BL105" s="309">
        <f t="shared" si="208"/>
        <v>108750</v>
      </c>
      <c r="BM105" s="293"/>
      <c r="BN105" s="293"/>
      <c r="BO105" s="293"/>
      <c r="BP105" s="293"/>
      <c r="BQ105" s="293"/>
      <c r="BR105" s="293"/>
      <c r="BS105" s="293"/>
      <c r="BT105" s="293"/>
    </row>
    <row r="106" spans="1:72" s="1" customFormat="1" ht="39.950000000000003" customHeight="1">
      <c r="A106" s="91"/>
      <c r="B106" s="358" t="s">
        <v>2298</v>
      </c>
      <c r="C106" s="50" t="s">
        <v>1477</v>
      </c>
      <c r="D106" s="264" t="s">
        <v>1450</v>
      </c>
      <c r="E106" s="262" t="s">
        <v>999</v>
      </c>
      <c r="F106" s="10"/>
      <c r="G106" s="10"/>
      <c r="H106" s="33"/>
      <c r="I106" s="176"/>
      <c r="J106" s="29"/>
      <c r="K106" s="24"/>
      <c r="L106" s="25"/>
      <c r="M106" s="69"/>
      <c r="N106" s="77"/>
      <c r="O106" s="73"/>
      <c r="P106" s="74"/>
      <c r="Q106" s="74"/>
      <c r="R106" s="75"/>
      <c r="S106" s="61"/>
      <c r="T106" s="60"/>
      <c r="U106" s="74"/>
      <c r="V106" s="76"/>
      <c r="W106" s="24"/>
      <c r="X106" s="25"/>
      <c r="Y106" s="77"/>
      <c r="Z106" s="106"/>
      <c r="AA106" s="73"/>
      <c r="AB106" s="88"/>
      <c r="AC106" s="116"/>
      <c r="AD106" s="74"/>
      <c r="AE106" s="76"/>
      <c r="AF106" s="24"/>
      <c r="AG106" s="25"/>
      <c r="AH106" s="77"/>
      <c r="AI106" s="77"/>
      <c r="AJ106" s="73"/>
      <c r="AK106" s="79"/>
      <c r="AL106" s="79"/>
      <c r="AM106" s="127"/>
      <c r="AN106" s="128"/>
      <c r="AO106" s="128"/>
      <c r="AP106" s="133"/>
      <c r="AQ106" s="127"/>
      <c r="AR106" s="134"/>
      <c r="AS106" s="132"/>
      <c r="AT106" s="10"/>
      <c r="AU106" s="10"/>
      <c r="AV106" s="167"/>
      <c r="AW106" s="168"/>
      <c r="AX106" s="29"/>
      <c r="AY106" s="24"/>
      <c r="AZ106" s="25"/>
      <c r="BA106" s="24"/>
      <c r="BB106" s="169"/>
      <c r="BC106" s="170"/>
      <c r="BD106" s="10">
        <v>9711</v>
      </c>
      <c r="BE106" s="10"/>
      <c r="BF106" s="10">
        <v>80000</v>
      </c>
      <c r="BG106" s="268">
        <v>80000</v>
      </c>
      <c r="BH106" s="10">
        <v>50000</v>
      </c>
      <c r="BI106" s="76">
        <f t="shared" si="205"/>
        <v>70000</v>
      </c>
      <c r="BJ106" s="24">
        <f t="shared" si="206"/>
        <v>60289</v>
      </c>
      <c r="BK106" s="25">
        <f t="shared" si="207"/>
        <v>6.2083204613325096</v>
      </c>
      <c r="BL106" s="309">
        <f t="shared" si="208"/>
        <v>70000</v>
      </c>
      <c r="BM106" s="293"/>
      <c r="BN106" s="293"/>
      <c r="BO106" s="293"/>
      <c r="BP106" s="293"/>
      <c r="BQ106" s="293"/>
      <c r="BR106" s="293"/>
      <c r="BS106" s="293"/>
      <c r="BT106" s="293"/>
    </row>
    <row r="107" spans="1:72" s="1" customFormat="1" ht="39.950000000000003" customHeight="1">
      <c r="A107" s="91"/>
      <c r="B107" s="358" t="s">
        <v>2299</v>
      </c>
      <c r="C107" s="50" t="s">
        <v>1478</v>
      </c>
      <c r="D107" s="264" t="s">
        <v>1451</v>
      </c>
      <c r="E107" s="263" t="s">
        <v>1399</v>
      </c>
      <c r="F107" s="10"/>
      <c r="G107" s="10"/>
      <c r="H107" s="33"/>
      <c r="I107" s="176"/>
      <c r="J107" s="29"/>
      <c r="K107" s="24"/>
      <c r="L107" s="25"/>
      <c r="M107" s="69"/>
      <c r="N107" s="77"/>
      <c r="O107" s="73"/>
      <c r="P107" s="74"/>
      <c r="Q107" s="74"/>
      <c r="R107" s="75"/>
      <c r="S107" s="61"/>
      <c r="T107" s="60"/>
      <c r="U107" s="74"/>
      <c r="V107" s="76"/>
      <c r="W107" s="24"/>
      <c r="X107" s="25"/>
      <c r="Y107" s="77"/>
      <c r="Z107" s="106"/>
      <c r="AA107" s="73"/>
      <c r="AB107" s="88"/>
      <c r="AC107" s="116"/>
      <c r="AD107" s="74"/>
      <c r="AE107" s="76"/>
      <c r="AF107" s="24"/>
      <c r="AG107" s="25"/>
      <c r="AH107" s="77"/>
      <c r="AI107" s="77"/>
      <c r="AJ107" s="73"/>
      <c r="AK107" s="79"/>
      <c r="AL107" s="79"/>
      <c r="AM107" s="127"/>
      <c r="AN107" s="128"/>
      <c r="AO107" s="128"/>
      <c r="AP107" s="133"/>
      <c r="AQ107" s="127"/>
      <c r="AR107" s="134"/>
      <c r="AS107" s="132"/>
      <c r="AT107" s="10"/>
      <c r="AU107" s="10"/>
      <c r="AV107" s="167"/>
      <c r="AW107" s="168"/>
      <c r="AX107" s="29"/>
      <c r="AY107" s="24"/>
      <c r="AZ107" s="25"/>
      <c r="BA107" s="24"/>
      <c r="BB107" s="169"/>
      <c r="BC107" s="170"/>
      <c r="BD107" s="10">
        <v>18349</v>
      </c>
      <c r="BE107" s="10">
        <v>55000</v>
      </c>
      <c r="BF107" s="10">
        <v>61000</v>
      </c>
      <c r="BG107" s="268">
        <v>60000</v>
      </c>
      <c r="BH107" s="10">
        <v>60000</v>
      </c>
      <c r="BI107" s="76">
        <f t="shared" si="205"/>
        <v>59000</v>
      </c>
      <c r="BJ107" s="24">
        <f t="shared" si="206"/>
        <v>40651</v>
      </c>
      <c r="BK107" s="25">
        <f t="shared" si="207"/>
        <v>2.215434083601286</v>
      </c>
      <c r="BL107" s="309">
        <f t="shared" si="208"/>
        <v>59000</v>
      </c>
      <c r="BM107" s="293"/>
      <c r="BN107" s="293"/>
      <c r="BO107" s="293"/>
      <c r="BP107" s="293"/>
      <c r="BQ107" s="293"/>
      <c r="BR107" s="293"/>
      <c r="BS107" s="293"/>
      <c r="BT107" s="293"/>
    </row>
    <row r="108" spans="1:72" s="1" customFormat="1" ht="39.950000000000003" customHeight="1">
      <c r="A108" s="91"/>
      <c r="B108" s="358" t="s">
        <v>2300</v>
      </c>
      <c r="C108" s="50" t="s">
        <v>1479</v>
      </c>
      <c r="D108" s="264" t="s">
        <v>1452</v>
      </c>
      <c r="E108" s="262" t="s">
        <v>999</v>
      </c>
      <c r="F108" s="10"/>
      <c r="G108" s="10"/>
      <c r="H108" s="33"/>
      <c r="I108" s="176"/>
      <c r="J108" s="29"/>
      <c r="K108" s="24"/>
      <c r="L108" s="25"/>
      <c r="M108" s="69"/>
      <c r="N108" s="77"/>
      <c r="O108" s="73"/>
      <c r="P108" s="74"/>
      <c r="Q108" s="74"/>
      <c r="R108" s="75"/>
      <c r="S108" s="61"/>
      <c r="T108" s="60"/>
      <c r="U108" s="74"/>
      <c r="V108" s="76"/>
      <c r="W108" s="24"/>
      <c r="X108" s="25"/>
      <c r="Y108" s="77"/>
      <c r="Z108" s="106"/>
      <c r="AA108" s="73"/>
      <c r="AB108" s="88"/>
      <c r="AC108" s="116"/>
      <c r="AD108" s="74"/>
      <c r="AE108" s="76"/>
      <c r="AF108" s="24"/>
      <c r="AG108" s="25"/>
      <c r="AH108" s="77"/>
      <c r="AI108" s="77"/>
      <c r="AJ108" s="73"/>
      <c r="AK108" s="79"/>
      <c r="AL108" s="79"/>
      <c r="AM108" s="127"/>
      <c r="AN108" s="128"/>
      <c r="AO108" s="128"/>
      <c r="AP108" s="133"/>
      <c r="AQ108" s="127"/>
      <c r="AR108" s="134"/>
      <c r="AS108" s="132"/>
      <c r="AT108" s="10"/>
      <c r="AU108" s="10"/>
      <c r="AV108" s="167"/>
      <c r="AW108" s="168"/>
      <c r="AX108" s="29"/>
      <c r="AY108" s="24"/>
      <c r="AZ108" s="25"/>
      <c r="BA108" s="24"/>
      <c r="BB108" s="169"/>
      <c r="BC108" s="170"/>
      <c r="BD108" s="10">
        <v>14134</v>
      </c>
      <c r="BE108" s="10">
        <v>35000</v>
      </c>
      <c r="BF108" s="10">
        <v>38000</v>
      </c>
      <c r="BG108" s="268">
        <v>38000</v>
      </c>
      <c r="BH108" s="10">
        <v>60000</v>
      </c>
      <c r="BI108" s="76">
        <f t="shared" si="205"/>
        <v>42750</v>
      </c>
      <c r="BJ108" s="24">
        <f t="shared" si="206"/>
        <v>28616</v>
      </c>
      <c r="BK108" s="25">
        <f t="shared" si="207"/>
        <v>2.0246214801188622</v>
      </c>
      <c r="BL108" s="309">
        <f t="shared" si="208"/>
        <v>42750</v>
      </c>
      <c r="BM108" s="293"/>
      <c r="BN108" s="293"/>
      <c r="BO108" s="293"/>
      <c r="BP108" s="293"/>
      <c r="BQ108" s="293"/>
      <c r="BR108" s="293"/>
      <c r="BS108" s="293"/>
      <c r="BT108" s="293"/>
    </row>
    <row r="109" spans="1:72" s="1" customFormat="1" ht="39.950000000000003" customHeight="1">
      <c r="A109" s="91"/>
      <c r="B109" s="358" t="s">
        <v>2301</v>
      </c>
      <c r="C109" s="50" t="s">
        <v>1480</v>
      </c>
      <c r="D109" s="264" t="s">
        <v>1453</v>
      </c>
      <c r="E109" s="263" t="s">
        <v>1399</v>
      </c>
      <c r="F109" s="10"/>
      <c r="G109" s="10"/>
      <c r="H109" s="33"/>
      <c r="I109" s="176"/>
      <c r="J109" s="29"/>
      <c r="K109" s="24"/>
      <c r="L109" s="25"/>
      <c r="M109" s="69"/>
      <c r="N109" s="77"/>
      <c r="O109" s="73"/>
      <c r="P109" s="74"/>
      <c r="Q109" s="74"/>
      <c r="R109" s="75"/>
      <c r="S109" s="61"/>
      <c r="T109" s="60"/>
      <c r="U109" s="74"/>
      <c r="V109" s="76"/>
      <c r="W109" s="24"/>
      <c r="X109" s="25"/>
      <c r="Y109" s="77"/>
      <c r="Z109" s="106"/>
      <c r="AA109" s="73"/>
      <c r="AB109" s="88"/>
      <c r="AC109" s="116"/>
      <c r="AD109" s="74"/>
      <c r="AE109" s="76"/>
      <c r="AF109" s="24"/>
      <c r="AG109" s="25"/>
      <c r="AH109" s="77"/>
      <c r="AI109" s="77"/>
      <c r="AJ109" s="73"/>
      <c r="AK109" s="79"/>
      <c r="AL109" s="79"/>
      <c r="AM109" s="127"/>
      <c r="AN109" s="128"/>
      <c r="AO109" s="128"/>
      <c r="AP109" s="133"/>
      <c r="AQ109" s="127"/>
      <c r="AR109" s="134"/>
      <c r="AS109" s="132"/>
      <c r="AT109" s="10"/>
      <c r="AU109" s="10"/>
      <c r="AV109" s="167"/>
      <c r="AW109" s="168"/>
      <c r="AX109" s="29"/>
      <c r="AY109" s="24"/>
      <c r="AZ109" s="25"/>
      <c r="BA109" s="24"/>
      <c r="BB109" s="169"/>
      <c r="BC109" s="170"/>
      <c r="BD109" s="10">
        <v>56898</v>
      </c>
      <c r="BE109" s="10"/>
      <c r="BF109" s="10"/>
      <c r="BG109" s="10"/>
      <c r="BH109" s="10">
        <v>20000</v>
      </c>
      <c r="BI109" s="76">
        <f t="shared" si="205"/>
        <v>20000</v>
      </c>
      <c r="BJ109" s="24">
        <f t="shared" si="206"/>
        <v>-36898</v>
      </c>
      <c r="BK109" s="25">
        <f t="shared" si="207"/>
        <v>-0.64849379591549794</v>
      </c>
      <c r="BL109" s="309">
        <f t="shared" si="208"/>
        <v>20000</v>
      </c>
      <c r="BM109" s="293"/>
      <c r="BN109" s="293"/>
      <c r="BO109" s="293"/>
      <c r="BP109" s="293"/>
      <c r="BQ109" s="293"/>
      <c r="BR109" s="293"/>
      <c r="BS109" s="293"/>
      <c r="BT109" s="293"/>
    </row>
    <row r="110" spans="1:72" s="1" customFormat="1" ht="39.950000000000003" customHeight="1">
      <c r="A110" s="91"/>
      <c r="B110" s="358" t="s">
        <v>2302</v>
      </c>
      <c r="C110" s="50" t="s">
        <v>1481</v>
      </c>
      <c r="D110" s="264" t="s">
        <v>1454</v>
      </c>
      <c r="E110" s="263" t="s">
        <v>1399</v>
      </c>
      <c r="F110" s="10"/>
      <c r="G110" s="10"/>
      <c r="H110" s="33"/>
      <c r="I110" s="176"/>
      <c r="J110" s="29"/>
      <c r="K110" s="24"/>
      <c r="L110" s="25"/>
      <c r="M110" s="69"/>
      <c r="N110" s="77"/>
      <c r="O110" s="73"/>
      <c r="P110" s="74"/>
      <c r="Q110" s="74"/>
      <c r="R110" s="75"/>
      <c r="S110" s="61"/>
      <c r="T110" s="60"/>
      <c r="U110" s="74"/>
      <c r="V110" s="76"/>
      <c r="W110" s="24"/>
      <c r="X110" s="25"/>
      <c r="Y110" s="77"/>
      <c r="Z110" s="106"/>
      <c r="AA110" s="73"/>
      <c r="AB110" s="88"/>
      <c r="AC110" s="116"/>
      <c r="AD110" s="74"/>
      <c r="AE110" s="76"/>
      <c r="AF110" s="24"/>
      <c r="AG110" s="25"/>
      <c r="AH110" s="77"/>
      <c r="AI110" s="77"/>
      <c r="AJ110" s="73"/>
      <c r="AK110" s="79"/>
      <c r="AL110" s="79"/>
      <c r="AM110" s="127"/>
      <c r="AN110" s="128"/>
      <c r="AO110" s="128"/>
      <c r="AP110" s="133"/>
      <c r="AQ110" s="127"/>
      <c r="AR110" s="134"/>
      <c r="AS110" s="132"/>
      <c r="AT110" s="10"/>
      <c r="AU110" s="10"/>
      <c r="AV110" s="167"/>
      <c r="AW110" s="168"/>
      <c r="AX110" s="29"/>
      <c r="AY110" s="24"/>
      <c r="AZ110" s="25"/>
      <c r="BA110" s="24"/>
      <c r="BB110" s="169"/>
      <c r="BC110" s="170"/>
      <c r="BD110" s="10">
        <v>5848</v>
      </c>
      <c r="BE110" s="10"/>
      <c r="BF110" s="10"/>
      <c r="BG110" s="10"/>
      <c r="BH110" s="10">
        <v>15000</v>
      </c>
      <c r="BI110" s="76">
        <f t="shared" si="205"/>
        <v>15000</v>
      </c>
      <c r="BJ110" s="24">
        <f t="shared" si="206"/>
        <v>9152</v>
      </c>
      <c r="BK110" s="25">
        <f t="shared" si="207"/>
        <v>1.5649794801641588</v>
      </c>
      <c r="BL110" s="309">
        <f t="shared" si="208"/>
        <v>15000</v>
      </c>
      <c r="BM110" s="293"/>
      <c r="BN110" s="293"/>
      <c r="BO110" s="293"/>
      <c r="BP110" s="293"/>
      <c r="BQ110" s="293"/>
      <c r="BR110" s="293"/>
      <c r="BS110" s="293"/>
      <c r="BT110" s="293"/>
    </row>
    <row r="111" spans="1:72" s="1" customFormat="1" ht="39.950000000000003" customHeight="1">
      <c r="A111" s="91"/>
      <c r="B111" s="358" t="s">
        <v>2303</v>
      </c>
      <c r="C111" s="50" t="s">
        <v>1482</v>
      </c>
      <c r="D111" s="264" t="s">
        <v>1455</v>
      </c>
      <c r="E111" s="263" t="s">
        <v>1399</v>
      </c>
      <c r="F111" s="10"/>
      <c r="G111" s="10"/>
      <c r="H111" s="33"/>
      <c r="I111" s="176"/>
      <c r="J111" s="29"/>
      <c r="K111" s="24"/>
      <c r="L111" s="25"/>
      <c r="M111" s="69"/>
      <c r="N111" s="77"/>
      <c r="O111" s="73"/>
      <c r="P111" s="74"/>
      <c r="Q111" s="74"/>
      <c r="R111" s="75"/>
      <c r="S111" s="61"/>
      <c r="T111" s="60"/>
      <c r="U111" s="74"/>
      <c r="V111" s="76"/>
      <c r="W111" s="24"/>
      <c r="X111" s="25"/>
      <c r="Y111" s="77"/>
      <c r="Z111" s="106"/>
      <c r="AA111" s="73"/>
      <c r="AB111" s="88"/>
      <c r="AC111" s="116"/>
      <c r="AD111" s="74"/>
      <c r="AE111" s="76"/>
      <c r="AF111" s="24"/>
      <c r="AG111" s="25"/>
      <c r="AH111" s="77"/>
      <c r="AI111" s="77"/>
      <c r="AJ111" s="73"/>
      <c r="AK111" s="79"/>
      <c r="AL111" s="79"/>
      <c r="AM111" s="127"/>
      <c r="AN111" s="128"/>
      <c r="AO111" s="128"/>
      <c r="AP111" s="133"/>
      <c r="AQ111" s="127"/>
      <c r="AR111" s="134"/>
      <c r="AS111" s="132"/>
      <c r="AT111" s="10"/>
      <c r="AU111" s="10"/>
      <c r="AV111" s="167"/>
      <c r="AW111" s="168"/>
      <c r="AX111" s="29"/>
      <c r="AY111" s="24"/>
      <c r="AZ111" s="25"/>
      <c r="BA111" s="24"/>
      <c r="BB111" s="169"/>
      <c r="BC111" s="170"/>
      <c r="BD111" s="10">
        <v>14011</v>
      </c>
      <c r="BE111" s="10"/>
      <c r="BF111" s="10"/>
      <c r="BG111" s="10"/>
      <c r="BH111" s="10">
        <v>20000</v>
      </c>
      <c r="BI111" s="76">
        <f t="shared" si="205"/>
        <v>20000</v>
      </c>
      <c r="BJ111" s="24">
        <f t="shared" si="206"/>
        <v>5989</v>
      </c>
      <c r="BK111" s="25">
        <f t="shared" si="207"/>
        <v>0.42744986082363856</v>
      </c>
      <c r="BL111" s="309">
        <f t="shared" si="208"/>
        <v>20000</v>
      </c>
      <c r="BM111" s="293"/>
      <c r="BN111" s="293"/>
      <c r="BO111" s="293"/>
      <c r="BP111" s="293"/>
      <c r="BQ111" s="293"/>
      <c r="BR111" s="293"/>
      <c r="BS111" s="293"/>
      <c r="BT111" s="293"/>
    </row>
    <row r="112" spans="1:72" s="1" customFormat="1" ht="39.950000000000003" customHeight="1">
      <c r="A112" s="91"/>
      <c r="B112" s="358" t="s">
        <v>2304</v>
      </c>
      <c r="C112" s="50" t="s">
        <v>1483</v>
      </c>
      <c r="D112" s="264" t="s">
        <v>1456</v>
      </c>
      <c r="E112" s="262" t="s">
        <v>1457</v>
      </c>
      <c r="F112" s="10"/>
      <c r="G112" s="10"/>
      <c r="H112" s="33"/>
      <c r="I112" s="176"/>
      <c r="J112" s="29"/>
      <c r="K112" s="24"/>
      <c r="L112" s="25"/>
      <c r="M112" s="69"/>
      <c r="N112" s="77"/>
      <c r="O112" s="73"/>
      <c r="P112" s="74"/>
      <c r="Q112" s="74"/>
      <c r="R112" s="75"/>
      <c r="S112" s="61"/>
      <c r="T112" s="60"/>
      <c r="U112" s="74"/>
      <c r="V112" s="76"/>
      <c r="W112" s="24"/>
      <c r="X112" s="25"/>
      <c r="Y112" s="77"/>
      <c r="Z112" s="106"/>
      <c r="AA112" s="73"/>
      <c r="AB112" s="88"/>
      <c r="AC112" s="116"/>
      <c r="AD112" s="74"/>
      <c r="AE112" s="76"/>
      <c r="AF112" s="24"/>
      <c r="AG112" s="25"/>
      <c r="AH112" s="77"/>
      <c r="AI112" s="77"/>
      <c r="AJ112" s="73"/>
      <c r="AK112" s="79"/>
      <c r="AL112" s="79"/>
      <c r="AM112" s="127"/>
      <c r="AN112" s="128"/>
      <c r="AO112" s="128"/>
      <c r="AP112" s="133"/>
      <c r="AQ112" s="127"/>
      <c r="AR112" s="134"/>
      <c r="AS112" s="132"/>
      <c r="AT112" s="10"/>
      <c r="AU112" s="10"/>
      <c r="AV112" s="167"/>
      <c r="AW112" s="168"/>
      <c r="AX112" s="29"/>
      <c r="AY112" s="24"/>
      <c r="AZ112" s="25"/>
      <c r="BA112" s="24"/>
      <c r="BB112" s="169"/>
      <c r="BC112" s="170"/>
      <c r="BD112" s="10">
        <v>6237</v>
      </c>
      <c r="BE112" s="10">
        <v>35000</v>
      </c>
      <c r="BF112" s="10">
        <v>38000</v>
      </c>
      <c r="BG112" s="268">
        <v>38000</v>
      </c>
      <c r="BH112" s="10">
        <v>40000</v>
      </c>
      <c r="BI112" s="76">
        <f t="shared" si="205"/>
        <v>37750</v>
      </c>
      <c r="BJ112" s="24">
        <f t="shared" si="206"/>
        <v>31513</v>
      </c>
      <c r="BK112" s="25">
        <f t="shared" si="207"/>
        <v>5.0525893859227189</v>
      </c>
      <c r="BL112" s="309">
        <f t="shared" si="208"/>
        <v>37750</v>
      </c>
      <c r="BM112" s="293"/>
      <c r="BN112" s="293"/>
      <c r="BO112" s="293"/>
      <c r="BP112" s="293"/>
      <c r="BQ112" s="293"/>
      <c r="BR112" s="293"/>
      <c r="BS112" s="293"/>
      <c r="BT112" s="293"/>
    </row>
    <row r="113" spans="1:72" s="1" customFormat="1" ht="39.950000000000003" customHeight="1">
      <c r="A113" s="91"/>
      <c r="B113" s="358" t="s">
        <v>2305</v>
      </c>
      <c r="C113" s="50" t="s">
        <v>1484</v>
      </c>
      <c r="D113" s="264" t="s">
        <v>1458</v>
      </c>
      <c r="E113" s="262" t="s">
        <v>827</v>
      </c>
      <c r="F113" s="10"/>
      <c r="G113" s="10"/>
      <c r="H113" s="33"/>
      <c r="I113" s="176"/>
      <c r="J113" s="29"/>
      <c r="K113" s="24"/>
      <c r="L113" s="25"/>
      <c r="M113" s="69"/>
      <c r="N113" s="77"/>
      <c r="O113" s="73"/>
      <c r="P113" s="74"/>
      <c r="Q113" s="74"/>
      <c r="R113" s="75"/>
      <c r="S113" s="61"/>
      <c r="T113" s="60"/>
      <c r="U113" s="74"/>
      <c r="V113" s="76"/>
      <c r="W113" s="24"/>
      <c r="X113" s="25"/>
      <c r="Y113" s="77"/>
      <c r="Z113" s="106"/>
      <c r="AA113" s="73"/>
      <c r="AB113" s="88"/>
      <c r="AC113" s="116"/>
      <c r="AD113" s="74"/>
      <c r="AE113" s="76"/>
      <c r="AF113" s="24"/>
      <c r="AG113" s="25"/>
      <c r="AH113" s="77"/>
      <c r="AI113" s="77"/>
      <c r="AJ113" s="73"/>
      <c r="AK113" s="79"/>
      <c r="AL113" s="79"/>
      <c r="AM113" s="127"/>
      <c r="AN113" s="128"/>
      <c r="AO113" s="128"/>
      <c r="AP113" s="133"/>
      <c r="AQ113" s="127"/>
      <c r="AR113" s="134"/>
      <c r="AS113" s="132"/>
      <c r="AT113" s="10"/>
      <c r="AU113" s="10"/>
      <c r="AV113" s="167"/>
      <c r="AW113" s="168"/>
      <c r="AX113" s="29"/>
      <c r="AY113" s="24"/>
      <c r="AZ113" s="25"/>
      <c r="BA113" s="24"/>
      <c r="BB113" s="169"/>
      <c r="BC113" s="170"/>
      <c r="BD113" s="10">
        <v>5591</v>
      </c>
      <c r="BE113" s="10">
        <v>15000</v>
      </c>
      <c r="BF113" s="10">
        <v>18000</v>
      </c>
      <c r="BG113" s="268">
        <v>18000</v>
      </c>
      <c r="BH113" s="10">
        <v>12000</v>
      </c>
      <c r="BI113" s="76">
        <f t="shared" si="205"/>
        <v>15750</v>
      </c>
      <c r="BJ113" s="24">
        <f t="shared" si="206"/>
        <v>10159</v>
      </c>
      <c r="BK113" s="25">
        <f t="shared" si="207"/>
        <v>1.8170273654086926</v>
      </c>
      <c r="BL113" s="309">
        <f t="shared" si="208"/>
        <v>15750</v>
      </c>
      <c r="BM113" s="293"/>
      <c r="BN113" s="293"/>
      <c r="BO113" s="293"/>
      <c r="BP113" s="293"/>
      <c r="BQ113" s="293"/>
      <c r="BR113" s="293"/>
      <c r="BS113" s="293"/>
      <c r="BT113" s="293"/>
    </row>
    <row r="114" spans="1:72" s="1" customFormat="1" ht="39.950000000000003" customHeight="1">
      <c r="A114" s="91"/>
      <c r="B114" s="358" t="s">
        <v>2306</v>
      </c>
      <c r="C114" s="50" t="s">
        <v>1485</v>
      </c>
      <c r="D114" s="264" t="s">
        <v>1459</v>
      </c>
      <c r="E114" s="263" t="s">
        <v>1399</v>
      </c>
      <c r="F114" s="10"/>
      <c r="G114" s="10"/>
      <c r="H114" s="33"/>
      <c r="I114" s="176"/>
      <c r="J114" s="29"/>
      <c r="K114" s="24"/>
      <c r="L114" s="25"/>
      <c r="M114" s="69"/>
      <c r="N114" s="77"/>
      <c r="O114" s="73"/>
      <c r="P114" s="74"/>
      <c r="Q114" s="74"/>
      <c r="R114" s="75"/>
      <c r="S114" s="61"/>
      <c r="T114" s="60"/>
      <c r="U114" s="74"/>
      <c r="V114" s="76"/>
      <c r="W114" s="24"/>
      <c r="X114" s="25"/>
      <c r="Y114" s="77"/>
      <c r="Z114" s="106"/>
      <c r="AA114" s="73"/>
      <c r="AB114" s="88"/>
      <c r="AC114" s="116"/>
      <c r="AD114" s="74"/>
      <c r="AE114" s="76"/>
      <c r="AF114" s="24"/>
      <c r="AG114" s="25"/>
      <c r="AH114" s="77"/>
      <c r="AI114" s="77"/>
      <c r="AJ114" s="73"/>
      <c r="AK114" s="79"/>
      <c r="AL114" s="79"/>
      <c r="AM114" s="127"/>
      <c r="AN114" s="128"/>
      <c r="AO114" s="128"/>
      <c r="AP114" s="133"/>
      <c r="AQ114" s="127"/>
      <c r="AR114" s="134"/>
      <c r="AS114" s="132"/>
      <c r="AT114" s="10"/>
      <c r="AU114" s="10"/>
      <c r="AV114" s="167"/>
      <c r="AW114" s="168"/>
      <c r="AX114" s="29"/>
      <c r="AY114" s="24"/>
      <c r="AZ114" s="25"/>
      <c r="BA114" s="24"/>
      <c r="BB114" s="169"/>
      <c r="BC114" s="170"/>
      <c r="BD114" s="10">
        <v>10546</v>
      </c>
      <c r="BE114" s="10">
        <v>25000</v>
      </c>
      <c r="BF114" s="10">
        <v>27500</v>
      </c>
      <c r="BG114" s="268">
        <v>27500</v>
      </c>
      <c r="BH114" s="10">
        <v>30000</v>
      </c>
      <c r="BI114" s="76">
        <f t="shared" si="205"/>
        <v>27500</v>
      </c>
      <c r="BJ114" s="24">
        <f t="shared" si="206"/>
        <v>16954</v>
      </c>
      <c r="BK114" s="25">
        <f t="shared" si="207"/>
        <v>1.6076237435994689</v>
      </c>
      <c r="BL114" s="309">
        <f t="shared" si="208"/>
        <v>27500</v>
      </c>
      <c r="BM114" s="293"/>
      <c r="BN114" s="293"/>
      <c r="BO114" s="293"/>
      <c r="BP114" s="293"/>
      <c r="BQ114" s="293"/>
      <c r="BR114" s="293"/>
      <c r="BS114" s="293"/>
      <c r="BT114" s="293"/>
    </row>
    <row r="115" spans="1:72" s="1" customFormat="1" ht="39.950000000000003" customHeight="1">
      <c r="A115" s="91"/>
      <c r="B115" s="358" t="s">
        <v>2307</v>
      </c>
      <c r="C115" s="50" t="s">
        <v>1486</v>
      </c>
      <c r="D115" s="264" t="s">
        <v>1460</v>
      </c>
      <c r="E115" s="262" t="s">
        <v>999</v>
      </c>
      <c r="F115" s="10"/>
      <c r="G115" s="10"/>
      <c r="H115" s="33"/>
      <c r="I115" s="176"/>
      <c r="J115" s="29"/>
      <c r="K115" s="24"/>
      <c r="L115" s="25"/>
      <c r="M115" s="69"/>
      <c r="N115" s="77"/>
      <c r="O115" s="73"/>
      <c r="P115" s="74"/>
      <c r="Q115" s="74"/>
      <c r="R115" s="75"/>
      <c r="S115" s="61"/>
      <c r="T115" s="60"/>
      <c r="U115" s="74"/>
      <c r="V115" s="76"/>
      <c r="W115" s="24"/>
      <c r="X115" s="25"/>
      <c r="Y115" s="77"/>
      <c r="Z115" s="106"/>
      <c r="AA115" s="73"/>
      <c r="AB115" s="88"/>
      <c r="AC115" s="116"/>
      <c r="AD115" s="74"/>
      <c r="AE115" s="76"/>
      <c r="AF115" s="24"/>
      <c r="AG115" s="25"/>
      <c r="AH115" s="77"/>
      <c r="AI115" s="77"/>
      <c r="AJ115" s="73"/>
      <c r="AK115" s="79"/>
      <c r="AL115" s="79"/>
      <c r="AM115" s="127"/>
      <c r="AN115" s="128"/>
      <c r="AO115" s="128"/>
      <c r="AP115" s="133"/>
      <c r="AQ115" s="127"/>
      <c r="AR115" s="134"/>
      <c r="AS115" s="132"/>
      <c r="AT115" s="10"/>
      <c r="AU115" s="10"/>
      <c r="AV115" s="167"/>
      <c r="AW115" s="168"/>
      <c r="AX115" s="29"/>
      <c r="AY115" s="24"/>
      <c r="AZ115" s="25"/>
      <c r="BA115" s="24"/>
      <c r="BB115" s="169"/>
      <c r="BC115" s="170"/>
      <c r="BD115" s="10">
        <v>30575</v>
      </c>
      <c r="BE115" s="10">
        <v>55000</v>
      </c>
      <c r="BF115" s="10">
        <v>58000</v>
      </c>
      <c r="BG115" s="268">
        <v>57000</v>
      </c>
      <c r="BH115" s="10">
        <v>50000</v>
      </c>
      <c r="BI115" s="76">
        <f t="shared" si="205"/>
        <v>55000</v>
      </c>
      <c r="BJ115" s="24">
        <f t="shared" si="206"/>
        <v>24425</v>
      </c>
      <c r="BK115" s="25">
        <f t="shared" si="207"/>
        <v>0.7988552739165985</v>
      </c>
      <c r="BL115" s="309">
        <f t="shared" si="208"/>
        <v>55000</v>
      </c>
      <c r="BM115" s="293"/>
      <c r="BN115" s="293"/>
      <c r="BO115" s="293"/>
      <c r="BP115" s="293"/>
      <c r="BQ115" s="293"/>
      <c r="BR115" s="293"/>
      <c r="BS115" s="293"/>
      <c r="BT115" s="293"/>
    </row>
    <row r="116" spans="1:72" s="1" customFormat="1" ht="39.950000000000003" customHeight="1">
      <c r="A116" s="91"/>
      <c r="B116" s="358" t="s">
        <v>2308</v>
      </c>
      <c r="C116" s="50" t="s">
        <v>1487</v>
      </c>
      <c r="D116" s="264" t="s">
        <v>1461</v>
      </c>
      <c r="E116" s="262" t="s">
        <v>999</v>
      </c>
      <c r="F116" s="10"/>
      <c r="G116" s="10"/>
      <c r="H116" s="33"/>
      <c r="I116" s="176"/>
      <c r="J116" s="29"/>
      <c r="K116" s="24"/>
      <c r="L116" s="25"/>
      <c r="M116" s="69"/>
      <c r="N116" s="77"/>
      <c r="O116" s="73"/>
      <c r="P116" s="74"/>
      <c r="Q116" s="74"/>
      <c r="R116" s="75"/>
      <c r="S116" s="61"/>
      <c r="T116" s="60"/>
      <c r="U116" s="74"/>
      <c r="V116" s="76"/>
      <c r="W116" s="24"/>
      <c r="X116" s="25"/>
      <c r="Y116" s="77"/>
      <c r="Z116" s="106"/>
      <c r="AA116" s="73"/>
      <c r="AB116" s="88"/>
      <c r="AC116" s="116"/>
      <c r="AD116" s="74"/>
      <c r="AE116" s="76"/>
      <c r="AF116" s="24"/>
      <c r="AG116" s="25"/>
      <c r="AH116" s="77"/>
      <c r="AI116" s="77"/>
      <c r="AJ116" s="73"/>
      <c r="AK116" s="79"/>
      <c r="AL116" s="79"/>
      <c r="AM116" s="127"/>
      <c r="AN116" s="128"/>
      <c r="AO116" s="128"/>
      <c r="AP116" s="133"/>
      <c r="AQ116" s="127"/>
      <c r="AR116" s="134"/>
      <c r="AS116" s="132"/>
      <c r="AT116" s="10"/>
      <c r="AU116" s="10"/>
      <c r="AV116" s="167"/>
      <c r="AW116" s="168"/>
      <c r="AX116" s="29"/>
      <c r="AY116" s="24"/>
      <c r="AZ116" s="25"/>
      <c r="BA116" s="24"/>
      <c r="BB116" s="169"/>
      <c r="BC116" s="170"/>
      <c r="BD116" s="10">
        <v>19621</v>
      </c>
      <c r="BE116" s="10">
        <v>15000</v>
      </c>
      <c r="BF116" s="10">
        <v>18000</v>
      </c>
      <c r="BG116" s="268">
        <v>18000</v>
      </c>
      <c r="BH116" s="10">
        <v>20000</v>
      </c>
      <c r="BI116" s="76">
        <f t="shared" si="205"/>
        <v>17750</v>
      </c>
      <c r="BJ116" s="24">
        <f t="shared" si="206"/>
        <v>-1871</v>
      </c>
      <c r="BK116" s="25">
        <f t="shared" si="207"/>
        <v>-9.5357015442637985E-2</v>
      </c>
      <c r="BL116" s="309">
        <f t="shared" si="208"/>
        <v>17750</v>
      </c>
      <c r="BM116" s="293"/>
      <c r="BN116" s="293"/>
      <c r="BO116" s="293"/>
      <c r="BP116" s="293"/>
      <c r="BQ116" s="293"/>
      <c r="BR116" s="293"/>
      <c r="BS116" s="293"/>
      <c r="BT116" s="293"/>
    </row>
    <row r="117" spans="1:72" s="1" customFormat="1" ht="39.950000000000003" customHeight="1">
      <c r="A117" s="91"/>
      <c r="B117" s="358" t="s">
        <v>2309</v>
      </c>
      <c r="C117" s="50" t="s">
        <v>1488</v>
      </c>
      <c r="D117" s="264" t="s">
        <v>1462</v>
      </c>
      <c r="E117" s="262" t="s">
        <v>1457</v>
      </c>
      <c r="F117" s="10"/>
      <c r="G117" s="10"/>
      <c r="H117" s="33"/>
      <c r="I117" s="176"/>
      <c r="J117" s="29"/>
      <c r="K117" s="24"/>
      <c r="L117" s="25"/>
      <c r="M117" s="69"/>
      <c r="N117" s="77"/>
      <c r="O117" s="73"/>
      <c r="P117" s="74"/>
      <c r="Q117" s="74"/>
      <c r="R117" s="75"/>
      <c r="S117" s="61"/>
      <c r="T117" s="60"/>
      <c r="U117" s="74"/>
      <c r="V117" s="76"/>
      <c r="W117" s="24"/>
      <c r="X117" s="25"/>
      <c r="Y117" s="77"/>
      <c r="Z117" s="106"/>
      <c r="AA117" s="73"/>
      <c r="AB117" s="88"/>
      <c r="AC117" s="116"/>
      <c r="AD117" s="74"/>
      <c r="AE117" s="76"/>
      <c r="AF117" s="24"/>
      <c r="AG117" s="25"/>
      <c r="AH117" s="77"/>
      <c r="AI117" s="77"/>
      <c r="AJ117" s="73"/>
      <c r="AK117" s="79"/>
      <c r="AL117" s="79"/>
      <c r="AM117" s="127"/>
      <c r="AN117" s="128"/>
      <c r="AO117" s="128"/>
      <c r="AP117" s="133"/>
      <c r="AQ117" s="127"/>
      <c r="AR117" s="134"/>
      <c r="AS117" s="132"/>
      <c r="AT117" s="10"/>
      <c r="AU117" s="10"/>
      <c r="AV117" s="167"/>
      <c r="AW117" s="168"/>
      <c r="AX117" s="29"/>
      <c r="AY117" s="24"/>
      <c r="AZ117" s="25"/>
      <c r="BA117" s="24"/>
      <c r="BB117" s="169"/>
      <c r="BC117" s="170"/>
      <c r="BD117" s="10">
        <v>7660</v>
      </c>
      <c r="BE117" s="10">
        <v>7000</v>
      </c>
      <c r="BF117" s="10">
        <v>10000</v>
      </c>
      <c r="BG117" s="268">
        <v>9000</v>
      </c>
      <c r="BH117" s="10">
        <v>20000</v>
      </c>
      <c r="BI117" s="76">
        <f t="shared" si="205"/>
        <v>11500</v>
      </c>
      <c r="BJ117" s="24">
        <f t="shared" si="206"/>
        <v>3840</v>
      </c>
      <c r="BK117" s="25">
        <f t="shared" si="207"/>
        <v>0.50130548302872058</v>
      </c>
      <c r="BL117" s="309">
        <f t="shared" si="208"/>
        <v>11500</v>
      </c>
      <c r="BM117" s="293"/>
      <c r="BN117" s="293"/>
      <c r="BO117" s="293"/>
      <c r="BP117" s="293"/>
      <c r="BQ117" s="293"/>
      <c r="BR117" s="293"/>
      <c r="BS117" s="293"/>
      <c r="BT117" s="293"/>
    </row>
    <row r="118" spans="1:72" s="1" customFormat="1" ht="39.950000000000003" customHeight="1">
      <c r="A118" s="91"/>
      <c r="B118" s="358" t="s">
        <v>2310</v>
      </c>
      <c r="C118" s="50" t="s">
        <v>1489</v>
      </c>
      <c r="D118" s="264" t="s">
        <v>1463</v>
      </c>
      <c r="E118" s="263" t="s">
        <v>1399</v>
      </c>
      <c r="F118" s="10"/>
      <c r="G118" s="10"/>
      <c r="H118" s="33"/>
      <c r="I118" s="176"/>
      <c r="J118" s="29"/>
      <c r="K118" s="24"/>
      <c r="L118" s="25"/>
      <c r="M118" s="69"/>
      <c r="N118" s="77"/>
      <c r="O118" s="73"/>
      <c r="P118" s="74"/>
      <c r="Q118" s="74"/>
      <c r="R118" s="75"/>
      <c r="S118" s="61"/>
      <c r="T118" s="60"/>
      <c r="U118" s="74"/>
      <c r="V118" s="76"/>
      <c r="W118" s="24"/>
      <c r="X118" s="25"/>
      <c r="Y118" s="77"/>
      <c r="Z118" s="106"/>
      <c r="AA118" s="73"/>
      <c r="AB118" s="88"/>
      <c r="AC118" s="116"/>
      <c r="AD118" s="74"/>
      <c r="AE118" s="76"/>
      <c r="AF118" s="24"/>
      <c r="AG118" s="25"/>
      <c r="AH118" s="77"/>
      <c r="AI118" s="77"/>
      <c r="AJ118" s="73"/>
      <c r="AK118" s="79"/>
      <c r="AL118" s="79"/>
      <c r="AM118" s="127"/>
      <c r="AN118" s="128"/>
      <c r="AO118" s="128"/>
      <c r="AP118" s="133"/>
      <c r="AQ118" s="127"/>
      <c r="AR118" s="134"/>
      <c r="AS118" s="132"/>
      <c r="AT118" s="10"/>
      <c r="AU118" s="10"/>
      <c r="AV118" s="167"/>
      <c r="AW118" s="168"/>
      <c r="AX118" s="29"/>
      <c r="AY118" s="24"/>
      <c r="AZ118" s="25"/>
      <c r="BA118" s="24"/>
      <c r="BB118" s="169"/>
      <c r="BC118" s="170"/>
      <c r="BD118" s="10">
        <v>6274</v>
      </c>
      <c r="BE118" s="10">
        <v>65000</v>
      </c>
      <c r="BF118" s="10">
        <v>68000</v>
      </c>
      <c r="BG118" s="268">
        <v>67000</v>
      </c>
      <c r="BH118" s="10">
        <v>75000</v>
      </c>
      <c r="BI118" s="76">
        <f t="shared" si="205"/>
        <v>68750</v>
      </c>
      <c r="BJ118" s="24">
        <f t="shared" si="206"/>
        <v>62476</v>
      </c>
      <c r="BK118" s="25">
        <f t="shared" si="207"/>
        <v>9.9579215811284669</v>
      </c>
      <c r="BL118" s="309">
        <f t="shared" si="208"/>
        <v>68750</v>
      </c>
      <c r="BM118" s="293"/>
      <c r="BN118" s="293"/>
      <c r="BO118" s="293"/>
      <c r="BP118" s="293"/>
      <c r="BQ118" s="293"/>
      <c r="BR118" s="293"/>
      <c r="BS118" s="293"/>
      <c r="BT118" s="293"/>
    </row>
    <row r="119" spans="1:72" s="1" customFormat="1" ht="39.950000000000003" customHeight="1">
      <c r="A119" s="91"/>
      <c r="B119" s="358" t="s">
        <v>2311</v>
      </c>
      <c r="C119" s="50" t="s">
        <v>1490</v>
      </c>
      <c r="D119" s="264" t="s">
        <v>1464</v>
      </c>
      <c r="E119" s="263" t="s">
        <v>999</v>
      </c>
      <c r="F119" s="10"/>
      <c r="G119" s="10"/>
      <c r="H119" s="33"/>
      <c r="I119" s="176"/>
      <c r="J119" s="29"/>
      <c r="K119" s="24"/>
      <c r="L119" s="25"/>
      <c r="M119" s="69"/>
      <c r="N119" s="77"/>
      <c r="O119" s="73"/>
      <c r="P119" s="74"/>
      <c r="Q119" s="74"/>
      <c r="R119" s="75"/>
      <c r="S119" s="61"/>
      <c r="T119" s="60"/>
      <c r="U119" s="74"/>
      <c r="V119" s="76"/>
      <c r="W119" s="24"/>
      <c r="X119" s="25"/>
      <c r="Y119" s="77"/>
      <c r="Z119" s="106"/>
      <c r="AA119" s="73"/>
      <c r="AB119" s="88"/>
      <c r="AC119" s="116"/>
      <c r="AD119" s="74"/>
      <c r="AE119" s="76"/>
      <c r="AF119" s="24"/>
      <c r="AG119" s="25"/>
      <c r="AH119" s="77"/>
      <c r="AI119" s="77"/>
      <c r="AJ119" s="73"/>
      <c r="AK119" s="79"/>
      <c r="AL119" s="79"/>
      <c r="AM119" s="127"/>
      <c r="AN119" s="128"/>
      <c r="AO119" s="128"/>
      <c r="AP119" s="133"/>
      <c r="AQ119" s="127"/>
      <c r="AR119" s="134"/>
      <c r="AS119" s="132"/>
      <c r="AT119" s="10"/>
      <c r="AU119" s="10"/>
      <c r="AV119" s="167"/>
      <c r="AW119" s="168"/>
      <c r="AX119" s="29"/>
      <c r="AY119" s="24"/>
      <c r="AZ119" s="25"/>
      <c r="BA119" s="24"/>
      <c r="BB119" s="169"/>
      <c r="BC119" s="170"/>
      <c r="BD119" s="10">
        <v>45199</v>
      </c>
      <c r="BE119" s="10"/>
      <c r="BF119" s="10"/>
      <c r="BG119" s="10"/>
      <c r="BH119" s="10" t="s">
        <v>1421</v>
      </c>
      <c r="BI119" s="76" t="e">
        <f t="shared" si="205"/>
        <v>#DIV/0!</v>
      </c>
      <c r="BJ119" s="24"/>
      <c r="BK119" s="25"/>
      <c r="BL119" s="310" t="s">
        <v>807</v>
      </c>
      <c r="BM119" s="293"/>
      <c r="BN119" s="293"/>
      <c r="BO119" s="293"/>
      <c r="BP119" s="293"/>
      <c r="BQ119" s="293"/>
      <c r="BR119" s="293"/>
      <c r="BS119" s="293"/>
      <c r="BT119" s="293"/>
    </row>
    <row r="120" spans="1:72" s="1" customFormat="1" ht="51" customHeight="1">
      <c r="A120" s="91"/>
      <c r="B120" s="358" t="s">
        <v>2312</v>
      </c>
      <c r="C120" s="50" t="s">
        <v>1491</v>
      </c>
      <c r="D120" s="264" t="s">
        <v>1465</v>
      </c>
      <c r="E120" s="263" t="s">
        <v>1466</v>
      </c>
      <c r="F120" s="10"/>
      <c r="G120" s="10"/>
      <c r="H120" s="33"/>
      <c r="I120" s="176"/>
      <c r="J120" s="29"/>
      <c r="K120" s="24"/>
      <c r="L120" s="25"/>
      <c r="M120" s="69"/>
      <c r="N120" s="77"/>
      <c r="O120" s="73"/>
      <c r="P120" s="74"/>
      <c r="Q120" s="74"/>
      <c r="R120" s="75"/>
      <c r="S120" s="61"/>
      <c r="T120" s="60"/>
      <c r="U120" s="74"/>
      <c r="V120" s="76"/>
      <c r="W120" s="24"/>
      <c r="X120" s="25"/>
      <c r="Y120" s="77"/>
      <c r="Z120" s="106"/>
      <c r="AA120" s="73"/>
      <c r="AB120" s="88"/>
      <c r="AC120" s="116"/>
      <c r="AD120" s="74"/>
      <c r="AE120" s="76"/>
      <c r="AF120" s="24"/>
      <c r="AG120" s="25"/>
      <c r="AH120" s="77"/>
      <c r="AI120" s="77"/>
      <c r="AJ120" s="73"/>
      <c r="AK120" s="79"/>
      <c r="AL120" s="79"/>
      <c r="AM120" s="127"/>
      <c r="AN120" s="128"/>
      <c r="AO120" s="128"/>
      <c r="AP120" s="133"/>
      <c r="AQ120" s="127"/>
      <c r="AR120" s="134"/>
      <c r="AS120" s="132"/>
      <c r="AT120" s="10"/>
      <c r="AU120" s="10"/>
      <c r="AV120" s="167"/>
      <c r="AW120" s="168"/>
      <c r="AX120" s="29"/>
      <c r="AY120" s="24"/>
      <c r="AZ120" s="25"/>
      <c r="BA120" s="24"/>
      <c r="BB120" s="169"/>
      <c r="BC120" s="170"/>
      <c r="BD120" s="10">
        <v>153431</v>
      </c>
      <c r="BE120" s="10">
        <v>75000</v>
      </c>
      <c r="BF120" s="10"/>
      <c r="BG120" s="10">
        <v>80000</v>
      </c>
      <c r="BH120" s="10">
        <v>150000</v>
      </c>
      <c r="BI120" s="76">
        <f t="shared" si="205"/>
        <v>101666.66666666667</v>
      </c>
      <c r="BJ120" s="24">
        <f t="shared" si="206"/>
        <v>-51764.333333333328</v>
      </c>
      <c r="BK120" s="25">
        <f t="shared" si="207"/>
        <v>-0.33737858277227761</v>
      </c>
      <c r="BL120" s="309">
        <f t="shared" si="208"/>
        <v>101666.66666666667</v>
      </c>
      <c r="BM120" s="293"/>
      <c r="BN120" s="293"/>
      <c r="BO120" s="293"/>
      <c r="BP120" s="293"/>
      <c r="BQ120" s="293"/>
      <c r="BR120" s="293"/>
      <c r="BS120" s="293"/>
      <c r="BT120" s="293"/>
    </row>
    <row r="121" spans="1:72" s="1" customFormat="1" ht="39.950000000000003" customHeight="1">
      <c r="A121" s="91"/>
      <c r="B121" s="358" t="s">
        <v>2313</v>
      </c>
      <c r="C121" s="50" t="s">
        <v>1492</v>
      </c>
      <c r="D121" s="264" t="s">
        <v>1467</v>
      </c>
      <c r="E121" s="263" t="s">
        <v>827</v>
      </c>
      <c r="F121" s="10"/>
      <c r="G121" s="10"/>
      <c r="H121" s="33"/>
      <c r="I121" s="176"/>
      <c r="J121" s="29"/>
      <c r="K121" s="24"/>
      <c r="L121" s="25"/>
      <c r="M121" s="69"/>
      <c r="N121" s="77"/>
      <c r="O121" s="73"/>
      <c r="P121" s="74"/>
      <c r="Q121" s="74"/>
      <c r="R121" s="75"/>
      <c r="S121" s="61"/>
      <c r="T121" s="60"/>
      <c r="U121" s="74"/>
      <c r="V121" s="76"/>
      <c r="W121" s="24"/>
      <c r="X121" s="25"/>
      <c r="Y121" s="77"/>
      <c r="Z121" s="106"/>
      <c r="AA121" s="73"/>
      <c r="AB121" s="88"/>
      <c r="AC121" s="116"/>
      <c r="AD121" s="74"/>
      <c r="AE121" s="76"/>
      <c r="AF121" s="24"/>
      <c r="AG121" s="25"/>
      <c r="AH121" s="77"/>
      <c r="AI121" s="77"/>
      <c r="AJ121" s="73"/>
      <c r="AK121" s="79"/>
      <c r="AL121" s="79"/>
      <c r="AM121" s="127"/>
      <c r="AN121" s="128"/>
      <c r="AO121" s="128"/>
      <c r="AP121" s="133"/>
      <c r="AQ121" s="127"/>
      <c r="AR121" s="134"/>
      <c r="AS121" s="132"/>
      <c r="AT121" s="10"/>
      <c r="AU121" s="10"/>
      <c r="AV121" s="167"/>
      <c r="AW121" s="168"/>
      <c r="AX121" s="29"/>
      <c r="AY121" s="24"/>
      <c r="AZ121" s="25"/>
      <c r="BA121" s="24"/>
      <c r="BB121" s="169"/>
      <c r="BC121" s="170"/>
      <c r="BD121" s="10">
        <v>14433</v>
      </c>
      <c r="BE121" s="10">
        <v>12000</v>
      </c>
      <c r="BF121" s="10">
        <v>12000</v>
      </c>
      <c r="BG121" s="10">
        <v>13000</v>
      </c>
      <c r="BH121" s="10">
        <v>15000</v>
      </c>
      <c r="BI121" s="76">
        <f t="shared" si="205"/>
        <v>13000</v>
      </c>
      <c r="BJ121" s="24">
        <f t="shared" si="206"/>
        <v>-1433</v>
      </c>
      <c r="BK121" s="25">
        <f t="shared" si="207"/>
        <v>-9.9286357652601673E-2</v>
      </c>
      <c r="BL121" s="309">
        <f t="shared" si="208"/>
        <v>13000</v>
      </c>
      <c r="BM121" s="293"/>
      <c r="BN121" s="293"/>
      <c r="BO121" s="293"/>
      <c r="BP121" s="293"/>
      <c r="BQ121" s="293"/>
      <c r="BR121" s="293"/>
      <c r="BS121" s="293"/>
      <c r="BT121" s="293"/>
    </row>
    <row r="122" spans="1:72" s="1" customFormat="1" ht="39.950000000000003" customHeight="1">
      <c r="A122" s="91"/>
      <c r="B122" s="358" t="s">
        <v>2314</v>
      </c>
      <c r="C122" s="50" t="s">
        <v>2153</v>
      </c>
      <c r="D122" s="318" t="s">
        <v>840</v>
      </c>
      <c r="E122" s="48" t="s">
        <v>13</v>
      </c>
      <c r="F122" s="10"/>
      <c r="G122" s="10"/>
      <c r="H122" s="33"/>
      <c r="I122" s="176"/>
      <c r="J122" s="29"/>
      <c r="K122" s="24"/>
      <c r="L122" s="25"/>
      <c r="M122" s="69"/>
      <c r="N122" s="77"/>
      <c r="O122" s="73"/>
      <c r="P122" s="74"/>
      <c r="Q122" s="74"/>
      <c r="R122" s="75"/>
      <c r="S122" s="61"/>
      <c r="T122" s="60"/>
      <c r="U122" s="74"/>
      <c r="V122" s="76"/>
      <c r="W122" s="24"/>
      <c r="X122" s="25"/>
      <c r="Y122" s="77"/>
      <c r="Z122" s="106"/>
      <c r="AA122" s="73"/>
      <c r="AB122" s="88"/>
      <c r="AC122" s="116"/>
      <c r="AD122" s="74"/>
      <c r="AE122" s="76"/>
      <c r="AF122" s="24"/>
      <c r="AG122" s="25"/>
      <c r="AH122" s="77"/>
      <c r="AI122" s="77"/>
      <c r="AJ122" s="73"/>
      <c r="AK122" s="79"/>
      <c r="AL122" s="79"/>
      <c r="AM122" s="127"/>
      <c r="AN122" s="128"/>
      <c r="AO122" s="128"/>
      <c r="AP122" s="133"/>
      <c r="AQ122" s="127"/>
      <c r="AR122" s="134"/>
      <c r="AS122" s="132"/>
      <c r="AT122" s="10"/>
      <c r="AU122" s="10"/>
      <c r="AV122" s="167"/>
      <c r="AW122" s="168"/>
      <c r="AX122" s="29"/>
      <c r="AY122" s="24"/>
      <c r="AZ122" s="25"/>
      <c r="BA122" s="24"/>
      <c r="BB122" s="169"/>
      <c r="BC122" s="170"/>
      <c r="BD122" s="10"/>
      <c r="BE122" s="10"/>
      <c r="BF122" s="10"/>
      <c r="BG122" s="10"/>
      <c r="BH122" s="10"/>
      <c r="BI122" s="76"/>
      <c r="BJ122" s="24"/>
      <c r="BK122" s="25"/>
      <c r="BL122" s="259"/>
      <c r="BM122" s="319">
        <v>5734</v>
      </c>
      <c r="BN122" s="317">
        <v>7000</v>
      </c>
      <c r="BO122" s="317">
        <v>6589</v>
      </c>
      <c r="BP122" s="45">
        <v>45000</v>
      </c>
      <c r="BQ122" s="29">
        <f t="shared" ref="BQ122:BQ127" si="209">AVERAGE(BN122,BO122,BP122)</f>
        <v>19529.666666666668</v>
      </c>
      <c r="BR122" s="24">
        <f t="shared" ref="BR122:BR127" si="210">BQ122-BM122</f>
        <v>13795.666666666668</v>
      </c>
      <c r="BS122" s="25">
        <f t="shared" ref="BS122:BS127" si="211">+BR122/BM122</f>
        <v>2.4059411696314386</v>
      </c>
      <c r="BT122" s="308">
        <f t="shared" ref="BT122:BT127" si="212">BQ122</f>
        <v>19529.666666666668</v>
      </c>
    </row>
    <row r="123" spans="1:72" s="1" customFormat="1" ht="39.950000000000003" customHeight="1">
      <c r="A123" s="91"/>
      <c r="B123" s="358" t="s">
        <v>2315</v>
      </c>
      <c r="C123" s="50" t="s">
        <v>2154</v>
      </c>
      <c r="D123" s="318" t="s">
        <v>2150</v>
      </c>
      <c r="E123" s="48" t="s">
        <v>13</v>
      </c>
      <c r="F123" s="10"/>
      <c r="G123" s="10"/>
      <c r="H123" s="33"/>
      <c r="I123" s="176"/>
      <c r="J123" s="29"/>
      <c r="K123" s="24"/>
      <c r="L123" s="25"/>
      <c r="M123" s="69"/>
      <c r="N123" s="77"/>
      <c r="O123" s="73"/>
      <c r="P123" s="74"/>
      <c r="Q123" s="74"/>
      <c r="R123" s="75"/>
      <c r="S123" s="61"/>
      <c r="T123" s="60"/>
      <c r="U123" s="74"/>
      <c r="V123" s="76"/>
      <c r="W123" s="24"/>
      <c r="X123" s="25"/>
      <c r="Y123" s="77"/>
      <c r="Z123" s="106"/>
      <c r="AA123" s="73"/>
      <c r="AB123" s="88"/>
      <c r="AC123" s="116"/>
      <c r="AD123" s="74"/>
      <c r="AE123" s="76"/>
      <c r="AF123" s="24"/>
      <c r="AG123" s="25"/>
      <c r="AH123" s="77"/>
      <c r="AI123" s="77"/>
      <c r="AJ123" s="73"/>
      <c r="AK123" s="79"/>
      <c r="AL123" s="79"/>
      <c r="AM123" s="127"/>
      <c r="AN123" s="128"/>
      <c r="AO123" s="128"/>
      <c r="AP123" s="133"/>
      <c r="AQ123" s="127"/>
      <c r="AR123" s="134"/>
      <c r="AS123" s="132"/>
      <c r="AT123" s="10"/>
      <c r="AU123" s="10"/>
      <c r="AV123" s="167"/>
      <c r="AW123" s="168"/>
      <c r="AX123" s="29"/>
      <c r="AY123" s="24"/>
      <c r="AZ123" s="25"/>
      <c r="BA123" s="24"/>
      <c r="BB123" s="169"/>
      <c r="BC123" s="170"/>
      <c r="BD123" s="10"/>
      <c r="BE123" s="10"/>
      <c r="BF123" s="10"/>
      <c r="BG123" s="10"/>
      <c r="BH123" s="10"/>
      <c r="BI123" s="76"/>
      <c r="BJ123" s="24"/>
      <c r="BK123" s="25"/>
      <c r="BL123" s="259"/>
      <c r="BM123" s="10">
        <v>23617</v>
      </c>
      <c r="BN123" s="45">
        <v>19000</v>
      </c>
      <c r="BO123" s="45">
        <v>27451</v>
      </c>
      <c r="BP123" s="45">
        <v>30000</v>
      </c>
      <c r="BQ123" s="29">
        <f t="shared" si="209"/>
        <v>25483.666666666668</v>
      </c>
      <c r="BR123" s="24">
        <f t="shared" si="210"/>
        <v>1866.6666666666679</v>
      </c>
      <c r="BS123" s="25">
        <f t="shared" si="211"/>
        <v>7.9039110245444716E-2</v>
      </c>
      <c r="BT123" s="308">
        <f t="shared" si="212"/>
        <v>25483.666666666668</v>
      </c>
    </row>
    <row r="124" spans="1:72" s="1" customFormat="1" ht="39.950000000000003" customHeight="1">
      <c r="A124" s="91"/>
      <c r="B124" s="358" t="s">
        <v>2316</v>
      </c>
      <c r="C124" s="50" t="s">
        <v>2155</v>
      </c>
      <c r="D124" s="318" t="s">
        <v>841</v>
      </c>
      <c r="E124" s="48" t="s">
        <v>14</v>
      </c>
      <c r="F124" s="10"/>
      <c r="G124" s="10"/>
      <c r="H124" s="33"/>
      <c r="I124" s="176"/>
      <c r="J124" s="29"/>
      <c r="K124" s="24"/>
      <c r="L124" s="25"/>
      <c r="M124" s="69"/>
      <c r="N124" s="77"/>
      <c r="O124" s="73"/>
      <c r="P124" s="74"/>
      <c r="Q124" s="74"/>
      <c r="R124" s="75"/>
      <c r="S124" s="61"/>
      <c r="T124" s="60"/>
      <c r="U124" s="74"/>
      <c r="V124" s="76"/>
      <c r="W124" s="24"/>
      <c r="X124" s="25"/>
      <c r="Y124" s="77"/>
      <c r="Z124" s="106"/>
      <c r="AA124" s="73"/>
      <c r="AB124" s="88"/>
      <c r="AC124" s="116"/>
      <c r="AD124" s="74"/>
      <c r="AE124" s="76"/>
      <c r="AF124" s="24"/>
      <c r="AG124" s="25"/>
      <c r="AH124" s="77"/>
      <c r="AI124" s="77"/>
      <c r="AJ124" s="73"/>
      <c r="AK124" s="79"/>
      <c r="AL124" s="79"/>
      <c r="AM124" s="127"/>
      <c r="AN124" s="128"/>
      <c r="AO124" s="128"/>
      <c r="AP124" s="133"/>
      <c r="AQ124" s="127"/>
      <c r="AR124" s="134"/>
      <c r="AS124" s="132"/>
      <c r="AT124" s="10"/>
      <c r="AU124" s="10"/>
      <c r="AV124" s="167"/>
      <c r="AW124" s="168"/>
      <c r="AX124" s="29"/>
      <c r="AY124" s="24"/>
      <c r="AZ124" s="25"/>
      <c r="BA124" s="24"/>
      <c r="BB124" s="169"/>
      <c r="BC124" s="170"/>
      <c r="BD124" s="10"/>
      <c r="BE124" s="10"/>
      <c r="BF124" s="10"/>
      <c r="BG124" s="10"/>
      <c r="BH124" s="10"/>
      <c r="BI124" s="76"/>
      <c r="BJ124" s="24"/>
      <c r="BK124" s="25"/>
      <c r="BL124" s="259"/>
      <c r="BM124" s="10">
        <v>37666</v>
      </c>
      <c r="BN124" s="316">
        <v>20000</v>
      </c>
      <c r="BO124" s="45">
        <v>43788</v>
      </c>
      <c r="BP124" s="317">
        <v>40000</v>
      </c>
      <c r="BQ124" s="29">
        <f t="shared" si="209"/>
        <v>34596</v>
      </c>
      <c r="BR124" s="24">
        <f t="shared" si="210"/>
        <v>-3070</v>
      </c>
      <c r="BS124" s="25">
        <f t="shared" si="211"/>
        <v>-8.1505867360484263E-2</v>
      </c>
      <c r="BT124" s="308">
        <f t="shared" si="212"/>
        <v>34596</v>
      </c>
    </row>
    <row r="125" spans="1:72" s="1" customFormat="1" ht="39.950000000000003" customHeight="1">
      <c r="A125" s="91"/>
      <c r="B125" s="358" t="s">
        <v>2317</v>
      </c>
      <c r="C125" s="50" t="s">
        <v>2156</v>
      </c>
      <c r="D125" s="318" t="s">
        <v>2086</v>
      </c>
      <c r="E125" s="48" t="s">
        <v>15</v>
      </c>
      <c r="F125" s="10"/>
      <c r="G125" s="10"/>
      <c r="H125" s="33"/>
      <c r="I125" s="176"/>
      <c r="J125" s="29"/>
      <c r="K125" s="24"/>
      <c r="L125" s="25"/>
      <c r="M125" s="69"/>
      <c r="N125" s="77"/>
      <c r="O125" s="73"/>
      <c r="P125" s="74"/>
      <c r="Q125" s="74"/>
      <c r="R125" s="75"/>
      <c r="S125" s="61"/>
      <c r="T125" s="60"/>
      <c r="U125" s="74"/>
      <c r="V125" s="76"/>
      <c r="W125" s="24"/>
      <c r="X125" s="25"/>
      <c r="Y125" s="77"/>
      <c r="Z125" s="106"/>
      <c r="AA125" s="73"/>
      <c r="AB125" s="88"/>
      <c r="AC125" s="116"/>
      <c r="AD125" s="74"/>
      <c r="AE125" s="76"/>
      <c r="AF125" s="24"/>
      <c r="AG125" s="25"/>
      <c r="AH125" s="77"/>
      <c r="AI125" s="77"/>
      <c r="AJ125" s="73"/>
      <c r="AK125" s="79"/>
      <c r="AL125" s="79"/>
      <c r="AM125" s="127"/>
      <c r="AN125" s="128"/>
      <c r="AO125" s="128"/>
      <c r="AP125" s="133"/>
      <c r="AQ125" s="127"/>
      <c r="AR125" s="134"/>
      <c r="AS125" s="132"/>
      <c r="AT125" s="10"/>
      <c r="AU125" s="10"/>
      <c r="AV125" s="167"/>
      <c r="AW125" s="168"/>
      <c r="AX125" s="29"/>
      <c r="AY125" s="24"/>
      <c r="AZ125" s="25"/>
      <c r="BA125" s="24"/>
      <c r="BB125" s="169"/>
      <c r="BC125" s="170"/>
      <c r="BD125" s="10"/>
      <c r="BE125" s="10"/>
      <c r="BF125" s="10"/>
      <c r="BG125" s="10"/>
      <c r="BH125" s="10"/>
      <c r="BI125" s="76"/>
      <c r="BJ125" s="24"/>
      <c r="BK125" s="25"/>
      <c r="BL125" s="259"/>
      <c r="BM125" s="10">
        <v>141674</v>
      </c>
      <c r="BN125" s="45">
        <v>350000</v>
      </c>
      <c r="BO125" s="45">
        <v>164706</v>
      </c>
      <c r="BP125" s="45">
        <v>230000</v>
      </c>
      <c r="BQ125" s="29">
        <f t="shared" si="209"/>
        <v>248235.33333333334</v>
      </c>
      <c r="BR125" s="24">
        <f t="shared" si="210"/>
        <v>106561.33333333334</v>
      </c>
      <c r="BS125" s="25">
        <f t="shared" si="211"/>
        <v>0.75215871178433125</v>
      </c>
      <c r="BT125" s="308">
        <f t="shared" si="212"/>
        <v>248235.33333333334</v>
      </c>
    </row>
    <row r="126" spans="1:72" s="1" customFormat="1" ht="39.950000000000003" customHeight="1">
      <c r="A126" s="91"/>
      <c r="B126" s="358" t="s">
        <v>2318</v>
      </c>
      <c r="C126" s="50" t="s">
        <v>2157</v>
      </c>
      <c r="D126" s="318" t="s">
        <v>2151</v>
      </c>
      <c r="E126" s="48" t="s">
        <v>1466</v>
      </c>
      <c r="F126" s="10"/>
      <c r="G126" s="10"/>
      <c r="H126" s="33"/>
      <c r="I126" s="176"/>
      <c r="J126" s="29"/>
      <c r="K126" s="24"/>
      <c r="L126" s="25"/>
      <c r="M126" s="69"/>
      <c r="N126" s="77"/>
      <c r="O126" s="73"/>
      <c r="P126" s="74"/>
      <c r="Q126" s="74"/>
      <c r="R126" s="75"/>
      <c r="S126" s="61"/>
      <c r="T126" s="60"/>
      <c r="U126" s="74"/>
      <c r="V126" s="76"/>
      <c r="W126" s="24"/>
      <c r="X126" s="25"/>
      <c r="Y126" s="77"/>
      <c r="Z126" s="106"/>
      <c r="AA126" s="73"/>
      <c r="AB126" s="88"/>
      <c r="AC126" s="116"/>
      <c r="AD126" s="74"/>
      <c r="AE126" s="76"/>
      <c r="AF126" s="24"/>
      <c r="AG126" s="25"/>
      <c r="AH126" s="77"/>
      <c r="AI126" s="77"/>
      <c r="AJ126" s="73"/>
      <c r="AK126" s="79"/>
      <c r="AL126" s="79"/>
      <c r="AM126" s="127"/>
      <c r="AN126" s="128"/>
      <c r="AO126" s="128"/>
      <c r="AP126" s="133"/>
      <c r="AQ126" s="127"/>
      <c r="AR126" s="134"/>
      <c r="AS126" s="132"/>
      <c r="AT126" s="10"/>
      <c r="AU126" s="10"/>
      <c r="AV126" s="167"/>
      <c r="AW126" s="168"/>
      <c r="AX126" s="29"/>
      <c r="AY126" s="24"/>
      <c r="AZ126" s="25"/>
      <c r="BA126" s="24"/>
      <c r="BB126" s="169"/>
      <c r="BC126" s="170"/>
      <c r="BD126" s="10"/>
      <c r="BE126" s="10"/>
      <c r="BF126" s="10"/>
      <c r="BG126" s="10"/>
      <c r="BH126" s="10"/>
      <c r="BI126" s="76"/>
      <c r="BJ126" s="24"/>
      <c r="BK126" s="25"/>
      <c r="BL126" s="259"/>
      <c r="BM126" s="10">
        <v>16564</v>
      </c>
      <c r="BN126" s="45">
        <v>17000</v>
      </c>
      <c r="BO126" s="45">
        <v>17450</v>
      </c>
      <c r="BP126" s="45">
        <v>45000</v>
      </c>
      <c r="BQ126" s="29">
        <f t="shared" si="209"/>
        <v>26483.333333333332</v>
      </c>
      <c r="BR126" s="24">
        <f t="shared" si="210"/>
        <v>9919.3333333333321</v>
      </c>
      <c r="BS126" s="25">
        <f t="shared" si="211"/>
        <v>0.59884890928117196</v>
      </c>
      <c r="BT126" s="308">
        <f t="shared" si="212"/>
        <v>26483.333333333332</v>
      </c>
    </row>
    <row r="127" spans="1:72" s="1" customFormat="1" ht="39.950000000000003" customHeight="1">
      <c r="A127" s="91"/>
      <c r="B127" s="358" t="s">
        <v>2319</v>
      </c>
      <c r="C127" s="50" t="s">
        <v>2158</v>
      </c>
      <c r="D127" s="318" t="s">
        <v>2152</v>
      </c>
      <c r="E127" s="48" t="s">
        <v>1466</v>
      </c>
      <c r="F127" s="10"/>
      <c r="G127" s="10"/>
      <c r="H127" s="33"/>
      <c r="I127" s="176"/>
      <c r="J127" s="29"/>
      <c r="K127" s="24"/>
      <c r="L127" s="25"/>
      <c r="M127" s="69"/>
      <c r="N127" s="77"/>
      <c r="O127" s="73"/>
      <c r="P127" s="74"/>
      <c r="Q127" s="74"/>
      <c r="R127" s="75"/>
      <c r="S127" s="61"/>
      <c r="T127" s="60"/>
      <c r="U127" s="74"/>
      <c r="V127" s="76"/>
      <c r="W127" s="24"/>
      <c r="X127" s="25"/>
      <c r="Y127" s="77"/>
      <c r="Z127" s="106"/>
      <c r="AA127" s="73"/>
      <c r="AB127" s="88"/>
      <c r="AC127" s="116"/>
      <c r="AD127" s="74"/>
      <c r="AE127" s="76"/>
      <c r="AF127" s="24"/>
      <c r="AG127" s="25"/>
      <c r="AH127" s="77"/>
      <c r="AI127" s="77"/>
      <c r="AJ127" s="73"/>
      <c r="AK127" s="79"/>
      <c r="AL127" s="79"/>
      <c r="AM127" s="127"/>
      <c r="AN127" s="128"/>
      <c r="AO127" s="128"/>
      <c r="AP127" s="133"/>
      <c r="AQ127" s="127"/>
      <c r="AR127" s="134"/>
      <c r="AS127" s="132"/>
      <c r="AT127" s="10"/>
      <c r="AU127" s="10"/>
      <c r="AV127" s="167"/>
      <c r="AW127" s="168"/>
      <c r="AX127" s="29"/>
      <c r="AY127" s="24"/>
      <c r="AZ127" s="25"/>
      <c r="BA127" s="24"/>
      <c r="BB127" s="169"/>
      <c r="BC127" s="170"/>
      <c r="BD127" s="10"/>
      <c r="BE127" s="10"/>
      <c r="BF127" s="10"/>
      <c r="BG127" s="10"/>
      <c r="BH127" s="10"/>
      <c r="BI127" s="76"/>
      <c r="BJ127" s="24"/>
      <c r="BK127" s="25"/>
      <c r="BL127" s="259"/>
      <c r="BM127" s="10">
        <v>43836</v>
      </c>
      <c r="BN127" s="45">
        <v>8500</v>
      </c>
      <c r="BO127" s="45">
        <f>5100+1500</f>
        <v>6600</v>
      </c>
      <c r="BP127" s="45">
        <v>50000</v>
      </c>
      <c r="BQ127" s="29">
        <f t="shared" si="209"/>
        <v>21700</v>
      </c>
      <c r="BR127" s="24">
        <f t="shared" si="210"/>
        <v>-22136</v>
      </c>
      <c r="BS127" s="25">
        <f t="shared" si="211"/>
        <v>-0.50497308148553699</v>
      </c>
      <c r="BT127" s="308">
        <f t="shared" si="212"/>
        <v>21700</v>
      </c>
    </row>
    <row r="128" spans="1:72" ht="29.45" customHeight="1">
      <c r="A128" s="91" t="s">
        <v>17</v>
      </c>
      <c r="B128" s="358" t="s">
        <v>2320</v>
      </c>
      <c r="C128" s="252" t="s">
        <v>751</v>
      </c>
      <c r="D128" s="100" t="s">
        <v>17</v>
      </c>
      <c r="E128" s="47"/>
      <c r="F128" s="47"/>
      <c r="G128" s="47"/>
      <c r="H128" s="47"/>
      <c r="I128" s="47"/>
      <c r="J128" s="47"/>
      <c r="K128" s="47"/>
      <c r="L128" s="47"/>
      <c r="M128" s="91"/>
      <c r="N128" s="47"/>
      <c r="O128" s="47"/>
      <c r="P128" s="47"/>
      <c r="Q128" s="47"/>
      <c r="R128" s="47"/>
      <c r="S128" s="47"/>
      <c r="T128" s="47"/>
      <c r="U128" s="47"/>
      <c r="V128" s="47"/>
      <c r="W128" s="47"/>
      <c r="X128" s="47"/>
      <c r="Y128" s="47"/>
      <c r="Z128" s="47"/>
      <c r="AA128" s="47"/>
      <c r="AB128" s="47"/>
      <c r="AC128" s="47"/>
      <c r="AD128" s="47"/>
      <c r="AE128" s="47"/>
      <c r="AF128" s="47"/>
      <c r="AG128" s="47"/>
      <c r="AH128" s="47"/>
      <c r="AI128" s="47"/>
      <c r="AJ128" s="147"/>
      <c r="AK128" s="148"/>
      <c r="AL128" s="148"/>
      <c r="AM128" s="149"/>
      <c r="AN128" s="148"/>
      <c r="AO128" s="148"/>
      <c r="AP128" s="133"/>
      <c r="AQ128" s="127"/>
      <c r="AR128" s="134"/>
      <c r="AS128" s="132"/>
      <c r="AT128" s="173"/>
      <c r="AU128" s="173"/>
      <c r="AV128" s="174"/>
      <c r="AW128" s="175"/>
      <c r="AX128" s="29"/>
      <c r="AY128" s="24"/>
      <c r="AZ128" s="25"/>
      <c r="BA128" s="24"/>
      <c r="BB128" s="169"/>
      <c r="BC128" s="170"/>
      <c r="BD128" s="173"/>
      <c r="BE128" s="173"/>
      <c r="BF128" s="173"/>
      <c r="BG128" s="274"/>
      <c r="BH128" s="173"/>
      <c r="BI128" s="76"/>
      <c r="BJ128" s="24"/>
      <c r="BK128" s="25"/>
      <c r="BL128" s="259"/>
      <c r="BM128" s="320"/>
      <c r="BN128" s="321"/>
      <c r="BO128" s="321"/>
      <c r="BP128" s="320"/>
      <c r="BQ128" s="29"/>
      <c r="BR128" s="24"/>
      <c r="BS128" s="25"/>
      <c r="BT128" s="308"/>
    </row>
    <row r="129" spans="1:72" ht="60.6" customHeight="1">
      <c r="A129" s="91" t="s">
        <v>17</v>
      </c>
      <c r="B129" s="358" t="s">
        <v>2321</v>
      </c>
      <c r="C129" s="50" t="s">
        <v>105</v>
      </c>
      <c r="D129" s="99" t="s">
        <v>445</v>
      </c>
      <c r="E129" s="48" t="s">
        <v>13</v>
      </c>
      <c r="F129" s="10">
        <v>14117</v>
      </c>
      <c r="G129" s="38">
        <v>18360</v>
      </c>
      <c r="H129" s="31">
        <v>23868</v>
      </c>
      <c r="I129" s="36">
        <v>16048</v>
      </c>
      <c r="J129" s="29">
        <f t="shared" si="67"/>
        <v>19425.333333333332</v>
      </c>
      <c r="K129" s="24">
        <f t="shared" si="68"/>
        <v>5308.3333333333321</v>
      </c>
      <c r="L129" s="25">
        <f t="shared" si="69"/>
        <v>0.37602417888597661</v>
      </c>
      <c r="M129" s="69" t="str">
        <f t="shared" si="70"/>
        <v>REVISAR PRECIO</v>
      </c>
      <c r="N129" s="77">
        <f t="shared" si="19"/>
        <v>19425.333333333332</v>
      </c>
      <c r="O129" s="73">
        <v>9558</v>
      </c>
      <c r="P129" s="74">
        <v>16100</v>
      </c>
      <c r="Q129" s="74">
        <v>30000</v>
      </c>
      <c r="R129" s="75">
        <v>18550</v>
      </c>
      <c r="S129" s="61">
        <v>20930</v>
      </c>
      <c r="T129" s="60">
        <v>68000</v>
      </c>
      <c r="U129" s="74">
        <v>24069.499999999996</v>
      </c>
      <c r="V129" s="76">
        <f t="shared" ref="V129:V134" si="213">AVERAGE(P129,Q129,R129,S129,T129,U129)</f>
        <v>29608.25</v>
      </c>
      <c r="W129" s="24">
        <f t="shared" ref="W129:W134" si="214">V129-O129</f>
        <v>20050.25</v>
      </c>
      <c r="X129" s="25">
        <f t="shared" ref="X129:X134" si="215">+W129/O129</f>
        <v>2.0977453442142706</v>
      </c>
      <c r="Y129" s="77" t="str">
        <f t="shared" ref="Y129:Y134" si="216">+IF(X129&lt;35%,V129,"REVISAR PRECIO")</f>
        <v>REVISAR PRECIO</v>
      </c>
      <c r="Z129" s="106">
        <f t="shared" ref="Z129:Z134" si="217">V129</f>
        <v>29608.25</v>
      </c>
      <c r="AA129" s="73">
        <v>9558</v>
      </c>
      <c r="AB129" s="88">
        <v>15000</v>
      </c>
      <c r="AC129" s="116">
        <v>16500</v>
      </c>
      <c r="AD129" s="74">
        <v>15400</v>
      </c>
      <c r="AE129" s="76">
        <f t="shared" ref="AE129:AE134" si="218">AVERAGE(AB129,AC129,AD129)</f>
        <v>15633.333333333334</v>
      </c>
      <c r="AF129" s="24">
        <f t="shared" ref="AF129:AF134" si="219">AE129-AA129</f>
        <v>6075.3333333333339</v>
      </c>
      <c r="AG129" s="25">
        <f t="shared" ref="AG129:AG134" si="220">+AF129/AA129</f>
        <v>0.63562809513845298</v>
      </c>
      <c r="AH129" s="77" t="str">
        <f t="shared" ref="AH129:AH134" si="221">+IF(AG129&lt;35%,AE129,"REVISAR PRECIO")</f>
        <v>REVISAR PRECIO</v>
      </c>
      <c r="AI129" s="77">
        <f t="shared" ref="AI129:AI134" si="222">AE129</f>
        <v>15633.333333333334</v>
      </c>
      <c r="AJ129" s="73">
        <v>9558</v>
      </c>
      <c r="AK129" s="79">
        <v>18550</v>
      </c>
      <c r="AL129" s="79">
        <v>14000</v>
      </c>
      <c r="AM129" s="127">
        <v>16800</v>
      </c>
      <c r="AN129" s="128">
        <v>17000</v>
      </c>
      <c r="AO129" s="128">
        <v>15000</v>
      </c>
      <c r="AP129" s="133">
        <f t="shared" ref="AP129:AP134" si="223">AVERAGE(AK129,AL129,AM129,AN129,AO129)</f>
        <v>16270</v>
      </c>
      <c r="AQ129" s="127">
        <f t="shared" ref="AQ129:AQ134" si="224">AP129-AJ129</f>
        <v>6712</v>
      </c>
      <c r="AR129" s="134">
        <f t="shared" ref="AR129:AR134" si="225">+AQ129/AJ129</f>
        <v>0.70223896212596781</v>
      </c>
      <c r="AS129" s="132">
        <f t="shared" ref="AS129:AS134" si="226">AP129</f>
        <v>16270</v>
      </c>
      <c r="AT129" s="10">
        <v>9379</v>
      </c>
      <c r="AU129" s="10">
        <v>14000</v>
      </c>
      <c r="AV129" s="167">
        <v>28000</v>
      </c>
      <c r="AW129" s="168">
        <v>13650</v>
      </c>
      <c r="AX129" s="29">
        <f t="shared" ref="AX129:AX131" si="227">AVERAGE(AU129,AW129)</f>
        <v>13825</v>
      </c>
      <c r="AY129" s="24">
        <f t="shared" ref="AY129:AY131" si="228">AX129-AT129</f>
        <v>4446</v>
      </c>
      <c r="AZ129" s="25">
        <f t="shared" ref="AZ129:AZ131" si="229">+AY129/AT129</f>
        <v>0.47403774389593772</v>
      </c>
      <c r="BA129" s="24">
        <f t="shared" ref="BA129:BA131" si="230">AV129-AT129</f>
        <v>18621</v>
      </c>
      <c r="BB129" s="169">
        <f t="shared" ref="BB129:BB131" si="231">+BA129/AT129</f>
        <v>1.9853928990297474</v>
      </c>
      <c r="BC129" s="170">
        <f t="shared" ref="BC129:BC131" si="232">AX129</f>
        <v>13825</v>
      </c>
      <c r="BD129" s="10">
        <v>8524</v>
      </c>
      <c r="BE129" s="10">
        <v>35000</v>
      </c>
      <c r="BF129" s="10">
        <v>38000</v>
      </c>
      <c r="BG129" s="268">
        <v>38000</v>
      </c>
      <c r="BH129" s="10">
        <v>35000</v>
      </c>
      <c r="BI129" s="76">
        <f t="shared" ref="BI129:BI131" si="233">AVERAGE(BE129,BF129,BG129,BH129)</f>
        <v>36500</v>
      </c>
      <c r="BJ129" s="24">
        <f t="shared" ref="BJ129:BJ131" si="234">BI129-BD129</f>
        <v>27976</v>
      </c>
      <c r="BK129" s="25">
        <f t="shared" ref="BK129:BK131" si="235">+BJ129/BD129</f>
        <v>3.282027217268888</v>
      </c>
      <c r="BL129" s="259">
        <f t="shared" ref="BL129:BL131" si="236">BI129</f>
        <v>36500</v>
      </c>
      <c r="BM129" s="10">
        <v>9512</v>
      </c>
      <c r="BN129" s="45">
        <v>21000</v>
      </c>
      <c r="BO129" s="45">
        <v>11061</v>
      </c>
      <c r="BP129" s="45">
        <v>27000</v>
      </c>
      <c r="BQ129" s="29">
        <f t="shared" ref="BQ129:BQ131" si="237">AVERAGE(BN129,BO129,BP129)</f>
        <v>19687</v>
      </c>
      <c r="BR129" s="24">
        <f t="shared" ref="BR129:BR131" si="238">BQ129-BM129</f>
        <v>10175</v>
      </c>
      <c r="BS129" s="25">
        <f t="shared" ref="BS129:BS131" si="239">+BR129/BM129</f>
        <v>1.0697014297729184</v>
      </c>
      <c r="BT129" s="308">
        <f t="shared" ref="BT129:BT131" si="240">BQ129</f>
        <v>19687</v>
      </c>
    </row>
    <row r="130" spans="1:72" ht="60.6" customHeight="1">
      <c r="A130" s="91" t="s">
        <v>17</v>
      </c>
      <c r="B130" s="358" t="s">
        <v>2322</v>
      </c>
      <c r="C130" s="50" t="s">
        <v>106</v>
      </c>
      <c r="D130" s="99" t="s">
        <v>446</v>
      </c>
      <c r="E130" s="48" t="s">
        <v>10</v>
      </c>
      <c r="F130" s="10">
        <v>10972</v>
      </c>
      <c r="G130" s="38">
        <v>14270</v>
      </c>
      <c r="H130" s="31">
        <v>18550</v>
      </c>
      <c r="I130" s="36">
        <v>12472.6</v>
      </c>
      <c r="J130" s="29">
        <f t="shared" si="67"/>
        <v>15097.533333333333</v>
      </c>
      <c r="K130" s="24">
        <f t="shared" si="68"/>
        <v>4125.5333333333328</v>
      </c>
      <c r="L130" s="25">
        <f t="shared" si="69"/>
        <v>0.37600558998663258</v>
      </c>
      <c r="M130" s="69" t="str">
        <f t="shared" si="70"/>
        <v>REVISAR PRECIO</v>
      </c>
      <c r="N130" s="77">
        <f t="shared" si="19"/>
        <v>15097.533333333333</v>
      </c>
      <c r="O130" s="73">
        <v>7433</v>
      </c>
      <c r="P130" s="74">
        <v>7705</v>
      </c>
      <c r="Q130" s="74">
        <v>12000</v>
      </c>
      <c r="R130" s="75">
        <v>8877.5</v>
      </c>
      <c r="S130" s="61">
        <v>9430</v>
      </c>
      <c r="T130" s="60">
        <v>38000</v>
      </c>
      <c r="U130" s="74">
        <v>10844.5</v>
      </c>
      <c r="V130" s="76">
        <f t="shared" si="213"/>
        <v>14476.166666666666</v>
      </c>
      <c r="W130" s="24">
        <f t="shared" si="214"/>
        <v>7043.1666666666661</v>
      </c>
      <c r="X130" s="25">
        <f t="shared" si="215"/>
        <v>0.9475537019597291</v>
      </c>
      <c r="Y130" s="77" t="str">
        <f t="shared" si="216"/>
        <v>REVISAR PRECIO</v>
      </c>
      <c r="Z130" s="106">
        <f t="shared" si="217"/>
        <v>14476.166666666666</v>
      </c>
      <c r="AA130" s="73">
        <v>7433</v>
      </c>
      <c r="AB130" s="88">
        <v>8000</v>
      </c>
      <c r="AC130" s="116">
        <v>8000</v>
      </c>
      <c r="AD130" s="74">
        <v>7370</v>
      </c>
      <c r="AE130" s="76">
        <f t="shared" si="218"/>
        <v>7790</v>
      </c>
      <c r="AF130" s="24">
        <f t="shared" si="219"/>
        <v>357</v>
      </c>
      <c r="AG130" s="25">
        <f t="shared" si="220"/>
        <v>4.8029059599085162E-2</v>
      </c>
      <c r="AH130" s="77">
        <f t="shared" si="221"/>
        <v>7790</v>
      </c>
      <c r="AI130" s="77">
        <f t="shared" si="222"/>
        <v>7790</v>
      </c>
      <c r="AJ130" s="73">
        <v>7433</v>
      </c>
      <c r="AK130" s="79">
        <v>8877.5</v>
      </c>
      <c r="AL130" s="79">
        <v>6700</v>
      </c>
      <c r="AM130" s="127">
        <v>8040</v>
      </c>
      <c r="AN130" s="128">
        <v>8000</v>
      </c>
      <c r="AO130" s="128">
        <v>8000</v>
      </c>
      <c r="AP130" s="133">
        <f t="shared" si="223"/>
        <v>7923.5</v>
      </c>
      <c r="AQ130" s="127">
        <f t="shared" si="224"/>
        <v>490.5</v>
      </c>
      <c r="AR130" s="134">
        <f t="shared" si="225"/>
        <v>6.5989506255885913E-2</v>
      </c>
      <c r="AS130" s="132">
        <f t="shared" si="226"/>
        <v>7923.5</v>
      </c>
      <c r="AT130" s="10">
        <v>7282</v>
      </c>
      <c r="AU130" s="10">
        <v>6700</v>
      </c>
      <c r="AV130" s="167">
        <v>13400</v>
      </c>
      <c r="AW130" s="168">
        <v>6950</v>
      </c>
      <c r="AX130" s="29">
        <f t="shared" si="227"/>
        <v>6825</v>
      </c>
      <c r="AY130" s="24">
        <f t="shared" si="228"/>
        <v>-457</v>
      </c>
      <c r="AZ130" s="25">
        <f t="shared" si="229"/>
        <v>-6.2757484207635258E-2</v>
      </c>
      <c r="BA130" s="24">
        <f t="shared" si="230"/>
        <v>6118</v>
      </c>
      <c r="BB130" s="169">
        <f t="shared" si="231"/>
        <v>0.84015380390002747</v>
      </c>
      <c r="BC130" s="170">
        <f t="shared" si="232"/>
        <v>6825</v>
      </c>
      <c r="BD130" s="10">
        <v>6616</v>
      </c>
      <c r="BE130" s="10">
        <v>25000</v>
      </c>
      <c r="BF130" s="10">
        <v>28000</v>
      </c>
      <c r="BG130" s="268">
        <v>28000</v>
      </c>
      <c r="BH130" s="10">
        <v>25000</v>
      </c>
      <c r="BI130" s="76">
        <f t="shared" si="233"/>
        <v>26500</v>
      </c>
      <c r="BJ130" s="24">
        <f t="shared" si="234"/>
        <v>19884</v>
      </c>
      <c r="BK130" s="25">
        <f t="shared" si="235"/>
        <v>3.0054413542926239</v>
      </c>
      <c r="BL130" s="259">
        <f t="shared" si="236"/>
        <v>26500</v>
      </c>
      <c r="BM130" s="10">
        <v>7394</v>
      </c>
      <c r="BN130" s="45">
        <v>7000</v>
      </c>
      <c r="BO130" s="45">
        <v>8593</v>
      </c>
      <c r="BP130" s="45">
        <v>18000</v>
      </c>
      <c r="BQ130" s="29">
        <f t="shared" si="237"/>
        <v>11197.666666666666</v>
      </c>
      <c r="BR130" s="24">
        <f t="shared" si="238"/>
        <v>3803.6666666666661</v>
      </c>
      <c r="BS130" s="25">
        <f t="shared" si="239"/>
        <v>0.51442611126138305</v>
      </c>
      <c r="BT130" s="308">
        <f t="shared" si="240"/>
        <v>11197.666666666666</v>
      </c>
    </row>
    <row r="131" spans="1:72" ht="60.6" customHeight="1">
      <c r="A131" s="91" t="s">
        <v>17</v>
      </c>
      <c r="B131" s="358" t="s">
        <v>2323</v>
      </c>
      <c r="C131" s="50" t="s">
        <v>107</v>
      </c>
      <c r="D131" s="99" t="s">
        <v>447</v>
      </c>
      <c r="E131" s="48" t="s">
        <v>13</v>
      </c>
      <c r="F131" s="10">
        <v>23324</v>
      </c>
      <c r="G131" s="38">
        <v>30335</v>
      </c>
      <c r="H131" s="31">
        <v>39435</v>
      </c>
      <c r="I131" s="36">
        <v>26514.6</v>
      </c>
      <c r="J131" s="29">
        <f t="shared" si="67"/>
        <v>32094.866666666669</v>
      </c>
      <c r="K131" s="24">
        <f t="shared" si="68"/>
        <v>8770.8666666666686</v>
      </c>
      <c r="L131" s="25">
        <f t="shared" si="69"/>
        <v>0.37604470359572406</v>
      </c>
      <c r="M131" s="69" t="str">
        <f t="shared" si="70"/>
        <v>REVISAR PRECIO</v>
      </c>
      <c r="N131" s="77">
        <f t="shared" si="19"/>
        <v>32094.866666666669</v>
      </c>
      <c r="O131" s="73">
        <v>15795</v>
      </c>
      <c r="P131" s="74">
        <v>19320</v>
      </c>
      <c r="Q131" s="74">
        <v>35000</v>
      </c>
      <c r="R131" s="75">
        <v>22260</v>
      </c>
      <c r="S131" s="61">
        <v>23460</v>
      </c>
      <c r="T131" s="60">
        <v>68000</v>
      </c>
      <c r="U131" s="74">
        <v>26978.999999999996</v>
      </c>
      <c r="V131" s="76">
        <f t="shared" si="213"/>
        <v>32503.166666666668</v>
      </c>
      <c r="W131" s="24">
        <f t="shared" si="214"/>
        <v>16708.166666666668</v>
      </c>
      <c r="X131" s="25">
        <f t="shared" si="215"/>
        <v>1.0578136541099505</v>
      </c>
      <c r="Y131" s="77" t="str">
        <f t="shared" si="216"/>
        <v>REVISAR PRECIO</v>
      </c>
      <c r="Z131" s="106">
        <f t="shared" si="217"/>
        <v>32503.166666666668</v>
      </c>
      <c r="AA131" s="73">
        <v>15795</v>
      </c>
      <c r="AB131" s="88">
        <v>18000</v>
      </c>
      <c r="AC131" s="116">
        <v>18000</v>
      </c>
      <c r="AD131" s="74">
        <v>18480</v>
      </c>
      <c r="AE131" s="76">
        <f t="shared" si="218"/>
        <v>18160</v>
      </c>
      <c r="AF131" s="24">
        <f t="shared" si="219"/>
        <v>2365</v>
      </c>
      <c r="AG131" s="25">
        <f t="shared" si="220"/>
        <v>0.14973092750870529</v>
      </c>
      <c r="AH131" s="77">
        <f t="shared" si="221"/>
        <v>18160</v>
      </c>
      <c r="AI131" s="77">
        <f t="shared" si="222"/>
        <v>18160</v>
      </c>
      <c r="AJ131" s="73">
        <v>15795</v>
      </c>
      <c r="AK131" s="79">
        <v>22260</v>
      </c>
      <c r="AL131" s="79">
        <v>16800</v>
      </c>
      <c r="AM131" s="127">
        <v>20160</v>
      </c>
      <c r="AN131" s="128">
        <v>20000</v>
      </c>
      <c r="AO131" s="128">
        <v>20000</v>
      </c>
      <c r="AP131" s="133">
        <f t="shared" si="223"/>
        <v>19844</v>
      </c>
      <c r="AQ131" s="127">
        <f t="shared" si="224"/>
        <v>4049</v>
      </c>
      <c r="AR131" s="134">
        <f t="shared" si="225"/>
        <v>0.25634694523583412</v>
      </c>
      <c r="AS131" s="132">
        <f t="shared" si="226"/>
        <v>19844</v>
      </c>
      <c r="AT131" s="10">
        <v>15493</v>
      </c>
      <c r="AU131" s="10">
        <v>16800</v>
      </c>
      <c r="AV131" s="167">
        <v>33600</v>
      </c>
      <c r="AW131" s="168">
        <v>14850</v>
      </c>
      <c r="AX131" s="29">
        <f t="shared" si="227"/>
        <v>15825</v>
      </c>
      <c r="AY131" s="24">
        <f t="shared" si="228"/>
        <v>332</v>
      </c>
      <c r="AZ131" s="25">
        <f t="shared" si="229"/>
        <v>2.1429032466275092E-2</v>
      </c>
      <c r="BA131" s="24">
        <f t="shared" si="230"/>
        <v>18107</v>
      </c>
      <c r="BB131" s="169">
        <f t="shared" si="231"/>
        <v>1.1687213580326599</v>
      </c>
      <c r="BC131" s="170">
        <f t="shared" si="232"/>
        <v>15825</v>
      </c>
      <c r="BD131" s="10">
        <v>14077</v>
      </c>
      <c r="BE131" s="10">
        <v>35000</v>
      </c>
      <c r="BF131" s="10">
        <v>38000</v>
      </c>
      <c r="BG131" s="268">
        <v>38000</v>
      </c>
      <c r="BH131" s="10">
        <v>35000</v>
      </c>
      <c r="BI131" s="76">
        <f t="shared" si="233"/>
        <v>36500</v>
      </c>
      <c r="BJ131" s="24">
        <f t="shared" si="234"/>
        <v>22423</v>
      </c>
      <c r="BK131" s="25">
        <f t="shared" si="235"/>
        <v>1.5928820061092563</v>
      </c>
      <c r="BL131" s="259">
        <f t="shared" si="236"/>
        <v>36500</v>
      </c>
      <c r="BM131" s="10">
        <v>15719</v>
      </c>
      <c r="BN131" s="45">
        <v>21000</v>
      </c>
      <c r="BO131" s="45">
        <v>18273</v>
      </c>
      <c r="BP131" s="45">
        <v>27000</v>
      </c>
      <c r="BQ131" s="29">
        <f t="shared" si="237"/>
        <v>22091</v>
      </c>
      <c r="BR131" s="24">
        <f t="shared" si="238"/>
        <v>6372</v>
      </c>
      <c r="BS131" s="25">
        <f t="shared" si="239"/>
        <v>0.40536929830141866</v>
      </c>
      <c r="BT131" s="308">
        <f t="shared" si="240"/>
        <v>22091</v>
      </c>
    </row>
    <row r="132" spans="1:72" ht="47.45" customHeight="1">
      <c r="A132" s="91" t="s">
        <v>17</v>
      </c>
      <c r="B132" s="358" t="s">
        <v>2324</v>
      </c>
      <c r="C132" s="50" t="s">
        <v>108</v>
      </c>
      <c r="D132" s="99" t="s">
        <v>448</v>
      </c>
      <c r="E132" s="48" t="s">
        <v>13</v>
      </c>
      <c r="F132" s="10">
        <v>23832</v>
      </c>
      <c r="G132" s="38">
        <v>30996</v>
      </c>
      <c r="H132" s="31">
        <v>40295</v>
      </c>
      <c r="I132" s="36">
        <v>27092.799999999999</v>
      </c>
      <c r="J132" s="29">
        <f t="shared" si="67"/>
        <v>32794.6</v>
      </c>
      <c r="K132" s="24">
        <f t="shared" si="68"/>
        <v>8962.5999999999985</v>
      </c>
      <c r="L132" s="25">
        <f t="shared" si="69"/>
        <v>0.37607418596844572</v>
      </c>
      <c r="M132" s="69" t="str">
        <f t="shared" si="70"/>
        <v>REVISAR PRECIO</v>
      </c>
      <c r="N132" s="77">
        <f t="shared" si="19"/>
        <v>32794.6</v>
      </c>
      <c r="O132" s="73">
        <v>16840</v>
      </c>
      <c r="P132" s="74">
        <v>6900</v>
      </c>
      <c r="Q132" s="74">
        <v>22000</v>
      </c>
      <c r="R132" s="75">
        <v>7950</v>
      </c>
      <c r="S132" s="61">
        <v>11040</v>
      </c>
      <c r="T132" s="60">
        <v>24000</v>
      </c>
      <c r="U132" s="74">
        <v>12695.999999999998</v>
      </c>
      <c r="V132" s="76">
        <f t="shared" si="213"/>
        <v>14097.666666666666</v>
      </c>
      <c r="W132" s="24">
        <f t="shared" si="214"/>
        <v>-2742.3333333333339</v>
      </c>
      <c r="X132" s="25">
        <f t="shared" si="215"/>
        <v>-0.16284639746634999</v>
      </c>
      <c r="Y132" s="77">
        <f t="shared" si="216"/>
        <v>14097.666666666666</v>
      </c>
      <c r="Z132" s="106">
        <f t="shared" si="217"/>
        <v>14097.666666666666</v>
      </c>
      <c r="AA132" s="73">
        <v>16840</v>
      </c>
      <c r="AB132" s="88">
        <v>8300</v>
      </c>
      <c r="AC132" s="116">
        <v>9000</v>
      </c>
      <c r="AD132" s="74">
        <v>6600</v>
      </c>
      <c r="AE132" s="76">
        <f t="shared" si="218"/>
        <v>7966.666666666667</v>
      </c>
      <c r="AF132" s="24">
        <f t="shared" si="219"/>
        <v>-8873.3333333333321</v>
      </c>
      <c r="AG132" s="25">
        <f t="shared" si="220"/>
        <v>-0.5269200316706254</v>
      </c>
      <c r="AH132" s="77">
        <f t="shared" si="221"/>
        <v>7966.666666666667</v>
      </c>
      <c r="AI132" s="77">
        <f t="shared" si="222"/>
        <v>7966.666666666667</v>
      </c>
      <c r="AJ132" s="73">
        <v>16840</v>
      </c>
      <c r="AK132" s="79">
        <v>7950</v>
      </c>
      <c r="AL132" s="79">
        <v>6000</v>
      </c>
      <c r="AM132" s="127">
        <v>10200</v>
      </c>
      <c r="AN132" s="128">
        <v>6500</v>
      </c>
      <c r="AO132" s="128">
        <v>7000</v>
      </c>
      <c r="AP132" s="133">
        <f t="shared" si="223"/>
        <v>7530</v>
      </c>
      <c r="AQ132" s="127">
        <f t="shared" si="224"/>
        <v>-9310</v>
      </c>
      <c r="AR132" s="134">
        <f t="shared" si="225"/>
        <v>-0.55285035629453683</v>
      </c>
      <c r="AS132" s="132">
        <f t="shared" si="226"/>
        <v>7530</v>
      </c>
      <c r="AT132" s="250"/>
      <c r="AU132" s="250"/>
      <c r="AV132" s="250"/>
      <c r="AW132" s="250"/>
      <c r="AX132" s="250"/>
      <c r="AY132" s="250"/>
      <c r="AZ132" s="250"/>
      <c r="BA132" s="250"/>
      <c r="BB132" s="250"/>
      <c r="BC132" s="251"/>
      <c r="BD132" s="150"/>
      <c r="BE132" s="150"/>
      <c r="BF132" s="150"/>
      <c r="BG132" s="150"/>
      <c r="BH132" s="150"/>
      <c r="BI132" s="150"/>
      <c r="BJ132" s="150"/>
      <c r="BK132" s="150"/>
      <c r="BL132" s="150"/>
      <c r="BM132" s="293"/>
      <c r="BN132" s="293"/>
      <c r="BO132" s="293"/>
      <c r="BP132" s="293"/>
      <c r="BQ132" s="293"/>
      <c r="BR132" s="293"/>
      <c r="BS132" s="293"/>
      <c r="BT132" s="293"/>
    </row>
    <row r="133" spans="1:72" ht="47.45" customHeight="1">
      <c r="A133" s="91" t="s">
        <v>17</v>
      </c>
      <c r="B133" s="358" t="s">
        <v>2325</v>
      </c>
      <c r="C133" s="50" t="s">
        <v>109</v>
      </c>
      <c r="D133" s="99" t="s">
        <v>449</v>
      </c>
      <c r="E133" s="48" t="s">
        <v>13</v>
      </c>
      <c r="F133" s="10">
        <v>14740</v>
      </c>
      <c r="G133" s="38">
        <v>19170</v>
      </c>
      <c r="H133" s="31">
        <v>24921</v>
      </c>
      <c r="I133" s="37">
        <v>73820.800000000003</v>
      </c>
      <c r="J133" s="29">
        <f t="shared" si="67"/>
        <v>39303.933333333334</v>
      </c>
      <c r="K133" s="24">
        <f t="shared" si="68"/>
        <v>24563.933333333334</v>
      </c>
      <c r="L133" s="25">
        <f t="shared" si="69"/>
        <v>1.6664812302125735</v>
      </c>
      <c r="M133" s="69" t="str">
        <f t="shared" si="70"/>
        <v>REVISAR PRECIO</v>
      </c>
      <c r="N133" s="76">
        <f>AVERAGE(G133,H133,F133)</f>
        <v>19610.333333333332</v>
      </c>
      <c r="O133" s="73">
        <v>14903</v>
      </c>
      <c r="P133" s="74">
        <v>8050</v>
      </c>
      <c r="Q133" s="74">
        <v>25000</v>
      </c>
      <c r="R133" s="75">
        <v>9275</v>
      </c>
      <c r="S133" s="61">
        <v>16675</v>
      </c>
      <c r="T133" s="60">
        <v>24000</v>
      </c>
      <c r="U133" s="74">
        <v>19176.25</v>
      </c>
      <c r="V133" s="76">
        <f t="shared" si="213"/>
        <v>17029.375</v>
      </c>
      <c r="W133" s="24">
        <f t="shared" si="214"/>
        <v>2126.375</v>
      </c>
      <c r="X133" s="25">
        <f t="shared" si="215"/>
        <v>0.14268100382473328</v>
      </c>
      <c r="Y133" s="77">
        <f t="shared" si="216"/>
        <v>17029.375</v>
      </c>
      <c r="Z133" s="107">
        <f>AVERAGE(Q133,R133,S133,T133,U133)</f>
        <v>18825.25</v>
      </c>
      <c r="AA133" s="73">
        <v>14903</v>
      </c>
      <c r="AB133" s="88">
        <v>10000</v>
      </c>
      <c r="AC133" s="116">
        <v>10000</v>
      </c>
      <c r="AD133" s="74">
        <v>7700</v>
      </c>
      <c r="AE133" s="76">
        <f t="shared" si="218"/>
        <v>9233.3333333333339</v>
      </c>
      <c r="AF133" s="24">
        <f t="shared" si="219"/>
        <v>-5669.6666666666661</v>
      </c>
      <c r="AG133" s="25">
        <f t="shared" si="220"/>
        <v>-0.38043794314343865</v>
      </c>
      <c r="AH133" s="77">
        <f t="shared" si="221"/>
        <v>9233.3333333333339</v>
      </c>
      <c r="AI133" s="77">
        <f t="shared" si="222"/>
        <v>9233.3333333333339</v>
      </c>
      <c r="AJ133" s="73">
        <v>14903</v>
      </c>
      <c r="AK133" s="79">
        <v>9275</v>
      </c>
      <c r="AL133" s="79">
        <v>7000</v>
      </c>
      <c r="AM133" s="127">
        <v>11550</v>
      </c>
      <c r="AN133" s="128">
        <v>8600</v>
      </c>
      <c r="AO133" s="128">
        <v>8000</v>
      </c>
      <c r="AP133" s="133">
        <f t="shared" si="223"/>
        <v>8885</v>
      </c>
      <c r="AQ133" s="127">
        <f t="shared" si="224"/>
        <v>-6018</v>
      </c>
      <c r="AR133" s="134">
        <f t="shared" si="225"/>
        <v>-0.4038113131584245</v>
      </c>
      <c r="AS133" s="132">
        <f t="shared" si="226"/>
        <v>8885</v>
      </c>
      <c r="AT133" s="250"/>
      <c r="AU133" s="250"/>
      <c r="AV133" s="250"/>
      <c r="AW133" s="250"/>
      <c r="AX133" s="250"/>
      <c r="AY133" s="250"/>
      <c r="AZ133" s="250"/>
      <c r="BA133" s="250"/>
      <c r="BB133" s="250"/>
      <c r="BC133" s="251"/>
      <c r="BD133" s="150"/>
      <c r="BE133" s="150"/>
      <c r="BF133" s="150"/>
      <c r="BG133" s="150"/>
      <c r="BH133" s="150"/>
      <c r="BI133" s="150"/>
      <c r="BJ133" s="150"/>
      <c r="BK133" s="150"/>
      <c r="BL133" s="150"/>
      <c r="BM133" s="293"/>
      <c r="BN133" s="293"/>
      <c r="BO133" s="293"/>
      <c r="BP133" s="293"/>
      <c r="BQ133" s="293"/>
      <c r="BR133" s="293"/>
      <c r="BS133" s="293"/>
      <c r="BT133" s="293"/>
    </row>
    <row r="134" spans="1:72" ht="47.45" customHeight="1">
      <c r="A134" s="91" t="s">
        <v>17</v>
      </c>
      <c r="B134" s="358" t="s">
        <v>2326</v>
      </c>
      <c r="C134" s="50" t="s">
        <v>110</v>
      </c>
      <c r="D134" s="99" t="s">
        <v>450</v>
      </c>
      <c r="E134" s="48" t="s">
        <v>13</v>
      </c>
      <c r="F134" s="10">
        <v>29998</v>
      </c>
      <c r="G134" s="38">
        <v>39015</v>
      </c>
      <c r="H134" s="31">
        <v>50720</v>
      </c>
      <c r="I134" s="36">
        <v>34102</v>
      </c>
      <c r="J134" s="29">
        <f t="shared" si="67"/>
        <v>41279</v>
      </c>
      <c r="K134" s="24">
        <f t="shared" si="68"/>
        <v>11281</v>
      </c>
      <c r="L134" s="25">
        <f t="shared" si="69"/>
        <v>0.37605840389359291</v>
      </c>
      <c r="M134" s="69" t="str">
        <f t="shared" si="70"/>
        <v>REVISAR PRECIO</v>
      </c>
      <c r="N134" s="77">
        <f t="shared" ref="N134:N218" si="241">J134</f>
        <v>41279</v>
      </c>
      <c r="O134" s="87">
        <v>13926</v>
      </c>
      <c r="P134" s="88">
        <v>18400</v>
      </c>
      <c r="Q134" s="88">
        <v>28000</v>
      </c>
      <c r="R134" s="89">
        <v>21200</v>
      </c>
      <c r="S134" s="61">
        <v>22770</v>
      </c>
      <c r="T134" s="60">
        <v>28000</v>
      </c>
      <c r="U134" s="88">
        <v>26185.499999999996</v>
      </c>
      <c r="V134" s="86">
        <f t="shared" si="213"/>
        <v>24092.583333333332</v>
      </c>
      <c r="W134" s="24">
        <f t="shared" si="214"/>
        <v>10166.583333333332</v>
      </c>
      <c r="X134" s="64">
        <f t="shared" si="215"/>
        <v>0.73004332423763696</v>
      </c>
      <c r="Y134" s="81" t="str">
        <f t="shared" si="216"/>
        <v>REVISAR PRECIO</v>
      </c>
      <c r="Z134" s="108">
        <f t="shared" si="217"/>
        <v>24092.583333333332</v>
      </c>
      <c r="AA134" s="73">
        <v>13926</v>
      </c>
      <c r="AB134" s="88">
        <v>19000</v>
      </c>
      <c r="AC134" s="116">
        <v>19000</v>
      </c>
      <c r="AD134" s="74">
        <v>17600</v>
      </c>
      <c r="AE134" s="76">
        <f t="shared" si="218"/>
        <v>18533.333333333332</v>
      </c>
      <c r="AF134" s="24">
        <f t="shared" si="219"/>
        <v>4607.3333333333321</v>
      </c>
      <c r="AG134" s="25">
        <f t="shared" si="220"/>
        <v>0.33084398487242078</v>
      </c>
      <c r="AH134" s="77">
        <f t="shared" si="221"/>
        <v>18533.333333333332</v>
      </c>
      <c r="AI134" s="77">
        <f t="shared" si="222"/>
        <v>18533.333333333332</v>
      </c>
      <c r="AJ134" s="73">
        <v>13926</v>
      </c>
      <c r="AK134" s="79">
        <v>21200</v>
      </c>
      <c r="AL134" s="79">
        <v>16000</v>
      </c>
      <c r="AM134" s="127">
        <v>19200</v>
      </c>
      <c r="AN134" s="128">
        <v>17500</v>
      </c>
      <c r="AO134" s="128">
        <v>18000</v>
      </c>
      <c r="AP134" s="133">
        <f t="shared" si="223"/>
        <v>18380</v>
      </c>
      <c r="AQ134" s="127">
        <f t="shared" si="224"/>
        <v>4454</v>
      </c>
      <c r="AR134" s="134">
        <f t="shared" si="225"/>
        <v>0.31983340514146202</v>
      </c>
      <c r="AS134" s="132">
        <f t="shared" si="226"/>
        <v>18380</v>
      </c>
      <c r="AT134" s="250"/>
      <c r="AU134" s="250"/>
      <c r="AV134" s="250"/>
      <c r="AW134" s="250"/>
      <c r="AX134" s="250"/>
      <c r="AY134" s="250"/>
      <c r="AZ134" s="250"/>
      <c r="BA134" s="250"/>
      <c r="BB134" s="250"/>
      <c r="BC134" s="251"/>
      <c r="BD134" s="150"/>
      <c r="BE134" s="150"/>
      <c r="BF134" s="150"/>
      <c r="BG134" s="150"/>
      <c r="BH134" s="150"/>
      <c r="BI134" s="150"/>
      <c r="BJ134" s="150"/>
      <c r="BK134" s="150"/>
      <c r="BL134" s="150"/>
      <c r="BM134" s="293"/>
      <c r="BN134" s="293"/>
      <c r="BO134" s="293"/>
      <c r="BP134" s="293"/>
      <c r="BQ134" s="293"/>
      <c r="BR134" s="293"/>
      <c r="BS134" s="293"/>
      <c r="BT134" s="293"/>
    </row>
    <row r="135" spans="1:72" s="68" customFormat="1" ht="47.45" customHeight="1">
      <c r="A135" s="231" t="s">
        <v>17</v>
      </c>
      <c r="B135" s="358" t="s">
        <v>2327</v>
      </c>
      <c r="C135" s="50" t="s">
        <v>111</v>
      </c>
      <c r="D135" s="101" t="s">
        <v>451</v>
      </c>
      <c r="E135" s="65" t="s">
        <v>13</v>
      </c>
      <c r="F135" s="60">
        <v>23303</v>
      </c>
      <c r="G135" s="38">
        <v>30308</v>
      </c>
      <c r="H135" s="66">
        <v>30308</v>
      </c>
      <c r="I135" s="36">
        <v>26491</v>
      </c>
      <c r="J135" s="63">
        <f t="shared" si="67"/>
        <v>29035.666666666668</v>
      </c>
      <c r="K135" s="67">
        <f t="shared" si="68"/>
        <v>5732.6666666666679</v>
      </c>
      <c r="L135" s="64">
        <f t="shared" si="69"/>
        <v>0.24600552146361704</v>
      </c>
      <c r="M135" s="78">
        <f t="shared" si="70"/>
        <v>29035.666666666668</v>
      </c>
      <c r="N135" s="81">
        <f t="shared" si="241"/>
        <v>29035.666666666668</v>
      </c>
      <c r="O135" s="82"/>
      <c r="P135" s="83"/>
      <c r="Q135" s="83"/>
      <c r="R135" s="84"/>
      <c r="S135" s="85"/>
      <c r="T135" s="60"/>
      <c r="U135" s="83"/>
      <c r="V135" s="86"/>
      <c r="W135" s="67"/>
      <c r="X135" s="64"/>
      <c r="Y135" s="81"/>
      <c r="Z135" s="108"/>
      <c r="AA135" s="117"/>
      <c r="AB135" s="117"/>
      <c r="AC135" s="117"/>
      <c r="AD135" s="117"/>
      <c r="AE135" s="117"/>
      <c r="AF135" s="117"/>
      <c r="AG135" s="117"/>
      <c r="AH135" s="117"/>
      <c r="AI135" s="117"/>
      <c r="AJ135" s="250"/>
      <c r="AK135" s="250"/>
      <c r="AL135" s="250"/>
      <c r="AM135" s="250"/>
      <c r="AN135" s="250"/>
      <c r="AO135" s="250"/>
      <c r="AP135" s="250"/>
      <c r="AQ135" s="250"/>
      <c r="AR135" s="250"/>
      <c r="AS135" s="250"/>
      <c r="AT135" s="250"/>
      <c r="AU135" s="250"/>
      <c r="AV135" s="250"/>
      <c r="AW135" s="250"/>
      <c r="AX135" s="250"/>
      <c r="AY135" s="250"/>
      <c r="AZ135" s="250"/>
      <c r="BA135" s="250"/>
      <c r="BB135" s="250"/>
      <c r="BC135" s="251"/>
      <c r="BD135" s="150"/>
      <c r="BE135" s="150"/>
      <c r="BF135" s="150"/>
      <c r="BG135" s="150"/>
      <c r="BH135" s="150"/>
      <c r="BI135" s="150"/>
      <c r="BJ135" s="150"/>
      <c r="BK135" s="150"/>
      <c r="BL135" s="150"/>
      <c r="BM135" s="293"/>
      <c r="BN135" s="293"/>
      <c r="BO135" s="293"/>
      <c r="BP135" s="293"/>
      <c r="BQ135" s="293"/>
      <c r="BR135" s="293"/>
      <c r="BS135" s="293"/>
      <c r="BT135" s="293"/>
    </row>
    <row r="136" spans="1:72" ht="47.45" customHeight="1">
      <c r="A136" s="91" t="s">
        <v>17</v>
      </c>
      <c r="B136" s="358" t="s">
        <v>2328</v>
      </c>
      <c r="C136" s="50" t="s">
        <v>112</v>
      </c>
      <c r="D136" s="99" t="s">
        <v>452</v>
      </c>
      <c r="E136" s="48" t="s">
        <v>13</v>
      </c>
      <c r="F136" s="10">
        <v>31119</v>
      </c>
      <c r="G136" s="38">
        <v>40473</v>
      </c>
      <c r="H136" s="31">
        <v>52615</v>
      </c>
      <c r="I136" s="36">
        <v>35376.400000000001</v>
      </c>
      <c r="J136" s="29">
        <f t="shared" si="67"/>
        <v>42821.466666666667</v>
      </c>
      <c r="K136" s="24">
        <f t="shared" si="68"/>
        <v>11702.466666666667</v>
      </c>
      <c r="L136" s="25">
        <f t="shared" si="69"/>
        <v>0.37605535739151857</v>
      </c>
      <c r="M136" s="69" t="str">
        <f t="shared" si="70"/>
        <v>REVISAR PRECIO</v>
      </c>
      <c r="N136" s="77">
        <f t="shared" si="241"/>
        <v>42821.466666666667</v>
      </c>
      <c r="O136" s="87">
        <v>17570</v>
      </c>
      <c r="P136" s="88">
        <v>8625</v>
      </c>
      <c r="Q136" s="88">
        <v>22000</v>
      </c>
      <c r="R136" s="89">
        <v>9937.5</v>
      </c>
      <c r="S136" s="61">
        <v>16790</v>
      </c>
      <c r="T136" s="60">
        <v>28000</v>
      </c>
      <c r="U136" s="88">
        <v>19308.5</v>
      </c>
      <c r="V136" s="86">
        <f t="shared" ref="V136:V142" si="242">AVERAGE(P136,Q136,R136,S136,T136,U136)</f>
        <v>17443.5</v>
      </c>
      <c r="W136" s="24">
        <f t="shared" ref="W136:W142" si="243">V136-O136</f>
        <v>-126.5</v>
      </c>
      <c r="X136" s="64">
        <f t="shared" ref="X136:X142" si="244">+W136/O136</f>
        <v>-7.1997723392145706E-3</v>
      </c>
      <c r="Y136" s="81">
        <f t="shared" ref="Y136:Y142" si="245">+IF(X136&lt;35%,V136,"REVISAR PRECIO")</f>
        <v>17443.5</v>
      </c>
      <c r="Z136" s="108">
        <f t="shared" ref="Z136:Z142" si="246">V136</f>
        <v>17443.5</v>
      </c>
      <c r="AA136" s="73">
        <v>17570</v>
      </c>
      <c r="AB136" s="88">
        <v>9500</v>
      </c>
      <c r="AC136" s="116">
        <v>10000</v>
      </c>
      <c r="AD136" s="74">
        <v>8250</v>
      </c>
      <c r="AE136" s="76">
        <f t="shared" ref="AE136:AE142" si="247">AVERAGE(AB136,AC136,AD136)</f>
        <v>9250</v>
      </c>
      <c r="AF136" s="24">
        <f t="shared" ref="AF136:AF142" si="248">AE136-AA136</f>
        <v>-8320</v>
      </c>
      <c r="AG136" s="25">
        <f t="shared" ref="AG136:AG142" si="249">+AF136/AA136</f>
        <v>-0.47353443369379622</v>
      </c>
      <c r="AH136" s="77">
        <f t="shared" ref="AH136:AH142" si="250">+IF(AG136&lt;35%,AE136,"REVISAR PRECIO")</f>
        <v>9250</v>
      </c>
      <c r="AI136" s="77">
        <f t="shared" ref="AI136:AI142" si="251">AE136</f>
        <v>9250</v>
      </c>
      <c r="AJ136" s="73">
        <v>17570</v>
      </c>
      <c r="AK136" s="79">
        <v>9937.5</v>
      </c>
      <c r="AL136" s="79">
        <v>7500</v>
      </c>
      <c r="AM136" s="127">
        <v>9750</v>
      </c>
      <c r="AN136" s="128">
        <v>8200</v>
      </c>
      <c r="AO136" s="128">
        <v>8000</v>
      </c>
      <c r="AP136" s="133">
        <f t="shared" ref="AP136:AP142" si="252">AVERAGE(AK136,AL136,AM136,AN136,AO136)</f>
        <v>8677.5</v>
      </c>
      <c r="AQ136" s="127">
        <f t="shared" ref="AQ136:AQ142" si="253">AP136-AJ136</f>
        <v>-8892.5</v>
      </c>
      <c r="AR136" s="134">
        <f t="shared" ref="AR136:AR142" si="254">+AQ136/AJ136</f>
        <v>-0.50611838360842343</v>
      </c>
      <c r="AS136" s="132">
        <f t="shared" ref="AS136:AS142" si="255">AP136</f>
        <v>8677.5</v>
      </c>
      <c r="AT136" s="10">
        <v>17220</v>
      </c>
      <c r="AU136" s="10">
        <v>7500</v>
      </c>
      <c r="AV136" s="167">
        <v>30000</v>
      </c>
      <c r="AW136" s="168">
        <v>10500</v>
      </c>
      <c r="AX136" s="29">
        <f t="shared" ref="AX136:AX139" si="256">AVERAGE(AU136,AW136)</f>
        <v>9000</v>
      </c>
      <c r="AY136" s="24">
        <f t="shared" ref="AY136:AY139" si="257">AX136-AT136</f>
        <v>-8220</v>
      </c>
      <c r="AZ136" s="25">
        <f t="shared" ref="AZ136:AZ139" si="258">+AY136/AT136</f>
        <v>-0.47735191637630664</v>
      </c>
      <c r="BA136" s="24">
        <f t="shared" ref="BA136:BA139" si="259">AV136-AT136</f>
        <v>12780</v>
      </c>
      <c r="BB136" s="169">
        <f t="shared" ref="BB136:BB139" si="260">+BA136/AT136</f>
        <v>0.74216027874564461</v>
      </c>
      <c r="BC136" s="170">
        <f t="shared" ref="BC136:BC139" si="261">AX136</f>
        <v>9000</v>
      </c>
      <c r="BD136" s="150"/>
      <c r="BE136" s="150"/>
      <c r="BF136" s="150"/>
      <c r="BG136" s="150"/>
      <c r="BH136" s="150"/>
      <c r="BI136" s="150"/>
      <c r="BJ136" s="150"/>
      <c r="BK136" s="150"/>
      <c r="BL136" s="150"/>
      <c r="BM136" s="10">
        <v>17476</v>
      </c>
      <c r="BN136" s="45">
        <v>12000</v>
      </c>
      <c r="BO136" s="45">
        <v>20321</v>
      </c>
      <c r="BP136" s="45">
        <v>35000</v>
      </c>
      <c r="BQ136" s="29">
        <f t="shared" ref="BQ136:BQ141" si="262">AVERAGE(BN136,BO136,BP136)</f>
        <v>22440.333333333332</v>
      </c>
      <c r="BR136" s="24">
        <f t="shared" ref="BR136:BR141" si="263">BQ136-BM136</f>
        <v>4964.3333333333321</v>
      </c>
      <c r="BS136" s="25">
        <f t="shared" ref="BS136:BS141" si="264">+BR136/BM136</f>
        <v>0.2840657663843747</v>
      </c>
      <c r="BT136" s="308">
        <f t="shared" ref="BT136:BT141" si="265">BQ136</f>
        <v>22440.333333333332</v>
      </c>
    </row>
    <row r="137" spans="1:72" ht="50.1" customHeight="1">
      <c r="A137" s="91" t="s">
        <v>17</v>
      </c>
      <c r="B137" s="358" t="s">
        <v>2329</v>
      </c>
      <c r="C137" s="50" t="s">
        <v>113</v>
      </c>
      <c r="D137" s="99" t="s">
        <v>453</v>
      </c>
      <c r="E137" s="48" t="s">
        <v>13</v>
      </c>
      <c r="F137" s="10">
        <v>91988</v>
      </c>
      <c r="G137" s="38">
        <v>119637</v>
      </c>
      <c r="H137" s="31">
        <v>155528</v>
      </c>
      <c r="I137" s="36">
        <v>104571.6</v>
      </c>
      <c r="J137" s="29">
        <f t="shared" si="67"/>
        <v>126578.86666666665</v>
      </c>
      <c r="K137" s="24">
        <f t="shared" si="68"/>
        <v>34590.866666666654</v>
      </c>
      <c r="L137" s="25">
        <f t="shared" si="69"/>
        <v>0.37603672942847605</v>
      </c>
      <c r="M137" s="69" t="str">
        <f t="shared" si="70"/>
        <v>REVISAR PRECIO</v>
      </c>
      <c r="N137" s="77">
        <f t="shared" si="241"/>
        <v>126578.86666666665</v>
      </c>
      <c r="O137" s="73">
        <v>62317</v>
      </c>
      <c r="P137" s="74">
        <v>78200</v>
      </c>
      <c r="Q137" s="74">
        <v>85000</v>
      </c>
      <c r="R137" s="75">
        <v>90100</v>
      </c>
      <c r="S137" s="61">
        <v>86710</v>
      </c>
      <c r="T137" s="60">
        <v>32000</v>
      </c>
      <c r="U137" s="74">
        <v>99716.499999999985</v>
      </c>
      <c r="V137" s="76">
        <f t="shared" si="242"/>
        <v>78621.083333333328</v>
      </c>
      <c r="W137" s="24">
        <f t="shared" si="243"/>
        <v>16304.083333333328</v>
      </c>
      <c r="X137" s="25">
        <f t="shared" si="244"/>
        <v>0.26163139004338026</v>
      </c>
      <c r="Y137" s="77">
        <f t="shared" si="245"/>
        <v>78621.083333333328</v>
      </c>
      <c r="Z137" s="106">
        <f t="shared" si="246"/>
        <v>78621.083333333328</v>
      </c>
      <c r="AA137" s="73">
        <v>62317</v>
      </c>
      <c r="AB137" s="88">
        <v>92000</v>
      </c>
      <c r="AC137" s="116">
        <v>100000</v>
      </c>
      <c r="AD137" s="74">
        <v>74800</v>
      </c>
      <c r="AE137" s="76">
        <f t="shared" si="247"/>
        <v>88933.333333333328</v>
      </c>
      <c r="AF137" s="24">
        <f t="shared" si="248"/>
        <v>26616.333333333328</v>
      </c>
      <c r="AG137" s="25">
        <f t="shared" si="249"/>
        <v>0.42711191702638651</v>
      </c>
      <c r="AH137" s="77" t="str">
        <f t="shared" si="250"/>
        <v>REVISAR PRECIO</v>
      </c>
      <c r="AI137" s="77">
        <f t="shared" si="251"/>
        <v>88933.333333333328</v>
      </c>
      <c r="AJ137" s="73">
        <v>62317</v>
      </c>
      <c r="AK137" s="79">
        <v>90100</v>
      </c>
      <c r="AL137" s="79">
        <v>68000</v>
      </c>
      <c r="AM137" s="127">
        <v>81600</v>
      </c>
      <c r="AN137" s="128">
        <v>86000</v>
      </c>
      <c r="AO137" s="128">
        <v>70000</v>
      </c>
      <c r="AP137" s="133">
        <f t="shared" si="252"/>
        <v>79140</v>
      </c>
      <c r="AQ137" s="127">
        <f t="shared" si="253"/>
        <v>16823</v>
      </c>
      <c r="AR137" s="134">
        <f t="shared" si="254"/>
        <v>0.26995843830736393</v>
      </c>
      <c r="AS137" s="132">
        <f t="shared" si="255"/>
        <v>79140</v>
      </c>
      <c r="AT137" s="10">
        <v>61095</v>
      </c>
      <c r="AU137" s="10">
        <v>68000</v>
      </c>
      <c r="AV137" s="167">
        <v>272000</v>
      </c>
      <c r="AW137" s="168">
        <v>63856</v>
      </c>
      <c r="AX137" s="29">
        <f t="shared" si="256"/>
        <v>65928</v>
      </c>
      <c r="AY137" s="24">
        <f t="shared" si="257"/>
        <v>4833</v>
      </c>
      <c r="AZ137" s="25">
        <f t="shared" si="258"/>
        <v>7.9106309845322853E-2</v>
      </c>
      <c r="BA137" s="24">
        <f t="shared" si="259"/>
        <v>210905</v>
      </c>
      <c r="BB137" s="169">
        <f t="shared" si="260"/>
        <v>3.4520828218348472</v>
      </c>
      <c r="BC137" s="170">
        <f t="shared" si="261"/>
        <v>65928</v>
      </c>
      <c r="BD137" s="10">
        <v>55531</v>
      </c>
      <c r="BE137" s="10">
        <v>42000</v>
      </c>
      <c r="BF137" s="10">
        <v>45000</v>
      </c>
      <c r="BG137" s="268">
        <v>45000</v>
      </c>
      <c r="BH137" s="10">
        <v>42000</v>
      </c>
      <c r="BI137" s="76">
        <f t="shared" ref="BI137:BI141" si="266">AVERAGE(BE137,BF137,BG137,BH137)</f>
        <v>43500</v>
      </c>
      <c r="BJ137" s="24">
        <f t="shared" ref="BJ137:BJ141" si="267">BI137-BD137</f>
        <v>-12031</v>
      </c>
      <c r="BK137" s="25">
        <f t="shared" ref="BK137:BK141" si="268">+BJ137/BD137</f>
        <v>-0.21665376096234534</v>
      </c>
      <c r="BL137" s="259">
        <f t="shared" ref="BL137:BL141" si="269">BI137</f>
        <v>43500</v>
      </c>
      <c r="BM137" s="10">
        <v>62004</v>
      </c>
      <c r="BN137" s="45">
        <v>75000</v>
      </c>
      <c r="BO137" s="45">
        <v>72082</v>
      </c>
      <c r="BP137" s="45">
        <v>40000</v>
      </c>
      <c r="BQ137" s="29">
        <f t="shared" si="262"/>
        <v>62360.666666666664</v>
      </c>
      <c r="BR137" s="24">
        <f t="shared" si="263"/>
        <v>356.66666666666424</v>
      </c>
      <c r="BS137" s="25">
        <f t="shared" si="264"/>
        <v>5.7523170548136292E-3</v>
      </c>
      <c r="BT137" s="308">
        <f t="shared" si="265"/>
        <v>62360.666666666664</v>
      </c>
    </row>
    <row r="138" spans="1:72" s="1" customFormat="1" ht="50.1" customHeight="1">
      <c r="A138" s="91" t="s">
        <v>17</v>
      </c>
      <c r="B138" s="358" t="s">
        <v>2330</v>
      </c>
      <c r="C138" s="50" t="s">
        <v>114</v>
      </c>
      <c r="D138" s="99" t="s">
        <v>454</v>
      </c>
      <c r="E138" s="48" t="s">
        <v>10</v>
      </c>
      <c r="F138" s="10">
        <v>9435</v>
      </c>
      <c r="G138" s="38">
        <v>12272</v>
      </c>
      <c r="H138" s="31">
        <v>15953</v>
      </c>
      <c r="I138" s="36">
        <v>10726.2</v>
      </c>
      <c r="J138" s="29">
        <f t="shared" si="67"/>
        <v>12983.733333333332</v>
      </c>
      <c r="K138" s="24">
        <f t="shared" si="68"/>
        <v>3548.7333333333318</v>
      </c>
      <c r="L138" s="25">
        <f t="shared" si="69"/>
        <v>0.37612435965377128</v>
      </c>
      <c r="M138" s="69" t="str">
        <f t="shared" si="70"/>
        <v>REVISAR PRECIO</v>
      </c>
      <c r="N138" s="77">
        <f t="shared" si="241"/>
        <v>12983.733333333332</v>
      </c>
      <c r="O138" s="73">
        <v>6388</v>
      </c>
      <c r="P138" s="74">
        <v>5520</v>
      </c>
      <c r="Q138" s="74">
        <v>9000</v>
      </c>
      <c r="R138" s="75">
        <v>6360</v>
      </c>
      <c r="S138" s="61">
        <v>10235</v>
      </c>
      <c r="T138" s="60">
        <v>21000</v>
      </c>
      <c r="U138" s="74">
        <v>11770.25</v>
      </c>
      <c r="V138" s="76">
        <f t="shared" si="242"/>
        <v>10647.541666666666</v>
      </c>
      <c r="W138" s="24">
        <f t="shared" si="243"/>
        <v>4259.5416666666661</v>
      </c>
      <c r="X138" s="25">
        <f t="shared" si="244"/>
        <v>0.66680364224587763</v>
      </c>
      <c r="Y138" s="77" t="str">
        <f t="shared" si="245"/>
        <v>REVISAR PRECIO</v>
      </c>
      <c r="Z138" s="106">
        <f t="shared" si="246"/>
        <v>10647.541666666666</v>
      </c>
      <c r="AA138" s="73">
        <v>6388</v>
      </c>
      <c r="AB138" s="88">
        <v>6000</v>
      </c>
      <c r="AC138" s="116">
        <v>9000</v>
      </c>
      <c r="AD138" s="74">
        <v>5280</v>
      </c>
      <c r="AE138" s="76">
        <f t="shared" si="247"/>
        <v>6760</v>
      </c>
      <c r="AF138" s="24">
        <f t="shared" si="248"/>
        <v>372</v>
      </c>
      <c r="AG138" s="25">
        <f t="shared" si="249"/>
        <v>5.8234189104571073E-2</v>
      </c>
      <c r="AH138" s="77">
        <f t="shared" si="250"/>
        <v>6760</v>
      </c>
      <c r="AI138" s="77">
        <f t="shared" si="251"/>
        <v>6760</v>
      </c>
      <c r="AJ138" s="73">
        <v>6388</v>
      </c>
      <c r="AK138" s="79">
        <v>6360</v>
      </c>
      <c r="AL138" s="79">
        <v>4800</v>
      </c>
      <c r="AM138" s="127">
        <v>6720</v>
      </c>
      <c r="AN138" s="128">
        <v>6000</v>
      </c>
      <c r="AO138" s="128">
        <v>5000</v>
      </c>
      <c r="AP138" s="133">
        <f t="shared" si="252"/>
        <v>5776</v>
      </c>
      <c r="AQ138" s="127">
        <f t="shared" si="253"/>
        <v>-612</v>
      </c>
      <c r="AR138" s="134">
        <f t="shared" si="254"/>
        <v>-9.5804633688165317E-2</v>
      </c>
      <c r="AS138" s="132">
        <f t="shared" si="255"/>
        <v>5776</v>
      </c>
      <c r="AT138" s="10">
        <v>6266</v>
      </c>
      <c r="AU138" s="10">
        <v>4800</v>
      </c>
      <c r="AV138" s="167">
        <v>19200</v>
      </c>
      <c r="AW138" s="168">
        <v>4200</v>
      </c>
      <c r="AX138" s="29">
        <f t="shared" si="256"/>
        <v>4500</v>
      </c>
      <c r="AY138" s="24">
        <f t="shared" si="257"/>
        <v>-1766</v>
      </c>
      <c r="AZ138" s="25">
        <f t="shared" si="258"/>
        <v>-0.28183849345675072</v>
      </c>
      <c r="BA138" s="24">
        <f t="shared" si="259"/>
        <v>12934</v>
      </c>
      <c r="BB138" s="169">
        <f t="shared" si="260"/>
        <v>2.0641557612511972</v>
      </c>
      <c r="BC138" s="170">
        <f t="shared" si="261"/>
        <v>4500</v>
      </c>
      <c r="BD138" s="10">
        <v>5695</v>
      </c>
      <c r="BE138" s="10">
        <v>35000</v>
      </c>
      <c r="BF138" s="10">
        <v>38000</v>
      </c>
      <c r="BG138" s="268">
        <v>38000</v>
      </c>
      <c r="BH138" s="10">
        <v>35000</v>
      </c>
      <c r="BI138" s="76">
        <f t="shared" si="266"/>
        <v>36500</v>
      </c>
      <c r="BJ138" s="24">
        <f t="shared" si="267"/>
        <v>30805</v>
      </c>
      <c r="BK138" s="25">
        <f t="shared" si="268"/>
        <v>5.4091308165057068</v>
      </c>
      <c r="BL138" s="259">
        <f t="shared" si="269"/>
        <v>36500</v>
      </c>
      <c r="BM138" s="10">
        <v>6360</v>
      </c>
      <c r="BN138" s="45">
        <v>9000</v>
      </c>
      <c r="BO138" s="45">
        <v>7390</v>
      </c>
      <c r="BP138" s="45">
        <v>43000</v>
      </c>
      <c r="BQ138" s="29">
        <f t="shared" si="262"/>
        <v>19796.666666666668</v>
      </c>
      <c r="BR138" s="24">
        <f t="shared" si="263"/>
        <v>13436.666666666668</v>
      </c>
      <c r="BS138" s="25">
        <f t="shared" si="264"/>
        <v>2.1126834381551363</v>
      </c>
      <c r="BT138" s="308">
        <f t="shared" si="265"/>
        <v>19796.666666666668</v>
      </c>
    </row>
    <row r="139" spans="1:72" ht="57.95" customHeight="1">
      <c r="A139" s="91" t="s">
        <v>17</v>
      </c>
      <c r="B139" s="358" t="s">
        <v>2331</v>
      </c>
      <c r="C139" s="50" t="s">
        <v>115</v>
      </c>
      <c r="D139" s="99" t="s">
        <v>455</v>
      </c>
      <c r="E139" s="48" t="s">
        <v>13</v>
      </c>
      <c r="F139" s="10">
        <v>61803</v>
      </c>
      <c r="G139" s="38">
        <v>80379</v>
      </c>
      <c r="H139" s="31">
        <v>104493</v>
      </c>
      <c r="I139" s="36">
        <v>70257.2</v>
      </c>
      <c r="J139" s="29">
        <f t="shared" si="67"/>
        <v>85043.066666666666</v>
      </c>
      <c r="K139" s="24">
        <f t="shared" si="68"/>
        <v>23240.066666666666</v>
      </c>
      <c r="L139" s="25">
        <f t="shared" si="69"/>
        <v>0.37603460457690835</v>
      </c>
      <c r="M139" s="69" t="str">
        <f t="shared" si="70"/>
        <v>REVISAR PRECIO</v>
      </c>
      <c r="N139" s="77">
        <f t="shared" si="241"/>
        <v>85043.066666666666</v>
      </c>
      <c r="O139" s="73">
        <v>41871</v>
      </c>
      <c r="P139" s="74">
        <v>8832</v>
      </c>
      <c r="Q139" s="74">
        <v>23000</v>
      </c>
      <c r="R139" s="75">
        <v>10176</v>
      </c>
      <c r="S139" s="61">
        <v>14144.999999999998</v>
      </c>
      <c r="T139" s="60">
        <v>42000</v>
      </c>
      <c r="U139" s="74">
        <v>16266.749999999996</v>
      </c>
      <c r="V139" s="76">
        <f t="shared" si="242"/>
        <v>19069.958333333332</v>
      </c>
      <c r="W139" s="24">
        <f t="shared" si="243"/>
        <v>-22801.041666666668</v>
      </c>
      <c r="X139" s="25">
        <f t="shared" si="244"/>
        <v>-0.54455450470890754</v>
      </c>
      <c r="Y139" s="77">
        <f t="shared" si="245"/>
        <v>19069.958333333332</v>
      </c>
      <c r="Z139" s="106">
        <f t="shared" si="246"/>
        <v>19069.958333333332</v>
      </c>
      <c r="AA139" s="73">
        <v>41871</v>
      </c>
      <c r="AB139" s="88">
        <v>9000</v>
      </c>
      <c r="AC139" s="116">
        <v>9000</v>
      </c>
      <c r="AD139" s="74">
        <v>8448</v>
      </c>
      <c r="AE139" s="76">
        <f t="shared" si="247"/>
        <v>8816</v>
      </c>
      <c r="AF139" s="24">
        <f t="shared" si="248"/>
        <v>-33055</v>
      </c>
      <c r="AG139" s="25">
        <f t="shared" si="249"/>
        <v>-0.78944854433856371</v>
      </c>
      <c r="AH139" s="77">
        <f t="shared" si="250"/>
        <v>8816</v>
      </c>
      <c r="AI139" s="77">
        <f t="shared" si="251"/>
        <v>8816</v>
      </c>
      <c r="AJ139" s="73">
        <v>41871</v>
      </c>
      <c r="AK139" s="79">
        <v>10176</v>
      </c>
      <c r="AL139" s="79">
        <f>+AL138*1.6</f>
        <v>7680</v>
      </c>
      <c r="AM139" s="127">
        <v>13056</v>
      </c>
      <c r="AN139" s="128">
        <v>8000</v>
      </c>
      <c r="AO139" s="128">
        <v>9000</v>
      </c>
      <c r="AP139" s="133">
        <f t="shared" si="252"/>
        <v>9582.4</v>
      </c>
      <c r="AQ139" s="127">
        <f t="shared" si="253"/>
        <v>-32288.6</v>
      </c>
      <c r="AR139" s="134">
        <f t="shared" si="254"/>
        <v>-0.77114470636001042</v>
      </c>
      <c r="AS139" s="132">
        <f t="shared" si="255"/>
        <v>9582.4</v>
      </c>
      <c r="AT139" s="10">
        <v>41046</v>
      </c>
      <c r="AU139" s="10">
        <v>7680</v>
      </c>
      <c r="AV139" s="167">
        <v>38400</v>
      </c>
      <c r="AW139" s="168">
        <v>10500</v>
      </c>
      <c r="AX139" s="29">
        <f t="shared" si="256"/>
        <v>9090</v>
      </c>
      <c r="AY139" s="24">
        <f t="shared" si="257"/>
        <v>-31956</v>
      </c>
      <c r="AZ139" s="25">
        <f t="shared" si="258"/>
        <v>-0.77854114895483117</v>
      </c>
      <c r="BA139" s="24">
        <f t="shared" si="259"/>
        <v>-2646</v>
      </c>
      <c r="BB139" s="169">
        <f t="shared" si="260"/>
        <v>-6.4464259611167959E-2</v>
      </c>
      <c r="BC139" s="170">
        <f t="shared" si="261"/>
        <v>9090</v>
      </c>
      <c r="BD139" s="10">
        <v>37305</v>
      </c>
      <c r="BE139" s="10">
        <v>45000</v>
      </c>
      <c r="BF139" s="10">
        <v>48000</v>
      </c>
      <c r="BG139" s="268">
        <v>48000</v>
      </c>
      <c r="BH139" s="10">
        <v>45000</v>
      </c>
      <c r="BI139" s="76">
        <f t="shared" si="266"/>
        <v>46500</v>
      </c>
      <c r="BJ139" s="24">
        <f t="shared" si="267"/>
        <v>9195</v>
      </c>
      <c r="BK139" s="25">
        <f t="shared" si="268"/>
        <v>0.24648170486529955</v>
      </c>
      <c r="BL139" s="259">
        <f t="shared" si="269"/>
        <v>46500</v>
      </c>
      <c r="BM139" s="10">
        <v>41662</v>
      </c>
      <c r="BN139" s="45">
        <v>19000</v>
      </c>
      <c r="BO139" s="45">
        <v>48430</v>
      </c>
      <c r="BP139" s="45">
        <v>40000</v>
      </c>
      <c r="BQ139" s="29">
        <f t="shared" si="262"/>
        <v>35810</v>
      </c>
      <c r="BR139" s="24">
        <f t="shared" si="263"/>
        <v>-5852</v>
      </c>
      <c r="BS139" s="25">
        <f t="shared" si="264"/>
        <v>-0.14046373193797707</v>
      </c>
      <c r="BT139" s="308">
        <f t="shared" si="265"/>
        <v>35810</v>
      </c>
    </row>
    <row r="140" spans="1:72" ht="19.350000000000001" customHeight="1">
      <c r="A140" s="91" t="s">
        <v>17</v>
      </c>
      <c r="B140" s="358" t="s">
        <v>2332</v>
      </c>
      <c r="C140" s="50" t="s">
        <v>116</v>
      </c>
      <c r="D140" s="99" t="s">
        <v>456</v>
      </c>
      <c r="E140" s="48" t="s">
        <v>13</v>
      </c>
      <c r="F140" s="10">
        <v>26863</v>
      </c>
      <c r="G140" s="39">
        <v>34938</v>
      </c>
      <c r="H140" s="31">
        <v>45419</v>
      </c>
      <c r="I140" s="36">
        <v>30538.400000000001</v>
      </c>
      <c r="J140" s="29">
        <f t="shared" ref="J140:J255" si="270">AVERAGE(G140,H140,I140)</f>
        <v>36965.133333333331</v>
      </c>
      <c r="K140" s="24">
        <f t="shared" ref="K140:K255" si="271">J140-F140</f>
        <v>10102.133333333331</v>
      </c>
      <c r="L140" s="25">
        <f t="shared" ref="L140:L255" si="272">+K140/F140</f>
        <v>0.37606124905384103</v>
      </c>
      <c r="M140" s="69" t="str">
        <f t="shared" ref="M140:M255" si="273">+IF(L140&lt;35%,J140,"REVISAR PRECIO")</f>
        <v>REVISAR PRECIO</v>
      </c>
      <c r="N140" s="77">
        <f t="shared" si="241"/>
        <v>36965.133333333331</v>
      </c>
      <c r="O140" s="73">
        <v>18197</v>
      </c>
      <c r="P140" s="74">
        <v>97750</v>
      </c>
      <c r="Q140" s="74">
        <v>98000</v>
      </c>
      <c r="R140" s="75">
        <v>112625</v>
      </c>
      <c r="S140" s="61">
        <v>126499.99999999999</v>
      </c>
      <c r="T140" s="60">
        <v>42000</v>
      </c>
      <c r="U140" s="74">
        <v>145474.99999999997</v>
      </c>
      <c r="V140" s="76">
        <f t="shared" si="242"/>
        <v>103725</v>
      </c>
      <c r="W140" s="24">
        <f t="shared" si="243"/>
        <v>85528</v>
      </c>
      <c r="X140" s="25">
        <f t="shared" si="244"/>
        <v>4.7001154036379624</v>
      </c>
      <c r="Y140" s="77" t="str">
        <f t="shared" si="245"/>
        <v>REVISAR PRECIO</v>
      </c>
      <c r="Z140" s="106">
        <f t="shared" si="246"/>
        <v>103725</v>
      </c>
      <c r="AA140" s="73">
        <v>18197</v>
      </c>
      <c r="AB140" s="88">
        <v>100000</v>
      </c>
      <c r="AC140" s="116">
        <v>117000</v>
      </c>
      <c r="AD140" s="74">
        <v>93500</v>
      </c>
      <c r="AE140" s="76">
        <f t="shared" si="247"/>
        <v>103500</v>
      </c>
      <c r="AF140" s="24">
        <f t="shared" si="248"/>
        <v>85303</v>
      </c>
      <c r="AG140" s="25">
        <f t="shared" si="249"/>
        <v>4.6877507281420012</v>
      </c>
      <c r="AH140" s="77" t="str">
        <f t="shared" si="250"/>
        <v>REVISAR PRECIO</v>
      </c>
      <c r="AI140" s="77">
        <f t="shared" si="251"/>
        <v>103500</v>
      </c>
      <c r="AJ140" s="73">
        <v>18197</v>
      </c>
      <c r="AK140" s="79">
        <v>112625</v>
      </c>
      <c r="AL140" s="79">
        <v>85000</v>
      </c>
      <c r="AM140" s="127">
        <v>102000</v>
      </c>
      <c r="AN140" s="128">
        <v>89800</v>
      </c>
      <c r="AO140" s="128">
        <v>90000</v>
      </c>
      <c r="AP140" s="133">
        <f t="shared" si="252"/>
        <v>95885</v>
      </c>
      <c r="AQ140" s="127">
        <f t="shared" si="253"/>
        <v>77688</v>
      </c>
      <c r="AR140" s="134">
        <f t="shared" si="254"/>
        <v>4.2692751552453698</v>
      </c>
      <c r="AS140" s="132">
        <f t="shared" si="255"/>
        <v>95885</v>
      </c>
      <c r="AT140" s="250"/>
      <c r="AU140" s="250"/>
      <c r="AV140" s="250"/>
      <c r="AW140" s="250"/>
      <c r="AX140" s="250"/>
      <c r="AY140" s="250"/>
      <c r="AZ140" s="250"/>
      <c r="BA140" s="250"/>
      <c r="BB140" s="250"/>
      <c r="BC140" s="251"/>
      <c r="BD140" s="10">
        <v>16374</v>
      </c>
      <c r="BE140" s="10">
        <v>45000</v>
      </c>
      <c r="BF140" s="10">
        <v>48000</v>
      </c>
      <c r="BG140" s="268">
        <v>48000</v>
      </c>
      <c r="BH140" s="10">
        <v>45000</v>
      </c>
      <c r="BI140" s="76">
        <f t="shared" si="266"/>
        <v>46500</v>
      </c>
      <c r="BJ140" s="24">
        <f t="shared" si="267"/>
        <v>30126</v>
      </c>
      <c r="BK140" s="25">
        <f t="shared" si="268"/>
        <v>1.8398680835470869</v>
      </c>
      <c r="BL140" s="259">
        <f t="shared" si="269"/>
        <v>46500</v>
      </c>
      <c r="BM140" s="10">
        <v>18197</v>
      </c>
      <c r="BN140" s="45">
        <v>90000</v>
      </c>
      <c r="BO140" s="45">
        <v>21467</v>
      </c>
      <c r="BP140" s="45">
        <v>23000</v>
      </c>
      <c r="BQ140" s="29">
        <f t="shared" si="262"/>
        <v>44822.333333333336</v>
      </c>
      <c r="BR140" s="24">
        <f t="shared" si="263"/>
        <v>26625.333333333336</v>
      </c>
      <c r="BS140" s="25">
        <f t="shared" si="264"/>
        <v>1.4631715850598086</v>
      </c>
      <c r="BT140" s="308">
        <f t="shared" si="265"/>
        <v>44822.333333333336</v>
      </c>
    </row>
    <row r="141" spans="1:72" ht="19.350000000000001" customHeight="1">
      <c r="A141" s="91" t="s">
        <v>17</v>
      </c>
      <c r="B141" s="358" t="s">
        <v>2333</v>
      </c>
      <c r="C141" s="50" t="s">
        <v>117</v>
      </c>
      <c r="D141" s="99" t="s">
        <v>1493</v>
      </c>
      <c r="E141" s="48" t="s">
        <v>13</v>
      </c>
      <c r="F141" s="10">
        <v>9861</v>
      </c>
      <c r="G141" s="39">
        <v>12825</v>
      </c>
      <c r="H141" s="31">
        <v>16673</v>
      </c>
      <c r="I141" s="36">
        <v>11210</v>
      </c>
      <c r="J141" s="29">
        <f t="shared" si="270"/>
        <v>13569.333333333334</v>
      </c>
      <c r="K141" s="24">
        <f t="shared" si="271"/>
        <v>3708.3333333333339</v>
      </c>
      <c r="L141" s="25">
        <f t="shared" si="272"/>
        <v>0.37606057533042631</v>
      </c>
      <c r="M141" s="69" t="str">
        <f t="shared" si="273"/>
        <v>REVISAR PRECIO</v>
      </c>
      <c r="N141" s="77">
        <f t="shared" si="241"/>
        <v>13569.333333333334</v>
      </c>
      <c r="O141" s="73">
        <v>6683</v>
      </c>
      <c r="P141" s="74">
        <v>20700</v>
      </c>
      <c r="Q141" s="74">
        <v>25000</v>
      </c>
      <c r="R141" s="75">
        <v>23850</v>
      </c>
      <c r="S141" s="61">
        <v>20700</v>
      </c>
      <c r="T141" s="60">
        <v>28000</v>
      </c>
      <c r="U141" s="74">
        <v>23804.999999999996</v>
      </c>
      <c r="V141" s="76">
        <f t="shared" si="242"/>
        <v>23675.833333333332</v>
      </c>
      <c r="W141" s="24">
        <f t="shared" si="243"/>
        <v>16992.833333333332</v>
      </c>
      <c r="X141" s="25">
        <f t="shared" si="244"/>
        <v>2.5426953962791159</v>
      </c>
      <c r="Y141" s="77" t="str">
        <f t="shared" si="245"/>
        <v>REVISAR PRECIO</v>
      </c>
      <c r="Z141" s="106">
        <f t="shared" si="246"/>
        <v>23675.833333333332</v>
      </c>
      <c r="AA141" s="73">
        <v>6683</v>
      </c>
      <c r="AB141" s="88">
        <v>22000</v>
      </c>
      <c r="AC141" s="116">
        <v>26000</v>
      </c>
      <c r="AD141" s="74">
        <v>19800</v>
      </c>
      <c r="AE141" s="76">
        <f t="shared" si="247"/>
        <v>22600</v>
      </c>
      <c r="AF141" s="24">
        <f t="shared" si="248"/>
        <v>15917</v>
      </c>
      <c r="AG141" s="25">
        <f t="shared" si="249"/>
        <v>2.3817147987430793</v>
      </c>
      <c r="AH141" s="77" t="str">
        <f t="shared" si="250"/>
        <v>REVISAR PRECIO</v>
      </c>
      <c r="AI141" s="77">
        <f t="shared" si="251"/>
        <v>22600</v>
      </c>
      <c r="AJ141" s="73">
        <v>6683</v>
      </c>
      <c r="AK141" s="79">
        <v>23850</v>
      </c>
      <c r="AL141" s="79">
        <v>18000</v>
      </c>
      <c r="AM141" s="127">
        <v>21600</v>
      </c>
      <c r="AN141" s="128">
        <v>16500</v>
      </c>
      <c r="AO141" s="128">
        <v>20000</v>
      </c>
      <c r="AP141" s="133">
        <f t="shared" si="252"/>
        <v>19990</v>
      </c>
      <c r="AQ141" s="127">
        <f t="shared" si="253"/>
        <v>13307</v>
      </c>
      <c r="AR141" s="134">
        <f t="shared" si="254"/>
        <v>1.9911716295077062</v>
      </c>
      <c r="AS141" s="132">
        <f t="shared" si="255"/>
        <v>19990</v>
      </c>
      <c r="AT141" s="250"/>
      <c r="AU141" s="250"/>
      <c r="AV141" s="250"/>
      <c r="AW141" s="250"/>
      <c r="AX141" s="250"/>
      <c r="AY141" s="250"/>
      <c r="AZ141" s="250"/>
      <c r="BA141" s="250"/>
      <c r="BB141" s="250"/>
      <c r="BC141" s="251"/>
      <c r="BD141" s="10">
        <v>6008</v>
      </c>
      <c r="BE141" s="10">
        <v>38000</v>
      </c>
      <c r="BF141" s="10">
        <v>41000</v>
      </c>
      <c r="BG141" s="268">
        <v>41000</v>
      </c>
      <c r="BH141" s="10">
        <v>38000</v>
      </c>
      <c r="BI141" s="76">
        <f t="shared" si="266"/>
        <v>39500</v>
      </c>
      <c r="BJ141" s="24">
        <f t="shared" si="267"/>
        <v>33492</v>
      </c>
      <c r="BK141" s="25">
        <f t="shared" si="268"/>
        <v>5.5745672436750997</v>
      </c>
      <c r="BL141" s="259">
        <f t="shared" si="269"/>
        <v>39500</v>
      </c>
      <c r="BM141" s="10">
        <v>6683</v>
      </c>
      <c r="BN141" s="45">
        <v>20000</v>
      </c>
      <c r="BO141" s="45">
        <v>7880</v>
      </c>
      <c r="BP141" s="45">
        <v>23000</v>
      </c>
      <c r="BQ141" s="29">
        <f t="shared" si="262"/>
        <v>16960</v>
      </c>
      <c r="BR141" s="24">
        <f t="shared" si="263"/>
        <v>10277</v>
      </c>
      <c r="BS141" s="25">
        <f t="shared" si="264"/>
        <v>1.5377824330390544</v>
      </c>
      <c r="BT141" s="308">
        <f t="shared" si="265"/>
        <v>16960</v>
      </c>
    </row>
    <row r="142" spans="1:72" ht="19.350000000000001" customHeight="1">
      <c r="A142" s="91" t="s">
        <v>17</v>
      </c>
      <c r="B142" s="358" t="s">
        <v>2334</v>
      </c>
      <c r="C142" s="50" t="s">
        <v>118</v>
      </c>
      <c r="D142" s="99" t="s">
        <v>457</v>
      </c>
      <c r="E142" s="48" t="s">
        <v>11</v>
      </c>
      <c r="F142" s="10">
        <v>41707</v>
      </c>
      <c r="G142" s="39">
        <v>54243</v>
      </c>
      <c r="H142" s="33">
        <v>70516</v>
      </c>
      <c r="I142" s="36">
        <v>47412.4</v>
      </c>
      <c r="J142" s="29">
        <f t="shared" si="270"/>
        <v>57390.466666666667</v>
      </c>
      <c r="K142" s="24">
        <f t="shared" si="271"/>
        <v>15683.466666666667</v>
      </c>
      <c r="L142" s="25">
        <f t="shared" si="272"/>
        <v>0.3760391940601498</v>
      </c>
      <c r="M142" s="69" t="str">
        <f t="shared" si="273"/>
        <v>REVISAR PRECIO</v>
      </c>
      <c r="N142" s="77">
        <f t="shared" si="241"/>
        <v>57390.466666666667</v>
      </c>
      <c r="O142" s="73">
        <v>17087</v>
      </c>
      <c r="P142" s="74">
        <v>12650</v>
      </c>
      <c r="Q142" s="74">
        <v>22000</v>
      </c>
      <c r="R142" s="75">
        <v>14575</v>
      </c>
      <c r="S142" s="61">
        <v>33005</v>
      </c>
      <c r="T142" s="60"/>
      <c r="U142" s="74">
        <v>37955.75</v>
      </c>
      <c r="V142" s="76">
        <f t="shared" si="242"/>
        <v>24037.15</v>
      </c>
      <c r="W142" s="24">
        <f t="shared" si="243"/>
        <v>6950.1500000000015</v>
      </c>
      <c r="X142" s="25">
        <f t="shared" si="244"/>
        <v>0.40675074618130752</v>
      </c>
      <c r="Y142" s="77" t="str">
        <f t="shared" si="245"/>
        <v>REVISAR PRECIO</v>
      </c>
      <c r="Z142" s="106">
        <f t="shared" si="246"/>
        <v>24037.15</v>
      </c>
      <c r="AA142" s="73">
        <v>17087</v>
      </c>
      <c r="AB142" s="88">
        <v>17000</v>
      </c>
      <c r="AC142" s="116">
        <v>25000</v>
      </c>
      <c r="AD142" s="74">
        <v>12100</v>
      </c>
      <c r="AE142" s="76">
        <f t="shared" si="247"/>
        <v>18033.333333333332</v>
      </c>
      <c r="AF142" s="24">
        <f t="shared" si="248"/>
        <v>946.33333333333212</v>
      </c>
      <c r="AG142" s="25">
        <f t="shared" si="249"/>
        <v>5.5383234817892674E-2</v>
      </c>
      <c r="AH142" s="77">
        <f t="shared" si="250"/>
        <v>18033.333333333332</v>
      </c>
      <c r="AI142" s="77">
        <f t="shared" si="251"/>
        <v>18033.333333333332</v>
      </c>
      <c r="AJ142" s="73">
        <v>17087</v>
      </c>
      <c r="AK142" s="79">
        <v>14575</v>
      </c>
      <c r="AL142" s="79">
        <v>11000</v>
      </c>
      <c r="AM142" s="127">
        <v>13200</v>
      </c>
      <c r="AN142" s="128">
        <v>10200</v>
      </c>
      <c r="AO142" s="128">
        <v>11000</v>
      </c>
      <c r="AP142" s="133">
        <f t="shared" si="252"/>
        <v>11995</v>
      </c>
      <c r="AQ142" s="127">
        <f t="shared" si="253"/>
        <v>-5092</v>
      </c>
      <c r="AR142" s="134">
        <f t="shared" si="254"/>
        <v>-0.29800433077778427</v>
      </c>
      <c r="AS142" s="132">
        <f t="shared" si="255"/>
        <v>11995</v>
      </c>
      <c r="AT142" s="250"/>
      <c r="AU142" s="250"/>
      <c r="AV142" s="250"/>
      <c r="AW142" s="250"/>
      <c r="AX142" s="250"/>
      <c r="AY142" s="250"/>
      <c r="AZ142" s="250"/>
      <c r="BA142" s="250"/>
      <c r="BB142" s="250"/>
      <c r="BC142" s="251"/>
      <c r="BD142" s="150"/>
      <c r="BE142" s="150"/>
      <c r="BF142" s="150"/>
      <c r="BG142" s="150"/>
      <c r="BH142" s="150"/>
      <c r="BI142" s="150"/>
      <c r="BJ142" s="150"/>
      <c r="BK142" s="150"/>
      <c r="BL142" s="150"/>
      <c r="BM142" s="293"/>
      <c r="BN142" s="293"/>
      <c r="BO142" s="293"/>
      <c r="BP142" s="293"/>
      <c r="BQ142" s="293"/>
      <c r="BR142" s="293"/>
      <c r="BS142" s="293"/>
      <c r="BT142" s="293"/>
    </row>
    <row r="143" spans="1:72" s="1" customFormat="1" ht="47.1" customHeight="1">
      <c r="A143" s="91"/>
      <c r="B143" s="358" t="s">
        <v>2335</v>
      </c>
      <c r="C143" s="50" t="s">
        <v>855</v>
      </c>
      <c r="D143" s="177" t="s">
        <v>844</v>
      </c>
      <c r="E143" s="62" t="s">
        <v>13</v>
      </c>
      <c r="F143" s="10"/>
      <c r="G143" s="39"/>
      <c r="H143" s="33"/>
      <c r="I143" s="179"/>
      <c r="J143" s="29"/>
      <c r="K143" s="24"/>
      <c r="L143" s="25"/>
      <c r="M143" s="69"/>
      <c r="N143" s="77"/>
      <c r="O143" s="73"/>
      <c r="P143" s="74"/>
      <c r="Q143" s="74"/>
      <c r="R143" s="75"/>
      <c r="S143" s="61"/>
      <c r="T143" s="60"/>
      <c r="U143" s="74"/>
      <c r="V143" s="76"/>
      <c r="W143" s="24"/>
      <c r="X143" s="25"/>
      <c r="Y143" s="77"/>
      <c r="Z143" s="106"/>
      <c r="AA143" s="73"/>
      <c r="AB143" s="88"/>
      <c r="AC143" s="116"/>
      <c r="AD143" s="74"/>
      <c r="AE143" s="76"/>
      <c r="AF143" s="24"/>
      <c r="AG143" s="25"/>
      <c r="AH143" s="77"/>
      <c r="AI143" s="77"/>
      <c r="AJ143" s="73"/>
      <c r="AK143" s="79"/>
      <c r="AL143" s="79"/>
      <c r="AM143" s="127"/>
      <c r="AN143" s="128"/>
      <c r="AO143" s="128"/>
      <c r="AP143" s="133"/>
      <c r="AQ143" s="127"/>
      <c r="AR143" s="134"/>
      <c r="AS143" s="132"/>
      <c r="AT143" s="10">
        <v>11772</v>
      </c>
      <c r="AU143" s="10">
        <v>6000</v>
      </c>
      <c r="AV143" s="167">
        <v>12000</v>
      </c>
      <c r="AW143" s="168">
        <v>5904</v>
      </c>
      <c r="AX143" s="29">
        <f t="shared" ref="AX143:AX153" si="274">AVERAGE(AU143,AW143)</f>
        <v>5952</v>
      </c>
      <c r="AY143" s="24">
        <f t="shared" ref="AY143:AY153" si="275">AX143-AT143</f>
        <v>-5820</v>
      </c>
      <c r="AZ143" s="25">
        <f t="shared" ref="AZ143:AZ153" si="276">+AY143/AT143</f>
        <v>-0.49439347604485218</v>
      </c>
      <c r="BA143" s="24">
        <f t="shared" ref="BA143:BA153" si="277">AV143-AT143</f>
        <v>228</v>
      </c>
      <c r="BB143" s="169">
        <f t="shared" ref="BB143:BB153" si="278">+BA143/AT143</f>
        <v>1.9367991845056064E-2</v>
      </c>
      <c r="BC143" s="170">
        <f t="shared" ref="BC143:BC153" si="279">AX143</f>
        <v>5952</v>
      </c>
      <c r="BD143" s="150"/>
      <c r="BE143" s="150"/>
      <c r="BF143" s="150"/>
      <c r="BG143" s="150"/>
      <c r="BH143" s="150"/>
      <c r="BI143" s="150"/>
      <c r="BJ143" s="150"/>
      <c r="BK143" s="150"/>
      <c r="BL143" s="150"/>
      <c r="BM143" s="10">
        <v>11941</v>
      </c>
      <c r="BN143" s="45">
        <v>10000</v>
      </c>
      <c r="BO143" s="45">
        <v>13887</v>
      </c>
      <c r="BP143" s="45">
        <v>27000</v>
      </c>
      <c r="BQ143" s="29">
        <f t="shared" ref="BQ143:BQ150" si="280">AVERAGE(BN143,BO143,BP143)</f>
        <v>16962.333333333332</v>
      </c>
      <c r="BR143" s="24">
        <f t="shared" ref="BR143:BR150" si="281">BQ143-BM143</f>
        <v>5021.3333333333321</v>
      </c>
      <c r="BS143" s="25">
        <f t="shared" ref="BS143:BS150" si="282">+BR143/BM143</f>
        <v>0.42051196158892323</v>
      </c>
      <c r="BT143" s="308">
        <f t="shared" ref="BT143:BT150" si="283">BQ143</f>
        <v>16962.333333333332</v>
      </c>
    </row>
    <row r="144" spans="1:72" s="1" customFormat="1" ht="42" customHeight="1">
      <c r="A144" s="91"/>
      <c r="B144" s="358" t="s">
        <v>2336</v>
      </c>
      <c r="C144" s="50" t="s">
        <v>856</v>
      </c>
      <c r="D144" s="177" t="s">
        <v>845</v>
      </c>
      <c r="E144" s="62" t="s">
        <v>13</v>
      </c>
      <c r="F144" s="10"/>
      <c r="G144" s="39"/>
      <c r="H144" s="33"/>
      <c r="I144" s="179"/>
      <c r="J144" s="29"/>
      <c r="K144" s="24"/>
      <c r="L144" s="25"/>
      <c r="M144" s="69"/>
      <c r="N144" s="77"/>
      <c r="O144" s="73"/>
      <c r="P144" s="74"/>
      <c r="Q144" s="74"/>
      <c r="R144" s="75"/>
      <c r="S144" s="61"/>
      <c r="T144" s="60"/>
      <c r="U144" s="74"/>
      <c r="V144" s="76"/>
      <c r="W144" s="24"/>
      <c r="X144" s="25"/>
      <c r="Y144" s="77"/>
      <c r="Z144" s="106"/>
      <c r="AA144" s="73"/>
      <c r="AB144" s="88"/>
      <c r="AC144" s="116"/>
      <c r="AD144" s="74"/>
      <c r="AE144" s="76"/>
      <c r="AF144" s="24"/>
      <c r="AG144" s="25"/>
      <c r="AH144" s="77"/>
      <c r="AI144" s="77"/>
      <c r="AJ144" s="73"/>
      <c r="AK144" s="79"/>
      <c r="AL144" s="79"/>
      <c r="AM144" s="127"/>
      <c r="AN144" s="128"/>
      <c r="AO144" s="128"/>
      <c r="AP144" s="133"/>
      <c r="AQ144" s="127"/>
      <c r="AR144" s="134"/>
      <c r="AS144" s="132"/>
      <c r="AT144" s="10">
        <v>10605</v>
      </c>
      <c r="AU144" s="10">
        <v>12503.27</v>
      </c>
      <c r="AV144" s="167">
        <v>25006.54</v>
      </c>
      <c r="AW144" s="168">
        <v>10500</v>
      </c>
      <c r="AX144" s="29">
        <f t="shared" si="274"/>
        <v>11501.635</v>
      </c>
      <c r="AY144" s="24">
        <f t="shared" si="275"/>
        <v>896.63500000000022</v>
      </c>
      <c r="AZ144" s="25">
        <f t="shared" si="276"/>
        <v>8.4548326261197571E-2</v>
      </c>
      <c r="BA144" s="24">
        <f t="shared" si="277"/>
        <v>14401.54</v>
      </c>
      <c r="BB144" s="169">
        <f t="shared" si="278"/>
        <v>1.3579952852428101</v>
      </c>
      <c r="BC144" s="170">
        <f t="shared" si="279"/>
        <v>11501.635</v>
      </c>
      <c r="BD144" s="10">
        <v>9540</v>
      </c>
      <c r="BE144" s="10">
        <v>18000</v>
      </c>
      <c r="BF144" s="10">
        <v>21000</v>
      </c>
      <c r="BG144" s="268">
        <v>21000</v>
      </c>
      <c r="BH144" s="10">
        <v>25000</v>
      </c>
      <c r="BI144" s="76">
        <f t="shared" ref="BI144:BI148" si="284">AVERAGE(BE144,BF144,BG144,BH144)</f>
        <v>21250</v>
      </c>
      <c r="BJ144" s="24">
        <f t="shared" ref="BJ144:BJ148" si="285">BI144-BD144</f>
        <v>11710</v>
      </c>
      <c r="BK144" s="25">
        <f t="shared" ref="BK144:BK148" si="286">+BJ144/BD144</f>
        <v>1.2274633123689727</v>
      </c>
      <c r="BL144" s="259">
        <f t="shared" ref="BL144:BL148" si="287">BI144</f>
        <v>21250</v>
      </c>
      <c r="BM144" s="319">
        <v>10603</v>
      </c>
      <c r="BN144" s="317">
        <v>14000</v>
      </c>
      <c r="BO144" s="317">
        <v>12507</v>
      </c>
      <c r="BP144" s="45">
        <v>28000</v>
      </c>
      <c r="BQ144" s="29">
        <f t="shared" si="280"/>
        <v>18169</v>
      </c>
      <c r="BR144" s="24">
        <f t="shared" si="281"/>
        <v>7566</v>
      </c>
      <c r="BS144" s="25">
        <f t="shared" si="282"/>
        <v>0.71357163067056495</v>
      </c>
      <c r="BT144" s="308">
        <f t="shared" si="283"/>
        <v>18169</v>
      </c>
    </row>
    <row r="145" spans="1:72" s="1" customFormat="1" ht="32.1" customHeight="1">
      <c r="A145" s="91"/>
      <c r="B145" s="358" t="s">
        <v>2337</v>
      </c>
      <c r="C145" s="50" t="s">
        <v>857</v>
      </c>
      <c r="D145" s="177" t="s">
        <v>846</v>
      </c>
      <c r="E145" s="62" t="s">
        <v>13</v>
      </c>
      <c r="F145" s="10"/>
      <c r="G145" s="39"/>
      <c r="H145" s="33"/>
      <c r="I145" s="179"/>
      <c r="J145" s="29"/>
      <c r="K145" s="24"/>
      <c r="L145" s="25"/>
      <c r="M145" s="69"/>
      <c r="N145" s="77"/>
      <c r="O145" s="73"/>
      <c r="P145" s="74"/>
      <c r="Q145" s="74"/>
      <c r="R145" s="75"/>
      <c r="S145" s="61"/>
      <c r="T145" s="60"/>
      <c r="U145" s="74"/>
      <c r="V145" s="76"/>
      <c r="W145" s="24"/>
      <c r="X145" s="25"/>
      <c r="Y145" s="77"/>
      <c r="Z145" s="106"/>
      <c r="AA145" s="73"/>
      <c r="AB145" s="88"/>
      <c r="AC145" s="116"/>
      <c r="AD145" s="74"/>
      <c r="AE145" s="76"/>
      <c r="AF145" s="24"/>
      <c r="AG145" s="25"/>
      <c r="AH145" s="77"/>
      <c r="AI145" s="77"/>
      <c r="AJ145" s="73"/>
      <c r="AK145" s="79"/>
      <c r="AL145" s="79"/>
      <c r="AM145" s="127"/>
      <c r="AN145" s="128"/>
      <c r="AO145" s="128"/>
      <c r="AP145" s="133"/>
      <c r="AQ145" s="127"/>
      <c r="AR145" s="134"/>
      <c r="AS145" s="132"/>
      <c r="AT145" s="10">
        <v>3779</v>
      </c>
      <c r="AU145" s="10">
        <v>4500</v>
      </c>
      <c r="AV145" s="167">
        <v>9000</v>
      </c>
      <c r="AW145" s="168">
        <v>3500</v>
      </c>
      <c r="AX145" s="29">
        <f t="shared" si="274"/>
        <v>4000</v>
      </c>
      <c r="AY145" s="24">
        <f t="shared" si="275"/>
        <v>221</v>
      </c>
      <c r="AZ145" s="25">
        <f t="shared" si="276"/>
        <v>5.8481079650701241E-2</v>
      </c>
      <c r="BA145" s="24">
        <f t="shared" si="277"/>
        <v>5221</v>
      </c>
      <c r="BB145" s="169">
        <f t="shared" si="278"/>
        <v>1.3815824292140777</v>
      </c>
      <c r="BC145" s="170">
        <f t="shared" si="279"/>
        <v>4000</v>
      </c>
      <c r="BD145" s="10">
        <v>4926</v>
      </c>
      <c r="BE145" s="10">
        <v>8500</v>
      </c>
      <c r="BF145" s="10">
        <v>11500</v>
      </c>
      <c r="BG145" s="268">
        <v>11500</v>
      </c>
      <c r="BH145" s="10">
        <v>10000</v>
      </c>
      <c r="BI145" s="76">
        <f t="shared" si="284"/>
        <v>10375</v>
      </c>
      <c r="BJ145" s="24">
        <f t="shared" si="285"/>
        <v>5449</v>
      </c>
      <c r="BK145" s="25">
        <f t="shared" si="286"/>
        <v>1.106171335769387</v>
      </c>
      <c r="BL145" s="259">
        <f t="shared" si="287"/>
        <v>10375</v>
      </c>
      <c r="BM145" s="10">
        <v>5505</v>
      </c>
      <c r="BN145" s="45">
        <v>2500</v>
      </c>
      <c r="BO145" s="45">
        <v>6396</v>
      </c>
      <c r="BP145" s="45">
        <v>23000</v>
      </c>
      <c r="BQ145" s="29">
        <f t="shared" si="280"/>
        <v>10632</v>
      </c>
      <c r="BR145" s="24">
        <f t="shared" si="281"/>
        <v>5127</v>
      </c>
      <c r="BS145" s="25">
        <f t="shared" si="282"/>
        <v>0.9313351498637602</v>
      </c>
      <c r="BT145" s="308">
        <f t="shared" si="283"/>
        <v>10632</v>
      </c>
    </row>
    <row r="146" spans="1:72" s="1" customFormat="1" ht="54.95" customHeight="1">
      <c r="A146" s="91"/>
      <c r="B146" s="358" t="s">
        <v>2338</v>
      </c>
      <c r="C146" s="50" t="s">
        <v>858</v>
      </c>
      <c r="D146" s="177" t="s">
        <v>847</v>
      </c>
      <c r="E146" s="62" t="s">
        <v>13</v>
      </c>
      <c r="F146" s="10"/>
      <c r="G146" s="39"/>
      <c r="H146" s="33"/>
      <c r="I146" s="179"/>
      <c r="J146" s="29"/>
      <c r="K146" s="24"/>
      <c r="L146" s="25"/>
      <c r="M146" s="69"/>
      <c r="N146" s="77"/>
      <c r="O146" s="73"/>
      <c r="P146" s="74"/>
      <c r="Q146" s="74"/>
      <c r="R146" s="75"/>
      <c r="S146" s="61"/>
      <c r="T146" s="60"/>
      <c r="U146" s="74"/>
      <c r="V146" s="76"/>
      <c r="W146" s="24"/>
      <c r="X146" s="25"/>
      <c r="Y146" s="77"/>
      <c r="Z146" s="106"/>
      <c r="AA146" s="73"/>
      <c r="AB146" s="88"/>
      <c r="AC146" s="116"/>
      <c r="AD146" s="74"/>
      <c r="AE146" s="76"/>
      <c r="AF146" s="24"/>
      <c r="AG146" s="25"/>
      <c r="AH146" s="77"/>
      <c r="AI146" s="77"/>
      <c r="AJ146" s="73"/>
      <c r="AK146" s="79"/>
      <c r="AL146" s="79"/>
      <c r="AM146" s="127"/>
      <c r="AN146" s="128"/>
      <c r="AO146" s="128"/>
      <c r="AP146" s="133"/>
      <c r="AQ146" s="127"/>
      <c r="AR146" s="134"/>
      <c r="AS146" s="132"/>
      <c r="AT146" s="10">
        <v>8089</v>
      </c>
      <c r="AU146" s="10">
        <v>7000</v>
      </c>
      <c r="AV146" s="167">
        <v>21000</v>
      </c>
      <c r="AW146" s="168">
        <v>6855</v>
      </c>
      <c r="AX146" s="29">
        <f t="shared" si="274"/>
        <v>6927.5</v>
      </c>
      <c r="AY146" s="24">
        <f t="shared" si="275"/>
        <v>-1161.5</v>
      </c>
      <c r="AZ146" s="25">
        <f t="shared" si="276"/>
        <v>-0.143590060576091</v>
      </c>
      <c r="BA146" s="24">
        <f t="shared" si="277"/>
        <v>12911</v>
      </c>
      <c r="BB146" s="169">
        <f t="shared" si="278"/>
        <v>1.5961181851897639</v>
      </c>
      <c r="BC146" s="170">
        <f t="shared" si="279"/>
        <v>6927.5</v>
      </c>
      <c r="BD146" s="10">
        <v>7850</v>
      </c>
      <c r="BE146" s="10">
        <v>12000</v>
      </c>
      <c r="BF146" s="10">
        <v>15000</v>
      </c>
      <c r="BG146" s="268">
        <v>15000</v>
      </c>
      <c r="BH146" s="10">
        <v>12000</v>
      </c>
      <c r="BI146" s="76">
        <f t="shared" si="284"/>
        <v>13500</v>
      </c>
      <c r="BJ146" s="24">
        <f t="shared" si="285"/>
        <v>5650</v>
      </c>
      <c r="BK146" s="25">
        <f t="shared" si="286"/>
        <v>0.71974522292993626</v>
      </c>
      <c r="BL146" s="259">
        <f t="shared" si="287"/>
        <v>13500</v>
      </c>
      <c r="BM146" s="10">
        <v>8771</v>
      </c>
      <c r="BN146" s="45">
        <v>10000</v>
      </c>
      <c r="BO146" s="45">
        <v>10192</v>
      </c>
      <c r="BP146" s="45">
        <v>27000</v>
      </c>
      <c r="BQ146" s="29">
        <f t="shared" si="280"/>
        <v>15730.666666666666</v>
      </c>
      <c r="BR146" s="24">
        <f t="shared" si="281"/>
        <v>6959.6666666666661</v>
      </c>
      <c r="BS146" s="25">
        <f t="shared" si="282"/>
        <v>0.7934861095276099</v>
      </c>
      <c r="BT146" s="308">
        <f t="shared" si="283"/>
        <v>15730.666666666666</v>
      </c>
    </row>
    <row r="147" spans="1:72" s="1" customFormat="1" ht="45.95" customHeight="1">
      <c r="A147" s="91"/>
      <c r="B147" s="358" t="s">
        <v>2339</v>
      </c>
      <c r="C147" s="50" t="s">
        <v>859</v>
      </c>
      <c r="D147" s="177" t="s">
        <v>848</v>
      </c>
      <c r="E147" s="62" t="s">
        <v>13</v>
      </c>
      <c r="F147" s="10"/>
      <c r="G147" s="39"/>
      <c r="H147" s="33"/>
      <c r="I147" s="179"/>
      <c r="J147" s="29"/>
      <c r="K147" s="24"/>
      <c r="L147" s="25"/>
      <c r="M147" s="69"/>
      <c r="N147" s="77"/>
      <c r="O147" s="73"/>
      <c r="P147" s="74"/>
      <c r="Q147" s="74"/>
      <c r="R147" s="75"/>
      <c r="S147" s="61"/>
      <c r="T147" s="60"/>
      <c r="U147" s="74"/>
      <c r="V147" s="76"/>
      <c r="W147" s="24"/>
      <c r="X147" s="25"/>
      <c r="Y147" s="77"/>
      <c r="Z147" s="106"/>
      <c r="AA147" s="73"/>
      <c r="AB147" s="88"/>
      <c r="AC147" s="116"/>
      <c r="AD147" s="74"/>
      <c r="AE147" s="76"/>
      <c r="AF147" s="24"/>
      <c r="AG147" s="25"/>
      <c r="AH147" s="77"/>
      <c r="AI147" s="77"/>
      <c r="AJ147" s="73"/>
      <c r="AK147" s="79"/>
      <c r="AL147" s="79"/>
      <c r="AM147" s="127"/>
      <c r="AN147" s="128"/>
      <c r="AO147" s="128"/>
      <c r="AP147" s="133"/>
      <c r="AQ147" s="127"/>
      <c r="AR147" s="134"/>
      <c r="AS147" s="132"/>
      <c r="AT147" s="10">
        <v>14505</v>
      </c>
      <c r="AU147" s="10">
        <v>16000</v>
      </c>
      <c r="AV147" s="167">
        <v>48000</v>
      </c>
      <c r="AW147" s="168">
        <v>16000</v>
      </c>
      <c r="AX147" s="29">
        <f t="shared" si="274"/>
        <v>16000</v>
      </c>
      <c r="AY147" s="24">
        <f t="shared" si="275"/>
        <v>1495</v>
      </c>
      <c r="AZ147" s="25">
        <f t="shared" si="276"/>
        <v>0.10306790761806274</v>
      </c>
      <c r="BA147" s="24">
        <f t="shared" si="277"/>
        <v>33495</v>
      </c>
      <c r="BB147" s="169">
        <f t="shared" si="278"/>
        <v>2.3092037228541882</v>
      </c>
      <c r="BC147" s="170">
        <f t="shared" si="279"/>
        <v>16000</v>
      </c>
      <c r="BD147" s="10">
        <v>13279</v>
      </c>
      <c r="BE147" s="10">
        <v>42000</v>
      </c>
      <c r="BF147" s="10">
        <v>45000</v>
      </c>
      <c r="BG147" s="268">
        <v>45000</v>
      </c>
      <c r="BH147" s="10">
        <v>42000</v>
      </c>
      <c r="BI147" s="76">
        <f t="shared" si="284"/>
        <v>43500</v>
      </c>
      <c r="BJ147" s="24">
        <f t="shared" si="285"/>
        <v>30221</v>
      </c>
      <c r="BK147" s="25">
        <f t="shared" si="286"/>
        <v>2.2758490850214623</v>
      </c>
      <c r="BL147" s="259">
        <f t="shared" si="287"/>
        <v>43500</v>
      </c>
      <c r="BM147" s="10">
        <v>14827</v>
      </c>
      <c r="BN147" s="316">
        <v>20000</v>
      </c>
      <c r="BO147" s="45">
        <v>17238</v>
      </c>
      <c r="BP147" s="317">
        <v>35000</v>
      </c>
      <c r="BQ147" s="29">
        <f t="shared" si="280"/>
        <v>24079.333333333332</v>
      </c>
      <c r="BR147" s="24">
        <f t="shared" si="281"/>
        <v>9252.3333333333321</v>
      </c>
      <c r="BS147" s="25">
        <f t="shared" si="282"/>
        <v>0.62401924417166876</v>
      </c>
      <c r="BT147" s="308">
        <f t="shared" si="283"/>
        <v>24079.333333333332</v>
      </c>
    </row>
    <row r="148" spans="1:72" s="1" customFormat="1" ht="45" customHeight="1">
      <c r="A148" s="91"/>
      <c r="B148" s="358" t="s">
        <v>2340</v>
      </c>
      <c r="C148" s="50" t="s">
        <v>860</v>
      </c>
      <c r="D148" s="177" t="s">
        <v>849</v>
      </c>
      <c r="E148" s="62" t="s">
        <v>13</v>
      </c>
      <c r="F148" s="10"/>
      <c r="G148" s="39"/>
      <c r="H148" s="33"/>
      <c r="I148" s="179"/>
      <c r="J148" s="29"/>
      <c r="K148" s="24"/>
      <c r="L148" s="25"/>
      <c r="M148" s="69"/>
      <c r="N148" s="77"/>
      <c r="O148" s="73"/>
      <c r="P148" s="74"/>
      <c r="Q148" s="74"/>
      <c r="R148" s="75"/>
      <c r="S148" s="61"/>
      <c r="T148" s="60"/>
      <c r="U148" s="74"/>
      <c r="V148" s="76"/>
      <c r="W148" s="24"/>
      <c r="X148" s="25"/>
      <c r="Y148" s="77"/>
      <c r="Z148" s="106"/>
      <c r="AA148" s="73"/>
      <c r="AB148" s="88"/>
      <c r="AC148" s="116"/>
      <c r="AD148" s="74"/>
      <c r="AE148" s="76"/>
      <c r="AF148" s="24"/>
      <c r="AG148" s="25"/>
      <c r="AH148" s="77"/>
      <c r="AI148" s="77"/>
      <c r="AJ148" s="73"/>
      <c r="AK148" s="79"/>
      <c r="AL148" s="79"/>
      <c r="AM148" s="127"/>
      <c r="AN148" s="128"/>
      <c r="AO148" s="128"/>
      <c r="AP148" s="133"/>
      <c r="AQ148" s="127"/>
      <c r="AR148" s="134"/>
      <c r="AS148" s="132"/>
      <c r="AT148" s="10">
        <v>13661</v>
      </c>
      <c r="AU148" s="10">
        <v>16000</v>
      </c>
      <c r="AV148" s="167">
        <v>48000</v>
      </c>
      <c r="AW148" s="168">
        <v>16000</v>
      </c>
      <c r="AX148" s="29">
        <f t="shared" si="274"/>
        <v>16000</v>
      </c>
      <c r="AY148" s="24">
        <f t="shared" si="275"/>
        <v>2339</v>
      </c>
      <c r="AZ148" s="25">
        <f t="shared" si="276"/>
        <v>0.17121733401654343</v>
      </c>
      <c r="BA148" s="24">
        <f t="shared" si="277"/>
        <v>34339</v>
      </c>
      <c r="BB148" s="169">
        <f t="shared" si="278"/>
        <v>2.5136520020496302</v>
      </c>
      <c r="BC148" s="170">
        <f t="shared" si="279"/>
        <v>16000</v>
      </c>
      <c r="BD148" s="10">
        <v>12416</v>
      </c>
      <c r="BE148" s="10">
        <v>42000</v>
      </c>
      <c r="BF148" s="10">
        <v>45000</v>
      </c>
      <c r="BG148" s="268">
        <v>45000</v>
      </c>
      <c r="BH148" s="10">
        <v>50000</v>
      </c>
      <c r="BI148" s="76">
        <f t="shared" si="284"/>
        <v>45500</v>
      </c>
      <c r="BJ148" s="24">
        <f t="shared" si="285"/>
        <v>33084</v>
      </c>
      <c r="BK148" s="25">
        <f t="shared" si="286"/>
        <v>2.664626288659794</v>
      </c>
      <c r="BL148" s="259">
        <f t="shared" si="287"/>
        <v>45500</v>
      </c>
      <c r="BM148" s="10">
        <v>13859</v>
      </c>
      <c r="BN148" s="316">
        <v>20000</v>
      </c>
      <c r="BO148" s="45">
        <v>16113</v>
      </c>
      <c r="BP148" s="317">
        <v>35000</v>
      </c>
      <c r="BQ148" s="29">
        <f t="shared" si="280"/>
        <v>23704.333333333332</v>
      </c>
      <c r="BR148" s="24">
        <f t="shared" si="281"/>
        <v>9845.3333333333321</v>
      </c>
      <c r="BS148" s="25">
        <f t="shared" si="282"/>
        <v>0.71039276523077655</v>
      </c>
      <c r="BT148" s="308">
        <f t="shared" si="283"/>
        <v>23704.333333333332</v>
      </c>
    </row>
    <row r="149" spans="1:72" s="1" customFormat="1" ht="54.95" customHeight="1">
      <c r="A149" s="91"/>
      <c r="B149" s="358" t="s">
        <v>2341</v>
      </c>
      <c r="C149" s="50" t="s">
        <v>861</v>
      </c>
      <c r="D149" s="177" t="s">
        <v>850</v>
      </c>
      <c r="E149" s="62" t="s">
        <v>13</v>
      </c>
      <c r="F149" s="10"/>
      <c r="G149" s="39"/>
      <c r="H149" s="33"/>
      <c r="I149" s="179"/>
      <c r="J149" s="29"/>
      <c r="K149" s="24"/>
      <c r="L149" s="25"/>
      <c r="M149" s="69"/>
      <c r="N149" s="77"/>
      <c r="O149" s="73"/>
      <c r="P149" s="74"/>
      <c r="Q149" s="74"/>
      <c r="R149" s="75"/>
      <c r="S149" s="61"/>
      <c r="T149" s="60"/>
      <c r="U149" s="74"/>
      <c r="V149" s="76"/>
      <c r="W149" s="24"/>
      <c r="X149" s="25"/>
      <c r="Y149" s="77"/>
      <c r="Z149" s="106"/>
      <c r="AA149" s="73"/>
      <c r="AB149" s="88"/>
      <c r="AC149" s="116"/>
      <c r="AD149" s="74"/>
      <c r="AE149" s="76"/>
      <c r="AF149" s="24"/>
      <c r="AG149" s="25"/>
      <c r="AH149" s="77"/>
      <c r="AI149" s="77"/>
      <c r="AJ149" s="73"/>
      <c r="AK149" s="79"/>
      <c r="AL149" s="79"/>
      <c r="AM149" s="127"/>
      <c r="AN149" s="128"/>
      <c r="AO149" s="128"/>
      <c r="AP149" s="133"/>
      <c r="AQ149" s="127"/>
      <c r="AR149" s="134"/>
      <c r="AS149" s="132"/>
      <c r="AT149" s="10">
        <v>8867</v>
      </c>
      <c r="AU149" s="10">
        <v>7500</v>
      </c>
      <c r="AV149" s="167">
        <v>37500</v>
      </c>
      <c r="AW149" s="168">
        <v>9800</v>
      </c>
      <c r="AX149" s="29">
        <f t="shared" si="274"/>
        <v>8650</v>
      </c>
      <c r="AY149" s="24">
        <f t="shared" si="275"/>
        <v>-217</v>
      </c>
      <c r="AZ149" s="25">
        <f t="shared" si="276"/>
        <v>-2.4472764181797675E-2</v>
      </c>
      <c r="BA149" s="24">
        <f t="shared" si="277"/>
        <v>28633</v>
      </c>
      <c r="BB149" s="169">
        <f t="shared" si="278"/>
        <v>3.2291643171309348</v>
      </c>
      <c r="BC149" s="170">
        <f t="shared" si="279"/>
        <v>8650</v>
      </c>
      <c r="BD149" s="150"/>
      <c r="BE149" s="150"/>
      <c r="BF149" s="150"/>
      <c r="BG149" s="150"/>
      <c r="BH149" s="150"/>
      <c r="BI149" s="150"/>
      <c r="BJ149" s="150"/>
      <c r="BK149" s="150"/>
      <c r="BL149" s="150"/>
      <c r="BM149" s="10">
        <v>8865</v>
      </c>
      <c r="BN149" s="45">
        <v>11000</v>
      </c>
      <c r="BO149" s="45">
        <v>10456</v>
      </c>
      <c r="BP149" s="45">
        <v>28000</v>
      </c>
      <c r="BQ149" s="29">
        <f t="shared" si="280"/>
        <v>16485.333333333332</v>
      </c>
      <c r="BR149" s="24">
        <f t="shared" si="281"/>
        <v>7620.3333333333321</v>
      </c>
      <c r="BS149" s="25">
        <f t="shared" si="282"/>
        <v>0.85959766873472443</v>
      </c>
      <c r="BT149" s="308">
        <f t="shared" si="283"/>
        <v>16485.333333333332</v>
      </c>
    </row>
    <row r="150" spans="1:72" s="1" customFormat="1" ht="69" customHeight="1">
      <c r="A150" s="91"/>
      <c r="B150" s="358" t="s">
        <v>2342</v>
      </c>
      <c r="C150" s="50" t="s">
        <v>862</v>
      </c>
      <c r="D150" s="177" t="s">
        <v>851</v>
      </c>
      <c r="E150" s="62" t="s">
        <v>13</v>
      </c>
      <c r="F150" s="10"/>
      <c r="G150" s="39"/>
      <c r="H150" s="33"/>
      <c r="I150" s="179"/>
      <c r="J150" s="29"/>
      <c r="K150" s="24"/>
      <c r="L150" s="25"/>
      <c r="M150" s="69"/>
      <c r="N150" s="77"/>
      <c r="O150" s="73"/>
      <c r="P150" s="74"/>
      <c r="Q150" s="74"/>
      <c r="R150" s="75"/>
      <c r="S150" s="61"/>
      <c r="T150" s="60"/>
      <c r="U150" s="74"/>
      <c r="V150" s="76"/>
      <c r="W150" s="24"/>
      <c r="X150" s="25"/>
      <c r="Y150" s="77"/>
      <c r="Z150" s="106"/>
      <c r="AA150" s="73"/>
      <c r="AB150" s="88"/>
      <c r="AC150" s="116"/>
      <c r="AD150" s="74"/>
      <c r="AE150" s="76"/>
      <c r="AF150" s="24"/>
      <c r="AG150" s="25"/>
      <c r="AH150" s="77"/>
      <c r="AI150" s="77"/>
      <c r="AJ150" s="73"/>
      <c r="AK150" s="79"/>
      <c r="AL150" s="79"/>
      <c r="AM150" s="127"/>
      <c r="AN150" s="128"/>
      <c r="AO150" s="128"/>
      <c r="AP150" s="133"/>
      <c r="AQ150" s="127"/>
      <c r="AR150" s="134"/>
      <c r="AS150" s="132"/>
      <c r="AT150" s="10">
        <v>22726</v>
      </c>
      <c r="AU150" s="10">
        <v>18609.349999999999</v>
      </c>
      <c r="AV150" s="167">
        <v>37218.699999999997</v>
      </c>
      <c r="AW150" s="168">
        <v>18000</v>
      </c>
      <c r="AX150" s="29">
        <f t="shared" si="274"/>
        <v>18304.674999999999</v>
      </c>
      <c r="AY150" s="24">
        <f t="shared" si="275"/>
        <v>-4421.3250000000007</v>
      </c>
      <c r="AZ150" s="25">
        <f t="shared" si="276"/>
        <v>-0.19454919475490631</v>
      </c>
      <c r="BA150" s="24">
        <f t="shared" si="277"/>
        <v>14492.699999999997</v>
      </c>
      <c r="BB150" s="169">
        <f t="shared" si="278"/>
        <v>0.6377145120126726</v>
      </c>
      <c r="BC150" s="170">
        <f t="shared" si="279"/>
        <v>18304.674999999999</v>
      </c>
      <c r="BD150" s="150"/>
      <c r="BE150" s="150"/>
      <c r="BF150" s="150"/>
      <c r="BG150" s="150"/>
      <c r="BH150" s="150"/>
      <c r="BI150" s="150"/>
      <c r="BJ150" s="150"/>
      <c r="BK150" s="150"/>
      <c r="BL150" s="150"/>
      <c r="BM150" s="10">
        <v>23057</v>
      </c>
      <c r="BN150" s="45"/>
      <c r="BO150" s="45">
        <v>26808</v>
      </c>
      <c r="BP150" s="45">
        <v>40000</v>
      </c>
      <c r="BQ150" s="29">
        <f t="shared" si="280"/>
        <v>33404</v>
      </c>
      <c r="BR150" s="24">
        <f t="shared" si="281"/>
        <v>10347</v>
      </c>
      <c r="BS150" s="25">
        <f t="shared" si="282"/>
        <v>0.44875742724552198</v>
      </c>
      <c r="BT150" s="308">
        <f t="shared" si="283"/>
        <v>33404</v>
      </c>
    </row>
    <row r="151" spans="1:72" s="1" customFormat="1" ht="53.1" customHeight="1">
      <c r="A151" s="91"/>
      <c r="B151" s="358" t="s">
        <v>2343</v>
      </c>
      <c r="C151" s="50" t="s">
        <v>863</v>
      </c>
      <c r="D151" s="177" t="s">
        <v>852</v>
      </c>
      <c r="E151" s="62" t="s">
        <v>13</v>
      </c>
      <c r="F151" s="10"/>
      <c r="G151" s="39"/>
      <c r="H151" s="33"/>
      <c r="I151" s="179"/>
      <c r="J151" s="29"/>
      <c r="K151" s="24"/>
      <c r="L151" s="25"/>
      <c r="M151" s="69"/>
      <c r="N151" s="77"/>
      <c r="O151" s="73"/>
      <c r="P151" s="74"/>
      <c r="Q151" s="74"/>
      <c r="R151" s="75"/>
      <c r="S151" s="61"/>
      <c r="T151" s="60"/>
      <c r="U151" s="74"/>
      <c r="V151" s="76"/>
      <c r="W151" s="24"/>
      <c r="X151" s="25"/>
      <c r="Y151" s="77"/>
      <c r="Z151" s="106"/>
      <c r="AA151" s="73"/>
      <c r="AB151" s="88"/>
      <c r="AC151" s="116"/>
      <c r="AD151" s="74"/>
      <c r="AE151" s="76"/>
      <c r="AF151" s="24"/>
      <c r="AG151" s="25"/>
      <c r="AH151" s="77"/>
      <c r="AI151" s="77"/>
      <c r="AJ151" s="73"/>
      <c r="AK151" s="79"/>
      <c r="AL151" s="79"/>
      <c r="AM151" s="127"/>
      <c r="AN151" s="128"/>
      <c r="AO151" s="128"/>
      <c r="AP151" s="133"/>
      <c r="AQ151" s="127"/>
      <c r="AR151" s="134"/>
      <c r="AS151" s="132"/>
      <c r="AT151" s="10">
        <v>18198</v>
      </c>
      <c r="AU151" s="10">
        <v>85000</v>
      </c>
      <c r="AV151" s="167">
        <v>170000</v>
      </c>
      <c r="AW151" s="168">
        <v>39800</v>
      </c>
      <c r="AX151" s="29">
        <f t="shared" si="274"/>
        <v>62400</v>
      </c>
      <c r="AY151" s="24">
        <f t="shared" si="275"/>
        <v>44202</v>
      </c>
      <c r="AZ151" s="25">
        <f t="shared" si="276"/>
        <v>2.428948236069898</v>
      </c>
      <c r="BA151" s="24">
        <f t="shared" si="277"/>
        <v>151802</v>
      </c>
      <c r="BB151" s="169">
        <f t="shared" si="278"/>
        <v>8.3416858995494003</v>
      </c>
      <c r="BC151" s="170">
        <f t="shared" si="279"/>
        <v>62400</v>
      </c>
      <c r="BD151" s="150"/>
      <c r="BE151" s="150"/>
      <c r="BF151" s="150"/>
      <c r="BG151" s="150"/>
      <c r="BH151" s="150"/>
      <c r="BI151" s="150"/>
      <c r="BJ151" s="150"/>
      <c r="BK151" s="150"/>
      <c r="BL151" s="150"/>
      <c r="BM151" s="293"/>
      <c r="BN151" s="293"/>
      <c r="BO151" s="293"/>
      <c r="BP151" s="293"/>
      <c r="BQ151" s="293"/>
      <c r="BR151" s="293"/>
      <c r="BS151" s="293"/>
      <c r="BT151" s="293"/>
    </row>
    <row r="152" spans="1:72" s="1" customFormat="1" ht="57" customHeight="1">
      <c r="A152" s="91"/>
      <c r="B152" s="358" t="s">
        <v>2344</v>
      </c>
      <c r="C152" s="50" t="s">
        <v>864</v>
      </c>
      <c r="D152" s="177" t="s">
        <v>853</v>
      </c>
      <c r="E152" s="62" t="s">
        <v>13</v>
      </c>
      <c r="F152" s="10"/>
      <c r="G152" s="39"/>
      <c r="H152" s="33"/>
      <c r="I152" s="179"/>
      <c r="J152" s="29"/>
      <c r="K152" s="24"/>
      <c r="L152" s="25"/>
      <c r="M152" s="69"/>
      <c r="N152" s="77"/>
      <c r="O152" s="73"/>
      <c r="P152" s="74"/>
      <c r="Q152" s="74"/>
      <c r="R152" s="75"/>
      <c r="S152" s="61"/>
      <c r="T152" s="60"/>
      <c r="U152" s="74"/>
      <c r="V152" s="76"/>
      <c r="W152" s="24"/>
      <c r="X152" s="25"/>
      <c r="Y152" s="77"/>
      <c r="Z152" s="106"/>
      <c r="AA152" s="73"/>
      <c r="AB152" s="88"/>
      <c r="AC152" s="116"/>
      <c r="AD152" s="74"/>
      <c r="AE152" s="76"/>
      <c r="AF152" s="24"/>
      <c r="AG152" s="25"/>
      <c r="AH152" s="77"/>
      <c r="AI152" s="77"/>
      <c r="AJ152" s="73"/>
      <c r="AK152" s="79"/>
      <c r="AL152" s="79"/>
      <c r="AM152" s="127"/>
      <c r="AN152" s="128"/>
      <c r="AO152" s="128"/>
      <c r="AP152" s="133"/>
      <c r="AQ152" s="127"/>
      <c r="AR152" s="134"/>
      <c r="AS152" s="132"/>
      <c r="AT152" s="10">
        <v>6683</v>
      </c>
      <c r="AU152" s="10">
        <v>18000</v>
      </c>
      <c r="AV152" s="167">
        <v>36000</v>
      </c>
      <c r="AW152" s="168">
        <v>39000</v>
      </c>
      <c r="AX152" s="29">
        <f t="shared" si="274"/>
        <v>28500</v>
      </c>
      <c r="AY152" s="24">
        <f t="shared" si="275"/>
        <v>21817</v>
      </c>
      <c r="AZ152" s="25">
        <f t="shared" si="276"/>
        <v>3.2645518479724673</v>
      </c>
      <c r="BA152" s="24">
        <f t="shared" si="277"/>
        <v>29317</v>
      </c>
      <c r="BB152" s="169">
        <f t="shared" si="278"/>
        <v>4.3868023342810112</v>
      </c>
      <c r="BC152" s="170">
        <f t="shared" si="279"/>
        <v>28500</v>
      </c>
      <c r="BD152" s="150"/>
      <c r="BE152" s="150"/>
      <c r="BF152" s="150"/>
      <c r="BG152" s="150"/>
      <c r="BH152" s="150"/>
      <c r="BI152" s="150"/>
      <c r="BJ152" s="150"/>
      <c r="BK152" s="150"/>
      <c r="BL152" s="150"/>
      <c r="BM152" s="293"/>
      <c r="BN152" s="293"/>
      <c r="BO152" s="293"/>
      <c r="BP152" s="293"/>
      <c r="BQ152" s="293"/>
      <c r="BR152" s="293"/>
      <c r="BS152" s="293"/>
      <c r="BT152" s="293"/>
    </row>
    <row r="153" spans="1:72" s="1" customFormat="1" ht="48" customHeight="1">
      <c r="A153" s="91"/>
      <c r="B153" s="358" t="s">
        <v>2345</v>
      </c>
      <c r="C153" s="50" t="s">
        <v>865</v>
      </c>
      <c r="D153" s="177" t="s">
        <v>854</v>
      </c>
      <c r="E153" s="62" t="s">
        <v>13</v>
      </c>
      <c r="F153" s="10"/>
      <c r="G153" s="39"/>
      <c r="H153" s="33"/>
      <c r="I153" s="179"/>
      <c r="J153" s="29"/>
      <c r="K153" s="24"/>
      <c r="L153" s="25"/>
      <c r="M153" s="69"/>
      <c r="N153" s="77"/>
      <c r="O153" s="73"/>
      <c r="P153" s="74"/>
      <c r="Q153" s="74"/>
      <c r="R153" s="75"/>
      <c r="S153" s="61"/>
      <c r="T153" s="60"/>
      <c r="U153" s="74"/>
      <c r="V153" s="76"/>
      <c r="W153" s="24"/>
      <c r="X153" s="25"/>
      <c r="Y153" s="77"/>
      <c r="Z153" s="106"/>
      <c r="AA153" s="73"/>
      <c r="AB153" s="88"/>
      <c r="AC153" s="116"/>
      <c r="AD153" s="74"/>
      <c r="AE153" s="76"/>
      <c r="AF153" s="24"/>
      <c r="AG153" s="25"/>
      <c r="AH153" s="77"/>
      <c r="AI153" s="77"/>
      <c r="AJ153" s="73"/>
      <c r="AK153" s="79"/>
      <c r="AL153" s="79"/>
      <c r="AM153" s="127"/>
      <c r="AN153" s="128"/>
      <c r="AO153" s="128"/>
      <c r="AP153" s="133"/>
      <c r="AQ153" s="127"/>
      <c r="AR153" s="134"/>
      <c r="AS153" s="132"/>
      <c r="AT153" s="10">
        <v>9361</v>
      </c>
      <c r="AU153" s="10">
        <v>11500</v>
      </c>
      <c r="AV153" s="167">
        <v>4500</v>
      </c>
      <c r="AW153" s="168">
        <v>9850</v>
      </c>
      <c r="AX153" s="29">
        <f t="shared" si="274"/>
        <v>10675</v>
      </c>
      <c r="AY153" s="24">
        <f t="shared" si="275"/>
        <v>1314</v>
      </c>
      <c r="AZ153" s="25">
        <f t="shared" si="276"/>
        <v>0.14036961863048819</v>
      </c>
      <c r="BA153" s="24">
        <f t="shared" si="277"/>
        <v>-4861</v>
      </c>
      <c r="BB153" s="169">
        <f t="shared" si="278"/>
        <v>-0.51928212797778017</v>
      </c>
      <c r="BC153" s="170">
        <f t="shared" si="279"/>
        <v>10675</v>
      </c>
      <c r="BD153" s="150"/>
      <c r="BE153" s="150"/>
      <c r="BF153" s="150"/>
      <c r="BG153" s="150"/>
      <c r="BH153" s="150"/>
      <c r="BI153" s="150"/>
      <c r="BJ153" s="150"/>
      <c r="BK153" s="150"/>
      <c r="BL153" s="150"/>
      <c r="BM153" s="293"/>
      <c r="BN153" s="293"/>
      <c r="BO153" s="293"/>
      <c r="BP153" s="293"/>
      <c r="BQ153" s="293"/>
      <c r="BR153" s="293"/>
      <c r="BS153" s="293"/>
      <c r="BT153" s="293"/>
    </row>
    <row r="154" spans="1:72" s="1" customFormat="1" ht="48" customHeight="1">
      <c r="A154" s="91"/>
      <c r="B154" s="358" t="s">
        <v>2346</v>
      </c>
      <c r="C154" s="50" t="s">
        <v>1502</v>
      </c>
      <c r="D154" s="264" t="s">
        <v>1494</v>
      </c>
      <c r="E154" s="262" t="s">
        <v>1399</v>
      </c>
      <c r="F154" s="10"/>
      <c r="G154" s="39"/>
      <c r="H154" s="33"/>
      <c r="I154" s="179"/>
      <c r="J154" s="29"/>
      <c r="K154" s="24"/>
      <c r="L154" s="25"/>
      <c r="M154" s="69"/>
      <c r="N154" s="77"/>
      <c r="O154" s="73"/>
      <c r="P154" s="74"/>
      <c r="Q154" s="74"/>
      <c r="R154" s="75"/>
      <c r="S154" s="61"/>
      <c r="T154" s="60"/>
      <c r="U154" s="74"/>
      <c r="V154" s="76"/>
      <c r="W154" s="24"/>
      <c r="X154" s="25"/>
      <c r="Y154" s="77"/>
      <c r="Z154" s="106"/>
      <c r="AA154" s="73"/>
      <c r="AB154" s="88"/>
      <c r="AC154" s="116"/>
      <c r="AD154" s="74"/>
      <c r="AE154" s="76"/>
      <c r="AF154" s="24"/>
      <c r="AG154" s="25"/>
      <c r="AH154" s="77"/>
      <c r="AI154" s="77"/>
      <c r="AJ154" s="73"/>
      <c r="AK154" s="79"/>
      <c r="AL154" s="79"/>
      <c r="AM154" s="127"/>
      <c r="AN154" s="128"/>
      <c r="AO154" s="128"/>
      <c r="AP154" s="133"/>
      <c r="AQ154" s="127"/>
      <c r="AR154" s="134"/>
      <c r="AS154" s="132"/>
      <c r="AT154" s="10"/>
      <c r="AU154" s="10"/>
      <c r="AV154" s="167"/>
      <c r="AW154" s="168"/>
      <c r="AX154" s="29"/>
      <c r="AY154" s="24"/>
      <c r="AZ154" s="25"/>
      <c r="BA154" s="24"/>
      <c r="BB154" s="169"/>
      <c r="BC154" s="170"/>
      <c r="BD154" s="10">
        <v>10698</v>
      </c>
      <c r="BE154" s="10">
        <v>12000</v>
      </c>
      <c r="BF154" s="10">
        <v>15000</v>
      </c>
      <c r="BG154" s="268">
        <v>15000</v>
      </c>
      <c r="BH154" s="10">
        <v>12000</v>
      </c>
      <c r="BI154" s="76">
        <f t="shared" ref="BI154:BI163" si="288">AVERAGE(BE154,BF154,BG154,BH154)</f>
        <v>13500</v>
      </c>
      <c r="BJ154" s="24">
        <f t="shared" ref="BJ154:BJ163" si="289">BI154-BD154</f>
        <v>2802</v>
      </c>
      <c r="BK154" s="25">
        <f t="shared" ref="BK154:BK157" si="290">+BJ154/BD154</f>
        <v>0.26191811553561412</v>
      </c>
      <c r="BL154" s="309">
        <f t="shared" ref="BL154:BL163" si="291">BI154</f>
        <v>13500</v>
      </c>
      <c r="BM154" s="293"/>
      <c r="BN154" s="293"/>
      <c r="BO154" s="293"/>
      <c r="BP154" s="293"/>
      <c r="BQ154" s="293"/>
      <c r="BR154" s="293"/>
      <c r="BS154" s="293"/>
      <c r="BT154" s="293"/>
    </row>
    <row r="155" spans="1:72" s="1" customFormat="1" ht="65.099999999999994" customHeight="1">
      <c r="A155" s="91"/>
      <c r="B155" s="358" t="s">
        <v>2347</v>
      </c>
      <c r="C155" s="50" t="s">
        <v>1503</v>
      </c>
      <c r="D155" s="264" t="s">
        <v>1495</v>
      </c>
      <c r="E155" s="262" t="s">
        <v>1399</v>
      </c>
      <c r="F155" s="10"/>
      <c r="G155" s="39"/>
      <c r="H155" s="33"/>
      <c r="I155" s="179"/>
      <c r="J155" s="29"/>
      <c r="K155" s="24"/>
      <c r="L155" s="25"/>
      <c r="M155" s="69"/>
      <c r="N155" s="77"/>
      <c r="O155" s="73"/>
      <c r="P155" s="74"/>
      <c r="Q155" s="74"/>
      <c r="R155" s="75"/>
      <c r="S155" s="61"/>
      <c r="T155" s="60"/>
      <c r="U155" s="74"/>
      <c r="V155" s="76"/>
      <c r="W155" s="24"/>
      <c r="X155" s="25"/>
      <c r="Y155" s="77"/>
      <c r="Z155" s="106"/>
      <c r="AA155" s="73"/>
      <c r="AB155" s="88"/>
      <c r="AC155" s="116"/>
      <c r="AD155" s="74"/>
      <c r="AE155" s="76"/>
      <c r="AF155" s="24"/>
      <c r="AG155" s="25"/>
      <c r="AH155" s="77"/>
      <c r="AI155" s="77"/>
      <c r="AJ155" s="73"/>
      <c r="AK155" s="79"/>
      <c r="AL155" s="79"/>
      <c r="AM155" s="127"/>
      <c r="AN155" s="128"/>
      <c r="AO155" s="128"/>
      <c r="AP155" s="133"/>
      <c r="AQ155" s="127"/>
      <c r="AR155" s="134"/>
      <c r="AS155" s="132"/>
      <c r="AT155" s="10"/>
      <c r="AU155" s="10"/>
      <c r="AV155" s="167"/>
      <c r="AW155" s="168"/>
      <c r="AX155" s="29"/>
      <c r="AY155" s="24"/>
      <c r="AZ155" s="25"/>
      <c r="BA155" s="24"/>
      <c r="BB155" s="169"/>
      <c r="BC155" s="170"/>
      <c r="BD155" s="10">
        <v>15653</v>
      </c>
      <c r="BE155" s="10">
        <v>42000</v>
      </c>
      <c r="BF155" s="10">
        <v>45000</v>
      </c>
      <c r="BG155" s="268">
        <v>45000</v>
      </c>
      <c r="BH155" s="10">
        <v>42000</v>
      </c>
      <c r="BI155" s="76">
        <f t="shared" si="288"/>
        <v>43500</v>
      </c>
      <c r="BJ155" s="24">
        <f t="shared" si="289"/>
        <v>27847</v>
      </c>
      <c r="BK155" s="25">
        <f t="shared" si="290"/>
        <v>1.7790199961668689</v>
      </c>
      <c r="BL155" s="309">
        <f t="shared" si="291"/>
        <v>43500</v>
      </c>
      <c r="BM155" s="293"/>
      <c r="BN155" s="293"/>
      <c r="BO155" s="293"/>
      <c r="BP155" s="293"/>
      <c r="BQ155" s="293"/>
      <c r="BR155" s="293"/>
      <c r="BS155" s="293"/>
      <c r="BT155" s="293"/>
    </row>
    <row r="156" spans="1:72" s="1" customFormat="1" ht="48" customHeight="1">
      <c r="A156" s="91"/>
      <c r="B156" s="358" t="s">
        <v>2348</v>
      </c>
      <c r="C156" s="50" t="s">
        <v>1504</v>
      </c>
      <c r="D156" s="264" t="s">
        <v>850</v>
      </c>
      <c r="E156" s="262" t="s">
        <v>1399</v>
      </c>
      <c r="F156" s="10"/>
      <c r="G156" s="39"/>
      <c r="H156" s="33"/>
      <c r="I156" s="179"/>
      <c r="J156" s="29"/>
      <c r="K156" s="24"/>
      <c r="L156" s="25"/>
      <c r="M156" s="69"/>
      <c r="N156" s="77"/>
      <c r="O156" s="73"/>
      <c r="P156" s="74"/>
      <c r="Q156" s="74"/>
      <c r="R156" s="75"/>
      <c r="S156" s="61"/>
      <c r="T156" s="60"/>
      <c r="U156" s="74"/>
      <c r="V156" s="76"/>
      <c r="W156" s="24"/>
      <c r="X156" s="25"/>
      <c r="Y156" s="77"/>
      <c r="Z156" s="106"/>
      <c r="AA156" s="73"/>
      <c r="AB156" s="88"/>
      <c r="AC156" s="116"/>
      <c r="AD156" s="74"/>
      <c r="AE156" s="76"/>
      <c r="AF156" s="24"/>
      <c r="AG156" s="25"/>
      <c r="AH156" s="77"/>
      <c r="AI156" s="77"/>
      <c r="AJ156" s="73"/>
      <c r="AK156" s="79"/>
      <c r="AL156" s="79"/>
      <c r="AM156" s="127"/>
      <c r="AN156" s="128"/>
      <c r="AO156" s="128"/>
      <c r="AP156" s="133"/>
      <c r="AQ156" s="127"/>
      <c r="AR156" s="134"/>
      <c r="AS156" s="132"/>
      <c r="AT156" s="10"/>
      <c r="AU156" s="10"/>
      <c r="AV156" s="167"/>
      <c r="AW156" s="168"/>
      <c r="AX156" s="29"/>
      <c r="AY156" s="24"/>
      <c r="AZ156" s="25"/>
      <c r="BA156" s="24"/>
      <c r="BB156" s="169"/>
      <c r="BC156" s="170"/>
      <c r="BD156" s="10">
        <v>7973</v>
      </c>
      <c r="BE156" s="10">
        <v>35000</v>
      </c>
      <c r="BF156" s="10">
        <v>38000</v>
      </c>
      <c r="BG156" s="268">
        <v>38000</v>
      </c>
      <c r="BH156" s="10">
        <v>35000</v>
      </c>
      <c r="BI156" s="76">
        <f t="shared" si="288"/>
        <v>36500</v>
      </c>
      <c r="BJ156" s="24">
        <f t="shared" si="289"/>
        <v>28527</v>
      </c>
      <c r="BK156" s="25">
        <f t="shared" si="290"/>
        <v>3.577950583218362</v>
      </c>
      <c r="BL156" s="309">
        <f t="shared" si="291"/>
        <v>36500</v>
      </c>
      <c r="BM156" s="293"/>
      <c r="BN156" s="293"/>
      <c r="BO156" s="293"/>
      <c r="BP156" s="293"/>
      <c r="BQ156" s="293"/>
      <c r="BR156" s="293"/>
      <c r="BS156" s="293"/>
      <c r="BT156" s="293"/>
    </row>
    <row r="157" spans="1:72" s="1" customFormat="1" ht="69" customHeight="1">
      <c r="A157" s="91"/>
      <c r="B157" s="358" t="s">
        <v>2349</v>
      </c>
      <c r="C157" s="50" t="s">
        <v>1505</v>
      </c>
      <c r="D157" s="264" t="s">
        <v>851</v>
      </c>
      <c r="E157" s="262" t="s">
        <v>1399</v>
      </c>
      <c r="F157" s="10"/>
      <c r="G157" s="39"/>
      <c r="H157" s="33"/>
      <c r="I157" s="179"/>
      <c r="J157" s="29"/>
      <c r="K157" s="24"/>
      <c r="L157" s="25"/>
      <c r="M157" s="69"/>
      <c r="N157" s="77"/>
      <c r="O157" s="73"/>
      <c r="P157" s="74"/>
      <c r="Q157" s="74"/>
      <c r="R157" s="75"/>
      <c r="S157" s="61"/>
      <c r="T157" s="60"/>
      <c r="U157" s="74"/>
      <c r="V157" s="76"/>
      <c r="W157" s="24"/>
      <c r="X157" s="25"/>
      <c r="Y157" s="77"/>
      <c r="Z157" s="106"/>
      <c r="AA157" s="73"/>
      <c r="AB157" s="88"/>
      <c r="AC157" s="116"/>
      <c r="AD157" s="74"/>
      <c r="AE157" s="76"/>
      <c r="AF157" s="24"/>
      <c r="AG157" s="25"/>
      <c r="AH157" s="77"/>
      <c r="AI157" s="77"/>
      <c r="AJ157" s="73"/>
      <c r="AK157" s="79"/>
      <c r="AL157" s="79"/>
      <c r="AM157" s="127"/>
      <c r="AN157" s="128"/>
      <c r="AO157" s="128"/>
      <c r="AP157" s="133"/>
      <c r="AQ157" s="127"/>
      <c r="AR157" s="134"/>
      <c r="AS157" s="132"/>
      <c r="AT157" s="10"/>
      <c r="AU157" s="10"/>
      <c r="AV157" s="167"/>
      <c r="AW157" s="168"/>
      <c r="AX157" s="29"/>
      <c r="AY157" s="24"/>
      <c r="AZ157" s="25"/>
      <c r="BA157" s="24"/>
      <c r="BB157" s="169"/>
      <c r="BC157" s="170"/>
      <c r="BD157" s="10">
        <v>20655</v>
      </c>
      <c r="BE157" s="10">
        <v>25000</v>
      </c>
      <c r="BF157" s="10">
        <v>28000</v>
      </c>
      <c r="BG157" s="268">
        <v>28000</v>
      </c>
      <c r="BH157" s="10">
        <v>25000</v>
      </c>
      <c r="BI157" s="76">
        <f t="shared" si="288"/>
        <v>26500</v>
      </c>
      <c r="BJ157" s="24">
        <f t="shared" si="289"/>
        <v>5845</v>
      </c>
      <c r="BK157" s="25">
        <f t="shared" si="290"/>
        <v>0.28298232873396273</v>
      </c>
      <c r="BL157" s="309">
        <f t="shared" si="291"/>
        <v>26500</v>
      </c>
      <c r="BM157" s="293"/>
      <c r="BN157" s="293"/>
      <c r="BO157" s="293"/>
      <c r="BP157" s="293"/>
      <c r="BQ157" s="293"/>
      <c r="BR157" s="293"/>
      <c r="BS157" s="293"/>
      <c r="BT157" s="293"/>
    </row>
    <row r="158" spans="1:72" s="1" customFormat="1" ht="48" customHeight="1">
      <c r="A158" s="91"/>
      <c r="B158" s="358" t="s">
        <v>2350</v>
      </c>
      <c r="C158" s="50" t="s">
        <v>1506</v>
      </c>
      <c r="D158" s="264" t="s">
        <v>1496</v>
      </c>
      <c r="E158" s="262" t="s">
        <v>1457</v>
      </c>
      <c r="F158" s="10"/>
      <c r="G158" s="39"/>
      <c r="H158" s="33"/>
      <c r="I158" s="179"/>
      <c r="J158" s="29"/>
      <c r="K158" s="24"/>
      <c r="L158" s="25"/>
      <c r="M158" s="69"/>
      <c r="N158" s="77"/>
      <c r="O158" s="73"/>
      <c r="P158" s="74"/>
      <c r="Q158" s="74"/>
      <c r="R158" s="75"/>
      <c r="S158" s="61"/>
      <c r="T158" s="60"/>
      <c r="U158" s="74"/>
      <c r="V158" s="76"/>
      <c r="W158" s="24"/>
      <c r="X158" s="25"/>
      <c r="Y158" s="77"/>
      <c r="Z158" s="106"/>
      <c r="AA158" s="73"/>
      <c r="AB158" s="88"/>
      <c r="AC158" s="116"/>
      <c r="AD158" s="74"/>
      <c r="AE158" s="76"/>
      <c r="AF158" s="24"/>
      <c r="AG158" s="25"/>
      <c r="AH158" s="77"/>
      <c r="AI158" s="77"/>
      <c r="AJ158" s="73"/>
      <c r="AK158" s="79"/>
      <c r="AL158" s="79"/>
      <c r="AM158" s="127"/>
      <c r="AN158" s="128"/>
      <c r="AO158" s="128"/>
      <c r="AP158" s="133"/>
      <c r="AQ158" s="127"/>
      <c r="AR158" s="134"/>
      <c r="AS158" s="132"/>
      <c r="AT158" s="10"/>
      <c r="AU158" s="10"/>
      <c r="AV158" s="167"/>
      <c r="AW158" s="168"/>
      <c r="AX158" s="29"/>
      <c r="AY158" s="24"/>
      <c r="AZ158" s="25"/>
      <c r="BA158" s="24"/>
      <c r="BB158" s="169"/>
      <c r="BC158" s="170"/>
      <c r="BD158" s="10">
        <v>8059</v>
      </c>
      <c r="BE158" s="10">
        <v>35000</v>
      </c>
      <c r="BF158" s="10">
        <v>38000</v>
      </c>
      <c r="BG158" s="268">
        <v>38000</v>
      </c>
      <c r="BH158" s="10">
        <v>35000</v>
      </c>
      <c r="BI158" s="76">
        <f t="shared" si="288"/>
        <v>36500</v>
      </c>
      <c r="BJ158" s="24">
        <f t="shared" si="289"/>
        <v>28441</v>
      </c>
      <c r="BK158" s="25">
        <f t="shared" ref="BK158:BK163" si="292">+BJ158/BD158</f>
        <v>3.5290979029656286</v>
      </c>
      <c r="BL158" s="309">
        <f t="shared" si="291"/>
        <v>36500</v>
      </c>
      <c r="BM158" s="293"/>
      <c r="BN158" s="293"/>
      <c r="BO158" s="293"/>
      <c r="BP158" s="293"/>
      <c r="BQ158" s="293"/>
      <c r="BR158" s="293"/>
      <c r="BS158" s="293"/>
      <c r="BT158" s="293"/>
    </row>
    <row r="159" spans="1:72" s="1" customFormat="1" ht="48" customHeight="1">
      <c r="A159" s="91"/>
      <c r="B159" s="358" t="s">
        <v>2351</v>
      </c>
      <c r="C159" s="50" t="s">
        <v>1507</v>
      </c>
      <c r="D159" s="264" t="s">
        <v>1497</v>
      </c>
      <c r="E159" s="262" t="s">
        <v>1457</v>
      </c>
      <c r="F159" s="10"/>
      <c r="G159" s="39"/>
      <c r="H159" s="33"/>
      <c r="I159" s="179"/>
      <c r="J159" s="29"/>
      <c r="K159" s="24"/>
      <c r="L159" s="25"/>
      <c r="M159" s="69"/>
      <c r="N159" s="77"/>
      <c r="O159" s="73"/>
      <c r="P159" s="74"/>
      <c r="Q159" s="74"/>
      <c r="R159" s="75"/>
      <c r="S159" s="61"/>
      <c r="T159" s="60"/>
      <c r="U159" s="74"/>
      <c r="V159" s="76"/>
      <c r="W159" s="24"/>
      <c r="X159" s="25"/>
      <c r="Y159" s="77"/>
      <c r="Z159" s="106"/>
      <c r="AA159" s="73"/>
      <c r="AB159" s="88"/>
      <c r="AC159" s="116"/>
      <c r="AD159" s="74"/>
      <c r="AE159" s="76"/>
      <c r="AF159" s="24"/>
      <c r="AG159" s="25"/>
      <c r="AH159" s="77"/>
      <c r="AI159" s="77"/>
      <c r="AJ159" s="73"/>
      <c r="AK159" s="79"/>
      <c r="AL159" s="79"/>
      <c r="AM159" s="127"/>
      <c r="AN159" s="128"/>
      <c r="AO159" s="128"/>
      <c r="AP159" s="133"/>
      <c r="AQ159" s="127"/>
      <c r="AR159" s="134"/>
      <c r="AS159" s="132"/>
      <c r="AT159" s="10"/>
      <c r="AU159" s="10"/>
      <c r="AV159" s="167"/>
      <c r="AW159" s="168"/>
      <c r="AX159" s="29"/>
      <c r="AY159" s="24"/>
      <c r="AZ159" s="25"/>
      <c r="BA159" s="24"/>
      <c r="BB159" s="169"/>
      <c r="BC159" s="170"/>
      <c r="BD159" s="10">
        <v>3446</v>
      </c>
      <c r="BE159" s="10">
        <v>4000</v>
      </c>
      <c r="BF159" s="10">
        <v>5500</v>
      </c>
      <c r="BG159" s="268">
        <v>5500</v>
      </c>
      <c r="BH159" s="10">
        <v>4000</v>
      </c>
      <c r="BI159" s="76">
        <f t="shared" si="288"/>
        <v>4750</v>
      </c>
      <c r="BJ159" s="24">
        <f t="shared" si="289"/>
        <v>1304</v>
      </c>
      <c r="BK159" s="25">
        <f t="shared" si="292"/>
        <v>0.3784097504352873</v>
      </c>
      <c r="BL159" s="309">
        <f t="shared" si="291"/>
        <v>4750</v>
      </c>
      <c r="BM159" s="293"/>
      <c r="BN159" s="293"/>
      <c r="BO159" s="293"/>
      <c r="BP159" s="293"/>
      <c r="BQ159" s="293"/>
      <c r="BR159" s="293"/>
      <c r="BS159" s="293"/>
      <c r="BT159" s="293"/>
    </row>
    <row r="160" spans="1:72" s="1" customFormat="1" ht="48" customHeight="1">
      <c r="A160" s="91"/>
      <c r="B160" s="358" t="s">
        <v>2352</v>
      </c>
      <c r="C160" s="50" t="s">
        <v>1508</v>
      </c>
      <c r="D160" s="264" t="s">
        <v>1498</v>
      </c>
      <c r="E160" s="262" t="s">
        <v>1457</v>
      </c>
      <c r="F160" s="10"/>
      <c r="G160" s="39"/>
      <c r="H160" s="33"/>
      <c r="I160" s="179"/>
      <c r="J160" s="29"/>
      <c r="K160" s="24"/>
      <c r="L160" s="25"/>
      <c r="M160" s="69"/>
      <c r="N160" s="77"/>
      <c r="O160" s="73"/>
      <c r="P160" s="74"/>
      <c r="Q160" s="74"/>
      <c r="R160" s="75"/>
      <c r="S160" s="61"/>
      <c r="T160" s="60"/>
      <c r="U160" s="74"/>
      <c r="V160" s="76"/>
      <c r="W160" s="24"/>
      <c r="X160" s="25"/>
      <c r="Y160" s="77"/>
      <c r="Z160" s="106"/>
      <c r="AA160" s="73"/>
      <c r="AB160" s="88"/>
      <c r="AC160" s="116"/>
      <c r="AD160" s="74"/>
      <c r="AE160" s="76"/>
      <c r="AF160" s="24"/>
      <c r="AG160" s="25"/>
      <c r="AH160" s="77"/>
      <c r="AI160" s="77"/>
      <c r="AJ160" s="73"/>
      <c r="AK160" s="79"/>
      <c r="AL160" s="79"/>
      <c r="AM160" s="127"/>
      <c r="AN160" s="128"/>
      <c r="AO160" s="128"/>
      <c r="AP160" s="133"/>
      <c r="AQ160" s="127"/>
      <c r="AR160" s="134"/>
      <c r="AS160" s="132"/>
      <c r="AT160" s="10"/>
      <c r="AU160" s="10"/>
      <c r="AV160" s="167"/>
      <c r="AW160" s="168"/>
      <c r="AX160" s="29"/>
      <c r="AY160" s="24"/>
      <c r="AZ160" s="25"/>
      <c r="BA160" s="24"/>
      <c r="BB160" s="169"/>
      <c r="BC160" s="170"/>
      <c r="BD160" s="10">
        <v>3360</v>
      </c>
      <c r="BE160" s="10">
        <v>11000</v>
      </c>
      <c r="BF160" s="10">
        <v>14000</v>
      </c>
      <c r="BG160" s="268">
        <v>14000</v>
      </c>
      <c r="BH160" s="10">
        <v>11000</v>
      </c>
      <c r="BI160" s="76">
        <f t="shared" si="288"/>
        <v>12500</v>
      </c>
      <c r="BJ160" s="24">
        <f t="shared" si="289"/>
        <v>9140</v>
      </c>
      <c r="BK160" s="25">
        <f t="shared" si="292"/>
        <v>2.7202380952380953</v>
      </c>
      <c r="BL160" s="309">
        <f t="shared" si="291"/>
        <v>12500</v>
      </c>
      <c r="BM160" s="293"/>
      <c r="BN160" s="293"/>
      <c r="BO160" s="293"/>
      <c r="BP160" s="293"/>
      <c r="BQ160" s="293"/>
      <c r="BR160" s="293"/>
      <c r="BS160" s="293"/>
      <c r="BT160" s="293"/>
    </row>
    <row r="161" spans="1:72" s="1" customFormat="1" ht="48" customHeight="1">
      <c r="A161" s="91"/>
      <c r="B161" s="358" t="s">
        <v>2353</v>
      </c>
      <c r="C161" s="50" t="s">
        <v>1509</v>
      </c>
      <c r="D161" s="264" t="s">
        <v>1499</v>
      </c>
      <c r="E161" s="262" t="s">
        <v>1457</v>
      </c>
      <c r="F161" s="10"/>
      <c r="G161" s="39"/>
      <c r="H161" s="33"/>
      <c r="I161" s="179"/>
      <c r="J161" s="29"/>
      <c r="K161" s="24"/>
      <c r="L161" s="25"/>
      <c r="M161" s="69"/>
      <c r="N161" s="77"/>
      <c r="O161" s="73"/>
      <c r="P161" s="74"/>
      <c r="Q161" s="74"/>
      <c r="R161" s="75"/>
      <c r="S161" s="61"/>
      <c r="T161" s="60"/>
      <c r="U161" s="74"/>
      <c r="V161" s="76"/>
      <c r="W161" s="24"/>
      <c r="X161" s="25"/>
      <c r="Y161" s="77"/>
      <c r="Z161" s="106"/>
      <c r="AA161" s="73"/>
      <c r="AB161" s="88"/>
      <c r="AC161" s="116"/>
      <c r="AD161" s="74"/>
      <c r="AE161" s="76"/>
      <c r="AF161" s="24"/>
      <c r="AG161" s="25"/>
      <c r="AH161" s="77"/>
      <c r="AI161" s="77"/>
      <c r="AJ161" s="73"/>
      <c r="AK161" s="79"/>
      <c r="AL161" s="79"/>
      <c r="AM161" s="127"/>
      <c r="AN161" s="128"/>
      <c r="AO161" s="128"/>
      <c r="AP161" s="133"/>
      <c r="AQ161" s="127"/>
      <c r="AR161" s="134"/>
      <c r="AS161" s="132"/>
      <c r="AT161" s="10"/>
      <c r="AU161" s="10"/>
      <c r="AV161" s="167"/>
      <c r="AW161" s="168"/>
      <c r="AX161" s="29"/>
      <c r="AY161" s="24"/>
      <c r="AZ161" s="25"/>
      <c r="BA161" s="24"/>
      <c r="BB161" s="169"/>
      <c r="BC161" s="170"/>
      <c r="BD161" s="10">
        <v>14001</v>
      </c>
      <c r="BE161" s="10">
        <v>9500</v>
      </c>
      <c r="BF161" s="10">
        <v>12000</v>
      </c>
      <c r="BG161" s="268">
        <v>12000</v>
      </c>
      <c r="BH161" s="10">
        <v>9500</v>
      </c>
      <c r="BI161" s="76">
        <f t="shared" si="288"/>
        <v>10750</v>
      </c>
      <c r="BJ161" s="24">
        <f t="shared" si="289"/>
        <v>-3251</v>
      </c>
      <c r="BK161" s="25">
        <f t="shared" si="292"/>
        <v>-0.23219770016427399</v>
      </c>
      <c r="BL161" s="309">
        <f t="shared" si="291"/>
        <v>10750</v>
      </c>
      <c r="BM161" s="293"/>
      <c r="BN161" s="293"/>
      <c r="BO161" s="293"/>
      <c r="BP161" s="293"/>
      <c r="BQ161" s="293"/>
      <c r="BR161" s="293"/>
      <c r="BS161" s="293"/>
      <c r="BT161" s="293"/>
    </row>
    <row r="162" spans="1:72" s="1" customFormat="1" ht="48" customHeight="1">
      <c r="A162" s="91"/>
      <c r="B162" s="358" t="s">
        <v>2354</v>
      </c>
      <c r="C162" s="50" t="s">
        <v>1510</v>
      </c>
      <c r="D162" s="264" t="s">
        <v>1500</v>
      </c>
      <c r="E162" s="262" t="s">
        <v>999</v>
      </c>
      <c r="F162" s="10"/>
      <c r="G162" s="39"/>
      <c r="H162" s="33"/>
      <c r="I162" s="179"/>
      <c r="J162" s="29"/>
      <c r="K162" s="24"/>
      <c r="L162" s="25"/>
      <c r="M162" s="69"/>
      <c r="N162" s="77"/>
      <c r="O162" s="73"/>
      <c r="P162" s="74"/>
      <c r="Q162" s="74"/>
      <c r="R162" s="75"/>
      <c r="S162" s="61"/>
      <c r="T162" s="60"/>
      <c r="U162" s="74"/>
      <c r="V162" s="76"/>
      <c r="W162" s="24"/>
      <c r="X162" s="25"/>
      <c r="Y162" s="77"/>
      <c r="Z162" s="106"/>
      <c r="AA162" s="73"/>
      <c r="AB162" s="88"/>
      <c r="AC162" s="116"/>
      <c r="AD162" s="74"/>
      <c r="AE162" s="76"/>
      <c r="AF162" s="24"/>
      <c r="AG162" s="25"/>
      <c r="AH162" s="77"/>
      <c r="AI162" s="77"/>
      <c r="AJ162" s="73"/>
      <c r="AK162" s="79"/>
      <c r="AL162" s="79"/>
      <c r="AM162" s="127"/>
      <c r="AN162" s="128"/>
      <c r="AO162" s="128"/>
      <c r="AP162" s="133"/>
      <c r="AQ162" s="127"/>
      <c r="AR162" s="134"/>
      <c r="AS162" s="132"/>
      <c r="AT162" s="10"/>
      <c r="AU162" s="10"/>
      <c r="AV162" s="167"/>
      <c r="AW162" s="168"/>
      <c r="AX162" s="29"/>
      <c r="AY162" s="24"/>
      <c r="AZ162" s="25"/>
      <c r="BA162" s="24"/>
      <c r="BB162" s="169"/>
      <c r="BC162" s="170"/>
      <c r="BD162" s="10">
        <v>16963</v>
      </c>
      <c r="BE162" s="10">
        <v>15000</v>
      </c>
      <c r="BF162" s="10">
        <v>15000</v>
      </c>
      <c r="BG162" s="268">
        <v>15000</v>
      </c>
      <c r="BH162" s="10">
        <v>15000</v>
      </c>
      <c r="BI162" s="76">
        <f t="shared" si="288"/>
        <v>15000</v>
      </c>
      <c r="BJ162" s="24">
        <f t="shared" si="289"/>
        <v>-1963</v>
      </c>
      <c r="BK162" s="25">
        <f t="shared" si="292"/>
        <v>-0.1157224547544656</v>
      </c>
      <c r="BL162" s="309">
        <f t="shared" si="291"/>
        <v>15000</v>
      </c>
      <c r="BM162" s="293"/>
      <c r="BN162" s="293"/>
      <c r="BO162" s="293"/>
      <c r="BP162" s="293"/>
      <c r="BQ162" s="293"/>
      <c r="BR162" s="293"/>
      <c r="BS162" s="293"/>
      <c r="BT162" s="293"/>
    </row>
    <row r="163" spans="1:72" s="1" customFormat="1" ht="48" customHeight="1">
      <c r="A163" s="91"/>
      <c r="B163" s="358" t="s">
        <v>2355</v>
      </c>
      <c r="C163" s="50" t="s">
        <v>1511</v>
      </c>
      <c r="D163" s="264" t="s">
        <v>1501</v>
      </c>
      <c r="E163" s="262" t="s">
        <v>1399</v>
      </c>
      <c r="F163" s="10"/>
      <c r="G163" s="39"/>
      <c r="H163" s="33"/>
      <c r="I163" s="179"/>
      <c r="J163" s="29"/>
      <c r="K163" s="24"/>
      <c r="L163" s="25"/>
      <c r="M163" s="69"/>
      <c r="N163" s="77"/>
      <c r="O163" s="73"/>
      <c r="P163" s="74"/>
      <c r="Q163" s="74"/>
      <c r="R163" s="75"/>
      <c r="S163" s="61"/>
      <c r="T163" s="60"/>
      <c r="U163" s="74"/>
      <c r="V163" s="76"/>
      <c r="W163" s="24"/>
      <c r="X163" s="25"/>
      <c r="Y163" s="77"/>
      <c r="Z163" s="106"/>
      <c r="AA163" s="73"/>
      <c r="AB163" s="88"/>
      <c r="AC163" s="116"/>
      <c r="AD163" s="74"/>
      <c r="AE163" s="76"/>
      <c r="AF163" s="24"/>
      <c r="AG163" s="25"/>
      <c r="AH163" s="77"/>
      <c r="AI163" s="77"/>
      <c r="AJ163" s="73"/>
      <c r="AK163" s="79"/>
      <c r="AL163" s="79"/>
      <c r="AM163" s="127"/>
      <c r="AN163" s="128"/>
      <c r="AO163" s="128"/>
      <c r="AP163" s="133"/>
      <c r="AQ163" s="127"/>
      <c r="AR163" s="134"/>
      <c r="AS163" s="132"/>
      <c r="AT163" s="10"/>
      <c r="AU163" s="10"/>
      <c r="AV163" s="167"/>
      <c r="AW163" s="168"/>
      <c r="AX163" s="29"/>
      <c r="AY163" s="24"/>
      <c r="AZ163" s="25"/>
      <c r="BA163" s="24"/>
      <c r="BB163" s="169"/>
      <c r="BC163" s="170"/>
      <c r="BD163" s="10">
        <v>91668</v>
      </c>
      <c r="BE163" s="10">
        <v>25000</v>
      </c>
      <c r="BF163" s="10"/>
      <c r="BG163" s="268">
        <v>28000</v>
      </c>
      <c r="BH163" s="10">
        <v>25000</v>
      </c>
      <c r="BI163" s="76">
        <f t="shared" si="288"/>
        <v>26000</v>
      </c>
      <c r="BJ163" s="24">
        <f t="shared" si="289"/>
        <v>-65668</v>
      </c>
      <c r="BK163" s="25">
        <f t="shared" si="292"/>
        <v>-0.71636776192346296</v>
      </c>
      <c r="BL163" s="309">
        <f t="shared" si="291"/>
        <v>26000</v>
      </c>
      <c r="BM163" s="293"/>
      <c r="BN163" s="293"/>
      <c r="BO163" s="293"/>
      <c r="BP163" s="293"/>
      <c r="BQ163" s="293"/>
      <c r="BR163" s="293"/>
      <c r="BS163" s="293"/>
      <c r="BT163" s="293"/>
    </row>
    <row r="164" spans="1:72" s="1" customFormat="1" ht="48" customHeight="1">
      <c r="A164" s="91"/>
      <c r="B164" s="358" t="s">
        <v>2356</v>
      </c>
      <c r="C164" s="50" t="s">
        <v>2160</v>
      </c>
      <c r="D164" s="322" t="s">
        <v>2159</v>
      </c>
      <c r="E164" s="48" t="s">
        <v>1466</v>
      </c>
      <c r="F164" s="10"/>
      <c r="G164" s="39"/>
      <c r="H164" s="33"/>
      <c r="I164" s="179"/>
      <c r="J164" s="29"/>
      <c r="K164" s="24"/>
      <c r="L164" s="25"/>
      <c r="M164" s="69"/>
      <c r="N164" s="77"/>
      <c r="O164" s="73"/>
      <c r="P164" s="74"/>
      <c r="Q164" s="74"/>
      <c r="R164" s="75"/>
      <c r="S164" s="61"/>
      <c r="T164" s="60"/>
      <c r="U164" s="74"/>
      <c r="V164" s="76"/>
      <c r="W164" s="24"/>
      <c r="X164" s="25"/>
      <c r="Y164" s="77"/>
      <c r="Z164" s="106"/>
      <c r="AA164" s="73"/>
      <c r="AB164" s="88"/>
      <c r="AC164" s="116"/>
      <c r="AD164" s="74"/>
      <c r="AE164" s="76"/>
      <c r="AF164" s="24"/>
      <c r="AG164" s="25"/>
      <c r="AH164" s="77"/>
      <c r="AI164" s="77"/>
      <c r="AJ164" s="73"/>
      <c r="AK164" s="79"/>
      <c r="AL164" s="79"/>
      <c r="AM164" s="127"/>
      <c r="AN164" s="128"/>
      <c r="AO164" s="128"/>
      <c r="AP164" s="133"/>
      <c r="AQ164" s="127"/>
      <c r="AR164" s="134"/>
      <c r="AS164" s="132"/>
      <c r="AT164" s="10"/>
      <c r="AU164" s="10"/>
      <c r="AV164" s="167"/>
      <c r="AW164" s="168"/>
      <c r="AX164" s="29"/>
      <c r="AY164" s="24"/>
      <c r="AZ164" s="25"/>
      <c r="BA164" s="24"/>
      <c r="BB164" s="169"/>
      <c r="BC164" s="170"/>
      <c r="BD164" s="10"/>
      <c r="BE164" s="10"/>
      <c r="BF164" s="10"/>
      <c r="BG164" s="268"/>
      <c r="BH164" s="10"/>
      <c r="BI164" s="76"/>
      <c r="BJ164" s="24"/>
      <c r="BK164" s="25"/>
      <c r="BL164" s="259"/>
      <c r="BM164" s="10">
        <v>39489</v>
      </c>
      <c r="BN164" s="45"/>
      <c r="BO164" s="45">
        <v>150000</v>
      </c>
      <c r="BP164" s="45">
        <v>27000</v>
      </c>
      <c r="BQ164" s="29">
        <f t="shared" ref="BQ164" si="293">AVERAGE(BN164,BO164,BP164)</f>
        <v>88500</v>
      </c>
      <c r="BR164" s="24">
        <f t="shared" ref="BR164" si="294">BQ164-BM164</f>
        <v>49011</v>
      </c>
      <c r="BS164" s="25">
        <f t="shared" ref="BS164" si="295">+BR164/BM164</f>
        <v>1.2411304413887412</v>
      </c>
      <c r="BT164" s="308">
        <f t="shared" ref="BT164" si="296">BQ164</f>
        <v>88500</v>
      </c>
    </row>
    <row r="165" spans="1:72" ht="27" customHeight="1">
      <c r="A165" s="91" t="s">
        <v>18</v>
      </c>
      <c r="B165" s="358" t="s">
        <v>2357</v>
      </c>
      <c r="C165" s="252" t="s">
        <v>752</v>
      </c>
      <c r="D165" s="100" t="s">
        <v>18</v>
      </c>
      <c r="E165" s="47"/>
      <c r="F165" s="47"/>
      <c r="G165" s="47"/>
      <c r="H165" s="47"/>
      <c r="I165" s="47"/>
      <c r="J165" s="47"/>
      <c r="K165" s="47"/>
      <c r="L165" s="47"/>
      <c r="M165" s="91"/>
      <c r="N165" s="47"/>
      <c r="O165" s="47"/>
      <c r="P165" s="47"/>
      <c r="Q165" s="47"/>
      <c r="R165" s="47"/>
      <c r="S165" s="47"/>
      <c r="T165" s="47"/>
      <c r="U165" s="47"/>
      <c r="V165" s="47"/>
      <c r="W165" s="47"/>
      <c r="X165" s="47"/>
      <c r="Y165" s="47"/>
      <c r="Z165" s="47"/>
      <c r="AA165" s="47"/>
      <c r="AB165" s="47"/>
      <c r="AC165" s="47"/>
      <c r="AD165" s="47"/>
      <c r="AE165" s="47"/>
      <c r="AF165" s="47"/>
      <c r="AG165" s="47"/>
      <c r="AH165" s="47"/>
      <c r="AI165" s="47"/>
      <c r="AJ165" s="147"/>
      <c r="AK165" s="148"/>
      <c r="AL165" s="148"/>
      <c r="AM165" s="149"/>
      <c r="AN165" s="148"/>
      <c r="AO165" s="148"/>
      <c r="AP165" s="133"/>
      <c r="AQ165" s="127"/>
      <c r="AR165" s="134"/>
      <c r="AS165" s="132"/>
      <c r="AT165" s="173"/>
      <c r="AU165" s="173"/>
      <c r="AV165" s="174"/>
      <c r="AW165" s="175"/>
      <c r="AX165" s="29"/>
      <c r="AY165" s="24"/>
      <c r="AZ165" s="25"/>
      <c r="BA165" s="24"/>
      <c r="BB165" s="169"/>
      <c r="BC165" s="170"/>
      <c r="BD165" s="173"/>
      <c r="BE165" s="173"/>
      <c r="BF165" s="173"/>
      <c r="BG165" s="274"/>
      <c r="BH165" s="266"/>
      <c r="BI165" s="76"/>
      <c r="BJ165" s="24"/>
      <c r="BK165" s="25"/>
      <c r="BL165" s="259"/>
      <c r="BM165" s="320"/>
      <c r="BN165" s="321"/>
      <c r="BO165" s="321"/>
      <c r="BP165" s="320"/>
      <c r="BQ165" s="29"/>
      <c r="BR165" s="24"/>
      <c r="BS165" s="25"/>
      <c r="BT165" s="308"/>
    </row>
    <row r="166" spans="1:72" ht="38.450000000000003" customHeight="1">
      <c r="A166" s="91" t="s">
        <v>18</v>
      </c>
      <c r="B166" s="358" t="s">
        <v>2358</v>
      </c>
      <c r="C166" s="50" t="s">
        <v>119</v>
      </c>
      <c r="D166" s="99" t="s">
        <v>458</v>
      </c>
      <c r="E166" s="48" t="s">
        <v>10</v>
      </c>
      <c r="F166" s="10">
        <v>7660</v>
      </c>
      <c r="G166" s="38">
        <v>9963</v>
      </c>
      <c r="H166" s="31">
        <v>12952</v>
      </c>
      <c r="I166" s="36">
        <v>8708.4</v>
      </c>
      <c r="J166" s="29">
        <f t="shared" si="270"/>
        <v>10541.133333333333</v>
      </c>
      <c r="K166" s="24">
        <f t="shared" si="271"/>
        <v>2881.1333333333332</v>
      </c>
      <c r="L166" s="25">
        <f t="shared" si="272"/>
        <v>0.37612706701479548</v>
      </c>
      <c r="M166" s="69" t="str">
        <f t="shared" si="273"/>
        <v>REVISAR PRECIO</v>
      </c>
      <c r="N166" s="77">
        <f t="shared" si="241"/>
        <v>10541.133333333333</v>
      </c>
      <c r="O166" s="73">
        <v>8069</v>
      </c>
      <c r="P166" s="74">
        <v>8050</v>
      </c>
      <c r="Q166" s="74">
        <v>10000</v>
      </c>
      <c r="R166" s="75">
        <v>9275</v>
      </c>
      <c r="S166" s="61">
        <v>8049.9999999999991</v>
      </c>
      <c r="T166" s="60">
        <v>19000</v>
      </c>
      <c r="U166" s="74">
        <v>9257.4999999999982</v>
      </c>
      <c r="V166" s="76">
        <f t="shared" ref="V166:V195" si="297">AVERAGE(P166,Q166,R166,S166,T166,U166)</f>
        <v>10605.416666666666</v>
      </c>
      <c r="W166" s="24">
        <f t="shared" ref="W166:W195" si="298">V166-O166</f>
        <v>2536.4166666666661</v>
      </c>
      <c r="X166" s="25">
        <f t="shared" ref="X166:X195" si="299">+W166/O166</f>
        <v>0.31434089313008629</v>
      </c>
      <c r="Y166" s="77">
        <f t="shared" ref="Y166:Y195" si="300">+IF(X166&lt;35%,V166,"REVISAR PRECIO")</f>
        <v>10605.416666666666</v>
      </c>
      <c r="Z166" s="106">
        <f t="shared" ref="Z166:Z195" si="301">V166</f>
        <v>10605.416666666666</v>
      </c>
      <c r="AA166" s="73">
        <v>8069</v>
      </c>
      <c r="AB166" s="88">
        <v>7350</v>
      </c>
      <c r="AC166" s="116">
        <v>7350</v>
      </c>
      <c r="AD166" s="74">
        <v>7700</v>
      </c>
      <c r="AE166" s="76">
        <f t="shared" ref="AE166:AE195" si="302">AVERAGE(AB166,AC166,AD166)</f>
        <v>7466.666666666667</v>
      </c>
      <c r="AF166" s="24">
        <f t="shared" ref="AF166:AF195" si="303">AE166-AA166</f>
        <v>-602.33333333333303</v>
      </c>
      <c r="AG166" s="25">
        <f t="shared" ref="AG166:AG195" si="304">+AF166/AA166</f>
        <v>-7.4647829140331273E-2</v>
      </c>
      <c r="AH166" s="77">
        <f t="shared" ref="AH166:AH195" si="305">+IF(AG166&lt;35%,AE166,"REVISAR PRECIO")</f>
        <v>7466.666666666667</v>
      </c>
      <c r="AI166" s="77">
        <f t="shared" ref="AI166:AI195" si="306">AE166</f>
        <v>7466.666666666667</v>
      </c>
      <c r="AJ166" s="73">
        <v>8069</v>
      </c>
      <c r="AK166" s="79">
        <v>9275</v>
      </c>
      <c r="AL166" s="79">
        <v>7000</v>
      </c>
      <c r="AM166" s="127">
        <v>8400</v>
      </c>
      <c r="AN166" s="128">
        <v>5200</v>
      </c>
      <c r="AO166" s="128">
        <v>8000</v>
      </c>
      <c r="AP166" s="133">
        <f t="shared" ref="AP166:AP195" si="307">AVERAGE(AK166,AL166,AM166,AN166,AO166)</f>
        <v>7575</v>
      </c>
      <c r="AQ166" s="127">
        <f t="shared" ref="AQ166:AQ195" si="308">AP166-AJ166</f>
        <v>-494</v>
      </c>
      <c r="AR166" s="134">
        <f t="shared" ref="AR166:AR195" si="309">+AQ166/AJ166</f>
        <v>-6.1221960589912007E-2</v>
      </c>
      <c r="AS166" s="132">
        <f t="shared" ref="AS166:AS185" si="310">AP166</f>
        <v>7575</v>
      </c>
      <c r="AT166" s="10">
        <v>5962</v>
      </c>
      <c r="AU166" s="10">
        <v>7000</v>
      </c>
      <c r="AV166" s="167">
        <v>14000</v>
      </c>
      <c r="AW166" s="168">
        <v>6200</v>
      </c>
      <c r="AX166" s="29">
        <f t="shared" ref="AX166:AX204" si="311">AVERAGE(AU166,AW166)</f>
        <v>6600</v>
      </c>
      <c r="AY166" s="24">
        <f t="shared" ref="AY166:AY204" si="312">AX166-AT166</f>
        <v>638</v>
      </c>
      <c r="AZ166" s="25">
        <f t="shared" ref="AZ166:AZ204" si="313">+AY166/AT166</f>
        <v>0.1070110701107011</v>
      </c>
      <c r="BA166" s="24">
        <f t="shared" ref="BA166:BA204" si="314">AV166-AT166</f>
        <v>8038</v>
      </c>
      <c r="BB166" s="169">
        <f t="shared" ref="BB166:BB204" si="315">+BA166/AT166</f>
        <v>1.3482053002348204</v>
      </c>
      <c r="BC166" s="170">
        <f t="shared" ref="BC166:BC204" si="316">AX166</f>
        <v>6600</v>
      </c>
      <c r="BD166" s="150"/>
      <c r="BE166" s="150"/>
      <c r="BF166" s="150"/>
      <c r="BG166" s="150"/>
      <c r="BH166" s="150"/>
      <c r="BI166" s="150"/>
      <c r="BJ166" s="150"/>
      <c r="BK166" s="150"/>
      <c r="BL166" s="150"/>
      <c r="BM166" s="293"/>
      <c r="BN166" s="293"/>
      <c r="BO166" s="293"/>
      <c r="BP166" s="293"/>
      <c r="BQ166" s="293"/>
      <c r="BR166" s="293"/>
      <c r="BS166" s="293"/>
      <c r="BT166" s="293"/>
    </row>
    <row r="167" spans="1:72" s="1" customFormat="1" ht="32.450000000000003" customHeight="1">
      <c r="A167" s="91" t="s">
        <v>18</v>
      </c>
      <c r="B167" s="358" t="s">
        <v>2359</v>
      </c>
      <c r="C167" s="50" t="s">
        <v>120</v>
      </c>
      <c r="D167" s="99" t="s">
        <v>459</v>
      </c>
      <c r="E167" s="48" t="s">
        <v>14</v>
      </c>
      <c r="F167" s="10">
        <v>22244</v>
      </c>
      <c r="G167" s="38">
        <v>28931</v>
      </c>
      <c r="H167" s="33">
        <v>37610</v>
      </c>
      <c r="I167" s="36">
        <v>25287.4</v>
      </c>
      <c r="J167" s="29">
        <f t="shared" si="270"/>
        <v>30609.466666666664</v>
      </c>
      <c r="K167" s="24">
        <f t="shared" si="271"/>
        <v>8365.4666666666635</v>
      </c>
      <c r="L167" s="25">
        <f t="shared" si="272"/>
        <v>0.37607744410477717</v>
      </c>
      <c r="M167" s="69" t="str">
        <f t="shared" si="273"/>
        <v>REVISAR PRECIO</v>
      </c>
      <c r="N167" s="77">
        <f t="shared" si="241"/>
        <v>30609.466666666664</v>
      </c>
      <c r="O167" s="73">
        <v>17656</v>
      </c>
      <c r="P167" s="74">
        <v>46000</v>
      </c>
      <c r="Q167" s="74">
        <v>70000</v>
      </c>
      <c r="R167" s="75">
        <v>53000</v>
      </c>
      <c r="S167" s="61">
        <v>46000</v>
      </c>
      <c r="T167" s="60">
        <v>35000</v>
      </c>
      <c r="U167" s="74">
        <v>52899.999999999993</v>
      </c>
      <c r="V167" s="76">
        <f t="shared" si="297"/>
        <v>50483.333333333336</v>
      </c>
      <c r="W167" s="24">
        <f t="shared" si="298"/>
        <v>32827.333333333336</v>
      </c>
      <c r="X167" s="25">
        <f t="shared" si="299"/>
        <v>1.8592735236369129</v>
      </c>
      <c r="Y167" s="77" t="str">
        <f t="shared" si="300"/>
        <v>REVISAR PRECIO</v>
      </c>
      <c r="Z167" s="106">
        <f t="shared" si="301"/>
        <v>50483.333333333336</v>
      </c>
      <c r="AA167" s="73">
        <v>17656</v>
      </c>
      <c r="AB167" s="88">
        <v>42000</v>
      </c>
      <c r="AC167" s="116">
        <v>42000</v>
      </c>
      <c r="AD167" s="74">
        <v>44000</v>
      </c>
      <c r="AE167" s="76">
        <f t="shared" si="302"/>
        <v>42666.666666666664</v>
      </c>
      <c r="AF167" s="24">
        <f t="shared" si="303"/>
        <v>25010.666666666664</v>
      </c>
      <c r="AG167" s="25">
        <f t="shared" si="304"/>
        <v>1.4165533907264762</v>
      </c>
      <c r="AH167" s="77" t="str">
        <f t="shared" si="305"/>
        <v>REVISAR PRECIO</v>
      </c>
      <c r="AI167" s="77">
        <f t="shared" si="306"/>
        <v>42666.666666666664</v>
      </c>
      <c r="AJ167" s="73">
        <v>17656</v>
      </c>
      <c r="AK167" s="79">
        <v>53000</v>
      </c>
      <c r="AL167" s="79">
        <v>40000</v>
      </c>
      <c r="AM167" s="127">
        <v>48000</v>
      </c>
      <c r="AN167" s="128">
        <v>39000</v>
      </c>
      <c r="AO167" s="128">
        <v>40000</v>
      </c>
      <c r="AP167" s="133">
        <f t="shared" si="307"/>
        <v>44000</v>
      </c>
      <c r="AQ167" s="127">
        <f t="shared" si="308"/>
        <v>26344</v>
      </c>
      <c r="AR167" s="134">
        <f t="shared" si="309"/>
        <v>1.4920706841866787</v>
      </c>
      <c r="AS167" s="132">
        <f t="shared" si="310"/>
        <v>44000</v>
      </c>
      <c r="AT167" s="10">
        <v>17315</v>
      </c>
      <c r="AU167" s="10">
        <v>40000</v>
      </c>
      <c r="AV167" s="167">
        <v>80000</v>
      </c>
      <c r="AW167" s="168">
        <v>32850</v>
      </c>
      <c r="AX167" s="29">
        <f t="shared" si="311"/>
        <v>36425</v>
      </c>
      <c r="AY167" s="24">
        <f t="shared" si="312"/>
        <v>19110</v>
      </c>
      <c r="AZ167" s="25">
        <f t="shared" si="313"/>
        <v>1.1036673404562518</v>
      </c>
      <c r="BA167" s="24">
        <f t="shared" si="314"/>
        <v>62685</v>
      </c>
      <c r="BB167" s="169">
        <f t="shared" si="315"/>
        <v>3.6202714409471555</v>
      </c>
      <c r="BC167" s="170">
        <f t="shared" si="316"/>
        <v>36425</v>
      </c>
      <c r="BD167" s="173"/>
      <c r="BE167" s="173"/>
      <c r="BF167" s="173"/>
      <c r="BG167" s="274"/>
      <c r="BH167" s="266"/>
      <c r="BI167" s="76"/>
      <c r="BJ167" s="24"/>
      <c r="BK167" s="25"/>
      <c r="BL167" s="259"/>
      <c r="BM167" s="10">
        <v>17570</v>
      </c>
      <c r="BN167" s="45">
        <v>60000</v>
      </c>
      <c r="BO167" s="45">
        <v>35000</v>
      </c>
      <c r="BP167" s="45">
        <v>18000</v>
      </c>
      <c r="BQ167" s="29">
        <f t="shared" ref="BQ167:BQ212" si="317">AVERAGE(BN167,BO167,BP167)</f>
        <v>37666.666666666664</v>
      </c>
      <c r="BR167" s="24">
        <f t="shared" ref="BR167:BR212" si="318">BQ167-BM167</f>
        <v>20096.666666666664</v>
      </c>
      <c r="BS167" s="25">
        <f t="shared" ref="BS167:BS212" si="319">+BR167/BM167</f>
        <v>1.1438057294630999</v>
      </c>
      <c r="BT167" s="308">
        <f t="shared" ref="BT167:BT212" si="320">BQ167</f>
        <v>37666.666666666664</v>
      </c>
    </row>
    <row r="168" spans="1:72" ht="32.450000000000003" customHeight="1">
      <c r="A168" s="91" t="s">
        <v>18</v>
      </c>
      <c r="B168" s="358" t="s">
        <v>2360</v>
      </c>
      <c r="C168" s="50" t="s">
        <v>121</v>
      </c>
      <c r="D168" s="99" t="s">
        <v>460</v>
      </c>
      <c r="E168" s="48" t="s">
        <v>10</v>
      </c>
      <c r="F168" s="10">
        <v>15985</v>
      </c>
      <c r="G168" s="38">
        <v>20790</v>
      </c>
      <c r="H168" s="31">
        <v>27027</v>
      </c>
      <c r="I168" s="36">
        <v>18172</v>
      </c>
      <c r="J168" s="29">
        <f t="shared" si="270"/>
        <v>21996.333333333332</v>
      </c>
      <c r="K168" s="24">
        <f t="shared" si="271"/>
        <v>6011.3333333333321</v>
      </c>
      <c r="L168" s="25">
        <f t="shared" si="272"/>
        <v>0.3760608904181002</v>
      </c>
      <c r="M168" s="69" t="str">
        <f t="shared" si="273"/>
        <v>REVISAR PRECIO</v>
      </c>
      <c r="N168" s="77">
        <f t="shared" si="241"/>
        <v>21996.333333333332</v>
      </c>
      <c r="O168" s="73">
        <v>12691</v>
      </c>
      <c r="P168" s="74">
        <v>14214.23</v>
      </c>
      <c r="Q168" s="74">
        <v>18000</v>
      </c>
      <c r="R168" s="75">
        <v>16377.264999999999</v>
      </c>
      <c r="S168" s="61">
        <v>24494.999999999996</v>
      </c>
      <c r="T168" s="60">
        <v>14000</v>
      </c>
      <c r="U168" s="74">
        <v>28169.249999999993</v>
      </c>
      <c r="V168" s="76">
        <f t="shared" si="297"/>
        <v>19209.290833333333</v>
      </c>
      <c r="W168" s="24">
        <f t="shared" si="298"/>
        <v>6518.2908333333326</v>
      </c>
      <c r="X168" s="25">
        <f t="shared" si="299"/>
        <v>0.5136152260131851</v>
      </c>
      <c r="Y168" s="77" t="str">
        <f t="shared" si="300"/>
        <v>REVISAR PRECIO</v>
      </c>
      <c r="Z168" s="106">
        <f t="shared" si="301"/>
        <v>19209.290833333333</v>
      </c>
      <c r="AA168" s="73">
        <v>12691</v>
      </c>
      <c r="AB168" s="88">
        <v>13000</v>
      </c>
      <c r="AC168" s="116">
        <v>13000</v>
      </c>
      <c r="AD168" s="74">
        <v>13596.22</v>
      </c>
      <c r="AE168" s="76">
        <f t="shared" si="302"/>
        <v>13198.74</v>
      </c>
      <c r="AF168" s="24">
        <f t="shared" si="303"/>
        <v>507.73999999999978</v>
      </c>
      <c r="AG168" s="25">
        <f t="shared" si="304"/>
        <v>4.0007879599716314E-2</v>
      </c>
      <c r="AH168" s="77">
        <f t="shared" si="305"/>
        <v>13198.74</v>
      </c>
      <c r="AI168" s="77">
        <f t="shared" si="306"/>
        <v>13198.74</v>
      </c>
      <c r="AJ168" s="73">
        <v>12691</v>
      </c>
      <c r="AK168" s="79">
        <v>16377.264999999999</v>
      </c>
      <c r="AL168" s="79">
        <f>10748*1.15</f>
        <v>12360.199999999999</v>
      </c>
      <c r="AM168" s="127">
        <v>14832.239999999998</v>
      </c>
      <c r="AN168" s="128">
        <v>11000</v>
      </c>
      <c r="AO168" s="128">
        <v>12000</v>
      </c>
      <c r="AP168" s="133">
        <f t="shared" si="307"/>
        <v>13313.940999999997</v>
      </c>
      <c r="AQ168" s="127">
        <f t="shared" si="308"/>
        <v>622.94099999999708</v>
      </c>
      <c r="AR168" s="134">
        <f t="shared" si="309"/>
        <v>4.908525726893051E-2</v>
      </c>
      <c r="AS168" s="132">
        <f t="shared" si="310"/>
        <v>13313.940999999997</v>
      </c>
      <c r="AT168" s="10">
        <v>12693</v>
      </c>
      <c r="AU168" s="10">
        <v>12360</v>
      </c>
      <c r="AV168" s="167">
        <v>24720</v>
      </c>
      <c r="AW168" s="168">
        <v>11200</v>
      </c>
      <c r="AX168" s="29">
        <f t="shared" si="311"/>
        <v>11780</v>
      </c>
      <c r="AY168" s="24">
        <f t="shared" si="312"/>
        <v>-913</v>
      </c>
      <c r="AZ168" s="25">
        <f t="shared" si="313"/>
        <v>-7.1929409910974559E-2</v>
      </c>
      <c r="BA168" s="24">
        <f t="shared" si="314"/>
        <v>12027</v>
      </c>
      <c r="BB168" s="169">
        <f t="shared" si="315"/>
        <v>0.94753013471992442</v>
      </c>
      <c r="BC168" s="170">
        <f t="shared" si="316"/>
        <v>11780</v>
      </c>
      <c r="BD168" s="10">
        <v>11419</v>
      </c>
      <c r="BE168" s="10">
        <v>14000</v>
      </c>
      <c r="BF168" s="10">
        <v>16000</v>
      </c>
      <c r="BG168" s="268">
        <v>15000</v>
      </c>
      <c r="BH168" s="10">
        <v>20000</v>
      </c>
      <c r="BI168" s="76">
        <f t="shared" ref="BI168:BI185" si="321">AVERAGE(BE168,BF168,BG168,BH168)</f>
        <v>16250</v>
      </c>
      <c r="BJ168" s="24">
        <f t="shared" ref="BJ168:BJ185" si="322">BI168-BD168</f>
        <v>4831</v>
      </c>
      <c r="BK168" s="25">
        <f t="shared" ref="BK168:BK185" si="323">+BJ168/BD168</f>
        <v>0.42306681846046063</v>
      </c>
      <c r="BL168" s="259">
        <f t="shared" ref="BL168:BL185" si="324">BI168</f>
        <v>16250</v>
      </c>
      <c r="BM168" s="10">
        <v>12691</v>
      </c>
      <c r="BN168" s="45">
        <v>14000</v>
      </c>
      <c r="BO168" s="45">
        <v>14973</v>
      </c>
      <c r="BP168" s="45">
        <v>17000</v>
      </c>
      <c r="BQ168" s="29">
        <f t="shared" si="317"/>
        <v>15324.333333333334</v>
      </c>
      <c r="BR168" s="24">
        <f t="shared" si="318"/>
        <v>2633.3333333333339</v>
      </c>
      <c r="BS168" s="25">
        <f t="shared" si="319"/>
        <v>0.20749612586347285</v>
      </c>
      <c r="BT168" s="308">
        <f t="shared" si="320"/>
        <v>15324.333333333334</v>
      </c>
    </row>
    <row r="169" spans="1:72" ht="33" customHeight="1">
      <c r="A169" s="91" t="s">
        <v>18</v>
      </c>
      <c r="B169" s="358" t="s">
        <v>2361</v>
      </c>
      <c r="C169" s="50" t="s">
        <v>122</v>
      </c>
      <c r="D169" s="99" t="s">
        <v>461</v>
      </c>
      <c r="E169" s="48" t="s">
        <v>10</v>
      </c>
      <c r="F169" s="10">
        <v>60266</v>
      </c>
      <c r="G169" s="38">
        <v>78381</v>
      </c>
      <c r="H169" s="31">
        <v>101895</v>
      </c>
      <c r="I169" s="36">
        <v>68510.8</v>
      </c>
      <c r="J169" s="29">
        <f t="shared" si="270"/>
        <v>82928.933333333334</v>
      </c>
      <c r="K169" s="24">
        <f t="shared" si="271"/>
        <v>22662.933333333334</v>
      </c>
      <c r="L169" s="25">
        <f t="shared" si="272"/>
        <v>0.37604840761512848</v>
      </c>
      <c r="M169" s="69" t="str">
        <f t="shared" si="273"/>
        <v>REVISAR PRECIO</v>
      </c>
      <c r="N169" s="77">
        <f t="shared" si="241"/>
        <v>82928.933333333334</v>
      </c>
      <c r="O169" s="73">
        <v>47842</v>
      </c>
      <c r="P169" s="74">
        <v>46420.44000000001</v>
      </c>
      <c r="Q169" s="74">
        <v>20000</v>
      </c>
      <c r="R169" s="75">
        <v>53484.420000000006</v>
      </c>
      <c r="S169" s="61">
        <v>29209.999999999996</v>
      </c>
      <c r="T169" s="60">
        <v>18000</v>
      </c>
      <c r="U169" s="74">
        <v>33591.499999999993</v>
      </c>
      <c r="V169" s="76">
        <f t="shared" si="297"/>
        <v>33451.060000000005</v>
      </c>
      <c r="W169" s="24">
        <f t="shared" si="298"/>
        <v>-14390.939999999995</v>
      </c>
      <c r="X169" s="25">
        <f t="shared" si="299"/>
        <v>-0.30080138790184346</v>
      </c>
      <c r="Y169" s="77">
        <f t="shared" si="300"/>
        <v>33451.060000000005</v>
      </c>
      <c r="Z169" s="106">
        <f t="shared" si="301"/>
        <v>33451.060000000005</v>
      </c>
      <c r="AA169" s="73">
        <v>47842</v>
      </c>
      <c r="AB169" s="88">
        <v>43000</v>
      </c>
      <c r="AC169" s="116">
        <v>43000</v>
      </c>
      <c r="AD169" s="74">
        <v>44402.16</v>
      </c>
      <c r="AE169" s="76">
        <f t="shared" si="302"/>
        <v>43467.386666666665</v>
      </c>
      <c r="AF169" s="24">
        <f t="shared" si="303"/>
        <v>-4374.6133333333346</v>
      </c>
      <c r="AG169" s="25">
        <f t="shared" si="304"/>
        <v>-9.1438763708317689E-2</v>
      </c>
      <c r="AH169" s="77">
        <f t="shared" si="305"/>
        <v>43467.386666666665</v>
      </c>
      <c r="AI169" s="77">
        <f t="shared" si="306"/>
        <v>43467.386666666665</v>
      </c>
      <c r="AJ169" s="73">
        <v>47842</v>
      </c>
      <c r="AK169" s="79">
        <v>53484.420000000006</v>
      </c>
      <c r="AL169" s="79">
        <f>36696*1.1</f>
        <v>40365.600000000006</v>
      </c>
      <c r="AM169" s="127">
        <v>48438.720000000008</v>
      </c>
      <c r="AN169" s="128">
        <v>50000</v>
      </c>
      <c r="AO169" s="128">
        <v>50000</v>
      </c>
      <c r="AP169" s="133">
        <f t="shared" si="307"/>
        <v>48457.748000000007</v>
      </c>
      <c r="AQ169" s="127">
        <f t="shared" si="308"/>
        <v>615.74800000000687</v>
      </c>
      <c r="AR169" s="134">
        <f t="shared" si="309"/>
        <v>1.287044855984296E-2</v>
      </c>
      <c r="AS169" s="132">
        <f t="shared" si="310"/>
        <v>48457.748000000007</v>
      </c>
      <c r="AT169" s="10">
        <v>47843</v>
      </c>
      <c r="AU169" s="10">
        <v>40336</v>
      </c>
      <c r="AV169" s="167">
        <v>80672</v>
      </c>
      <c r="AW169" s="168">
        <v>33500</v>
      </c>
      <c r="AX169" s="29">
        <f t="shared" si="311"/>
        <v>36918</v>
      </c>
      <c r="AY169" s="24">
        <f t="shared" si="312"/>
        <v>-10925</v>
      </c>
      <c r="AZ169" s="25">
        <f t="shared" si="313"/>
        <v>-0.22835106494157975</v>
      </c>
      <c r="BA169" s="24">
        <f t="shared" si="314"/>
        <v>32829</v>
      </c>
      <c r="BB169" s="169">
        <f t="shared" si="315"/>
        <v>0.68618188658737955</v>
      </c>
      <c r="BC169" s="170">
        <f t="shared" si="316"/>
        <v>36918</v>
      </c>
      <c r="BD169" s="10">
        <v>43057</v>
      </c>
      <c r="BE169" s="10">
        <v>17000</v>
      </c>
      <c r="BF169" s="10">
        <v>20000</v>
      </c>
      <c r="BG169" s="268">
        <v>20000</v>
      </c>
      <c r="BH169" s="10">
        <v>20000</v>
      </c>
      <c r="BI169" s="76">
        <f t="shared" si="321"/>
        <v>19250</v>
      </c>
      <c r="BJ169" s="24">
        <f t="shared" si="322"/>
        <v>-23807</v>
      </c>
      <c r="BK169" s="25">
        <f t="shared" si="323"/>
        <v>-0.55291822467891405</v>
      </c>
      <c r="BL169" s="259">
        <f t="shared" si="324"/>
        <v>19250</v>
      </c>
      <c r="BM169" s="10">
        <v>47842</v>
      </c>
      <c r="BN169" s="45">
        <v>35000</v>
      </c>
      <c r="BO169" s="45">
        <v>56450</v>
      </c>
      <c r="BP169" s="45">
        <v>17000</v>
      </c>
      <c r="BQ169" s="29">
        <f t="shared" si="317"/>
        <v>36150</v>
      </c>
      <c r="BR169" s="24">
        <f t="shared" si="318"/>
        <v>-11692</v>
      </c>
      <c r="BS169" s="25">
        <f t="shared" si="319"/>
        <v>-0.24438777643075121</v>
      </c>
      <c r="BT169" s="308">
        <f t="shared" si="320"/>
        <v>36150</v>
      </c>
    </row>
    <row r="170" spans="1:72" ht="33" customHeight="1">
      <c r="A170" s="91" t="s">
        <v>18</v>
      </c>
      <c r="B170" s="358" t="s">
        <v>2362</v>
      </c>
      <c r="C170" s="50" t="s">
        <v>123</v>
      </c>
      <c r="D170" s="99" t="s">
        <v>462</v>
      </c>
      <c r="E170" s="48" t="s">
        <v>10</v>
      </c>
      <c r="F170" s="10">
        <v>98683</v>
      </c>
      <c r="G170" s="38">
        <v>128345</v>
      </c>
      <c r="H170" s="31">
        <v>166848</v>
      </c>
      <c r="I170" s="36">
        <v>112182.6</v>
      </c>
      <c r="J170" s="29">
        <f t="shared" si="270"/>
        <v>135791.86666666667</v>
      </c>
      <c r="K170" s="24">
        <f t="shared" si="271"/>
        <v>37108.866666666669</v>
      </c>
      <c r="L170" s="25">
        <f t="shared" si="272"/>
        <v>0.3760411283267297</v>
      </c>
      <c r="M170" s="69" t="str">
        <f t="shared" si="273"/>
        <v>REVISAR PRECIO</v>
      </c>
      <c r="N170" s="77">
        <f t="shared" si="241"/>
        <v>135791.86666666667</v>
      </c>
      <c r="O170" s="73">
        <v>78331</v>
      </c>
      <c r="P170" s="74">
        <v>74885.47</v>
      </c>
      <c r="Q170" s="74">
        <v>25000</v>
      </c>
      <c r="R170" s="75">
        <v>86281.084999999992</v>
      </c>
      <c r="S170" s="61">
        <v>74885.47</v>
      </c>
      <c r="T170" s="60">
        <v>21000</v>
      </c>
      <c r="U170" s="74">
        <v>86118.290499999988</v>
      </c>
      <c r="V170" s="76">
        <f t="shared" si="297"/>
        <v>61361.719250000002</v>
      </c>
      <c r="W170" s="24">
        <f t="shared" si="298"/>
        <v>-16969.280749999998</v>
      </c>
      <c r="X170" s="25">
        <f t="shared" si="299"/>
        <v>-0.21663556893184049</v>
      </c>
      <c r="Y170" s="77">
        <f t="shared" si="300"/>
        <v>61361.719250000002</v>
      </c>
      <c r="Z170" s="106">
        <f t="shared" si="301"/>
        <v>61361.719250000002</v>
      </c>
      <c r="AA170" s="73">
        <v>78331</v>
      </c>
      <c r="AB170" s="88">
        <v>70000</v>
      </c>
      <c r="AC170" s="116">
        <v>70000</v>
      </c>
      <c r="AD170" s="74">
        <v>71629.58</v>
      </c>
      <c r="AE170" s="76">
        <f t="shared" si="302"/>
        <v>70543.193333333344</v>
      </c>
      <c r="AF170" s="24">
        <f t="shared" si="303"/>
        <v>-7787.8066666666564</v>
      </c>
      <c r="AG170" s="25">
        <f t="shared" si="304"/>
        <v>-9.9421770010170385E-2</v>
      </c>
      <c r="AH170" s="77">
        <f t="shared" si="305"/>
        <v>70543.193333333344</v>
      </c>
      <c r="AI170" s="77">
        <f t="shared" si="306"/>
        <v>70543.193333333344</v>
      </c>
      <c r="AJ170" s="73">
        <v>78331</v>
      </c>
      <c r="AK170" s="79">
        <v>86281.084999999992</v>
      </c>
      <c r="AL170" s="79">
        <f>59198*1.1</f>
        <v>65117.8</v>
      </c>
      <c r="AM170" s="127">
        <v>78141.36</v>
      </c>
      <c r="AN170" s="128">
        <v>70000</v>
      </c>
      <c r="AO170" s="128">
        <v>65000</v>
      </c>
      <c r="AP170" s="133">
        <f t="shared" si="307"/>
        <v>72908.048999999999</v>
      </c>
      <c r="AQ170" s="127">
        <f t="shared" si="308"/>
        <v>-5422.9510000000009</v>
      </c>
      <c r="AR170" s="134">
        <f t="shared" si="309"/>
        <v>-6.9231223908797296E-2</v>
      </c>
      <c r="AS170" s="132">
        <f t="shared" si="310"/>
        <v>72908.048999999999</v>
      </c>
      <c r="AT170" s="10">
        <v>78333</v>
      </c>
      <c r="AU170" s="10">
        <v>65118</v>
      </c>
      <c r="AV170" s="167">
        <v>130236</v>
      </c>
      <c r="AW170" s="168">
        <v>49566</v>
      </c>
      <c r="AX170" s="29">
        <f t="shared" si="311"/>
        <v>57342</v>
      </c>
      <c r="AY170" s="24">
        <f t="shared" si="312"/>
        <v>-20991</v>
      </c>
      <c r="AZ170" s="25">
        <f t="shared" si="313"/>
        <v>-0.26797135306958753</v>
      </c>
      <c r="BA170" s="24">
        <f t="shared" si="314"/>
        <v>51903</v>
      </c>
      <c r="BB170" s="169">
        <f t="shared" si="315"/>
        <v>0.66259430891195281</v>
      </c>
      <c r="BC170" s="170">
        <f t="shared" si="316"/>
        <v>57342</v>
      </c>
      <c r="BD170" s="10">
        <v>70500</v>
      </c>
      <c r="BE170" s="10">
        <v>38000</v>
      </c>
      <c r="BF170" s="10">
        <v>45000</v>
      </c>
      <c r="BG170" s="268">
        <v>40000</v>
      </c>
      <c r="BH170" s="10">
        <v>45000</v>
      </c>
      <c r="BI170" s="76">
        <f t="shared" si="321"/>
        <v>42000</v>
      </c>
      <c r="BJ170" s="24">
        <f t="shared" si="322"/>
        <v>-28500</v>
      </c>
      <c r="BK170" s="25">
        <f t="shared" si="323"/>
        <v>-0.40425531914893614</v>
      </c>
      <c r="BL170" s="259">
        <f t="shared" si="324"/>
        <v>42000</v>
      </c>
      <c r="BM170" s="319">
        <v>78331</v>
      </c>
      <c r="BN170" s="317"/>
      <c r="BO170" s="317">
        <v>92426</v>
      </c>
      <c r="BP170" s="45">
        <v>17000</v>
      </c>
      <c r="BQ170" s="29">
        <f t="shared" si="317"/>
        <v>54713</v>
      </c>
      <c r="BR170" s="24">
        <f t="shared" si="318"/>
        <v>-23618</v>
      </c>
      <c r="BS170" s="25">
        <f t="shared" si="319"/>
        <v>-0.30151536428744685</v>
      </c>
      <c r="BT170" s="308">
        <f t="shared" si="320"/>
        <v>54713</v>
      </c>
    </row>
    <row r="171" spans="1:72" ht="33" customHeight="1">
      <c r="A171" s="91" t="s">
        <v>18</v>
      </c>
      <c r="B171" s="358" t="s">
        <v>2363</v>
      </c>
      <c r="C171" s="50" t="s">
        <v>124</v>
      </c>
      <c r="D171" s="99" t="s">
        <v>463</v>
      </c>
      <c r="E171" s="48" t="s">
        <v>10</v>
      </c>
      <c r="F171" s="10">
        <v>10930</v>
      </c>
      <c r="G171" s="38">
        <v>14216</v>
      </c>
      <c r="H171" s="33">
        <v>18480</v>
      </c>
      <c r="I171" s="36">
        <v>12425.4</v>
      </c>
      <c r="J171" s="29">
        <f t="shared" si="270"/>
        <v>15040.466666666667</v>
      </c>
      <c r="K171" s="24">
        <f t="shared" si="271"/>
        <v>4110.4666666666672</v>
      </c>
      <c r="L171" s="25">
        <f t="shared" si="272"/>
        <v>0.37607197316254959</v>
      </c>
      <c r="M171" s="69" t="str">
        <f t="shared" si="273"/>
        <v>REVISAR PRECIO</v>
      </c>
      <c r="N171" s="77">
        <f t="shared" si="241"/>
        <v>15040.466666666667</v>
      </c>
      <c r="O171" s="73">
        <v>8676</v>
      </c>
      <c r="P171" s="74">
        <v>10299.629999999999</v>
      </c>
      <c r="Q171" s="74">
        <v>15000</v>
      </c>
      <c r="R171" s="75">
        <v>11866.964999999998</v>
      </c>
      <c r="S171" s="61">
        <v>10299.629999999997</v>
      </c>
      <c r="T171" s="60">
        <v>14000</v>
      </c>
      <c r="U171" s="74">
        <v>11844.574499999995</v>
      </c>
      <c r="V171" s="76">
        <f t="shared" si="297"/>
        <v>12218.466583333333</v>
      </c>
      <c r="W171" s="24">
        <f t="shared" si="298"/>
        <v>3542.4665833333329</v>
      </c>
      <c r="X171" s="25">
        <f t="shared" si="299"/>
        <v>0.4083064296142615</v>
      </c>
      <c r="Y171" s="77" t="str">
        <f t="shared" si="300"/>
        <v>REVISAR PRECIO</v>
      </c>
      <c r="Z171" s="106">
        <f t="shared" si="301"/>
        <v>12218.466583333333</v>
      </c>
      <c r="AA171" s="73">
        <v>8676</v>
      </c>
      <c r="AB171" s="88">
        <v>10000</v>
      </c>
      <c r="AC171" s="116">
        <v>10000</v>
      </c>
      <c r="AD171" s="74">
        <v>9851.82</v>
      </c>
      <c r="AE171" s="76">
        <f t="shared" si="302"/>
        <v>9950.6066666666666</v>
      </c>
      <c r="AF171" s="24">
        <f t="shared" si="303"/>
        <v>1274.6066666666666</v>
      </c>
      <c r="AG171" s="25">
        <f t="shared" si="304"/>
        <v>0.14691178730597818</v>
      </c>
      <c r="AH171" s="77">
        <f t="shared" si="305"/>
        <v>9950.6066666666666</v>
      </c>
      <c r="AI171" s="77">
        <f t="shared" si="306"/>
        <v>9950.6066666666666</v>
      </c>
      <c r="AJ171" s="73">
        <v>8676</v>
      </c>
      <c r="AK171" s="79">
        <v>11866.964999999998</v>
      </c>
      <c r="AL171" s="79">
        <f>7788*1.15</f>
        <v>8956.1999999999989</v>
      </c>
      <c r="AM171" s="127">
        <v>10747.439999999999</v>
      </c>
      <c r="AN171" s="128">
        <v>8500</v>
      </c>
      <c r="AO171" s="128">
        <v>9000</v>
      </c>
      <c r="AP171" s="133">
        <f t="shared" si="307"/>
        <v>9814.1209999999992</v>
      </c>
      <c r="AQ171" s="127">
        <f t="shared" si="308"/>
        <v>1138.1209999999992</v>
      </c>
      <c r="AR171" s="134">
        <f t="shared" si="309"/>
        <v>0.1311803826648224</v>
      </c>
      <c r="AS171" s="132">
        <f t="shared" si="310"/>
        <v>9814.1209999999992</v>
      </c>
      <c r="AT171" s="10">
        <v>8677</v>
      </c>
      <c r="AU171" s="10">
        <v>8956</v>
      </c>
      <c r="AV171" s="167">
        <v>17912</v>
      </c>
      <c r="AW171" s="168">
        <v>8500</v>
      </c>
      <c r="AX171" s="29">
        <f t="shared" si="311"/>
        <v>8728</v>
      </c>
      <c r="AY171" s="24">
        <f t="shared" si="312"/>
        <v>51</v>
      </c>
      <c r="AZ171" s="25">
        <f t="shared" si="313"/>
        <v>5.8776074680189005E-3</v>
      </c>
      <c r="BA171" s="24">
        <f t="shared" si="314"/>
        <v>9235</v>
      </c>
      <c r="BB171" s="169">
        <f t="shared" si="315"/>
        <v>1.064307940532442</v>
      </c>
      <c r="BC171" s="170">
        <f t="shared" si="316"/>
        <v>8728</v>
      </c>
      <c r="BD171" s="10">
        <v>7812</v>
      </c>
      <c r="BE171" s="10">
        <v>12000</v>
      </c>
      <c r="BF171" s="10">
        <v>17000</v>
      </c>
      <c r="BG171" s="268">
        <v>15000</v>
      </c>
      <c r="BH171" s="10">
        <v>20000</v>
      </c>
      <c r="BI171" s="76">
        <f t="shared" si="321"/>
        <v>16000</v>
      </c>
      <c r="BJ171" s="24">
        <f t="shared" si="322"/>
        <v>8188</v>
      </c>
      <c r="BK171" s="25">
        <f t="shared" si="323"/>
        <v>1.0481310803891448</v>
      </c>
      <c r="BL171" s="259">
        <f t="shared" si="324"/>
        <v>16000</v>
      </c>
      <c r="BM171" s="10">
        <v>8676</v>
      </c>
      <c r="BN171" s="45">
        <v>10000</v>
      </c>
      <c r="BO171" s="45">
        <v>10238</v>
      </c>
      <c r="BP171" s="45">
        <v>17000</v>
      </c>
      <c r="BQ171" s="29">
        <f t="shared" si="317"/>
        <v>12412.666666666666</v>
      </c>
      <c r="BR171" s="24">
        <f t="shared" si="318"/>
        <v>3736.6666666666661</v>
      </c>
      <c r="BS171" s="25">
        <f t="shared" si="319"/>
        <v>0.43069002612571072</v>
      </c>
      <c r="BT171" s="308">
        <f t="shared" si="320"/>
        <v>12412.666666666666</v>
      </c>
    </row>
    <row r="172" spans="1:72" ht="33" customHeight="1">
      <c r="A172" s="91" t="s">
        <v>18</v>
      </c>
      <c r="B172" s="358" t="s">
        <v>2364</v>
      </c>
      <c r="C172" s="50" t="s">
        <v>125</v>
      </c>
      <c r="D172" s="99" t="s">
        <v>464</v>
      </c>
      <c r="E172" s="48" t="s">
        <v>10</v>
      </c>
      <c r="F172" s="10">
        <v>13079</v>
      </c>
      <c r="G172" s="38">
        <v>17010</v>
      </c>
      <c r="H172" s="31">
        <v>22113</v>
      </c>
      <c r="I172" s="36">
        <v>14868</v>
      </c>
      <c r="J172" s="29">
        <f t="shared" si="270"/>
        <v>17997</v>
      </c>
      <c r="K172" s="24">
        <f t="shared" si="271"/>
        <v>4918</v>
      </c>
      <c r="L172" s="25">
        <f t="shared" si="272"/>
        <v>0.37602263169967121</v>
      </c>
      <c r="M172" s="69" t="str">
        <f t="shared" si="273"/>
        <v>REVISAR PRECIO</v>
      </c>
      <c r="N172" s="77">
        <f t="shared" si="241"/>
        <v>17997</v>
      </c>
      <c r="O172" s="73">
        <v>10385</v>
      </c>
      <c r="P172" s="74">
        <v>11997.72</v>
      </c>
      <c r="Q172" s="74">
        <v>18000</v>
      </c>
      <c r="R172" s="75">
        <v>13823.46</v>
      </c>
      <c r="S172" s="61">
        <v>11997.719999999998</v>
      </c>
      <c r="T172" s="60">
        <v>18000</v>
      </c>
      <c r="U172" s="74">
        <v>13797.377999999997</v>
      </c>
      <c r="V172" s="76">
        <f t="shared" si="297"/>
        <v>14602.712999999998</v>
      </c>
      <c r="W172" s="24">
        <f t="shared" si="298"/>
        <v>4217.7129999999979</v>
      </c>
      <c r="X172" s="25">
        <f t="shared" si="299"/>
        <v>0.40613509870004794</v>
      </c>
      <c r="Y172" s="77" t="str">
        <f t="shared" si="300"/>
        <v>REVISAR PRECIO</v>
      </c>
      <c r="Z172" s="106">
        <f t="shared" si="301"/>
        <v>14602.712999999998</v>
      </c>
      <c r="AA172" s="73">
        <v>10385</v>
      </c>
      <c r="AB172" s="88">
        <v>10900</v>
      </c>
      <c r="AC172" s="116">
        <v>10900</v>
      </c>
      <c r="AD172" s="74">
        <v>11476.08</v>
      </c>
      <c r="AE172" s="76">
        <f t="shared" si="302"/>
        <v>11092.026666666667</v>
      </c>
      <c r="AF172" s="24">
        <f t="shared" si="303"/>
        <v>707.02666666666664</v>
      </c>
      <c r="AG172" s="25">
        <f t="shared" si="304"/>
        <v>6.808152784464773E-2</v>
      </c>
      <c r="AH172" s="77">
        <f t="shared" si="305"/>
        <v>11092.026666666667</v>
      </c>
      <c r="AI172" s="77">
        <f t="shared" si="306"/>
        <v>11092.026666666667</v>
      </c>
      <c r="AJ172" s="73">
        <v>10385</v>
      </c>
      <c r="AK172" s="79">
        <v>13823.46</v>
      </c>
      <c r="AL172" s="79">
        <f>9072*1.15</f>
        <v>10432.799999999999</v>
      </c>
      <c r="AM172" s="127">
        <v>12519.359999999999</v>
      </c>
      <c r="AN172" s="128">
        <v>10900</v>
      </c>
      <c r="AO172" s="128">
        <v>10000</v>
      </c>
      <c r="AP172" s="133">
        <f t="shared" si="307"/>
        <v>11535.124</v>
      </c>
      <c r="AQ172" s="127">
        <f t="shared" si="308"/>
        <v>1150.1239999999998</v>
      </c>
      <c r="AR172" s="134">
        <f t="shared" si="309"/>
        <v>0.11074857968223398</v>
      </c>
      <c r="AS172" s="132">
        <f t="shared" si="310"/>
        <v>11535.124</v>
      </c>
      <c r="AT172" s="10">
        <v>10386</v>
      </c>
      <c r="AU172" s="10">
        <v>10433</v>
      </c>
      <c r="AV172" s="167">
        <v>20866</v>
      </c>
      <c r="AW172" s="168">
        <v>33500</v>
      </c>
      <c r="AX172" s="29">
        <f t="shared" si="311"/>
        <v>21966.5</v>
      </c>
      <c r="AY172" s="24">
        <f t="shared" si="312"/>
        <v>11580.5</v>
      </c>
      <c r="AZ172" s="25">
        <f t="shared" si="313"/>
        <v>1.1150105911804351</v>
      </c>
      <c r="BA172" s="24">
        <f t="shared" si="314"/>
        <v>10480</v>
      </c>
      <c r="BB172" s="169">
        <f t="shared" si="315"/>
        <v>1.0090506450991719</v>
      </c>
      <c r="BC172" s="170">
        <f t="shared" si="316"/>
        <v>21966.5</v>
      </c>
      <c r="BD172" s="10">
        <v>9350</v>
      </c>
      <c r="BE172" s="10">
        <v>13000</v>
      </c>
      <c r="BF172" s="10">
        <v>16000</v>
      </c>
      <c r="BG172" s="268">
        <v>15000</v>
      </c>
      <c r="BH172" s="10">
        <v>20000</v>
      </c>
      <c r="BI172" s="76">
        <f t="shared" si="321"/>
        <v>16000</v>
      </c>
      <c r="BJ172" s="24">
        <f t="shared" si="322"/>
        <v>6650</v>
      </c>
      <c r="BK172" s="25">
        <f t="shared" si="323"/>
        <v>0.71122994652406413</v>
      </c>
      <c r="BL172" s="259">
        <f t="shared" si="324"/>
        <v>16000</v>
      </c>
      <c r="BM172" s="10">
        <v>10385</v>
      </c>
      <c r="BN172" s="45">
        <v>15000</v>
      </c>
      <c r="BO172" s="45">
        <v>12252</v>
      </c>
      <c r="BP172" s="45">
        <v>17000</v>
      </c>
      <c r="BQ172" s="29">
        <f t="shared" si="317"/>
        <v>14750.666666666666</v>
      </c>
      <c r="BR172" s="24">
        <f t="shared" si="318"/>
        <v>4365.6666666666661</v>
      </c>
      <c r="BS172" s="25">
        <f t="shared" si="319"/>
        <v>0.42038196116193222</v>
      </c>
      <c r="BT172" s="308">
        <f t="shared" si="320"/>
        <v>14750.666666666666</v>
      </c>
    </row>
    <row r="173" spans="1:72" ht="33" customHeight="1">
      <c r="A173" s="91" t="s">
        <v>18</v>
      </c>
      <c r="B173" s="358" t="s">
        <v>2365</v>
      </c>
      <c r="C173" s="50" t="s">
        <v>126</v>
      </c>
      <c r="D173" s="99" t="s">
        <v>465</v>
      </c>
      <c r="E173" s="48" t="s">
        <v>10</v>
      </c>
      <c r="F173" s="10">
        <v>16027</v>
      </c>
      <c r="G173" s="38">
        <v>20844</v>
      </c>
      <c r="H173" s="31">
        <v>27097</v>
      </c>
      <c r="I173" s="36">
        <v>18219.2</v>
      </c>
      <c r="J173" s="29">
        <f t="shared" si="270"/>
        <v>22053.399999999998</v>
      </c>
      <c r="K173" s="24">
        <f t="shared" si="271"/>
        <v>6026.3999999999978</v>
      </c>
      <c r="L173" s="25">
        <f t="shared" si="272"/>
        <v>0.3760154738878142</v>
      </c>
      <c r="M173" s="69" t="str">
        <f t="shared" si="273"/>
        <v>REVISAR PRECIO</v>
      </c>
      <c r="N173" s="77">
        <f t="shared" si="241"/>
        <v>22053.399999999998</v>
      </c>
      <c r="O173" s="73">
        <v>12720</v>
      </c>
      <c r="P173" s="74">
        <v>14302.837499999998</v>
      </c>
      <c r="Q173" s="74">
        <v>23000</v>
      </c>
      <c r="R173" s="75">
        <v>16479.356249999997</v>
      </c>
      <c r="S173" s="61">
        <v>14302.837499999996</v>
      </c>
      <c r="T173" s="60">
        <v>21000</v>
      </c>
      <c r="U173" s="74">
        <v>16448.263124999994</v>
      </c>
      <c r="V173" s="76">
        <f t="shared" si="297"/>
        <v>17588.882395833331</v>
      </c>
      <c r="W173" s="24">
        <f t="shared" si="298"/>
        <v>4868.8823958333305</v>
      </c>
      <c r="X173" s="25">
        <f t="shared" si="299"/>
        <v>0.3827737732573373</v>
      </c>
      <c r="Y173" s="77" t="str">
        <f t="shared" si="300"/>
        <v>REVISAR PRECIO</v>
      </c>
      <c r="Z173" s="106">
        <f t="shared" si="301"/>
        <v>17588.882395833331</v>
      </c>
      <c r="AA173" s="73">
        <v>12720</v>
      </c>
      <c r="AB173" s="88">
        <v>13000</v>
      </c>
      <c r="AC173" s="116">
        <v>13000</v>
      </c>
      <c r="AD173" s="74">
        <v>13680.974999999999</v>
      </c>
      <c r="AE173" s="76">
        <f t="shared" si="302"/>
        <v>13226.991666666667</v>
      </c>
      <c r="AF173" s="24">
        <f t="shared" si="303"/>
        <v>506.99166666666679</v>
      </c>
      <c r="AG173" s="25">
        <f t="shared" si="304"/>
        <v>3.9857835429769402E-2</v>
      </c>
      <c r="AH173" s="77">
        <f t="shared" si="305"/>
        <v>13226.991666666667</v>
      </c>
      <c r="AI173" s="77">
        <f t="shared" si="306"/>
        <v>13226.991666666667</v>
      </c>
      <c r="AJ173" s="73">
        <v>12720</v>
      </c>
      <c r="AK173" s="79">
        <v>16479.356249999997</v>
      </c>
      <c r="AL173" s="79">
        <f>10815*1.15</f>
        <v>12437.249999999998</v>
      </c>
      <c r="AM173" s="127">
        <v>14924.699999999997</v>
      </c>
      <c r="AN173" s="128">
        <v>14800</v>
      </c>
      <c r="AO173" s="128">
        <v>13000</v>
      </c>
      <c r="AP173" s="133">
        <f t="shared" si="307"/>
        <v>14328.26125</v>
      </c>
      <c r="AQ173" s="127">
        <f t="shared" si="308"/>
        <v>1608.2612499999996</v>
      </c>
      <c r="AR173" s="134">
        <f t="shared" si="309"/>
        <v>0.12643563286163517</v>
      </c>
      <c r="AS173" s="132">
        <f t="shared" si="310"/>
        <v>14328.26125</v>
      </c>
      <c r="AT173" s="10">
        <v>12721</v>
      </c>
      <c r="AU173" s="10">
        <v>12437</v>
      </c>
      <c r="AV173" s="167">
        <v>37311</v>
      </c>
      <c r="AW173" s="168">
        <v>49566</v>
      </c>
      <c r="AX173" s="29">
        <f t="shared" si="311"/>
        <v>31001.5</v>
      </c>
      <c r="AY173" s="24">
        <f t="shared" si="312"/>
        <v>18280.5</v>
      </c>
      <c r="AZ173" s="25">
        <f t="shared" si="313"/>
        <v>1.4370332521028222</v>
      </c>
      <c r="BA173" s="24">
        <f t="shared" si="314"/>
        <v>24590</v>
      </c>
      <c r="BB173" s="169">
        <f t="shared" si="315"/>
        <v>1.9330241333228519</v>
      </c>
      <c r="BC173" s="170">
        <f t="shared" si="316"/>
        <v>31001.5</v>
      </c>
      <c r="BD173" s="10">
        <v>11447</v>
      </c>
      <c r="BE173" s="10">
        <v>19000</v>
      </c>
      <c r="BF173" s="10">
        <v>22000</v>
      </c>
      <c r="BG173" s="268">
        <v>20000</v>
      </c>
      <c r="BH173" s="10">
        <v>20000</v>
      </c>
      <c r="BI173" s="76">
        <f t="shared" si="321"/>
        <v>20250</v>
      </c>
      <c r="BJ173" s="24">
        <f t="shared" si="322"/>
        <v>8803</v>
      </c>
      <c r="BK173" s="25">
        <f t="shared" si="323"/>
        <v>0.76902245129728308</v>
      </c>
      <c r="BL173" s="259">
        <f t="shared" si="324"/>
        <v>20250</v>
      </c>
      <c r="BM173" s="10">
        <v>12720</v>
      </c>
      <c r="BN173" s="45"/>
      <c r="BO173" s="45">
        <v>15011</v>
      </c>
      <c r="BP173" s="45">
        <v>17000</v>
      </c>
      <c r="BQ173" s="29">
        <f t="shared" si="317"/>
        <v>16005.5</v>
      </c>
      <c r="BR173" s="24">
        <f t="shared" si="318"/>
        <v>3285.5</v>
      </c>
      <c r="BS173" s="25">
        <f t="shared" si="319"/>
        <v>0.25829402515723271</v>
      </c>
      <c r="BT173" s="308">
        <f t="shared" si="320"/>
        <v>16005.5</v>
      </c>
    </row>
    <row r="174" spans="1:72" ht="33" customHeight="1">
      <c r="A174" s="91" t="s">
        <v>18</v>
      </c>
      <c r="B174" s="358" t="s">
        <v>2366</v>
      </c>
      <c r="C174" s="50" t="s">
        <v>127</v>
      </c>
      <c r="D174" s="99" t="s">
        <v>466</v>
      </c>
      <c r="E174" s="48" t="s">
        <v>14</v>
      </c>
      <c r="F174" s="10">
        <v>117792</v>
      </c>
      <c r="G174" s="38">
        <v>153198</v>
      </c>
      <c r="H174" s="31">
        <v>153198</v>
      </c>
      <c r="I174" s="36">
        <v>133906.4</v>
      </c>
      <c r="J174" s="29">
        <f t="shared" si="270"/>
        <v>146767.46666666667</v>
      </c>
      <c r="K174" s="24">
        <f t="shared" si="271"/>
        <v>28975.466666666674</v>
      </c>
      <c r="L174" s="25">
        <f t="shared" si="272"/>
        <v>0.24598840894684423</v>
      </c>
      <c r="M174" s="69">
        <f t="shared" si="273"/>
        <v>146767.46666666667</v>
      </c>
      <c r="N174" s="77">
        <f t="shared" si="241"/>
        <v>146767.46666666667</v>
      </c>
      <c r="O174" s="73">
        <v>24272</v>
      </c>
      <c r="P174" s="74">
        <v>28029.064999999999</v>
      </c>
      <c r="Q174" s="74">
        <v>80000</v>
      </c>
      <c r="R174" s="75">
        <v>32294.357499999998</v>
      </c>
      <c r="S174" s="61">
        <v>69000</v>
      </c>
      <c r="T174" s="60">
        <v>28000</v>
      </c>
      <c r="U174" s="74">
        <v>79350</v>
      </c>
      <c r="V174" s="76">
        <f t="shared" si="297"/>
        <v>52778.903749999998</v>
      </c>
      <c r="W174" s="24">
        <f t="shared" si="298"/>
        <v>28506.903749999998</v>
      </c>
      <c r="X174" s="25">
        <f t="shared" si="299"/>
        <v>1.1744769178477257</v>
      </c>
      <c r="Y174" s="77" t="str">
        <f t="shared" si="300"/>
        <v>REVISAR PRECIO</v>
      </c>
      <c r="Z174" s="106">
        <f t="shared" si="301"/>
        <v>52778.903749999998</v>
      </c>
      <c r="AA174" s="73">
        <v>24272</v>
      </c>
      <c r="AB174" s="88">
        <v>25000</v>
      </c>
      <c r="AC174" s="116">
        <v>25000</v>
      </c>
      <c r="AD174" s="74">
        <v>26810.41</v>
      </c>
      <c r="AE174" s="76">
        <f t="shared" si="302"/>
        <v>25603.47</v>
      </c>
      <c r="AF174" s="24">
        <f t="shared" si="303"/>
        <v>1331.4700000000012</v>
      </c>
      <c r="AG174" s="25">
        <f t="shared" si="304"/>
        <v>5.485621292023736E-2</v>
      </c>
      <c r="AH174" s="77">
        <f t="shared" si="305"/>
        <v>25603.47</v>
      </c>
      <c r="AI174" s="77">
        <f t="shared" si="306"/>
        <v>25603.47</v>
      </c>
      <c r="AJ174" s="73">
        <v>24272</v>
      </c>
      <c r="AK174" s="79">
        <v>32294.357499999998</v>
      </c>
      <c r="AL174" s="79">
        <f>21194*1.15</f>
        <v>24373.1</v>
      </c>
      <c r="AM174" s="127">
        <v>29247.719999999998</v>
      </c>
      <c r="AN174" s="128">
        <v>25200</v>
      </c>
      <c r="AO174" s="128">
        <v>25000</v>
      </c>
      <c r="AP174" s="133">
        <f t="shared" si="307"/>
        <v>27223.035499999998</v>
      </c>
      <c r="AQ174" s="127">
        <f t="shared" si="308"/>
        <v>2951.0354999999981</v>
      </c>
      <c r="AR174" s="134">
        <f t="shared" si="309"/>
        <v>0.12158188447593928</v>
      </c>
      <c r="AS174" s="132">
        <f t="shared" si="310"/>
        <v>27223.035499999998</v>
      </c>
      <c r="AT174" s="10">
        <v>23799</v>
      </c>
      <c r="AU174" s="10">
        <v>24373</v>
      </c>
      <c r="AV174" s="167">
        <v>73119</v>
      </c>
      <c r="AW174" s="168">
        <v>18500</v>
      </c>
      <c r="AX174" s="29">
        <f t="shared" si="311"/>
        <v>21436.5</v>
      </c>
      <c r="AY174" s="24">
        <f t="shared" si="312"/>
        <v>-2362.5</v>
      </c>
      <c r="AZ174" s="25">
        <f t="shared" si="313"/>
        <v>-9.9268876843564849E-2</v>
      </c>
      <c r="BA174" s="24">
        <f t="shared" si="314"/>
        <v>49320</v>
      </c>
      <c r="BB174" s="169">
        <f t="shared" si="315"/>
        <v>2.0723559813437538</v>
      </c>
      <c r="BC174" s="170">
        <f t="shared" si="316"/>
        <v>21436.5</v>
      </c>
      <c r="BD174" s="10">
        <v>21624</v>
      </c>
      <c r="BE174" s="10">
        <v>92000</v>
      </c>
      <c r="BF174" s="10">
        <v>100000</v>
      </c>
      <c r="BG174" s="268">
        <v>100000</v>
      </c>
      <c r="BH174" s="10">
        <v>100000</v>
      </c>
      <c r="BI174" s="76">
        <f t="shared" si="321"/>
        <v>98000</v>
      </c>
      <c r="BJ174" s="24">
        <f t="shared" si="322"/>
        <v>76376</v>
      </c>
      <c r="BK174" s="25">
        <f t="shared" si="323"/>
        <v>3.5320014798372181</v>
      </c>
      <c r="BL174" s="259">
        <f t="shared" si="324"/>
        <v>98000</v>
      </c>
      <c r="BM174" s="10">
        <v>24149</v>
      </c>
      <c r="BN174" s="45">
        <v>43000</v>
      </c>
      <c r="BO174" s="45">
        <v>28075</v>
      </c>
      <c r="BP174" s="45">
        <v>60000</v>
      </c>
      <c r="BQ174" s="29">
        <f t="shared" si="317"/>
        <v>43691.666666666664</v>
      </c>
      <c r="BR174" s="24">
        <f t="shared" si="318"/>
        <v>19542.666666666664</v>
      </c>
      <c r="BS174" s="25">
        <f t="shared" si="319"/>
        <v>0.80925366129722409</v>
      </c>
      <c r="BT174" s="308">
        <f t="shared" si="320"/>
        <v>43691.666666666664</v>
      </c>
    </row>
    <row r="175" spans="1:72" ht="33" customHeight="1">
      <c r="A175" s="91" t="s">
        <v>18</v>
      </c>
      <c r="B175" s="358" t="s">
        <v>2367</v>
      </c>
      <c r="C175" s="50" t="s">
        <v>128</v>
      </c>
      <c r="D175" s="99" t="s">
        <v>467</v>
      </c>
      <c r="E175" s="48" t="s">
        <v>14</v>
      </c>
      <c r="F175" s="10">
        <v>133476</v>
      </c>
      <c r="G175" s="38">
        <v>173597</v>
      </c>
      <c r="H175" s="33">
        <v>225675</v>
      </c>
      <c r="I175" s="36">
        <v>151736.20000000001</v>
      </c>
      <c r="J175" s="29">
        <f t="shared" si="270"/>
        <v>183669.4</v>
      </c>
      <c r="K175" s="24">
        <f t="shared" si="271"/>
        <v>50193.399999999994</v>
      </c>
      <c r="L175" s="25">
        <f t="shared" si="272"/>
        <v>0.3760481285025023</v>
      </c>
      <c r="M175" s="69" t="str">
        <f t="shared" si="273"/>
        <v>REVISAR PRECIO</v>
      </c>
      <c r="N175" s="77">
        <f t="shared" si="241"/>
        <v>183669.4</v>
      </c>
      <c r="O175" s="73">
        <v>35692</v>
      </c>
      <c r="P175" s="74">
        <v>38065.517499999994</v>
      </c>
      <c r="Q175" s="74">
        <v>100000</v>
      </c>
      <c r="R175" s="75">
        <v>43858.096249999995</v>
      </c>
      <c r="S175" s="61">
        <v>69000</v>
      </c>
      <c r="T175" s="60">
        <v>28000</v>
      </c>
      <c r="U175" s="74">
        <v>79350</v>
      </c>
      <c r="V175" s="76">
        <f t="shared" si="297"/>
        <v>59712.268958333334</v>
      </c>
      <c r="W175" s="24">
        <f t="shared" si="298"/>
        <v>24020.268958333334</v>
      </c>
      <c r="X175" s="25">
        <f t="shared" si="299"/>
        <v>0.67298747501774447</v>
      </c>
      <c r="Y175" s="77" t="str">
        <f t="shared" si="300"/>
        <v>REVISAR PRECIO</v>
      </c>
      <c r="Z175" s="106">
        <f t="shared" si="301"/>
        <v>59712.268958333334</v>
      </c>
      <c r="AA175" s="73">
        <v>35692</v>
      </c>
      <c r="AB175" s="88">
        <v>35000</v>
      </c>
      <c r="AC175" s="116">
        <v>35000</v>
      </c>
      <c r="AD175" s="74">
        <v>36410.494999999995</v>
      </c>
      <c r="AE175" s="76">
        <f t="shared" si="302"/>
        <v>35470.165000000001</v>
      </c>
      <c r="AF175" s="24">
        <f t="shared" si="303"/>
        <v>-221.83499999999913</v>
      </c>
      <c r="AG175" s="25">
        <f t="shared" si="304"/>
        <v>-6.2152583211923995E-3</v>
      </c>
      <c r="AH175" s="77">
        <f t="shared" si="305"/>
        <v>35470.165000000001</v>
      </c>
      <c r="AI175" s="77">
        <f t="shared" si="306"/>
        <v>35470.165000000001</v>
      </c>
      <c r="AJ175" s="73">
        <v>35692</v>
      </c>
      <c r="AK175" s="79">
        <v>43858.096249999995</v>
      </c>
      <c r="AL175" s="79">
        <f>28783*1.15</f>
        <v>33100.449999999997</v>
      </c>
      <c r="AM175" s="127">
        <v>39720.539999999994</v>
      </c>
      <c r="AN175" s="128">
        <v>327000</v>
      </c>
      <c r="AO175" s="128">
        <v>35000</v>
      </c>
      <c r="AP175" s="133">
        <f t="shared" si="307"/>
        <v>95735.817249999993</v>
      </c>
      <c r="AQ175" s="127">
        <f t="shared" si="308"/>
        <v>60043.817249999993</v>
      </c>
      <c r="AR175" s="134">
        <f t="shared" si="309"/>
        <v>1.6822766236131343</v>
      </c>
      <c r="AS175" s="132">
        <f t="shared" si="310"/>
        <v>95735.817249999993</v>
      </c>
      <c r="AT175" s="10">
        <v>35692</v>
      </c>
      <c r="AU175" s="10">
        <v>33100</v>
      </c>
      <c r="AV175" s="167">
        <v>99300</v>
      </c>
      <c r="AW175" s="168">
        <v>18500</v>
      </c>
      <c r="AX175" s="29">
        <f t="shared" si="311"/>
        <v>25800</v>
      </c>
      <c r="AY175" s="24">
        <f t="shared" si="312"/>
        <v>-9892</v>
      </c>
      <c r="AZ175" s="25">
        <f t="shared" si="313"/>
        <v>-0.27714894093914605</v>
      </c>
      <c r="BA175" s="24">
        <f t="shared" si="314"/>
        <v>63608</v>
      </c>
      <c r="BB175" s="169">
        <f t="shared" si="315"/>
        <v>1.7821360528970078</v>
      </c>
      <c r="BC175" s="170">
        <f t="shared" si="316"/>
        <v>25800</v>
      </c>
      <c r="BD175" s="10">
        <v>32122</v>
      </c>
      <c r="BE175" s="10">
        <v>92000</v>
      </c>
      <c r="BF175" s="10">
        <v>100000</v>
      </c>
      <c r="BG175" s="268">
        <v>100000</v>
      </c>
      <c r="BH175" s="10">
        <v>100000</v>
      </c>
      <c r="BI175" s="76">
        <f t="shared" si="321"/>
        <v>98000</v>
      </c>
      <c r="BJ175" s="24">
        <f t="shared" si="322"/>
        <v>65878</v>
      </c>
      <c r="BK175" s="25">
        <f t="shared" si="323"/>
        <v>2.05086856360127</v>
      </c>
      <c r="BL175" s="259">
        <f t="shared" si="324"/>
        <v>98000</v>
      </c>
      <c r="BM175" s="10">
        <v>35692</v>
      </c>
      <c r="BN175" s="45">
        <v>43000</v>
      </c>
      <c r="BO175" s="45">
        <v>42110</v>
      </c>
      <c r="BP175" s="45">
        <v>60000</v>
      </c>
      <c r="BQ175" s="29">
        <f t="shared" si="317"/>
        <v>48370</v>
      </c>
      <c r="BR175" s="24">
        <f t="shared" si="318"/>
        <v>12678</v>
      </c>
      <c r="BS175" s="25">
        <f t="shared" si="319"/>
        <v>0.35520564832455453</v>
      </c>
      <c r="BT175" s="308">
        <f t="shared" si="320"/>
        <v>48370</v>
      </c>
    </row>
    <row r="176" spans="1:72" ht="33" customHeight="1">
      <c r="A176" s="91" t="s">
        <v>18</v>
      </c>
      <c r="B176" s="358" t="s">
        <v>2368</v>
      </c>
      <c r="C176" s="50" t="s">
        <v>129</v>
      </c>
      <c r="D176" s="99" t="s">
        <v>468</v>
      </c>
      <c r="E176" s="48" t="s">
        <v>14</v>
      </c>
      <c r="F176" s="10">
        <v>90887</v>
      </c>
      <c r="G176" s="38">
        <v>118206</v>
      </c>
      <c r="H176" s="31">
        <v>153668</v>
      </c>
      <c r="I176" s="36">
        <v>103320.8</v>
      </c>
      <c r="J176" s="29">
        <f t="shared" si="270"/>
        <v>125064.93333333333</v>
      </c>
      <c r="K176" s="24">
        <f t="shared" si="271"/>
        <v>34177.933333333334</v>
      </c>
      <c r="L176" s="25">
        <f t="shared" si="272"/>
        <v>0.37604864648776321</v>
      </c>
      <c r="M176" s="69" t="str">
        <f t="shared" si="273"/>
        <v>REVISAR PRECIO</v>
      </c>
      <c r="N176" s="77">
        <f t="shared" si="241"/>
        <v>125064.93333333333</v>
      </c>
      <c r="O176" s="73">
        <v>24301</v>
      </c>
      <c r="P176" s="74">
        <v>30247.3</v>
      </c>
      <c r="Q176" s="74">
        <v>80000</v>
      </c>
      <c r="R176" s="75">
        <v>34850.149999999994</v>
      </c>
      <c r="S176" s="61">
        <v>69000</v>
      </c>
      <c r="T176" s="60">
        <v>28000</v>
      </c>
      <c r="U176" s="74">
        <v>79350</v>
      </c>
      <c r="V176" s="76">
        <f t="shared" si="297"/>
        <v>53574.575000000004</v>
      </c>
      <c r="W176" s="24">
        <f t="shared" si="298"/>
        <v>29273.575000000004</v>
      </c>
      <c r="X176" s="25">
        <f t="shared" si="299"/>
        <v>1.2046242952964901</v>
      </c>
      <c r="Y176" s="77" t="str">
        <f t="shared" si="300"/>
        <v>REVISAR PRECIO</v>
      </c>
      <c r="Z176" s="106">
        <f t="shared" si="301"/>
        <v>53574.575000000004</v>
      </c>
      <c r="AA176" s="73">
        <v>24301</v>
      </c>
      <c r="AB176" s="88">
        <v>30000</v>
      </c>
      <c r="AC176" s="116">
        <v>30000</v>
      </c>
      <c r="AD176" s="74">
        <v>28932.2</v>
      </c>
      <c r="AE176" s="76">
        <f t="shared" si="302"/>
        <v>29644.066666666666</v>
      </c>
      <c r="AF176" s="24">
        <f t="shared" si="303"/>
        <v>5343.0666666666657</v>
      </c>
      <c r="AG176" s="25">
        <f t="shared" si="304"/>
        <v>0.21987023853613702</v>
      </c>
      <c r="AH176" s="77">
        <f t="shared" si="305"/>
        <v>29644.066666666666</v>
      </c>
      <c r="AI176" s="77">
        <f t="shared" si="306"/>
        <v>29644.066666666666</v>
      </c>
      <c r="AJ176" s="73">
        <v>24301</v>
      </c>
      <c r="AK176" s="79">
        <v>34850.149999999994</v>
      </c>
      <c r="AL176" s="79">
        <v>26302</v>
      </c>
      <c r="AM176" s="127">
        <v>31562.400000000001</v>
      </c>
      <c r="AN176" s="128">
        <v>25900</v>
      </c>
      <c r="AO176" s="128">
        <v>30000</v>
      </c>
      <c r="AP176" s="133">
        <f t="shared" si="307"/>
        <v>29722.909999999996</v>
      </c>
      <c r="AQ176" s="127">
        <f t="shared" si="308"/>
        <v>5421.9099999999962</v>
      </c>
      <c r="AR176" s="134">
        <f t="shared" si="309"/>
        <v>0.22311468663840978</v>
      </c>
      <c r="AS176" s="132">
        <f t="shared" si="310"/>
        <v>29722.909999999996</v>
      </c>
      <c r="AT176" s="10">
        <v>24302</v>
      </c>
      <c r="AU176" s="10">
        <v>26302</v>
      </c>
      <c r="AV176" s="167">
        <v>78906</v>
      </c>
      <c r="AW176" s="168">
        <v>18500</v>
      </c>
      <c r="AX176" s="29">
        <f t="shared" si="311"/>
        <v>22401</v>
      </c>
      <c r="AY176" s="24">
        <f t="shared" si="312"/>
        <v>-1901</v>
      </c>
      <c r="AZ176" s="25">
        <f t="shared" si="313"/>
        <v>-7.822401448440458E-2</v>
      </c>
      <c r="BA176" s="24">
        <f t="shared" si="314"/>
        <v>54604</v>
      </c>
      <c r="BB176" s="169">
        <f t="shared" si="315"/>
        <v>2.2468932598140072</v>
      </c>
      <c r="BC176" s="170">
        <f t="shared" si="316"/>
        <v>22401</v>
      </c>
      <c r="BD176" s="10">
        <v>21871</v>
      </c>
      <c r="BE176" s="10">
        <v>92000</v>
      </c>
      <c r="BF176" s="10">
        <v>100000</v>
      </c>
      <c r="BG176" s="268">
        <v>100000</v>
      </c>
      <c r="BH176" s="10">
        <v>100000</v>
      </c>
      <c r="BI176" s="76">
        <f t="shared" si="321"/>
        <v>98000</v>
      </c>
      <c r="BJ176" s="24">
        <f t="shared" si="322"/>
        <v>76129</v>
      </c>
      <c r="BK176" s="25">
        <f t="shared" si="323"/>
        <v>3.4808193498239679</v>
      </c>
      <c r="BL176" s="259">
        <f t="shared" si="324"/>
        <v>98000</v>
      </c>
      <c r="BM176" s="10">
        <v>24301</v>
      </c>
      <c r="BN176" s="45">
        <v>43000</v>
      </c>
      <c r="BO176" s="45">
        <v>28674</v>
      </c>
      <c r="BP176" s="45">
        <v>60000</v>
      </c>
      <c r="BQ176" s="29">
        <f t="shared" si="317"/>
        <v>43891.333333333336</v>
      </c>
      <c r="BR176" s="24">
        <f t="shared" si="318"/>
        <v>19590.333333333336</v>
      </c>
      <c r="BS176" s="25">
        <f t="shared" si="319"/>
        <v>0.80615338189100594</v>
      </c>
      <c r="BT176" s="308">
        <f t="shared" si="320"/>
        <v>43891.333333333336</v>
      </c>
    </row>
    <row r="177" spans="1:72" ht="33" customHeight="1">
      <c r="A177" s="91" t="s">
        <v>18</v>
      </c>
      <c r="B177" s="358" t="s">
        <v>2369</v>
      </c>
      <c r="C177" s="50" t="s">
        <v>130</v>
      </c>
      <c r="D177" s="99" t="s">
        <v>469</v>
      </c>
      <c r="E177" s="48" t="s">
        <v>14</v>
      </c>
      <c r="F177" s="10">
        <v>45506</v>
      </c>
      <c r="G177" s="38">
        <v>59184</v>
      </c>
      <c r="H177" s="31">
        <v>76939</v>
      </c>
      <c r="I177" s="36">
        <v>51731.199999999997</v>
      </c>
      <c r="J177" s="29">
        <f t="shared" si="270"/>
        <v>62618.066666666673</v>
      </c>
      <c r="K177" s="24">
        <f t="shared" si="271"/>
        <v>17112.066666666673</v>
      </c>
      <c r="L177" s="25">
        <f t="shared" si="272"/>
        <v>0.37603978962481149</v>
      </c>
      <c r="M177" s="69" t="str">
        <f t="shared" si="273"/>
        <v>REVISAR PRECIO</v>
      </c>
      <c r="N177" s="77">
        <f t="shared" si="241"/>
        <v>62618.066666666673</v>
      </c>
      <c r="O177" s="73">
        <v>24329</v>
      </c>
      <c r="P177" s="74">
        <v>39392.1</v>
      </c>
      <c r="Q177" s="74">
        <v>50000</v>
      </c>
      <c r="R177" s="75">
        <v>45386.55</v>
      </c>
      <c r="S177" s="61">
        <v>39392.1</v>
      </c>
      <c r="T177" s="60">
        <v>28000</v>
      </c>
      <c r="U177" s="74">
        <v>45300.914999999994</v>
      </c>
      <c r="V177" s="76">
        <f t="shared" si="297"/>
        <v>41245.277500000004</v>
      </c>
      <c r="W177" s="24">
        <f t="shared" si="298"/>
        <v>16916.277500000004</v>
      </c>
      <c r="X177" s="25">
        <f t="shared" si="299"/>
        <v>0.69531330921945023</v>
      </c>
      <c r="Y177" s="77" t="str">
        <f t="shared" si="300"/>
        <v>REVISAR PRECIO</v>
      </c>
      <c r="Z177" s="106">
        <f t="shared" si="301"/>
        <v>41245.277500000004</v>
      </c>
      <c r="AA177" s="73">
        <v>24329</v>
      </c>
      <c r="AB177" s="88">
        <v>38000</v>
      </c>
      <c r="AC177" s="116">
        <v>38000</v>
      </c>
      <c r="AD177" s="74">
        <v>37679.4</v>
      </c>
      <c r="AE177" s="76">
        <f t="shared" si="302"/>
        <v>37893.133333333331</v>
      </c>
      <c r="AF177" s="24">
        <f t="shared" si="303"/>
        <v>13564.133333333331</v>
      </c>
      <c r="AG177" s="25">
        <f t="shared" si="304"/>
        <v>0.55752942304793995</v>
      </c>
      <c r="AH177" s="77" t="str">
        <f t="shared" si="305"/>
        <v>REVISAR PRECIO</v>
      </c>
      <c r="AI177" s="77">
        <f t="shared" si="306"/>
        <v>37893.133333333331</v>
      </c>
      <c r="AJ177" s="73">
        <v>24329</v>
      </c>
      <c r="AK177" s="79">
        <v>45386.55</v>
      </c>
      <c r="AL177" s="79">
        <f>31140*1.1</f>
        <v>34254</v>
      </c>
      <c r="AM177" s="127">
        <v>41104.800000000003</v>
      </c>
      <c r="AN177" s="128">
        <v>40850</v>
      </c>
      <c r="AO177" s="128">
        <v>35000</v>
      </c>
      <c r="AP177" s="133">
        <f t="shared" si="307"/>
        <v>39319.07</v>
      </c>
      <c r="AQ177" s="127">
        <f t="shared" si="308"/>
        <v>14990.07</v>
      </c>
      <c r="AR177" s="134">
        <f t="shared" si="309"/>
        <v>0.61613999753380733</v>
      </c>
      <c r="AS177" s="132">
        <f t="shared" si="310"/>
        <v>39319.07</v>
      </c>
      <c r="AT177" s="10">
        <v>23855</v>
      </c>
      <c r="AU177" s="10">
        <v>34254</v>
      </c>
      <c r="AV177" s="167">
        <v>102762</v>
      </c>
      <c r="AW177" s="168">
        <v>32655</v>
      </c>
      <c r="AX177" s="29">
        <f t="shared" si="311"/>
        <v>33454.5</v>
      </c>
      <c r="AY177" s="24">
        <f t="shared" si="312"/>
        <v>9599.5</v>
      </c>
      <c r="AZ177" s="180">
        <f t="shared" si="313"/>
        <v>0.40241039614336616</v>
      </c>
      <c r="BA177" s="24">
        <f t="shared" si="314"/>
        <v>78907</v>
      </c>
      <c r="BB177" s="181">
        <f t="shared" si="315"/>
        <v>3.307776147558164</v>
      </c>
      <c r="BC177" s="170">
        <f t="shared" si="316"/>
        <v>33454.5</v>
      </c>
      <c r="BD177" s="10">
        <v>21681</v>
      </c>
      <c r="BE177" s="10">
        <v>68000</v>
      </c>
      <c r="BF177" s="10">
        <v>75000</v>
      </c>
      <c r="BG177" s="268">
        <v>70000</v>
      </c>
      <c r="BH177" s="10">
        <v>80000</v>
      </c>
      <c r="BI177" s="76">
        <f t="shared" si="321"/>
        <v>73250</v>
      </c>
      <c r="BJ177" s="24">
        <f t="shared" si="322"/>
        <v>51569</v>
      </c>
      <c r="BK177" s="25">
        <f t="shared" si="323"/>
        <v>2.3785342004520085</v>
      </c>
      <c r="BL177" s="259">
        <f t="shared" si="324"/>
        <v>73250</v>
      </c>
      <c r="BM177" s="10">
        <v>24215</v>
      </c>
      <c r="BN177" s="45">
        <v>65000</v>
      </c>
      <c r="BO177" s="45">
        <v>28148</v>
      </c>
      <c r="BP177" s="45">
        <v>60000</v>
      </c>
      <c r="BQ177" s="29">
        <f t="shared" si="317"/>
        <v>51049.333333333336</v>
      </c>
      <c r="BR177" s="24">
        <f t="shared" si="318"/>
        <v>26834.333333333336</v>
      </c>
      <c r="BS177" s="25">
        <f t="shared" si="319"/>
        <v>1.1081698671622273</v>
      </c>
      <c r="BT177" s="308">
        <f t="shared" si="320"/>
        <v>51049.333333333336</v>
      </c>
    </row>
    <row r="178" spans="1:72" ht="33" customHeight="1">
      <c r="A178" s="91" t="s">
        <v>18</v>
      </c>
      <c r="B178" s="358" t="s">
        <v>2370</v>
      </c>
      <c r="C178" s="50" t="s">
        <v>131</v>
      </c>
      <c r="D178" s="99" t="s">
        <v>470</v>
      </c>
      <c r="E178" s="48" t="s">
        <v>14</v>
      </c>
      <c r="F178" s="10">
        <v>54049</v>
      </c>
      <c r="G178" s="38">
        <v>70295</v>
      </c>
      <c r="H178" s="33">
        <v>91383</v>
      </c>
      <c r="I178" s="36">
        <v>61442.6</v>
      </c>
      <c r="J178" s="29">
        <f t="shared" si="270"/>
        <v>74373.53333333334</v>
      </c>
      <c r="K178" s="24">
        <f t="shared" si="271"/>
        <v>20324.53333333334</v>
      </c>
      <c r="L178" s="25">
        <f t="shared" si="272"/>
        <v>0.3760390263156273</v>
      </c>
      <c r="M178" s="69" t="str">
        <f t="shared" si="273"/>
        <v>REVISAR PRECIO</v>
      </c>
      <c r="N178" s="77">
        <f t="shared" si="241"/>
        <v>74373.53333333334</v>
      </c>
      <c r="O178" s="73">
        <v>28904</v>
      </c>
      <c r="P178" s="74">
        <v>57098.276249999995</v>
      </c>
      <c r="Q178" s="74">
        <v>100000</v>
      </c>
      <c r="R178" s="75">
        <v>65787.144374999989</v>
      </c>
      <c r="S178" s="61">
        <v>77050</v>
      </c>
      <c r="T178" s="60">
        <v>35000</v>
      </c>
      <c r="U178" s="74">
        <v>88607.5</v>
      </c>
      <c r="V178" s="76">
        <f t="shared" si="297"/>
        <v>70590.486770833333</v>
      </c>
      <c r="W178" s="24">
        <f t="shared" si="298"/>
        <v>41686.486770833333</v>
      </c>
      <c r="X178" s="25">
        <f t="shared" si="299"/>
        <v>1.4422393707041701</v>
      </c>
      <c r="Y178" s="77" t="str">
        <f t="shared" si="300"/>
        <v>REVISAR PRECIO</v>
      </c>
      <c r="Z178" s="106">
        <f t="shared" si="301"/>
        <v>70590.486770833333</v>
      </c>
      <c r="AA178" s="73">
        <v>28904</v>
      </c>
      <c r="AB178" s="88">
        <v>50000</v>
      </c>
      <c r="AC178" s="116">
        <v>50000</v>
      </c>
      <c r="AD178" s="74">
        <v>54615.742499999993</v>
      </c>
      <c r="AE178" s="76">
        <f t="shared" si="302"/>
        <v>51538.580833333333</v>
      </c>
      <c r="AF178" s="24">
        <f t="shared" si="303"/>
        <v>22634.580833333333</v>
      </c>
      <c r="AG178" s="25">
        <f t="shared" si="304"/>
        <v>0.78309510217732259</v>
      </c>
      <c r="AH178" s="77" t="str">
        <f t="shared" si="305"/>
        <v>REVISAR PRECIO</v>
      </c>
      <c r="AI178" s="77">
        <f t="shared" si="306"/>
        <v>51538.580833333333</v>
      </c>
      <c r="AJ178" s="73">
        <v>28904</v>
      </c>
      <c r="AK178" s="79">
        <v>65787.144374999989</v>
      </c>
      <c r="AL178" s="79">
        <f>+AL175*1.5</f>
        <v>49650.674999999996</v>
      </c>
      <c r="AM178" s="127">
        <v>59580.81</v>
      </c>
      <c r="AN178" s="128">
        <v>50200</v>
      </c>
      <c r="AO178" s="128">
        <v>50000</v>
      </c>
      <c r="AP178" s="133">
        <f t="shared" si="307"/>
        <v>55043.725875000004</v>
      </c>
      <c r="AQ178" s="127">
        <f t="shared" si="308"/>
        <v>26139.725875000004</v>
      </c>
      <c r="AR178" s="134">
        <f t="shared" si="309"/>
        <v>0.90436361316772773</v>
      </c>
      <c r="AS178" s="132">
        <f t="shared" si="310"/>
        <v>55043.725875000004</v>
      </c>
      <c r="AT178" s="10">
        <v>28346</v>
      </c>
      <c r="AU178" s="10">
        <v>49651</v>
      </c>
      <c r="AV178" s="167">
        <v>148953</v>
      </c>
      <c r="AW178" s="168">
        <v>39680</v>
      </c>
      <c r="AX178" s="29">
        <f t="shared" si="311"/>
        <v>44665.5</v>
      </c>
      <c r="AY178" s="24">
        <f t="shared" si="312"/>
        <v>16319.5</v>
      </c>
      <c r="AZ178" s="25">
        <f t="shared" si="313"/>
        <v>0.57572497001340572</v>
      </c>
      <c r="BA178" s="24">
        <f t="shared" si="314"/>
        <v>120607</v>
      </c>
      <c r="BB178" s="169">
        <f t="shared" si="315"/>
        <v>4.2548154942496295</v>
      </c>
      <c r="BC178" s="170">
        <f t="shared" si="316"/>
        <v>44665.5</v>
      </c>
      <c r="BD178" s="10">
        <v>25762</v>
      </c>
      <c r="BE178" s="10">
        <v>142000</v>
      </c>
      <c r="BF178" s="10">
        <v>150000</v>
      </c>
      <c r="BG178" s="268">
        <v>150000</v>
      </c>
      <c r="BH178" s="10">
        <v>150000</v>
      </c>
      <c r="BI178" s="76">
        <f t="shared" si="321"/>
        <v>148000</v>
      </c>
      <c r="BJ178" s="24">
        <f t="shared" si="322"/>
        <v>122238</v>
      </c>
      <c r="BK178" s="25">
        <f t="shared" si="323"/>
        <v>4.7448955826410995</v>
      </c>
      <c r="BL178" s="259">
        <f t="shared" si="324"/>
        <v>148000</v>
      </c>
      <c r="BM178" s="10">
        <v>28762</v>
      </c>
      <c r="BN178" s="45">
        <v>52000</v>
      </c>
      <c r="BO178" s="45">
        <v>33438</v>
      </c>
      <c r="BP178" s="45">
        <v>60000</v>
      </c>
      <c r="BQ178" s="29">
        <f t="shared" si="317"/>
        <v>48479.333333333336</v>
      </c>
      <c r="BR178" s="24">
        <f t="shared" si="318"/>
        <v>19717.333333333336</v>
      </c>
      <c r="BS178" s="25">
        <f t="shared" si="319"/>
        <v>0.68553415386041772</v>
      </c>
      <c r="BT178" s="308">
        <f t="shared" si="320"/>
        <v>48479.333333333336</v>
      </c>
    </row>
    <row r="179" spans="1:72" ht="33" customHeight="1">
      <c r="A179" s="91" t="s">
        <v>18</v>
      </c>
      <c r="B179" s="358" t="s">
        <v>2371</v>
      </c>
      <c r="C179" s="50" t="s">
        <v>132</v>
      </c>
      <c r="D179" s="99" t="s">
        <v>471</v>
      </c>
      <c r="E179" s="48" t="s">
        <v>14</v>
      </c>
      <c r="F179" s="10">
        <v>37845</v>
      </c>
      <c r="G179" s="38">
        <v>49221</v>
      </c>
      <c r="H179" s="33">
        <v>63987</v>
      </c>
      <c r="I179" s="36">
        <v>43022.8</v>
      </c>
      <c r="J179" s="29">
        <f t="shared" si="270"/>
        <v>52076.933333333327</v>
      </c>
      <c r="K179" s="24">
        <f t="shared" si="271"/>
        <v>14231.933333333327</v>
      </c>
      <c r="L179" s="25">
        <f t="shared" si="272"/>
        <v>0.37605848416787757</v>
      </c>
      <c r="M179" s="69" t="str">
        <f t="shared" si="273"/>
        <v>REVISAR PRECIO</v>
      </c>
      <c r="N179" s="77">
        <f t="shared" si="241"/>
        <v>52076.933333333327</v>
      </c>
      <c r="O179" s="73">
        <v>20238</v>
      </c>
      <c r="P179" s="74">
        <v>39387.040000000008</v>
      </c>
      <c r="Q179" s="74">
        <v>50000</v>
      </c>
      <c r="R179" s="75">
        <v>45380.72</v>
      </c>
      <c r="S179" s="61">
        <v>43700</v>
      </c>
      <c r="T179" s="60">
        <v>50000</v>
      </c>
      <c r="U179" s="74">
        <v>50254.999999999993</v>
      </c>
      <c r="V179" s="76">
        <f t="shared" si="297"/>
        <v>46453.793333333335</v>
      </c>
      <c r="W179" s="24">
        <f t="shared" si="298"/>
        <v>26215.793333333335</v>
      </c>
      <c r="X179" s="25">
        <f t="shared" si="299"/>
        <v>1.2953747076456832</v>
      </c>
      <c r="Y179" s="77" t="str">
        <f t="shared" si="300"/>
        <v>REVISAR PRECIO</v>
      </c>
      <c r="Z179" s="106">
        <f t="shared" si="301"/>
        <v>46453.793333333335</v>
      </c>
      <c r="AA179" s="73">
        <v>20238</v>
      </c>
      <c r="AB179" s="88">
        <v>35000</v>
      </c>
      <c r="AC179" s="116">
        <v>35000</v>
      </c>
      <c r="AD179" s="74">
        <v>37674.560000000005</v>
      </c>
      <c r="AE179" s="76">
        <f t="shared" si="302"/>
        <v>35891.519999999997</v>
      </c>
      <c r="AF179" s="24">
        <f t="shared" si="303"/>
        <v>15653.519999999997</v>
      </c>
      <c r="AG179" s="25">
        <f t="shared" si="304"/>
        <v>0.77347168692558532</v>
      </c>
      <c r="AH179" s="77" t="str">
        <f t="shared" si="305"/>
        <v>REVISAR PRECIO</v>
      </c>
      <c r="AI179" s="77">
        <f t="shared" si="306"/>
        <v>35891.519999999997</v>
      </c>
      <c r="AJ179" s="73">
        <v>20238</v>
      </c>
      <c r="AK179" s="79">
        <v>45380.72</v>
      </c>
      <c r="AL179" s="79">
        <f>31136*1.1</f>
        <v>34249.600000000006</v>
      </c>
      <c r="AM179" s="127">
        <v>41099.520000000004</v>
      </c>
      <c r="AN179" s="128">
        <v>35600</v>
      </c>
      <c r="AO179" s="128">
        <v>35000</v>
      </c>
      <c r="AP179" s="133">
        <f t="shared" si="307"/>
        <v>38265.968000000008</v>
      </c>
      <c r="AQ179" s="127">
        <f t="shared" si="308"/>
        <v>18027.968000000008</v>
      </c>
      <c r="AR179" s="134">
        <f t="shared" si="309"/>
        <v>0.89079790493131772</v>
      </c>
      <c r="AS179" s="132">
        <f t="shared" si="310"/>
        <v>38265.968000000008</v>
      </c>
      <c r="AT179" s="10">
        <v>19840</v>
      </c>
      <c r="AU179" s="10">
        <v>34250</v>
      </c>
      <c r="AV179" s="167">
        <v>137000</v>
      </c>
      <c r="AW179" s="168">
        <v>33500</v>
      </c>
      <c r="AX179" s="29">
        <f t="shared" si="311"/>
        <v>33875</v>
      </c>
      <c r="AY179" s="24">
        <f t="shared" si="312"/>
        <v>14035</v>
      </c>
      <c r="AZ179" s="25">
        <f t="shared" si="313"/>
        <v>0.70740927419354838</v>
      </c>
      <c r="BA179" s="24">
        <f t="shared" si="314"/>
        <v>117160</v>
      </c>
      <c r="BB179" s="169">
        <f t="shared" si="315"/>
        <v>5.905241935483871</v>
      </c>
      <c r="BC179" s="170">
        <f t="shared" si="316"/>
        <v>33875</v>
      </c>
      <c r="BD179" s="10">
        <v>18036</v>
      </c>
      <c r="BE179" s="10">
        <v>48000</v>
      </c>
      <c r="BF179" s="10">
        <v>55000</v>
      </c>
      <c r="BG179" s="268">
        <v>55000</v>
      </c>
      <c r="BH179" s="10">
        <v>55000</v>
      </c>
      <c r="BI179" s="76">
        <f t="shared" si="321"/>
        <v>53250</v>
      </c>
      <c r="BJ179" s="24">
        <f t="shared" si="322"/>
        <v>35214</v>
      </c>
      <c r="BK179" s="25">
        <f t="shared" si="323"/>
        <v>1.9524284763805722</v>
      </c>
      <c r="BL179" s="259">
        <f t="shared" si="324"/>
        <v>53250</v>
      </c>
      <c r="BM179" s="10">
        <v>20133</v>
      </c>
      <c r="BN179" s="45">
        <v>42000</v>
      </c>
      <c r="BO179" s="45">
        <v>23408</v>
      </c>
      <c r="BP179" s="45">
        <v>60000</v>
      </c>
      <c r="BQ179" s="29">
        <f t="shared" si="317"/>
        <v>41802.666666666664</v>
      </c>
      <c r="BR179" s="24">
        <f t="shared" si="318"/>
        <v>21669.666666666664</v>
      </c>
      <c r="BS179" s="25">
        <f t="shared" si="319"/>
        <v>1.0763257669828969</v>
      </c>
      <c r="BT179" s="308">
        <f t="shared" si="320"/>
        <v>41802.666666666664</v>
      </c>
    </row>
    <row r="180" spans="1:72" ht="33" customHeight="1">
      <c r="A180" s="91" t="s">
        <v>18</v>
      </c>
      <c r="B180" s="358" t="s">
        <v>2372</v>
      </c>
      <c r="C180" s="50" t="s">
        <v>133</v>
      </c>
      <c r="D180" s="99" t="s">
        <v>472</v>
      </c>
      <c r="E180" s="48" t="s">
        <v>14</v>
      </c>
      <c r="F180" s="10">
        <v>166423</v>
      </c>
      <c r="G180" s="38">
        <v>216446</v>
      </c>
      <c r="H180" s="31">
        <v>281379</v>
      </c>
      <c r="I180" s="36">
        <v>189189.4</v>
      </c>
      <c r="J180" s="29">
        <f t="shared" si="270"/>
        <v>229004.80000000002</v>
      </c>
      <c r="K180" s="24">
        <f t="shared" si="271"/>
        <v>62581.800000000017</v>
      </c>
      <c r="L180" s="25">
        <f t="shared" si="272"/>
        <v>0.37604057131526303</v>
      </c>
      <c r="M180" s="69" t="str">
        <f t="shared" si="273"/>
        <v>REVISAR PRECIO</v>
      </c>
      <c r="N180" s="77">
        <f t="shared" si="241"/>
        <v>229004.80000000002</v>
      </c>
      <c r="O180" s="73">
        <v>89001</v>
      </c>
      <c r="P180" s="74">
        <v>96341.135000000009</v>
      </c>
      <c r="Q180" s="74">
        <v>140000</v>
      </c>
      <c r="R180" s="75">
        <v>111001.74250000002</v>
      </c>
      <c r="S180" s="61">
        <v>96341.135000000009</v>
      </c>
      <c r="T180" s="60">
        <v>60000</v>
      </c>
      <c r="U180" s="74">
        <v>110792.30525</v>
      </c>
      <c r="V180" s="76">
        <f t="shared" si="297"/>
        <v>102412.71962500001</v>
      </c>
      <c r="W180" s="24">
        <f t="shared" si="298"/>
        <v>13411.719625000012</v>
      </c>
      <c r="X180" s="25">
        <f t="shared" si="299"/>
        <v>0.1506917857664522</v>
      </c>
      <c r="Y180" s="77">
        <f t="shared" si="300"/>
        <v>102412.71962500001</v>
      </c>
      <c r="Z180" s="106">
        <f t="shared" si="301"/>
        <v>102412.71962500001</v>
      </c>
      <c r="AA180" s="73">
        <v>89001</v>
      </c>
      <c r="AB180" s="88">
        <v>90000</v>
      </c>
      <c r="AC180" s="116">
        <v>90000</v>
      </c>
      <c r="AD180" s="74">
        <v>92152.390000000014</v>
      </c>
      <c r="AE180" s="76">
        <f t="shared" si="302"/>
        <v>90717.463333333333</v>
      </c>
      <c r="AF180" s="24">
        <f t="shared" si="303"/>
        <v>1716.4633333333331</v>
      </c>
      <c r="AG180" s="25">
        <f t="shared" si="304"/>
        <v>1.928588817354112E-2</v>
      </c>
      <c r="AH180" s="77">
        <f t="shared" si="305"/>
        <v>90717.463333333333</v>
      </c>
      <c r="AI180" s="77">
        <f t="shared" si="306"/>
        <v>90717.463333333333</v>
      </c>
      <c r="AJ180" s="73">
        <v>89001</v>
      </c>
      <c r="AK180" s="79">
        <v>111001.74250000002</v>
      </c>
      <c r="AL180" s="79">
        <f>76159*1.1</f>
        <v>83774.900000000009</v>
      </c>
      <c r="AM180" s="127">
        <v>100529.88</v>
      </c>
      <c r="AN180" s="128">
        <v>85200</v>
      </c>
      <c r="AO180" s="128">
        <v>90000</v>
      </c>
      <c r="AP180" s="133">
        <f t="shared" si="307"/>
        <v>94101.304499999998</v>
      </c>
      <c r="AQ180" s="127">
        <f t="shared" si="308"/>
        <v>5100.3044999999984</v>
      </c>
      <c r="AR180" s="134">
        <f t="shared" si="309"/>
        <v>5.730614824552531E-2</v>
      </c>
      <c r="AS180" s="132">
        <f t="shared" si="310"/>
        <v>94101.304499999998</v>
      </c>
      <c r="AT180" s="10">
        <v>87255</v>
      </c>
      <c r="AU180" s="10">
        <v>83775</v>
      </c>
      <c r="AV180" s="167">
        <v>418875</v>
      </c>
      <c r="AW180" s="168">
        <v>75500</v>
      </c>
      <c r="AX180" s="29">
        <f t="shared" si="311"/>
        <v>79637.5</v>
      </c>
      <c r="AY180" s="24">
        <f t="shared" si="312"/>
        <v>-7617.5</v>
      </c>
      <c r="AZ180" s="25">
        <f t="shared" si="313"/>
        <v>-8.7301587301587297E-2</v>
      </c>
      <c r="BA180" s="24">
        <f t="shared" si="314"/>
        <v>331620</v>
      </c>
      <c r="BB180" s="169">
        <f t="shared" si="315"/>
        <v>3.8005844937252879</v>
      </c>
      <c r="BC180" s="170">
        <f t="shared" si="316"/>
        <v>79637.5</v>
      </c>
      <c r="BD180" s="10">
        <v>79309</v>
      </c>
      <c r="BE180" s="10">
        <v>192000</v>
      </c>
      <c r="BF180" s="10">
        <v>200000</v>
      </c>
      <c r="BG180" s="268">
        <v>200000</v>
      </c>
      <c r="BH180" s="10">
        <v>200000</v>
      </c>
      <c r="BI180" s="76">
        <f t="shared" si="321"/>
        <v>198000</v>
      </c>
      <c r="BJ180" s="24">
        <f t="shared" si="322"/>
        <v>118691</v>
      </c>
      <c r="BK180" s="25">
        <f t="shared" si="323"/>
        <v>1.4965640721733977</v>
      </c>
      <c r="BL180" s="259">
        <f t="shared" si="324"/>
        <v>198000</v>
      </c>
      <c r="BM180" s="10">
        <v>88555</v>
      </c>
      <c r="BN180" s="45">
        <v>75000</v>
      </c>
      <c r="BO180" s="45">
        <v>102949</v>
      </c>
      <c r="BP180" s="45">
        <v>75000</v>
      </c>
      <c r="BQ180" s="29">
        <f t="shared" si="317"/>
        <v>84316.333333333328</v>
      </c>
      <c r="BR180" s="24">
        <f t="shared" si="318"/>
        <v>-4238.6666666666715</v>
      </c>
      <c r="BS180" s="25">
        <f t="shared" si="319"/>
        <v>-4.786479212542117E-2</v>
      </c>
      <c r="BT180" s="308">
        <f t="shared" si="320"/>
        <v>84316.333333333328</v>
      </c>
    </row>
    <row r="181" spans="1:72" ht="33" customHeight="1">
      <c r="A181" s="91" t="s">
        <v>18</v>
      </c>
      <c r="B181" s="358" t="s">
        <v>2373</v>
      </c>
      <c r="C181" s="50" t="s">
        <v>134</v>
      </c>
      <c r="D181" s="99" t="s">
        <v>473</v>
      </c>
      <c r="E181" s="48" t="s">
        <v>10</v>
      </c>
      <c r="F181" s="10">
        <v>92683</v>
      </c>
      <c r="G181" s="38">
        <v>120542</v>
      </c>
      <c r="H181" s="31">
        <v>156704</v>
      </c>
      <c r="I181" s="36">
        <v>105362.2</v>
      </c>
      <c r="J181" s="29">
        <f t="shared" si="270"/>
        <v>127536.06666666667</v>
      </c>
      <c r="K181" s="24">
        <f t="shared" si="271"/>
        <v>34853.066666666666</v>
      </c>
      <c r="L181" s="25">
        <f t="shared" si="272"/>
        <v>0.3760459487356545</v>
      </c>
      <c r="M181" s="69" t="str">
        <f t="shared" si="273"/>
        <v>REVISAR PRECIO</v>
      </c>
      <c r="N181" s="77">
        <f t="shared" si="241"/>
        <v>127536.06666666667</v>
      </c>
      <c r="O181" s="73">
        <v>49569</v>
      </c>
      <c r="P181" s="74">
        <v>39974</v>
      </c>
      <c r="Q181" s="74">
        <v>65000</v>
      </c>
      <c r="R181" s="75">
        <v>46057</v>
      </c>
      <c r="S181" s="61">
        <v>109249.99999999999</v>
      </c>
      <c r="T181" s="60">
        <v>90000</v>
      </c>
      <c r="U181" s="74">
        <v>125637.49999999997</v>
      </c>
      <c r="V181" s="76">
        <f t="shared" si="297"/>
        <v>79319.75</v>
      </c>
      <c r="W181" s="24">
        <f t="shared" si="298"/>
        <v>29750.75</v>
      </c>
      <c r="X181" s="25">
        <f t="shared" si="299"/>
        <v>0.60018862595573852</v>
      </c>
      <c r="Y181" s="77" t="str">
        <f t="shared" si="300"/>
        <v>REVISAR PRECIO</v>
      </c>
      <c r="Z181" s="106">
        <f t="shared" si="301"/>
        <v>79319.75</v>
      </c>
      <c r="AA181" s="73">
        <v>49569</v>
      </c>
      <c r="AB181" s="88">
        <v>40000</v>
      </c>
      <c r="AC181" s="116">
        <v>40000</v>
      </c>
      <c r="AD181" s="74">
        <v>38236</v>
      </c>
      <c r="AE181" s="76">
        <f t="shared" si="302"/>
        <v>39412</v>
      </c>
      <c r="AF181" s="24">
        <f t="shared" si="303"/>
        <v>-10157</v>
      </c>
      <c r="AG181" s="25">
        <f t="shared" si="304"/>
        <v>-0.20490629223910106</v>
      </c>
      <c r="AH181" s="77">
        <f t="shared" si="305"/>
        <v>39412</v>
      </c>
      <c r="AI181" s="77">
        <f t="shared" si="306"/>
        <v>39412</v>
      </c>
      <c r="AJ181" s="73">
        <v>49569</v>
      </c>
      <c r="AK181" s="79">
        <v>46057</v>
      </c>
      <c r="AL181" s="79">
        <f>31600*1.1</f>
        <v>34760</v>
      </c>
      <c r="AM181" s="127">
        <v>41712</v>
      </c>
      <c r="AN181" s="128">
        <v>40100</v>
      </c>
      <c r="AO181" s="128">
        <v>35000</v>
      </c>
      <c r="AP181" s="133">
        <f t="shared" si="307"/>
        <v>39525.800000000003</v>
      </c>
      <c r="AQ181" s="127">
        <f t="shared" si="308"/>
        <v>-10043.199999999997</v>
      </c>
      <c r="AR181" s="134">
        <f t="shared" si="309"/>
        <v>-0.20261050253182428</v>
      </c>
      <c r="AS181" s="132">
        <f t="shared" si="310"/>
        <v>39525.800000000003</v>
      </c>
      <c r="AT181" s="10">
        <v>48592</v>
      </c>
      <c r="AU181" s="10">
        <v>34760</v>
      </c>
      <c r="AV181" s="167">
        <v>173800</v>
      </c>
      <c r="AW181" s="168">
        <v>34000</v>
      </c>
      <c r="AX181" s="29">
        <f t="shared" si="311"/>
        <v>34380</v>
      </c>
      <c r="AY181" s="24">
        <f t="shared" si="312"/>
        <v>-14212</v>
      </c>
      <c r="AZ181" s="25">
        <f t="shared" si="313"/>
        <v>-0.29247612775765558</v>
      </c>
      <c r="BA181" s="24">
        <f t="shared" si="314"/>
        <v>125208</v>
      </c>
      <c r="BB181" s="169">
        <f t="shared" si="315"/>
        <v>2.5767204478103389</v>
      </c>
      <c r="BC181" s="170">
        <f t="shared" si="316"/>
        <v>34380</v>
      </c>
      <c r="BD181" s="10">
        <v>44168</v>
      </c>
      <c r="BE181" s="10">
        <v>72000</v>
      </c>
      <c r="BF181" s="10">
        <v>78000</v>
      </c>
      <c r="BG181" s="268">
        <v>75000</v>
      </c>
      <c r="BH181" s="10">
        <v>90000</v>
      </c>
      <c r="BI181" s="76">
        <f t="shared" si="321"/>
        <v>78750</v>
      </c>
      <c r="BJ181" s="24">
        <f t="shared" si="322"/>
        <v>34582</v>
      </c>
      <c r="BK181" s="25">
        <f t="shared" si="323"/>
        <v>0.78296504256475274</v>
      </c>
      <c r="BL181" s="259">
        <f t="shared" si="324"/>
        <v>78750</v>
      </c>
      <c r="BM181" s="10">
        <v>49323</v>
      </c>
      <c r="BN181" s="45">
        <v>37000</v>
      </c>
      <c r="BO181" s="45">
        <v>57337</v>
      </c>
      <c r="BP181" s="45">
        <v>40000</v>
      </c>
      <c r="BQ181" s="29">
        <f t="shared" si="317"/>
        <v>44779</v>
      </c>
      <c r="BR181" s="24">
        <f t="shared" si="318"/>
        <v>-4544</v>
      </c>
      <c r="BS181" s="25">
        <f t="shared" si="319"/>
        <v>-9.2127405064574341E-2</v>
      </c>
      <c r="BT181" s="308">
        <f t="shared" si="320"/>
        <v>44779</v>
      </c>
    </row>
    <row r="182" spans="1:72" ht="33.6" customHeight="1">
      <c r="A182" s="91" t="s">
        <v>18</v>
      </c>
      <c r="B182" s="358" t="s">
        <v>2374</v>
      </c>
      <c r="C182" s="50" t="s">
        <v>135</v>
      </c>
      <c r="D182" s="99" t="s">
        <v>474</v>
      </c>
      <c r="E182" s="48" t="s">
        <v>12</v>
      </c>
      <c r="F182" s="10">
        <v>77902</v>
      </c>
      <c r="G182" s="38">
        <v>101318</v>
      </c>
      <c r="H182" s="31">
        <v>131713</v>
      </c>
      <c r="I182" s="36">
        <v>88559</v>
      </c>
      <c r="J182" s="29">
        <f t="shared" si="270"/>
        <v>107196.66666666667</v>
      </c>
      <c r="K182" s="24">
        <f t="shared" si="271"/>
        <v>29294.666666666672</v>
      </c>
      <c r="L182" s="25">
        <f t="shared" si="272"/>
        <v>0.3760451165139107</v>
      </c>
      <c r="M182" s="69" t="str">
        <f t="shared" si="273"/>
        <v>REVISAR PRECIO</v>
      </c>
      <c r="N182" s="77">
        <f t="shared" si="241"/>
        <v>107196.66666666667</v>
      </c>
      <c r="O182" s="73">
        <v>41662</v>
      </c>
      <c r="P182" s="74">
        <v>46993.485000000001</v>
      </c>
      <c r="Q182" s="74">
        <v>75000</v>
      </c>
      <c r="R182" s="75">
        <v>54144.667499999996</v>
      </c>
      <c r="S182" s="61">
        <v>46993.485000000001</v>
      </c>
      <c r="T182" s="60">
        <v>90000</v>
      </c>
      <c r="U182" s="74">
        <v>54042.507749999997</v>
      </c>
      <c r="V182" s="76">
        <f t="shared" si="297"/>
        <v>61195.690875</v>
      </c>
      <c r="W182" s="24">
        <f t="shared" si="298"/>
        <v>19533.690875</v>
      </c>
      <c r="X182" s="25">
        <f t="shared" si="299"/>
        <v>0.46886109344246557</v>
      </c>
      <c r="Y182" s="77" t="str">
        <f t="shared" si="300"/>
        <v>REVISAR PRECIO</v>
      </c>
      <c r="Z182" s="106">
        <f t="shared" si="301"/>
        <v>61195.690875</v>
      </c>
      <c r="AA182" s="73">
        <v>41662</v>
      </c>
      <c r="AB182" s="88">
        <v>45000</v>
      </c>
      <c r="AC182" s="116">
        <v>45000</v>
      </c>
      <c r="AD182" s="74">
        <v>44950.29</v>
      </c>
      <c r="AE182" s="76">
        <f t="shared" si="302"/>
        <v>44983.43</v>
      </c>
      <c r="AF182" s="24">
        <f t="shared" si="303"/>
        <v>3321.4300000000003</v>
      </c>
      <c r="AG182" s="25">
        <f t="shared" si="304"/>
        <v>7.9723249003888441E-2</v>
      </c>
      <c r="AH182" s="77">
        <f t="shared" si="305"/>
        <v>44983.43</v>
      </c>
      <c r="AI182" s="77">
        <f t="shared" si="306"/>
        <v>44983.43</v>
      </c>
      <c r="AJ182" s="73">
        <v>41662</v>
      </c>
      <c r="AK182" s="79">
        <v>54144.667499999996</v>
      </c>
      <c r="AL182" s="79">
        <f>37149*1.1</f>
        <v>40863.9</v>
      </c>
      <c r="AM182" s="127">
        <v>49036.68</v>
      </c>
      <c r="AN182" s="128">
        <v>40100</v>
      </c>
      <c r="AO182" s="128">
        <v>45000</v>
      </c>
      <c r="AP182" s="133">
        <f t="shared" si="307"/>
        <v>45829.049500000001</v>
      </c>
      <c r="AQ182" s="127">
        <f t="shared" si="308"/>
        <v>4167.049500000001</v>
      </c>
      <c r="AR182" s="134">
        <f t="shared" si="309"/>
        <v>0.1000203902837118</v>
      </c>
      <c r="AS182" s="132">
        <f t="shared" si="310"/>
        <v>45829.049500000001</v>
      </c>
      <c r="AT182" s="10">
        <v>40847</v>
      </c>
      <c r="AU182" s="10">
        <v>40864</v>
      </c>
      <c r="AV182" s="167">
        <v>204320</v>
      </c>
      <c r="AW182" s="168">
        <v>38500</v>
      </c>
      <c r="AX182" s="29">
        <f t="shared" si="311"/>
        <v>39682</v>
      </c>
      <c r="AY182" s="24">
        <f t="shared" si="312"/>
        <v>-1165</v>
      </c>
      <c r="AZ182" s="25">
        <f t="shared" si="313"/>
        <v>-2.8521066418586431E-2</v>
      </c>
      <c r="BA182" s="24">
        <f t="shared" si="314"/>
        <v>163473</v>
      </c>
      <c r="BB182" s="169">
        <f t="shared" si="315"/>
        <v>4.0020809361764638</v>
      </c>
      <c r="BC182" s="170">
        <f t="shared" si="316"/>
        <v>39682</v>
      </c>
      <c r="BD182" s="10">
        <v>37125</v>
      </c>
      <c r="BE182" s="10">
        <v>72000</v>
      </c>
      <c r="BF182" s="10">
        <v>75000</v>
      </c>
      <c r="BG182" s="268">
        <v>75000</v>
      </c>
      <c r="BH182" s="10">
        <v>90000</v>
      </c>
      <c r="BI182" s="76">
        <f t="shared" si="321"/>
        <v>78000</v>
      </c>
      <c r="BJ182" s="24">
        <f t="shared" si="322"/>
        <v>40875</v>
      </c>
      <c r="BK182" s="25">
        <f t="shared" si="323"/>
        <v>1.101010101010101</v>
      </c>
      <c r="BL182" s="259">
        <f t="shared" si="324"/>
        <v>78000</v>
      </c>
      <c r="BM182" s="10">
        <v>41454</v>
      </c>
      <c r="BN182" s="45">
        <v>43000</v>
      </c>
      <c r="BO182" s="45">
        <v>48192</v>
      </c>
      <c r="BP182" s="45">
        <v>40000</v>
      </c>
      <c r="BQ182" s="29">
        <f t="shared" si="317"/>
        <v>43730.666666666664</v>
      </c>
      <c r="BR182" s="24">
        <f t="shared" si="318"/>
        <v>2276.6666666666642</v>
      </c>
      <c r="BS182" s="25">
        <f t="shared" si="319"/>
        <v>5.4920313278975834E-2</v>
      </c>
      <c r="BT182" s="308">
        <f t="shared" si="320"/>
        <v>43730.666666666664</v>
      </c>
    </row>
    <row r="183" spans="1:72" ht="33.6" customHeight="1">
      <c r="A183" s="91" t="s">
        <v>18</v>
      </c>
      <c r="B183" s="358" t="s">
        <v>2375</v>
      </c>
      <c r="C183" s="50" t="s">
        <v>136</v>
      </c>
      <c r="D183" s="99" t="s">
        <v>475</v>
      </c>
      <c r="E183" s="48" t="s">
        <v>14</v>
      </c>
      <c r="F183" s="10">
        <v>14947</v>
      </c>
      <c r="G183" s="38">
        <v>19440</v>
      </c>
      <c r="H183" s="31">
        <v>19440</v>
      </c>
      <c r="I183" s="36">
        <v>16992</v>
      </c>
      <c r="J183" s="29">
        <f t="shared" si="270"/>
        <v>18624</v>
      </c>
      <c r="K183" s="24">
        <f t="shared" si="271"/>
        <v>3677</v>
      </c>
      <c r="L183" s="25">
        <f t="shared" si="272"/>
        <v>0.24600254231618385</v>
      </c>
      <c r="M183" s="69">
        <f t="shared" si="273"/>
        <v>18624</v>
      </c>
      <c r="N183" s="77">
        <f t="shared" si="241"/>
        <v>18624</v>
      </c>
      <c r="O183" s="73">
        <v>9492</v>
      </c>
      <c r="P183" s="74">
        <v>21275</v>
      </c>
      <c r="Q183" s="74">
        <v>35000</v>
      </c>
      <c r="R183" s="75">
        <v>24512.5</v>
      </c>
      <c r="S183" s="61">
        <v>21275</v>
      </c>
      <c r="T183" s="60">
        <v>45000</v>
      </c>
      <c r="U183" s="74">
        <v>24466.249999999996</v>
      </c>
      <c r="V183" s="76">
        <f t="shared" si="297"/>
        <v>28588.125</v>
      </c>
      <c r="W183" s="24">
        <f t="shared" si="298"/>
        <v>19096.125</v>
      </c>
      <c r="X183" s="25">
        <f t="shared" si="299"/>
        <v>2.0118125790139065</v>
      </c>
      <c r="Y183" s="77" t="str">
        <f t="shared" si="300"/>
        <v>REVISAR PRECIO</v>
      </c>
      <c r="Z183" s="106">
        <f t="shared" si="301"/>
        <v>28588.125</v>
      </c>
      <c r="AA183" s="73">
        <v>9492</v>
      </c>
      <c r="AB183" s="88">
        <v>20000</v>
      </c>
      <c r="AC183" s="116">
        <v>20000</v>
      </c>
      <c r="AD183" s="74">
        <v>20350</v>
      </c>
      <c r="AE183" s="76">
        <f t="shared" si="302"/>
        <v>20116.666666666668</v>
      </c>
      <c r="AF183" s="24">
        <f t="shared" si="303"/>
        <v>10624.666666666668</v>
      </c>
      <c r="AG183" s="25">
        <f t="shared" si="304"/>
        <v>1.1193285573816549</v>
      </c>
      <c r="AH183" s="77" t="str">
        <f t="shared" si="305"/>
        <v>REVISAR PRECIO</v>
      </c>
      <c r="AI183" s="77">
        <f t="shared" si="306"/>
        <v>20116.666666666668</v>
      </c>
      <c r="AJ183" s="73">
        <v>9492</v>
      </c>
      <c r="AK183" s="79">
        <v>24512.5</v>
      </c>
      <c r="AL183" s="79">
        <v>18500</v>
      </c>
      <c r="AM183" s="127">
        <v>22200</v>
      </c>
      <c r="AN183" s="128">
        <v>15900</v>
      </c>
      <c r="AO183" s="128">
        <v>18000</v>
      </c>
      <c r="AP183" s="133">
        <f t="shared" si="307"/>
        <v>19822.5</v>
      </c>
      <c r="AQ183" s="127">
        <f t="shared" si="308"/>
        <v>10330.5</v>
      </c>
      <c r="AR183" s="134">
        <f t="shared" si="309"/>
        <v>1.0883375474083439</v>
      </c>
      <c r="AS183" s="132">
        <f t="shared" si="310"/>
        <v>19822.5</v>
      </c>
      <c r="AT183" s="10">
        <v>9493</v>
      </c>
      <c r="AU183" s="10">
        <v>18500</v>
      </c>
      <c r="AV183" s="167">
        <v>92500</v>
      </c>
      <c r="AW183" s="168">
        <v>25500</v>
      </c>
      <c r="AX183" s="29">
        <f t="shared" si="311"/>
        <v>22000</v>
      </c>
      <c r="AY183" s="24">
        <f t="shared" si="312"/>
        <v>12507</v>
      </c>
      <c r="AZ183" s="25">
        <f t="shared" si="313"/>
        <v>1.3174971031286211</v>
      </c>
      <c r="BA183" s="24">
        <f t="shared" si="314"/>
        <v>83007</v>
      </c>
      <c r="BB183" s="169">
        <f t="shared" si="315"/>
        <v>8.7440219108817026</v>
      </c>
      <c r="BC183" s="170">
        <f t="shared" si="316"/>
        <v>22000</v>
      </c>
      <c r="BD183" s="10">
        <v>8543</v>
      </c>
      <c r="BE183" s="10">
        <v>38000</v>
      </c>
      <c r="BF183" s="10">
        <v>45000</v>
      </c>
      <c r="BG183" s="268">
        <v>41000</v>
      </c>
      <c r="BH183" s="10">
        <v>45000</v>
      </c>
      <c r="BI183" s="76">
        <f t="shared" si="321"/>
        <v>42250</v>
      </c>
      <c r="BJ183" s="24">
        <f t="shared" si="322"/>
        <v>33707</v>
      </c>
      <c r="BK183" s="25">
        <f t="shared" si="323"/>
        <v>3.9455694720824068</v>
      </c>
      <c r="BL183" s="259">
        <f t="shared" si="324"/>
        <v>42250</v>
      </c>
      <c r="BM183" s="10">
        <v>9492</v>
      </c>
      <c r="BN183" s="45">
        <v>18000</v>
      </c>
      <c r="BO183" s="45">
        <v>11200</v>
      </c>
      <c r="BP183" s="45">
        <v>57000</v>
      </c>
      <c r="BQ183" s="29">
        <f t="shared" si="317"/>
        <v>28733.333333333332</v>
      </c>
      <c r="BR183" s="24">
        <f t="shared" si="318"/>
        <v>19241.333333333332</v>
      </c>
      <c r="BS183" s="25">
        <f t="shared" si="319"/>
        <v>2.0271105492344428</v>
      </c>
      <c r="BT183" s="308">
        <f t="shared" si="320"/>
        <v>28733.333333333332</v>
      </c>
    </row>
    <row r="184" spans="1:72" ht="33.6" customHeight="1">
      <c r="A184" s="91" t="s">
        <v>18</v>
      </c>
      <c r="B184" s="358" t="s">
        <v>2376</v>
      </c>
      <c r="C184" s="50" t="s">
        <v>137</v>
      </c>
      <c r="D184" s="99" t="s">
        <v>476</v>
      </c>
      <c r="E184" s="48" t="s">
        <v>14</v>
      </c>
      <c r="F184" s="10">
        <v>46523</v>
      </c>
      <c r="G184" s="38">
        <v>60507</v>
      </c>
      <c r="H184" s="31">
        <v>78659</v>
      </c>
      <c r="I184" s="36">
        <v>52887.6</v>
      </c>
      <c r="J184" s="29">
        <f t="shared" si="270"/>
        <v>64017.866666666669</v>
      </c>
      <c r="K184" s="24">
        <f t="shared" si="271"/>
        <v>17494.866666666669</v>
      </c>
      <c r="L184" s="25">
        <f t="shared" si="272"/>
        <v>0.37604768967320829</v>
      </c>
      <c r="M184" s="69" t="str">
        <f t="shared" si="273"/>
        <v>REVISAR PRECIO</v>
      </c>
      <c r="N184" s="77">
        <f t="shared" si="241"/>
        <v>64017.866666666669</v>
      </c>
      <c r="O184" s="73">
        <v>29550</v>
      </c>
      <c r="P184" s="74">
        <v>11615</v>
      </c>
      <c r="Q184" s="74">
        <v>30000</v>
      </c>
      <c r="R184" s="75">
        <v>13382.5</v>
      </c>
      <c r="S184" s="61">
        <v>29439.999999999996</v>
      </c>
      <c r="T184" s="60">
        <v>56000</v>
      </c>
      <c r="U184" s="74">
        <v>33855.999999999993</v>
      </c>
      <c r="V184" s="76">
        <f t="shared" si="297"/>
        <v>29048.916666666668</v>
      </c>
      <c r="W184" s="24">
        <f t="shared" si="298"/>
        <v>-501.08333333333212</v>
      </c>
      <c r="X184" s="25">
        <f t="shared" si="299"/>
        <v>-1.6957134799774353E-2</v>
      </c>
      <c r="Y184" s="77">
        <f t="shared" si="300"/>
        <v>29048.916666666668</v>
      </c>
      <c r="Z184" s="106">
        <f t="shared" si="301"/>
        <v>29048.916666666668</v>
      </c>
      <c r="AA184" s="73">
        <v>29550</v>
      </c>
      <c r="AB184" s="88">
        <v>13000</v>
      </c>
      <c r="AC184" s="116">
        <v>13000</v>
      </c>
      <c r="AD184" s="74">
        <v>11110</v>
      </c>
      <c r="AE184" s="76">
        <f t="shared" si="302"/>
        <v>12370</v>
      </c>
      <c r="AF184" s="24">
        <f t="shared" si="303"/>
        <v>-17180</v>
      </c>
      <c r="AG184" s="25">
        <f t="shared" si="304"/>
        <v>-0.58138747884940778</v>
      </c>
      <c r="AH184" s="77">
        <f t="shared" si="305"/>
        <v>12370</v>
      </c>
      <c r="AI184" s="77">
        <f t="shared" si="306"/>
        <v>12370</v>
      </c>
      <c r="AJ184" s="73">
        <v>29550</v>
      </c>
      <c r="AK184" s="79">
        <v>13382.5</v>
      </c>
      <c r="AL184" s="79">
        <v>10100</v>
      </c>
      <c r="AM184" s="127">
        <v>12120</v>
      </c>
      <c r="AN184" s="128">
        <v>9800</v>
      </c>
      <c r="AO184" s="128">
        <v>10000</v>
      </c>
      <c r="AP184" s="133">
        <f t="shared" si="307"/>
        <v>11080.5</v>
      </c>
      <c r="AQ184" s="127">
        <f t="shared" si="308"/>
        <v>-18469.5</v>
      </c>
      <c r="AR184" s="134">
        <f t="shared" si="309"/>
        <v>-0.62502538071065994</v>
      </c>
      <c r="AS184" s="132">
        <f t="shared" si="310"/>
        <v>11080.5</v>
      </c>
      <c r="AT184" s="10">
        <v>28972</v>
      </c>
      <c r="AU184" s="10">
        <v>10100</v>
      </c>
      <c r="AV184" s="167">
        <v>20200</v>
      </c>
      <c r="AW184" s="168">
        <v>13600</v>
      </c>
      <c r="AX184" s="29">
        <f t="shared" si="311"/>
        <v>11850</v>
      </c>
      <c r="AY184" s="24">
        <f t="shared" si="312"/>
        <v>-17122</v>
      </c>
      <c r="AZ184" s="25">
        <f t="shared" si="313"/>
        <v>-0.59098439872980812</v>
      </c>
      <c r="BA184" s="24">
        <f t="shared" si="314"/>
        <v>-8772</v>
      </c>
      <c r="BB184" s="169">
        <f t="shared" si="315"/>
        <v>-0.30277509319342816</v>
      </c>
      <c r="BC184" s="170">
        <f t="shared" si="316"/>
        <v>11850</v>
      </c>
      <c r="BD184" s="10">
        <v>26332</v>
      </c>
      <c r="BE184" s="10">
        <v>38000</v>
      </c>
      <c r="BF184" s="10">
        <v>45000</v>
      </c>
      <c r="BG184" s="268">
        <v>41000</v>
      </c>
      <c r="BH184" s="10">
        <v>50000</v>
      </c>
      <c r="BI184" s="76">
        <f t="shared" si="321"/>
        <v>43500</v>
      </c>
      <c r="BJ184" s="24">
        <f t="shared" si="322"/>
        <v>17168</v>
      </c>
      <c r="BK184" s="25">
        <f t="shared" si="323"/>
        <v>0.65198237885462551</v>
      </c>
      <c r="BL184" s="259">
        <f t="shared" si="324"/>
        <v>43500</v>
      </c>
      <c r="BM184" s="10">
        <v>29398</v>
      </c>
      <c r="BN184" s="45">
        <v>9000</v>
      </c>
      <c r="BO184" s="45">
        <v>34179</v>
      </c>
      <c r="BP184" s="45">
        <v>57000</v>
      </c>
      <c r="BQ184" s="29">
        <f t="shared" si="317"/>
        <v>33393</v>
      </c>
      <c r="BR184" s="24">
        <f t="shared" si="318"/>
        <v>3995</v>
      </c>
      <c r="BS184" s="25">
        <f t="shared" si="319"/>
        <v>0.13589359820395946</v>
      </c>
      <c r="BT184" s="308">
        <f t="shared" si="320"/>
        <v>33393</v>
      </c>
    </row>
    <row r="185" spans="1:72" ht="33.6" customHeight="1">
      <c r="A185" s="91" t="s">
        <v>18</v>
      </c>
      <c r="B185" s="358" t="s">
        <v>2377</v>
      </c>
      <c r="C185" s="50" t="s">
        <v>138</v>
      </c>
      <c r="D185" s="99" t="s">
        <v>477</v>
      </c>
      <c r="E185" s="48" t="s">
        <v>14</v>
      </c>
      <c r="F185" s="10">
        <v>22078</v>
      </c>
      <c r="G185" s="38">
        <v>28715</v>
      </c>
      <c r="H185" s="31">
        <v>37329</v>
      </c>
      <c r="I185" s="36">
        <v>25098.6</v>
      </c>
      <c r="J185" s="29">
        <f t="shared" si="270"/>
        <v>30380.866666666669</v>
      </c>
      <c r="K185" s="24">
        <f t="shared" si="271"/>
        <v>8302.8666666666686</v>
      </c>
      <c r="L185" s="25">
        <f t="shared" si="272"/>
        <v>0.37606969230304688</v>
      </c>
      <c r="M185" s="69" t="str">
        <f t="shared" si="273"/>
        <v>REVISAR PRECIO</v>
      </c>
      <c r="N185" s="77">
        <f t="shared" si="241"/>
        <v>30380.866666666669</v>
      </c>
      <c r="O185" s="73">
        <v>14020</v>
      </c>
      <c r="P185" s="74">
        <v>18975</v>
      </c>
      <c r="Q185" s="74">
        <v>24000</v>
      </c>
      <c r="R185" s="75">
        <v>21862.5</v>
      </c>
      <c r="S185" s="61">
        <v>18975</v>
      </c>
      <c r="T185" s="60">
        <v>45000</v>
      </c>
      <c r="U185" s="74">
        <v>21821.25</v>
      </c>
      <c r="V185" s="76">
        <f t="shared" si="297"/>
        <v>25105.625</v>
      </c>
      <c r="W185" s="24">
        <f t="shared" si="298"/>
        <v>11085.625</v>
      </c>
      <c r="X185" s="25">
        <f t="shared" si="299"/>
        <v>0.79070078459343796</v>
      </c>
      <c r="Y185" s="77" t="str">
        <f t="shared" si="300"/>
        <v>REVISAR PRECIO</v>
      </c>
      <c r="Z185" s="106">
        <f t="shared" si="301"/>
        <v>25105.625</v>
      </c>
      <c r="AA185" s="73">
        <v>14020</v>
      </c>
      <c r="AB185" s="88">
        <v>20000</v>
      </c>
      <c r="AC185" s="116">
        <v>20000</v>
      </c>
      <c r="AD185" s="74">
        <v>18150</v>
      </c>
      <c r="AE185" s="76">
        <f t="shared" si="302"/>
        <v>19383.333333333332</v>
      </c>
      <c r="AF185" s="24">
        <f t="shared" si="303"/>
        <v>5363.3333333333321</v>
      </c>
      <c r="AG185" s="25">
        <f t="shared" si="304"/>
        <v>0.38254873989538746</v>
      </c>
      <c r="AH185" s="77" t="str">
        <f t="shared" si="305"/>
        <v>REVISAR PRECIO</v>
      </c>
      <c r="AI185" s="77">
        <f t="shared" si="306"/>
        <v>19383.333333333332</v>
      </c>
      <c r="AJ185" s="73">
        <v>14020</v>
      </c>
      <c r="AK185" s="79">
        <v>21862.5</v>
      </c>
      <c r="AL185" s="79">
        <v>16500</v>
      </c>
      <c r="AM185" s="127">
        <v>19800</v>
      </c>
      <c r="AN185" s="128">
        <v>20000</v>
      </c>
      <c r="AO185" s="128">
        <v>15000</v>
      </c>
      <c r="AP185" s="129">
        <f t="shared" si="307"/>
        <v>18632.5</v>
      </c>
      <c r="AQ185" s="130">
        <f t="shared" si="308"/>
        <v>4612.5</v>
      </c>
      <c r="AR185" s="131">
        <f t="shared" si="309"/>
        <v>0.32899429386590584</v>
      </c>
      <c r="AS185" s="132">
        <f t="shared" si="310"/>
        <v>18632.5</v>
      </c>
      <c r="AT185" s="10">
        <v>13746</v>
      </c>
      <c r="AU185" s="10">
        <v>16500</v>
      </c>
      <c r="AV185" s="167">
        <v>33000</v>
      </c>
      <c r="AW185" s="168">
        <v>20050</v>
      </c>
      <c r="AX185" s="29">
        <f t="shared" si="311"/>
        <v>18275</v>
      </c>
      <c r="AY185" s="24">
        <f t="shared" si="312"/>
        <v>4529</v>
      </c>
      <c r="AZ185" s="25">
        <f t="shared" si="313"/>
        <v>0.32947766623017605</v>
      </c>
      <c r="BA185" s="24">
        <f t="shared" si="314"/>
        <v>19254</v>
      </c>
      <c r="BB185" s="169">
        <f t="shared" si="315"/>
        <v>1.4006983849847228</v>
      </c>
      <c r="BC185" s="170">
        <f t="shared" si="316"/>
        <v>18275</v>
      </c>
      <c r="BD185" s="10">
        <v>12492</v>
      </c>
      <c r="BE185" s="10">
        <v>56000</v>
      </c>
      <c r="BF185" s="10">
        <v>60000</v>
      </c>
      <c r="BG185" s="268">
        <v>60000</v>
      </c>
      <c r="BH185" s="10">
        <v>80000</v>
      </c>
      <c r="BI185" s="76">
        <f t="shared" si="321"/>
        <v>64000</v>
      </c>
      <c r="BJ185" s="24">
        <f t="shared" si="322"/>
        <v>51508</v>
      </c>
      <c r="BK185" s="25">
        <f t="shared" si="323"/>
        <v>4.1232788984950366</v>
      </c>
      <c r="BL185" s="259">
        <f t="shared" si="324"/>
        <v>64000</v>
      </c>
      <c r="BM185" s="10">
        <v>13954</v>
      </c>
      <c r="BN185" s="45">
        <v>15000</v>
      </c>
      <c r="BO185" s="45">
        <v>16220</v>
      </c>
      <c r="BP185" s="45">
        <v>57000</v>
      </c>
      <c r="BQ185" s="29">
        <f t="shared" si="317"/>
        <v>29406.666666666668</v>
      </c>
      <c r="BR185" s="24">
        <f t="shared" si="318"/>
        <v>15452.666666666668</v>
      </c>
      <c r="BS185" s="25">
        <f t="shared" si="319"/>
        <v>1.1074005064258756</v>
      </c>
      <c r="BT185" s="308">
        <f t="shared" si="320"/>
        <v>29406.666666666668</v>
      </c>
    </row>
    <row r="186" spans="1:72" ht="33.6" customHeight="1">
      <c r="A186" s="91" t="s">
        <v>18</v>
      </c>
      <c r="B186" s="358" t="s">
        <v>2378</v>
      </c>
      <c r="C186" s="50" t="s">
        <v>139</v>
      </c>
      <c r="D186" s="99" t="s">
        <v>478</v>
      </c>
      <c r="E186" s="48" t="s">
        <v>14</v>
      </c>
      <c r="F186" s="10">
        <v>189726</v>
      </c>
      <c r="G186" s="38">
        <v>246753</v>
      </c>
      <c r="H186" s="31">
        <v>320779</v>
      </c>
      <c r="I186" s="36">
        <v>215680.4</v>
      </c>
      <c r="J186" s="29">
        <f t="shared" si="270"/>
        <v>261070.80000000002</v>
      </c>
      <c r="K186" s="24">
        <f t="shared" si="271"/>
        <v>71344.800000000017</v>
      </c>
      <c r="L186" s="25">
        <f t="shared" si="272"/>
        <v>0.37604123841750742</v>
      </c>
      <c r="M186" s="69" t="str">
        <f t="shared" si="273"/>
        <v>REVISAR PRECIO</v>
      </c>
      <c r="N186" s="77">
        <f t="shared" si="241"/>
        <v>261070.80000000002</v>
      </c>
      <c r="O186" s="73">
        <v>120487</v>
      </c>
      <c r="P186" s="74" t="s">
        <v>810</v>
      </c>
      <c r="Q186" s="74"/>
      <c r="R186" s="75"/>
      <c r="S186" s="61"/>
      <c r="T186" s="60">
        <v>200000</v>
      </c>
      <c r="U186" s="74"/>
      <c r="V186" s="76">
        <f t="shared" si="297"/>
        <v>200000</v>
      </c>
      <c r="W186" s="24">
        <f t="shared" si="298"/>
        <v>79513</v>
      </c>
      <c r="X186" s="25">
        <f t="shared" si="299"/>
        <v>0.65993011694207671</v>
      </c>
      <c r="Y186" s="77" t="str">
        <f t="shared" si="300"/>
        <v>REVISAR PRECIO</v>
      </c>
      <c r="Z186" s="106">
        <f t="shared" si="301"/>
        <v>200000</v>
      </c>
      <c r="AA186" s="73">
        <v>120487</v>
      </c>
      <c r="AB186" s="88"/>
      <c r="AC186" s="116"/>
      <c r="AD186" s="74"/>
      <c r="AE186" s="76"/>
      <c r="AF186" s="24"/>
      <c r="AG186" s="25"/>
      <c r="AH186" s="77"/>
      <c r="AI186" s="122" t="s">
        <v>807</v>
      </c>
      <c r="AJ186" s="73">
        <v>120487</v>
      </c>
      <c r="AK186" s="79"/>
      <c r="AL186" s="79"/>
      <c r="AM186" s="127"/>
      <c r="AN186" s="79"/>
      <c r="AO186" s="79"/>
      <c r="AP186" s="133"/>
      <c r="AQ186" s="127"/>
      <c r="AR186" s="134"/>
      <c r="AS186" s="152" t="s">
        <v>807</v>
      </c>
      <c r="AT186" s="10">
        <v>118124</v>
      </c>
      <c r="AU186" s="10"/>
      <c r="AV186" s="167">
        <v>55000</v>
      </c>
      <c r="AW186" s="168">
        <v>89000</v>
      </c>
      <c r="AX186" s="29">
        <f t="shared" si="311"/>
        <v>89000</v>
      </c>
      <c r="AY186" s="24">
        <f t="shared" si="312"/>
        <v>-29124</v>
      </c>
      <c r="AZ186" s="25">
        <f t="shared" si="313"/>
        <v>-0.24655446818597407</v>
      </c>
      <c r="BA186" s="24">
        <f t="shared" si="314"/>
        <v>-63124</v>
      </c>
      <c r="BB186" s="169">
        <f t="shared" si="315"/>
        <v>-0.53438759269919744</v>
      </c>
      <c r="BC186" s="170">
        <f t="shared" si="316"/>
        <v>89000</v>
      </c>
      <c r="BD186" s="150"/>
      <c r="BE186" s="150"/>
      <c r="BF186" s="150"/>
      <c r="BG186" s="150"/>
      <c r="BH186" s="150"/>
      <c r="BI186" s="150"/>
      <c r="BJ186" s="150"/>
      <c r="BK186" s="150"/>
      <c r="BL186" s="150"/>
      <c r="BM186" s="10">
        <v>119889</v>
      </c>
      <c r="BN186" s="45">
        <v>90000</v>
      </c>
      <c r="BO186" s="45">
        <v>139353</v>
      </c>
      <c r="BP186" s="45">
        <v>60000</v>
      </c>
      <c r="BQ186" s="29">
        <f t="shared" si="317"/>
        <v>96451</v>
      </c>
      <c r="BR186" s="24">
        <f t="shared" si="318"/>
        <v>-23438</v>
      </c>
      <c r="BS186" s="25">
        <f t="shared" si="319"/>
        <v>-0.19549750185588335</v>
      </c>
      <c r="BT186" s="308">
        <f t="shared" si="320"/>
        <v>96451</v>
      </c>
    </row>
    <row r="187" spans="1:72" ht="33.6" customHeight="1">
      <c r="A187" s="91" t="s">
        <v>18</v>
      </c>
      <c r="B187" s="358" t="s">
        <v>2379</v>
      </c>
      <c r="C187" s="50" t="s">
        <v>140</v>
      </c>
      <c r="D187" s="99" t="s">
        <v>479</v>
      </c>
      <c r="E187" s="48" t="s">
        <v>14</v>
      </c>
      <c r="F187" s="10">
        <v>96368</v>
      </c>
      <c r="G187" s="38">
        <v>125334</v>
      </c>
      <c r="H187" s="31">
        <v>162934</v>
      </c>
      <c r="I187" s="36">
        <v>109551.2</v>
      </c>
      <c r="J187" s="29">
        <f t="shared" si="270"/>
        <v>132606.39999999999</v>
      </c>
      <c r="K187" s="24">
        <f t="shared" si="271"/>
        <v>36238.399999999994</v>
      </c>
      <c r="L187" s="25">
        <f t="shared" si="272"/>
        <v>0.37604183961480986</v>
      </c>
      <c r="M187" s="69" t="str">
        <f t="shared" si="273"/>
        <v>REVISAR PRECIO</v>
      </c>
      <c r="N187" s="77">
        <f t="shared" si="241"/>
        <v>132606.39999999999</v>
      </c>
      <c r="O187" s="73">
        <v>51535</v>
      </c>
      <c r="P187" s="74">
        <v>59581.500000000007</v>
      </c>
      <c r="Q187" s="74">
        <v>80000</v>
      </c>
      <c r="R187" s="75">
        <v>68648.250000000015</v>
      </c>
      <c r="S187" s="61">
        <v>82800</v>
      </c>
      <c r="T187" s="60">
        <v>38000</v>
      </c>
      <c r="U187" s="74">
        <v>95219.999999999985</v>
      </c>
      <c r="V187" s="76">
        <f t="shared" si="297"/>
        <v>70708.291666666672</v>
      </c>
      <c r="W187" s="24">
        <f t="shared" si="298"/>
        <v>19173.291666666672</v>
      </c>
      <c r="X187" s="25">
        <f t="shared" si="299"/>
        <v>0.37204408007502998</v>
      </c>
      <c r="Y187" s="77" t="str">
        <f t="shared" si="300"/>
        <v>REVISAR PRECIO</v>
      </c>
      <c r="Z187" s="106">
        <f t="shared" si="301"/>
        <v>70708.291666666672</v>
      </c>
      <c r="AA187" s="73">
        <v>51535</v>
      </c>
      <c r="AB187" s="88">
        <v>54400</v>
      </c>
      <c r="AC187" s="116">
        <v>54400</v>
      </c>
      <c r="AD187" s="74">
        <v>56991.000000000007</v>
      </c>
      <c r="AE187" s="76">
        <f t="shared" si="302"/>
        <v>55263.666666666664</v>
      </c>
      <c r="AF187" s="24">
        <f t="shared" si="303"/>
        <v>3728.6666666666642</v>
      </c>
      <c r="AG187" s="25">
        <f t="shared" si="304"/>
        <v>7.2352123152550005E-2</v>
      </c>
      <c r="AH187" s="77">
        <f t="shared" si="305"/>
        <v>55263.666666666664</v>
      </c>
      <c r="AI187" s="77">
        <f t="shared" si="306"/>
        <v>55263.666666666664</v>
      </c>
      <c r="AJ187" s="73">
        <v>51535</v>
      </c>
      <c r="AK187" s="79">
        <v>68648.250000000015</v>
      </c>
      <c r="AL187" s="79">
        <f>47100*1.1</f>
        <v>51810.000000000007</v>
      </c>
      <c r="AM187" s="127">
        <v>62172.000000000007</v>
      </c>
      <c r="AN187" s="128">
        <v>49800</v>
      </c>
      <c r="AO187" s="128">
        <v>50000</v>
      </c>
      <c r="AP187" s="124">
        <f t="shared" si="307"/>
        <v>56486.05</v>
      </c>
      <c r="AQ187" s="125">
        <f t="shared" si="308"/>
        <v>4951.0500000000029</v>
      </c>
      <c r="AR187" s="126">
        <f t="shared" si="309"/>
        <v>9.6071601824003164E-2</v>
      </c>
      <c r="AS187" s="132">
        <f t="shared" ref="AS187:AS195" si="325">AP187</f>
        <v>56486.05</v>
      </c>
      <c r="AT187" s="10">
        <v>50529</v>
      </c>
      <c r="AU187" s="10">
        <v>51810</v>
      </c>
      <c r="AV187" s="167">
        <v>103620</v>
      </c>
      <c r="AW187" s="168">
        <v>50006</v>
      </c>
      <c r="AX187" s="29">
        <f t="shared" si="311"/>
        <v>50908</v>
      </c>
      <c r="AY187" s="24">
        <f t="shared" si="312"/>
        <v>379</v>
      </c>
      <c r="AZ187" s="25">
        <f t="shared" si="313"/>
        <v>7.5006431949969322E-3</v>
      </c>
      <c r="BA187" s="24">
        <f t="shared" si="314"/>
        <v>53091</v>
      </c>
      <c r="BB187" s="169">
        <f t="shared" si="315"/>
        <v>1.0507035563735676</v>
      </c>
      <c r="BC187" s="170">
        <f t="shared" si="316"/>
        <v>50908</v>
      </c>
      <c r="BD187" s="10">
        <v>45925</v>
      </c>
      <c r="BE187" s="10">
        <v>72000</v>
      </c>
      <c r="BF187" s="10">
        <v>78000</v>
      </c>
      <c r="BG187" s="268">
        <v>75000</v>
      </c>
      <c r="BH187" s="10" t="s">
        <v>1421</v>
      </c>
      <c r="BI187" s="76">
        <f t="shared" ref="BI187:BI198" si="326">AVERAGE(BE187,BF187,BG187,BH187)</f>
        <v>75000</v>
      </c>
      <c r="BJ187" s="24">
        <f t="shared" ref="BJ187:BJ198" si="327">BI187-BD187</f>
        <v>29075</v>
      </c>
      <c r="BK187" s="25">
        <f t="shared" ref="BK187:BK198" si="328">+BJ187/BD187</f>
        <v>0.63309744148067504</v>
      </c>
      <c r="BL187" s="259">
        <f t="shared" ref="BL187:BL198" si="329">BI187</f>
        <v>75000</v>
      </c>
      <c r="BM187" s="10">
        <v>51277</v>
      </c>
      <c r="BN187" s="45">
        <v>45000</v>
      </c>
      <c r="BO187" s="45">
        <v>59613</v>
      </c>
      <c r="BP187" s="45">
        <v>60000</v>
      </c>
      <c r="BQ187" s="29">
        <f t="shared" si="317"/>
        <v>54871</v>
      </c>
      <c r="BR187" s="24">
        <f t="shared" si="318"/>
        <v>3594</v>
      </c>
      <c r="BS187" s="25">
        <f t="shared" si="319"/>
        <v>7.0089903855529767E-2</v>
      </c>
      <c r="BT187" s="308">
        <f t="shared" si="320"/>
        <v>54871</v>
      </c>
    </row>
    <row r="188" spans="1:72" ht="33.6" customHeight="1">
      <c r="A188" s="91" t="s">
        <v>18</v>
      </c>
      <c r="B188" s="358" t="s">
        <v>2380</v>
      </c>
      <c r="C188" s="50" t="s">
        <v>141</v>
      </c>
      <c r="D188" s="99" t="s">
        <v>480</v>
      </c>
      <c r="E188" s="48" t="s">
        <v>14</v>
      </c>
      <c r="F188" s="10">
        <v>100001</v>
      </c>
      <c r="G188" s="38">
        <v>130059</v>
      </c>
      <c r="H188" s="31">
        <v>169077</v>
      </c>
      <c r="I188" s="36">
        <v>113681.2</v>
      </c>
      <c r="J188" s="29">
        <f t="shared" si="270"/>
        <v>137605.73333333334</v>
      </c>
      <c r="K188" s="24">
        <f t="shared" si="271"/>
        <v>37604.733333333337</v>
      </c>
      <c r="L188" s="25">
        <f t="shared" si="272"/>
        <v>0.37604357289760437</v>
      </c>
      <c r="M188" s="69" t="str">
        <f t="shared" si="273"/>
        <v>REVISAR PRECIO</v>
      </c>
      <c r="N188" s="77">
        <f t="shared" si="241"/>
        <v>137605.73333333334</v>
      </c>
      <c r="O188" s="73">
        <v>53480</v>
      </c>
      <c r="P188" s="74">
        <v>63198.135000000002</v>
      </c>
      <c r="Q188" s="74">
        <v>80000</v>
      </c>
      <c r="R188" s="75">
        <v>72815.242499999993</v>
      </c>
      <c r="S188" s="61">
        <v>82800</v>
      </c>
      <c r="T188" s="60">
        <v>38000</v>
      </c>
      <c r="U188" s="74">
        <v>95219.999999999985</v>
      </c>
      <c r="V188" s="76">
        <f t="shared" si="297"/>
        <v>72005.562916666662</v>
      </c>
      <c r="W188" s="24">
        <f t="shared" si="298"/>
        <v>18525.562916666662</v>
      </c>
      <c r="X188" s="25">
        <f t="shared" si="299"/>
        <v>0.34640170001246562</v>
      </c>
      <c r="Y188" s="77">
        <f t="shared" si="300"/>
        <v>72005.562916666662</v>
      </c>
      <c r="Z188" s="106">
        <f t="shared" si="301"/>
        <v>72005.562916666662</v>
      </c>
      <c r="AA188" s="73">
        <v>53480</v>
      </c>
      <c r="AB188" s="88">
        <v>58000</v>
      </c>
      <c r="AC188" s="116">
        <v>58000</v>
      </c>
      <c r="AD188" s="74">
        <v>60450.39</v>
      </c>
      <c r="AE188" s="76">
        <f t="shared" si="302"/>
        <v>58816.796666666669</v>
      </c>
      <c r="AF188" s="24">
        <f t="shared" si="303"/>
        <v>5336.7966666666689</v>
      </c>
      <c r="AG188" s="25">
        <f t="shared" si="304"/>
        <v>9.979051358763405E-2</v>
      </c>
      <c r="AH188" s="77">
        <f t="shared" si="305"/>
        <v>58816.796666666669</v>
      </c>
      <c r="AI188" s="77">
        <f t="shared" si="306"/>
        <v>58816.796666666669</v>
      </c>
      <c r="AJ188" s="73">
        <v>53480</v>
      </c>
      <c r="AK188" s="79">
        <v>72815.242499999993</v>
      </c>
      <c r="AL188" s="79">
        <f>49959*1.1</f>
        <v>54954.9</v>
      </c>
      <c r="AM188" s="127">
        <v>65945.88</v>
      </c>
      <c r="AN188" s="128">
        <v>56500</v>
      </c>
      <c r="AO188" s="128">
        <v>55000</v>
      </c>
      <c r="AP188" s="133">
        <f t="shared" si="307"/>
        <v>61043.204499999993</v>
      </c>
      <c r="AQ188" s="127">
        <f t="shared" si="308"/>
        <v>7563.2044999999925</v>
      </c>
      <c r="AR188" s="134">
        <f t="shared" si="309"/>
        <v>0.14142117614061317</v>
      </c>
      <c r="AS188" s="132">
        <f t="shared" si="325"/>
        <v>61043.204499999993</v>
      </c>
      <c r="AT188" s="10">
        <v>52427</v>
      </c>
      <c r="AU188" s="10">
        <v>54955</v>
      </c>
      <c r="AV188" s="167">
        <v>109910</v>
      </c>
      <c r="AW188" s="168">
        <v>50006</v>
      </c>
      <c r="AX188" s="29">
        <f t="shared" si="311"/>
        <v>52480.5</v>
      </c>
      <c r="AY188" s="24">
        <f t="shared" si="312"/>
        <v>53.5</v>
      </c>
      <c r="AZ188" s="25">
        <f t="shared" si="313"/>
        <v>1.0204665534934289E-3</v>
      </c>
      <c r="BA188" s="24">
        <f t="shared" si="314"/>
        <v>57483</v>
      </c>
      <c r="BB188" s="169">
        <f t="shared" si="315"/>
        <v>1.0964388578404258</v>
      </c>
      <c r="BC188" s="170">
        <f t="shared" si="316"/>
        <v>52480.5</v>
      </c>
      <c r="BD188" s="10">
        <v>47652</v>
      </c>
      <c r="BE188" s="10">
        <v>72000</v>
      </c>
      <c r="BF188" s="10">
        <v>78000</v>
      </c>
      <c r="BG188" s="268">
        <v>75000</v>
      </c>
      <c r="BH188" s="10" t="s">
        <v>1421</v>
      </c>
      <c r="BI188" s="76">
        <f t="shared" si="326"/>
        <v>75000</v>
      </c>
      <c r="BJ188" s="24">
        <f t="shared" si="327"/>
        <v>27348</v>
      </c>
      <c r="BK188" s="25">
        <f t="shared" si="328"/>
        <v>0.57391085368924699</v>
      </c>
      <c r="BL188" s="259">
        <f t="shared" si="329"/>
        <v>75000</v>
      </c>
      <c r="BM188" s="10">
        <v>53214</v>
      </c>
      <c r="BN188" s="45">
        <v>45000</v>
      </c>
      <c r="BO188" s="45">
        <v>61861</v>
      </c>
      <c r="BP188" s="45">
        <v>60000</v>
      </c>
      <c r="BQ188" s="29">
        <f t="shared" si="317"/>
        <v>55620.333333333336</v>
      </c>
      <c r="BR188" s="24">
        <f t="shared" si="318"/>
        <v>2406.3333333333358</v>
      </c>
      <c r="BS188" s="25">
        <f t="shared" si="319"/>
        <v>4.5219929592463182E-2</v>
      </c>
      <c r="BT188" s="308">
        <f t="shared" si="320"/>
        <v>55620.333333333336</v>
      </c>
    </row>
    <row r="189" spans="1:72" ht="37.35" customHeight="1">
      <c r="A189" s="91" t="s">
        <v>18</v>
      </c>
      <c r="B189" s="358" t="s">
        <v>2381</v>
      </c>
      <c r="C189" s="50" t="s">
        <v>142</v>
      </c>
      <c r="D189" s="99" t="s">
        <v>481</v>
      </c>
      <c r="E189" s="48" t="s">
        <v>10</v>
      </c>
      <c r="F189" s="10">
        <v>63754</v>
      </c>
      <c r="G189" s="38">
        <v>82917</v>
      </c>
      <c r="H189" s="31">
        <v>107792</v>
      </c>
      <c r="I189" s="36">
        <v>72475.600000000006</v>
      </c>
      <c r="J189" s="29">
        <f t="shared" si="270"/>
        <v>87728.2</v>
      </c>
      <c r="K189" s="24">
        <f t="shared" si="271"/>
        <v>23974.199999999997</v>
      </c>
      <c r="L189" s="25">
        <f t="shared" si="272"/>
        <v>0.37604228754274238</v>
      </c>
      <c r="M189" s="69" t="str">
        <f t="shared" si="273"/>
        <v>REVISAR PRECIO</v>
      </c>
      <c r="N189" s="77">
        <f t="shared" si="241"/>
        <v>87728.2</v>
      </c>
      <c r="O189" s="73">
        <v>34096</v>
      </c>
      <c r="P189" s="74">
        <v>22073.847499999996</v>
      </c>
      <c r="Q189" s="74">
        <v>28000</v>
      </c>
      <c r="R189" s="75">
        <v>25432.911249999997</v>
      </c>
      <c r="S189" s="61">
        <v>29209.999999999996</v>
      </c>
      <c r="T189" s="60">
        <v>30000</v>
      </c>
      <c r="U189" s="74">
        <v>33591.499999999993</v>
      </c>
      <c r="V189" s="76">
        <f t="shared" si="297"/>
        <v>28051.376458333329</v>
      </c>
      <c r="W189" s="24">
        <f t="shared" si="298"/>
        <v>-6044.6235416666714</v>
      </c>
      <c r="X189" s="25">
        <f t="shared" si="299"/>
        <v>-0.17728248303808866</v>
      </c>
      <c r="Y189" s="77">
        <f t="shared" si="300"/>
        <v>28051.376458333329</v>
      </c>
      <c r="Z189" s="106">
        <f t="shared" si="301"/>
        <v>28051.376458333329</v>
      </c>
      <c r="AA189" s="73">
        <v>34096</v>
      </c>
      <c r="AB189" s="88">
        <v>20200</v>
      </c>
      <c r="AC189" s="116">
        <v>23000</v>
      </c>
      <c r="AD189" s="74">
        <v>21114.114999999998</v>
      </c>
      <c r="AE189" s="76">
        <f t="shared" si="302"/>
        <v>21438.038333333334</v>
      </c>
      <c r="AF189" s="24">
        <f t="shared" si="303"/>
        <v>-12657.961666666666</v>
      </c>
      <c r="AG189" s="25">
        <f t="shared" si="304"/>
        <v>-0.37124476966995151</v>
      </c>
      <c r="AH189" s="77">
        <f t="shared" si="305"/>
        <v>21438.038333333334</v>
      </c>
      <c r="AI189" s="77">
        <f t="shared" si="306"/>
        <v>21438.038333333334</v>
      </c>
      <c r="AJ189" s="73">
        <v>34096</v>
      </c>
      <c r="AK189" s="79">
        <v>25432.911249999997</v>
      </c>
      <c r="AL189" s="79">
        <f>16691*1.15</f>
        <v>19194.649999999998</v>
      </c>
      <c r="AM189" s="127">
        <v>23033.579999999998</v>
      </c>
      <c r="AN189" s="128">
        <v>20000</v>
      </c>
      <c r="AO189" s="128">
        <v>20000</v>
      </c>
      <c r="AP189" s="133">
        <f t="shared" si="307"/>
        <v>21532.22825</v>
      </c>
      <c r="AQ189" s="127">
        <f t="shared" si="308"/>
        <v>-12563.77175</v>
      </c>
      <c r="AR189" s="134">
        <f t="shared" si="309"/>
        <v>-0.36848227797982169</v>
      </c>
      <c r="AS189" s="132">
        <f t="shared" si="325"/>
        <v>21532.22825</v>
      </c>
      <c r="AT189" s="10">
        <v>33424</v>
      </c>
      <c r="AU189" s="10">
        <v>19195</v>
      </c>
      <c r="AV189" s="167">
        <v>57585</v>
      </c>
      <c r="AW189" s="168">
        <v>17800</v>
      </c>
      <c r="AX189" s="29">
        <f t="shared" si="311"/>
        <v>18497.5</v>
      </c>
      <c r="AY189" s="24">
        <f t="shared" si="312"/>
        <v>-14926.5</v>
      </c>
      <c r="AZ189" s="25">
        <f t="shared" si="313"/>
        <v>-0.44658030157970319</v>
      </c>
      <c r="BA189" s="24">
        <f t="shared" si="314"/>
        <v>24161</v>
      </c>
      <c r="BB189" s="169">
        <f t="shared" si="315"/>
        <v>0.7228638104356151</v>
      </c>
      <c r="BC189" s="170">
        <f t="shared" si="316"/>
        <v>18497.5</v>
      </c>
      <c r="BD189" s="10">
        <v>30375</v>
      </c>
      <c r="BE189" s="10">
        <v>72000</v>
      </c>
      <c r="BF189" s="10">
        <v>78000</v>
      </c>
      <c r="BG189" s="268">
        <v>75000</v>
      </c>
      <c r="BH189" s="10">
        <v>90000</v>
      </c>
      <c r="BI189" s="76">
        <f t="shared" si="326"/>
        <v>78750</v>
      </c>
      <c r="BJ189" s="24">
        <f t="shared" si="327"/>
        <v>48375</v>
      </c>
      <c r="BK189" s="25">
        <f t="shared" si="328"/>
        <v>1.5925925925925926</v>
      </c>
      <c r="BL189" s="259">
        <f t="shared" si="329"/>
        <v>78750</v>
      </c>
      <c r="BM189" s="10">
        <v>33926</v>
      </c>
      <c r="BN189" s="45">
        <v>18000</v>
      </c>
      <c r="BO189" s="45">
        <v>39436</v>
      </c>
      <c r="BP189" s="45">
        <v>35000</v>
      </c>
      <c r="BQ189" s="29">
        <f t="shared" si="317"/>
        <v>30812</v>
      </c>
      <c r="BR189" s="24">
        <f t="shared" si="318"/>
        <v>-3114</v>
      </c>
      <c r="BS189" s="25">
        <f t="shared" si="319"/>
        <v>-9.178800919648647E-2</v>
      </c>
      <c r="BT189" s="308">
        <f t="shared" si="320"/>
        <v>30812</v>
      </c>
    </row>
    <row r="190" spans="1:72" ht="37.35" customHeight="1">
      <c r="A190" s="91" t="s">
        <v>18</v>
      </c>
      <c r="B190" s="358" t="s">
        <v>2382</v>
      </c>
      <c r="C190" s="50" t="s">
        <v>143</v>
      </c>
      <c r="D190" s="99" t="s">
        <v>482</v>
      </c>
      <c r="E190" s="48" t="s">
        <v>14</v>
      </c>
      <c r="F190" s="10">
        <v>270150</v>
      </c>
      <c r="G190" s="38">
        <v>351351</v>
      </c>
      <c r="H190" s="31">
        <v>456756</v>
      </c>
      <c r="I190" s="36">
        <v>307106.8</v>
      </c>
      <c r="J190" s="29">
        <f t="shared" si="270"/>
        <v>371737.93333333335</v>
      </c>
      <c r="K190" s="24">
        <f t="shared" si="271"/>
        <v>101587.93333333335</v>
      </c>
      <c r="L190" s="25">
        <f t="shared" si="272"/>
        <v>0.37604269233142085</v>
      </c>
      <c r="M190" s="69" t="str">
        <f t="shared" si="273"/>
        <v>REVISAR PRECIO</v>
      </c>
      <c r="N190" s="77">
        <f t="shared" si="241"/>
        <v>371737.93333333335</v>
      </c>
      <c r="O190" s="73">
        <v>144474</v>
      </c>
      <c r="P190" s="74">
        <v>143750</v>
      </c>
      <c r="Q190" s="74">
        <v>160000</v>
      </c>
      <c r="R190" s="75">
        <v>165625</v>
      </c>
      <c r="S190" s="61">
        <v>143750</v>
      </c>
      <c r="T190" s="60">
        <v>520000</v>
      </c>
      <c r="U190" s="74">
        <v>165312.5</v>
      </c>
      <c r="V190" s="76">
        <f t="shared" si="297"/>
        <v>216406.25</v>
      </c>
      <c r="W190" s="24">
        <f t="shared" si="298"/>
        <v>71932.25</v>
      </c>
      <c r="X190" s="25">
        <f t="shared" si="299"/>
        <v>0.49789062391849054</v>
      </c>
      <c r="Y190" s="77" t="str">
        <f t="shared" si="300"/>
        <v>REVISAR PRECIO</v>
      </c>
      <c r="Z190" s="106">
        <f t="shared" si="301"/>
        <v>216406.25</v>
      </c>
      <c r="AA190" s="73">
        <v>144474</v>
      </c>
      <c r="AB190" s="88">
        <v>138000</v>
      </c>
      <c r="AC190" s="116">
        <v>145000</v>
      </c>
      <c r="AD190" s="74">
        <v>137500</v>
      </c>
      <c r="AE190" s="76">
        <f t="shared" si="302"/>
        <v>140166.66666666666</v>
      </c>
      <c r="AF190" s="24">
        <f t="shared" si="303"/>
        <v>-4307.333333333343</v>
      </c>
      <c r="AG190" s="25">
        <f t="shared" si="304"/>
        <v>-2.9813899617462957E-2</v>
      </c>
      <c r="AH190" s="77">
        <f t="shared" si="305"/>
        <v>140166.66666666666</v>
      </c>
      <c r="AI190" s="77">
        <f t="shared" si="306"/>
        <v>140166.66666666666</v>
      </c>
      <c r="AJ190" s="73">
        <v>144474</v>
      </c>
      <c r="AK190" s="79">
        <v>165625</v>
      </c>
      <c r="AL190" s="79">
        <v>125000</v>
      </c>
      <c r="AM190" s="127">
        <v>150000</v>
      </c>
      <c r="AN190" s="128">
        <v>148700</v>
      </c>
      <c r="AO190" s="128">
        <v>130000</v>
      </c>
      <c r="AP190" s="133">
        <f t="shared" si="307"/>
        <v>143865</v>
      </c>
      <c r="AQ190" s="127">
        <f t="shared" si="308"/>
        <v>-609</v>
      </c>
      <c r="AR190" s="134">
        <f t="shared" si="309"/>
        <v>-4.2152913326965408E-3</v>
      </c>
      <c r="AS190" s="132">
        <f t="shared" si="325"/>
        <v>143865</v>
      </c>
      <c r="AT190" s="10">
        <v>141647</v>
      </c>
      <c r="AU190" s="10">
        <v>125000</v>
      </c>
      <c r="AV190" s="167">
        <v>375000</v>
      </c>
      <c r="AW190" s="168">
        <v>118655</v>
      </c>
      <c r="AX190" s="29">
        <f t="shared" si="311"/>
        <v>121827.5</v>
      </c>
      <c r="AY190" s="24">
        <f t="shared" si="312"/>
        <v>-19819.5</v>
      </c>
      <c r="AZ190" s="25">
        <f t="shared" si="313"/>
        <v>-0.13992177737615338</v>
      </c>
      <c r="BA190" s="24">
        <f t="shared" si="314"/>
        <v>233353</v>
      </c>
      <c r="BB190" s="169">
        <f t="shared" si="315"/>
        <v>1.647426348598982</v>
      </c>
      <c r="BC190" s="170">
        <f t="shared" si="316"/>
        <v>121827.5</v>
      </c>
      <c r="BD190" s="10">
        <v>128746</v>
      </c>
      <c r="BE190" s="10">
        <v>812000</v>
      </c>
      <c r="BF190" s="10">
        <v>840000</v>
      </c>
      <c r="BG190" s="268">
        <v>820000</v>
      </c>
      <c r="BH190" s="10">
        <v>1200000</v>
      </c>
      <c r="BI190" s="76">
        <f t="shared" si="326"/>
        <v>918000</v>
      </c>
      <c r="BJ190" s="24">
        <f t="shared" si="327"/>
        <v>789254</v>
      </c>
      <c r="BK190" s="25">
        <f t="shared" si="328"/>
        <v>6.1303186118403676</v>
      </c>
      <c r="BL190" s="259">
        <f t="shared" si="329"/>
        <v>918000</v>
      </c>
      <c r="BM190" s="10">
        <v>143753</v>
      </c>
      <c r="BN190" s="45">
        <v>120000</v>
      </c>
      <c r="BO190" s="45">
        <v>167123</v>
      </c>
      <c r="BP190" s="45">
        <v>130000</v>
      </c>
      <c r="BQ190" s="29">
        <f t="shared" si="317"/>
        <v>139041</v>
      </c>
      <c r="BR190" s="24">
        <f t="shared" si="318"/>
        <v>-4712</v>
      </c>
      <c r="BS190" s="25">
        <f t="shared" si="319"/>
        <v>-3.2778446362858517E-2</v>
      </c>
      <c r="BT190" s="308">
        <f t="shared" si="320"/>
        <v>139041</v>
      </c>
    </row>
    <row r="191" spans="1:72" ht="37.35" customHeight="1">
      <c r="A191" s="91" t="s">
        <v>18</v>
      </c>
      <c r="B191" s="358" t="s">
        <v>2383</v>
      </c>
      <c r="C191" s="50" t="s">
        <v>144</v>
      </c>
      <c r="D191" s="99" t="s">
        <v>483</v>
      </c>
      <c r="E191" s="48" t="s">
        <v>10</v>
      </c>
      <c r="F191" s="10">
        <v>64097</v>
      </c>
      <c r="G191" s="38">
        <v>83363</v>
      </c>
      <c r="H191" s="33">
        <v>108371</v>
      </c>
      <c r="I191" s="36">
        <v>72865</v>
      </c>
      <c r="J191" s="29">
        <f t="shared" si="270"/>
        <v>88199.666666666672</v>
      </c>
      <c r="K191" s="24">
        <f t="shared" si="271"/>
        <v>24102.666666666672</v>
      </c>
      <c r="L191" s="25">
        <f t="shared" si="272"/>
        <v>0.37603423977201228</v>
      </c>
      <c r="M191" s="69" t="str">
        <f t="shared" si="273"/>
        <v>REVISAR PRECIO</v>
      </c>
      <c r="N191" s="77">
        <f t="shared" si="241"/>
        <v>88199.666666666672</v>
      </c>
      <c r="O191" s="73">
        <v>34277</v>
      </c>
      <c r="P191" s="74">
        <v>10761.24</v>
      </c>
      <c r="Q191" s="74">
        <v>17000</v>
      </c>
      <c r="R191" s="75">
        <v>12398.82</v>
      </c>
      <c r="S191" s="61">
        <v>39675</v>
      </c>
      <c r="T191" s="60">
        <v>35000</v>
      </c>
      <c r="U191" s="74">
        <v>45626.25</v>
      </c>
      <c r="V191" s="76">
        <f t="shared" si="297"/>
        <v>26743.551666666666</v>
      </c>
      <c r="W191" s="24">
        <f t="shared" si="298"/>
        <v>-7533.4483333333337</v>
      </c>
      <c r="X191" s="25">
        <f t="shared" si="299"/>
        <v>-0.21978143750425458</v>
      </c>
      <c r="Y191" s="77">
        <f t="shared" si="300"/>
        <v>26743.551666666666</v>
      </c>
      <c r="Z191" s="106">
        <f t="shared" si="301"/>
        <v>26743.551666666666</v>
      </c>
      <c r="AA191" s="73">
        <v>34277</v>
      </c>
      <c r="AB191" s="88">
        <v>11000</v>
      </c>
      <c r="AC191" s="116">
        <v>11000</v>
      </c>
      <c r="AD191" s="74">
        <v>10293.36</v>
      </c>
      <c r="AE191" s="76">
        <f t="shared" si="302"/>
        <v>10764.453333333333</v>
      </c>
      <c r="AF191" s="24">
        <f t="shared" si="303"/>
        <v>-23512.546666666669</v>
      </c>
      <c r="AG191" s="25">
        <f t="shared" si="304"/>
        <v>-0.68595695850473115</v>
      </c>
      <c r="AH191" s="77">
        <f t="shared" si="305"/>
        <v>10764.453333333333</v>
      </c>
      <c r="AI191" s="77">
        <f t="shared" si="306"/>
        <v>10764.453333333333</v>
      </c>
      <c r="AJ191" s="73">
        <v>34277</v>
      </c>
      <c r="AK191" s="79">
        <v>12398.82</v>
      </c>
      <c r="AL191" s="79">
        <f>7798*1.2</f>
        <v>9357.6</v>
      </c>
      <c r="AM191" s="127">
        <v>11229.12</v>
      </c>
      <c r="AN191" s="128">
        <v>8800</v>
      </c>
      <c r="AO191" s="128">
        <v>10000</v>
      </c>
      <c r="AP191" s="133">
        <f t="shared" si="307"/>
        <v>10357.108</v>
      </c>
      <c r="AQ191" s="127">
        <f t="shared" si="308"/>
        <v>-23919.892</v>
      </c>
      <c r="AR191" s="134">
        <f t="shared" si="309"/>
        <v>-0.69784088455815851</v>
      </c>
      <c r="AS191" s="132">
        <f t="shared" si="325"/>
        <v>10357.108</v>
      </c>
      <c r="AT191" s="10">
        <v>33604</v>
      </c>
      <c r="AU191" s="10">
        <v>9358</v>
      </c>
      <c r="AV191" s="167">
        <v>28074</v>
      </c>
      <c r="AW191" s="168">
        <v>22560</v>
      </c>
      <c r="AX191" s="29">
        <f t="shared" si="311"/>
        <v>15959</v>
      </c>
      <c r="AY191" s="24">
        <f t="shared" si="312"/>
        <v>-17645</v>
      </c>
      <c r="AZ191" s="25">
        <f t="shared" si="313"/>
        <v>-0.52508629925008932</v>
      </c>
      <c r="BA191" s="24">
        <f t="shared" si="314"/>
        <v>-5530</v>
      </c>
      <c r="BB191" s="169">
        <f t="shared" si="315"/>
        <v>-0.16456374241161767</v>
      </c>
      <c r="BC191" s="170">
        <f t="shared" si="316"/>
        <v>15959</v>
      </c>
      <c r="BD191" s="10">
        <v>30547</v>
      </c>
      <c r="BE191" s="10">
        <v>82000</v>
      </c>
      <c r="BF191" s="10">
        <v>88000</v>
      </c>
      <c r="BG191" s="268">
        <v>85000</v>
      </c>
      <c r="BH191" s="10">
        <v>90000</v>
      </c>
      <c r="BI191" s="76">
        <f t="shared" si="326"/>
        <v>86250</v>
      </c>
      <c r="BJ191" s="24">
        <f t="shared" si="327"/>
        <v>55703</v>
      </c>
      <c r="BK191" s="25">
        <f t="shared" si="328"/>
        <v>1.8235178577274365</v>
      </c>
      <c r="BL191" s="259">
        <f t="shared" si="329"/>
        <v>86250</v>
      </c>
      <c r="BM191" s="10">
        <v>34106</v>
      </c>
      <c r="BN191" s="45"/>
      <c r="BO191" s="45">
        <v>39651</v>
      </c>
      <c r="BP191" s="45">
        <v>30000</v>
      </c>
      <c r="BQ191" s="29">
        <f t="shared" si="317"/>
        <v>34825.5</v>
      </c>
      <c r="BR191" s="24">
        <f t="shared" si="318"/>
        <v>719.5</v>
      </c>
      <c r="BS191" s="25">
        <f t="shared" si="319"/>
        <v>2.1095994839617663E-2</v>
      </c>
      <c r="BT191" s="308">
        <f t="shared" si="320"/>
        <v>34825.5</v>
      </c>
    </row>
    <row r="192" spans="1:72" ht="37.35" customHeight="1">
      <c r="A192" s="91" t="s">
        <v>18</v>
      </c>
      <c r="B192" s="358" t="s">
        <v>2384</v>
      </c>
      <c r="C192" s="50" t="s">
        <v>145</v>
      </c>
      <c r="D192" s="99" t="s">
        <v>484</v>
      </c>
      <c r="E192" s="48" t="s">
        <v>10</v>
      </c>
      <c r="F192" s="10">
        <v>33943</v>
      </c>
      <c r="G192" s="38">
        <v>44145</v>
      </c>
      <c r="H192" s="31">
        <v>44145</v>
      </c>
      <c r="I192" s="36">
        <v>38586</v>
      </c>
      <c r="J192" s="29">
        <f t="shared" si="270"/>
        <v>42292</v>
      </c>
      <c r="K192" s="24">
        <f t="shared" si="271"/>
        <v>8349</v>
      </c>
      <c r="L192" s="25">
        <f t="shared" si="272"/>
        <v>0.24597118698995374</v>
      </c>
      <c r="M192" s="69">
        <f t="shared" si="273"/>
        <v>42292</v>
      </c>
      <c r="N192" s="77">
        <f t="shared" si="241"/>
        <v>42292</v>
      </c>
      <c r="O192" s="73">
        <v>18150</v>
      </c>
      <c r="P192" s="74">
        <v>20880.952499999999</v>
      </c>
      <c r="Q192" s="74">
        <v>24000</v>
      </c>
      <c r="R192" s="75">
        <v>24058.488749999997</v>
      </c>
      <c r="S192" s="61">
        <v>27024.999999999996</v>
      </c>
      <c r="T192" s="60">
        <v>30000</v>
      </c>
      <c r="U192" s="74">
        <v>31078.749999999993</v>
      </c>
      <c r="V192" s="76">
        <f t="shared" si="297"/>
        <v>26173.865208333333</v>
      </c>
      <c r="W192" s="24">
        <f t="shared" si="298"/>
        <v>8023.8652083333327</v>
      </c>
      <c r="X192" s="25">
        <f t="shared" si="299"/>
        <v>0.44208623737373731</v>
      </c>
      <c r="Y192" s="77" t="str">
        <f t="shared" si="300"/>
        <v>REVISAR PRECIO</v>
      </c>
      <c r="Z192" s="106">
        <f t="shared" si="301"/>
        <v>26173.865208333333</v>
      </c>
      <c r="AA192" s="73">
        <v>18150</v>
      </c>
      <c r="AB192" s="88">
        <v>20000</v>
      </c>
      <c r="AC192" s="116">
        <v>20000</v>
      </c>
      <c r="AD192" s="74">
        <v>19973.084999999999</v>
      </c>
      <c r="AE192" s="76">
        <f t="shared" si="302"/>
        <v>19991.028333333332</v>
      </c>
      <c r="AF192" s="24">
        <f t="shared" si="303"/>
        <v>1841.0283333333318</v>
      </c>
      <c r="AG192" s="25">
        <f t="shared" si="304"/>
        <v>0.10143406795224968</v>
      </c>
      <c r="AH192" s="77">
        <f t="shared" si="305"/>
        <v>19991.028333333332</v>
      </c>
      <c r="AI192" s="77">
        <f t="shared" si="306"/>
        <v>19991.028333333332</v>
      </c>
      <c r="AJ192" s="73">
        <v>18150</v>
      </c>
      <c r="AK192" s="79">
        <v>24058.488749999997</v>
      </c>
      <c r="AL192" s="79">
        <f>15789*1.15</f>
        <v>18157.349999999999</v>
      </c>
      <c r="AM192" s="127">
        <v>21788.82</v>
      </c>
      <c r="AN192" s="128">
        <v>18900</v>
      </c>
      <c r="AO192" s="128">
        <v>20000</v>
      </c>
      <c r="AP192" s="133">
        <f t="shared" si="307"/>
        <v>20580.93175</v>
      </c>
      <c r="AQ192" s="127">
        <f t="shared" si="308"/>
        <v>2430.9317499999997</v>
      </c>
      <c r="AR192" s="134">
        <f t="shared" si="309"/>
        <v>0.13393563360881541</v>
      </c>
      <c r="AS192" s="132">
        <f t="shared" si="325"/>
        <v>20580.93175</v>
      </c>
      <c r="AT192" s="10">
        <v>18150</v>
      </c>
      <c r="AU192" s="10">
        <v>18157</v>
      </c>
      <c r="AV192" s="167">
        <v>54471</v>
      </c>
      <c r="AW192" s="168">
        <v>16500</v>
      </c>
      <c r="AX192" s="29">
        <f t="shared" si="311"/>
        <v>17328.5</v>
      </c>
      <c r="AY192" s="24">
        <f t="shared" si="312"/>
        <v>-821.5</v>
      </c>
      <c r="AZ192" s="25">
        <f t="shared" si="313"/>
        <v>-4.5261707988980715E-2</v>
      </c>
      <c r="BA192" s="24">
        <f t="shared" si="314"/>
        <v>36321</v>
      </c>
      <c r="BB192" s="169">
        <f t="shared" si="315"/>
        <v>2.0011570247933883</v>
      </c>
      <c r="BC192" s="170">
        <f t="shared" si="316"/>
        <v>17328.5</v>
      </c>
      <c r="BD192" s="10">
        <v>16337</v>
      </c>
      <c r="BE192" s="10">
        <v>63000</v>
      </c>
      <c r="BF192" s="10">
        <v>68000</v>
      </c>
      <c r="BG192" s="268">
        <v>65000</v>
      </c>
      <c r="BH192" s="10">
        <v>75000</v>
      </c>
      <c r="BI192" s="76">
        <f t="shared" si="326"/>
        <v>67750</v>
      </c>
      <c r="BJ192" s="24">
        <f t="shared" si="327"/>
        <v>51413</v>
      </c>
      <c r="BK192" s="25">
        <f t="shared" si="328"/>
        <v>3.1470282181551079</v>
      </c>
      <c r="BL192" s="259">
        <f t="shared" si="329"/>
        <v>67750</v>
      </c>
      <c r="BM192" s="10">
        <v>18150</v>
      </c>
      <c r="BN192" s="45">
        <v>15000</v>
      </c>
      <c r="BO192" s="45">
        <v>21418</v>
      </c>
      <c r="BP192" s="45">
        <v>30000</v>
      </c>
      <c r="BQ192" s="29">
        <f t="shared" si="317"/>
        <v>22139.333333333332</v>
      </c>
      <c r="BR192" s="24">
        <f t="shared" si="318"/>
        <v>3989.3333333333321</v>
      </c>
      <c r="BS192" s="25">
        <f t="shared" si="319"/>
        <v>0.21979797979797974</v>
      </c>
      <c r="BT192" s="308">
        <f t="shared" si="320"/>
        <v>22139.333333333332</v>
      </c>
    </row>
    <row r="193" spans="1:72" ht="37.35" customHeight="1">
      <c r="A193" s="91" t="s">
        <v>18</v>
      </c>
      <c r="B193" s="358" t="s">
        <v>2385</v>
      </c>
      <c r="C193" s="50" t="s">
        <v>146</v>
      </c>
      <c r="D193" s="99" t="s">
        <v>485</v>
      </c>
      <c r="E193" s="48" t="s">
        <v>10</v>
      </c>
      <c r="F193" s="10">
        <v>81255</v>
      </c>
      <c r="G193" s="38">
        <v>105678</v>
      </c>
      <c r="H193" s="31">
        <v>137381</v>
      </c>
      <c r="I193" s="36">
        <v>92370.4</v>
      </c>
      <c r="J193" s="29">
        <f t="shared" si="270"/>
        <v>111809.8</v>
      </c>
      <c r="K193" s="24">
        <f t="shared" si="271"/>
        <v>30554.800000000003</v>
      </c>
      <c r="L193" s="25">
        <f t="shared" si="272"/>
        <v>0.37603593625007697</v>
      </c>
      <c r="M193" s="69" t="str">
        <f t="shared" si="273"/>
        <v>REVISAR PRECIO</v>
      </c>
      <c r="N193" s="77">
        <f t="shared" si="241"/>
        <v>111809.8</v>
      </c>
      <c r="O193" s="73">
        <v>43457</v>
      </c>
      <c r="P193" s="74">
        <v>30475</v>
      </c>
      <c r="Q193" s="74">
        <v>35000</v>
      </c>
      <c r="R193" s="75">
        <v>35112.5</v>
      </c>
      <c r="S193" s="61">
        <v>40940</v>
      </c>
      <c r="T193" s="60">
        <v>38000</v>
      </c>
      <c r="U193" s="74">
        <v>47081</v>
      </c>
      <c r="V193" s="76">
        <f t="shared" si="297"/>
        <v>37768.083333333336</v>
      </c>
      <c r="W193" s="24">
        <f t="shared" si="298"/>
        <v>-5688.9166666666642</v>
      </c>
      <c r="X193" s="25">
        <f t="shared" si="299"/>
        <v>-0.13090909788219768</v>
      </c>
      <c r="Y193" s="77">
        <f t="shared" si="300"/>
        <v>37768.083333333336</v>
      </c>
      <c r="Z193" s="106">
        <f t="shared" si="301"/>
        <v>37768.083333333336</v>
      </c>
      <c r="AA193" s="73">
        <v>43457</v>
      </c>
      <c r="AB193" s="88">
        <v>30000</v>
      </c>
      <c r="AC193" s="116">
        <v>30000</v>
      </c>
      <c r="AD193" s="74">
        <v>29150</v>
      </c>
      <c r="AE193" s="76">
        <f t="shared" si="302"/>
        <v>29716.666666666668</v>
      </c>
      <c r="AF193" s="24">
        <f t="shared" si="303"/>
        <v>-13740.333333333332</v>
      </c>
      <c r="AG193" s="25">
        <f t="shared" si="304"/>
        <v>-0.31618227980148955</v>
      </c>
      <c r="AH193" s="77">
        <f t="shared" si="305"/>
        <v>29716.666666666668</v>
      </c>
      <c r="AI193" s="77">
        <f t="shared" si="306"/>
        <v>29716.666666666668</v>
      </c>
      <c r="AJ193" s="73">
        <v>43457</v>
      </c>
      <c r="AK193" s="79">
        <v>35112.5</v>
      </c>
      <c r="AL193" s="79">
        <v>26500</v>
      </c>
      <c r="AM193" s="127">
        <v>31800</v>
      </c>
      <c r="AN193" s="128">
        <v>28700</v>
      </c>
      <c r="AO193" s="128">
        <v>25000</v>
      </c>
      <c r="AP193" s="133">
        <f t="shared" si="307"/>
        <v>29422.5</v>
      </c>
      <c r="AQ193" s="127">
        <f t="shared" si="308"/>
        <v>-14034.5</v>
      </c>
      <c r="AR193" s="134">
        <f t="shared" si="309"/>
        <v>-0.32295142324596726</v>
      </c>
      <c r="AS193" s="132">
        <f t="shared" si="325"/>
        <v>29422.5</v>
      </c>
      <c r="AT193" s="10">
        <v>42603</v>
      </c>
      <c r="AU193" s="10">
        <v>26500</v>
      </c>
      <c r="AV193" s="167">
        <v>79500</v>
      </c>
      <c r="AW193" s="168">
        <v>22560</v>
      </c>
      <c r="AX193" s="29">
        <f t="shared" si="311"/>
        <v>24530</v>
      </c>
      <c r="AY193" s="24">
        <f t="shared" si="312"/>
        <v>-18073</v>
      </c>
      <c r="AZ193" s="25">
        <f t="shared" si="313"/>
        <v>-0.42421895171701524</v>
      </c>
      <c r="BA193" s="24">
        <f t="shared" si="314"/>
        <v>36897</v>
      </c>
      <c r="BB193" s="169">
        <f t="shared" si="315"/>
        <v>0.866065770016196</v>
      </c>
      <c r="BC193" s="170">
        <f t="shared" si="316"/>
        <v>24530</v>
      </c>
      <c r="BD193" s="10">
        <v>38720</v>
      </c>
      <c r="BE193" s="10">
        <v>90000</v>
      </c>
      <c r="BF193" s="10">
        <v>95000</v>
      </c>
      <c r="BG193" s="268">
        <v>95000</v>
      </c>
      <c r="BH193" s="10">
        <v>130000</v>
      </c>
      <c r="BI193" s="76">
        <f t="shared" si="326"/>
        <v>102500</v>
      </c>
      <c r="BJ193" s="24">
        <f t="shared" si="327"/>
        <v>63780</v>
      </c>
      <c r="BK193" s="25">
        <f t="shared" si="328"/>
        <v>1.647210743801653</v>
      </c>
      <c r="BL193" s="259">
        <f t="shared" si="329"/>
        <v>102500</v>
      </c>
      <c r="BM193" s="10">
        <v>43238</v>
      </c>
      <c r="BN193" s="45">
        <v>23000</v>
      </c>
      <c r="BO193" s="45">
        <v>50268</v>
      </c>
      <c r="BP193" s="45">
        <v>30000</v>
      </c>
      <c r="BQ193" s="29">
        <f t="shared" si="317"/>
        <v>34422.666666666664</v>
      </c>
      <c r="BR193" s="24">
        <f t="shared" si="318"/>
        <v>-8815.3333333333358</v>
      </c>
      <c r="BS193" s="25">
        <f t="shared" si="319"/>
        <v>-0.20387930369890689</v>
      </c>
      <c r="BT193" s="308">
        <f t="shared" si="320"/>
        <v>34422.666666666664</v>
      </c>
    </row>
    <row r="194" spans="1:72" ht="37.35" customHeight="1">
      <c r="A194" s="91" t="s">
        <v>18</v>
      </c>
      <c r="B194" s="358" t="s">
        <v>2386</v>
      </c>
      <c r="C194" s="50" t="s">
        <v>147</v>
      </c>
      <c r="D194" s="99" t="s">
        <v>486</v>
      </c>
      <c r="E194" s="48" t="s">
        <v>14</v>
      </c>
      <c r="F194" s="10">
        <v>142933</v>
      </c>
      <c r="G194" s="38">
        <v>185895</v>
      </c>
      <c r="H194" s="33">
        <v>241664</v>
      </c>
      <c r="I194" s="36">
        <v>162486</v>
      </c>
      <c r="J194" s="29">
        <f t="shared" si="270"/>
        <v>196681.66666666666</v>
      </c>
      <c r="K194" s="24">
        <f t="shared" si="271"/>
        <v>53748.666666666657</v>
      </c>
      <c r="L194" s="25">
        <f t="shared" si="272"/>
        <v>0.37604098890155985</v>
      </c>
      <c r="M194" s="69" t="str">
        <f t="shared" si="273"/>
        <v>REVISAR PRECIO</v>
      </c>
      <c r="N194" s="77">
        <f t="shared" si="241"/>
        <v>196681.66666666666</v>
      </c>
      <c r="O194" s="73">
        <v>76442</v>
      </c>
      <c r="P194" s="74">
        <v>73945</v>
      </c>
      <c r="Q194" s="74">
        <v>65000</v>
      </c>
      <c r="R194" s="75">
        <v>85197.5</v>
      </c>
      <c r="S194" s="61">
        <v>59799.999999999993</v>
      </c>
      <c r="T194" s="60">
        <v>48000</v>
      </c>
      <c r="U194" s="74">
        <v>68769.999999999985</v>
      </c>
      <c r="V194" s="76">
        <f t="shared" si="297"/>
        <v>66785.416666666672</v>
      </c>
      <c r="W194" s="24">
        <f t="shared" si="298"/>
        <v>-9656.5833333333285</v>
      </c>
      <c r="X194" s="25">
        <f t="shared" si="299"/>
        <v>-0.12632562378448142</v>
      </c>
      <c r="Y194" s="77">
        <f t="shared" si="300"/>
        <v>66785.416666666672</v>
      </c>
      <c r="Z194" s="106">
        <f t="shared" si="301"/>
        <v>66785.416666666672</v>
      </c>
      <c r="AA194" s="73">
        <v>76442</v>
      </c>
      <c r="AB194" s="88">
        <v>75000</v>
      </c>
      <c r="AC194" s="116">
        <v>75000</v>
      </c>
      <c r="AD194" s="74">
        <v>70730</v>
      </c>
      <c r="AE194" s="76">
        <f t="shared" si="302"/>
        <v>73576.666666666672</v>
      </c>
      <c r="AF194" s="24">
        <f t="shared" si="303"/>
        <v>-2865.3333333333285</v>
      </c>
      <c r="AG194" s="25">
        <f t="shared" si="304"/>
        <v>-3.7483756748035481E-2</v>
      </c>
      <c r="AH194" s="77">
        <f t="shared" si="305"/>
        <v>73576.666666666672</v>
      </c>
      <c r="AI194" s="77">
        <f t="shared" si="306"/>
        <v>73576.666666666672</v>
      </c>
      <c r="AJ194" s="73">
        <v>76442</v>
      </c>
      <c r="AK194" s="79">
        <v>85197.5</v>
      </c>
      <c r="AL194" s="79">
        <v>64300</v>
      </c>
      <c r="AM194" s="127">
        <v>77160</v>
      </c>
      <c r="AN194" s="128">
        <v>65000</v>
      </c>
      <c r="AO194" s="128">
        <v>65000</v>
      </c>
      <c r="AP194" s="133">
        <f t="shared" si="307"/>
        <v>71331.5</v>
      </c>
      <c r="AQ194" s="127">
        <f t="shared" si="308"/>
        <v>-5110.5</v>
      </c>
      <c r="AR194" s="134">
        <f t="shared" si="309"/>
        <v>-6.6854608722953346E-2</v>
      </c>
      <c r="AS194" s="132">
        <f t="shared" si="325"/>
        <v>71331.5</v>
      </c>
      <c r="AT194" s="10">
        <v>74944</v>
      </c>
      <c r="AU194" s="10">
        <v>64300</v>
      </c>
      <c r="AV194" s="167">
        <v>192900</v>
      </c>
      <c r="AW194" s="168">
        <v>52680</v>
      </c>
      <c r="AX194" s="29">
        <f t="shared" si="311"/>
        <v>58490</v>
      </c>
      <c r="AY194" s="24">
        <f t="shared" si="312"/>
        <v>-16454</v>
      </c>
      <c r="AZ194" s="25">
        <f t="shared" si="313"/>
        <v>-0.2195505977796755</v>
      </c>
      <c r="BA194" s="24">
        <f t="shared" si="314"/>
        <v>117956</v>
      </c>
      <c r="BB194" s="169">
        <f t="shared" si="315"/>
        <v>1.5739218616567037</v>
      </c>
      <c r="BC194" s="170">
        <f t="shared" si="316"/>
        <v>58490</v>
      </c>
      <c r="BD194" s="10">
        <v>68117</v>
      </c>
      <c r="BE194" s="10">
        <v>123000</v>
      </c>
      <c r="BF194" s="10">
        <v>128000</v>
      </c>
      <c r="BG194" s="268">
        <v>125000</v>
      </c>
      <c r="BH194" s="10">
        <v>130000</v>
      </c>
      <c r="BI194" s="76">
        <f t="shared" si="326"/>
        <v>126500</v>
      </c>
      <c r="BJ194" s="24">
        <f t="shared" si="327"/>
        <v>58383</v>
      </c>
      <c r="BK194" s="25">
        <f t="shared" si="328"/>
        <v>0.85709881527372023</v>
      </c>
      <c r="BL194" s="259">
        <f t="shared" si="329"/>
        <v>126500</v>
      </c>
      <c r="BM194" s="10">
        <v>76062</v>
      </c>
      <c r="BN194" s="45">
        <v>55000</v>
      </c>
      <c r="BO194" s="45">
        <v>88422</v>
      </c>
      <c r="BP194" s="45">
        <v>75000</v>
      </c>
      <c r="BQ194" s="29">
        <f t="shared" si="317"/>
        <v>72807.333333333328</v>
      </c>
      <c r="BR194" s="24">
        <f t="shared" si="318"/>
        <v>-3254.6666666666715</v>
      </c>
      <c r="BS194" s="25">
        <f t="shared" si="319"/>
        <v>-4.2789654054148869E-2</v>
      </c>
      <c r="BT194" s="308">
        <f t="shared" si="320"/>
        <v>72807.333333333328</v>
      </c>
    </row>
    <row r="195" spans="1:72" ht="37.35" customHeight="1">
      <c r="A195" s="91" t="s">
        <v>18</v>
      </c>
      <c r="B195" s="358" t="s">
        <v>2387</v>
      </c>
      <c r="C195" s="50" t="s">
        <v>148</v>
      </c>
      <c r="D195" s="99" t="s">
        <v>487</v>
      </c>
      <c r="E195" s="48" t="s">
        <v>10</v>
      </c>
      <c r="F195" s="10">
        <v>48786</v>
      </c>
      <c r="G195" s="38">
        <v>63450</v>
      </c>
      <c r="H195" s="33">
        <v>82485</v>
      </c>
      <c r="I195" s="36">
        <v>55460</v>
      </c>
      <c r="J195" s="29">
        <f t="shared" si="270"/>
        <v>67131.666666666672</v>
      </c>
      <c r="K195" s="24">
        <f t="shared" si="271"/>
        <v>18345.666666666672</v>
      </c>
      <c r="L195" s="25">
        <f t="shared" si="272"/>
        <v>0.37604367373153508</v>
      </c>
      <c r="M195" s="69" t="str">
        <f t="shared" si="273"/>
        <v>REVISAR PRECIO</v>
      </c>
      <c r="N195" s="77">
        <f t="shared" si="241"/>
        <v>67131.666666666672</v>
      </c>
      <c r="O195" s="73">
        <v>26094</v>
      </c>
      <c r="P195" s="74">
        <v>29826.342499999995</v>
      </c>
      <c r="Q195" s="74">
        <v>35000</v>
      </c>
      <c r="R195" s="75">
        <v>34365.133749999994</v>
      </c>
      <c r="S195" s="61">
        <v>29826.342499999995</v>
      </c>
      <c r="T195" s="60">
        <v>42000</v>
      </c>
      <c r="U195" s="74">
        <v>34300.293874999988</v>
      </c>
      <c r="V195" s="76">
        <f t="shared" si="297"/>
        <v>34219.685437499989</v>
      </c>
      <c r="W195" s="24">
        <f t="shared" si="298"/>
        <v>8125.6854374999893</v>
      </c>
      <c r="X195" s="25">
        <f t="shared" si="299"/>
        <v>0.31140053029432013</v>
      </c>
      <c r="Y195" s="77">
        <f t="shared" si="300"/>
        <v>34219.685437499989</v>
      </c>
      <c r="Z195" s="106">
        <f t="shared" si="301"/>
        <v>34219.685437499989</v>
      </c>
      <c r="AA195" s="73">
        <v>26094</v>
      </c>
      <c r="AB195" s="88">
        <v>30000</v>
      </c>
      <c r="AC195" s="116">
        <v>30000</v>
      </c>
      <c r="AD195" s="74">
        <v>28529.544999999998</v>
      </c>
      <c r="AE195" s="76">
        <f t="shared" si="302"/>
        <v>29509.848333333332</v>
      </c>
      <c r="AF195" s="24">
        <f t="shared" si="303"/>
        <v>3415.8483333333315</v>
      </c>
      <c r="AG195" s="25">
        <f t="shared" si="304"/>
        <v>0.13090550829053926</v>
      </c>
      <c r="AH195" s="77">
        <f t="shared" si="305"/>
        <v>29509.848333333332</v>
      </c>
      <c r="AI195" s="77">
        <f t="shared" si="306"/>
        <v>29509.848333333332</v>
      </c>
      <c r="AJ195" s="73">
        <v>26094</v>
      </c>
      <c r="AK195" s="79">
        <v>34365.133749999994</v>
      </c>
      <c r="AL195" s="79">
        <f>22553*1.15</f>
        <v>25935.949999999997</v>
      </c>
      <c r="AM195" s="127">
        <v>31123.139999999996</v>
      </c>
      <c r="AN195" s="128">
        <v>29800</v>
      </c>
      <c r="AO195" s="128">
        <v>27000</v>
      </c>
      <c r="AP195" s="133">
        <f t="shared" si="307"/>
        <v>29644.84475</v>
      </c>
      <c r="AQ195" s="127">
        <f t="shared" si="308"/>
        <v>3550.8447500000002</v>
      </c>
      <c r="AR195" s="134">
        <f t="shared" si="309"/>
        <v>0.13607897409366138</v>
      </c>
      <c r="AS195" s="132">
        <f t="shared" si="325"/>
        <v>29644.84475</v>
      </c>
      <c r="AT195" s="10">
        <v>26096</v>
      </c>
      <c r="AU195" s="10">
        <v>25936</v>
      </c>
      <c r="AV195" s="167">
        <v>77808</v>
      </c>
      <c r="AW195" s="168">
        <v>26355</v>
      </c>
      <c r="AX195" s="29">
        <f t="shared" si="311"/>
        <v>26145.5</v>
      </c>
      <c r="AY195" s="24">
        <f t="shared" si="312"/>
        <v>49.5</v>
      </c>
      <c r="AZ195" s="25">
        <f t="shared" si="313"/>
        <v>1.8968424279583078E-3</v>
      </c>
      <c r="BA195" s="24">
        <f t="shared" si="314"/>
        <v>51712</v>
      </c>
      <c r="BB195" s="169">
        <f t="shared" si="315"/>
        <v>1.9816063764561618</v>
      </c>
      <c r="BC195" s="170">
        <f t="shared" si="316"/>
        <v>26145.5</v>
      </c>
      <c r="BD195" s="10">
        <v>234823</v>
      </c>
      <c r="BE195" s="10">
        <v>38000</v>
      </c>
      <c r="BF195" s="10">
        <v>45000</v>
      </c>
      <c r="BG195" s="268">
        <v>42000</v>
      </c>
      <c r="BH195" s="10">
        <v>130000</v>
      </c>
      <c r="BI195" s="76">
        <f t="shared" si="326"/>
        <v>63750</v>
      </c>
      <c r="BJ195" s="24">
        <f t="shared" si="327"/>
        <v>-171073</v>
      </c>
      <c r="BK195" s="25">
        <f t="shared" si="328"/>
        <v>-0.72851892702162901</v>
      </c>
      <c r="BL195" s="259">
        <f t="shared" si="329"/>
        <v>63750</v>
      </c>
      <c r="BM195" s="10">
        <v>26094</v>
      </c>
      <c r="BN195" s="45">
        <v>22000</v>
      </c>
      <c r="BO195" s="45">
        <v>30784</v>
      </c>
      <c r="BP195" s="45">
        <v>35000</v>
      </c>
      <c r="BQ195" s="29">
        <f t="shared" si="317"/>
        <v>29261.333333333332</v>
      </c>
      <c r="BR195" s="24">
        <f t="shared" si="318"/>
        <v>3167.3333333333321</v>
      </c>
      <c r="BS195" s="25">
        <f t="shared" si="319"/>
        <v>0.12138167139316824</v>
      </c>
      <c r="BT195" s="308">
        <f t="shared" si="320"/>
        <v>29261.333333333332</v>
      </c>
    </row>
    <row r="196" spans="1:72" ht="37.35" customHeight="1">
      <c r="A196" s="91" t="s">
        <v>18</v>
      </c>
      <c r="B196" s="358" t="s">
        <v>2388</v>
      </c>
      <c r="C196" s="50" t="s">
        <v>149</v>
      </c>
      <c r="D196" s="99" t="s">
        <v>488</v>
      </c>
      <c r="E196" s="48" t="s">
        <v>14</v>
      </c>
      <c r="F196" s="10">
        <v>367815</v>
      </c>
      <c r="G196" s="38">
        <v>478373</v>
      </c>
      <c r="H196" s="31">
        <v>621884</v>
      </c>
      <c r="I196" s="36">
        <v>418133</v>
      </c>
      <c r="J196" s="29">
        <f t="shared" si="270"/>
        <v>506130</v>
      </c>
      <c r="K196" s="24">
        <f t="shared" si="271"/>
        <v>138315</v>
      </c>
      <c r="L196" s="25">
        <f t="shared" si="272"/>
        <v>0.37604502263366096</v>
      </c>
      <c r="M196" s="69" t="str">
        <f t="shared" si="273"/>
        <v>REVISAR PRECIO</v>
      </c>
      <c r="N196" s="77">
        <f t="shared" si="241"/>
        <v>506130</v>
      </c>
      <c r="O196" s="73"/>
      <c r="P196" s="74"/>
      <c r="Q196" s="74"/>
      <c r="R196" s="75"/>
      <c r="S196" s="61"/>
      <c r="T196" s="60"/>
      <c r="U196" s="74"/>
      <c r="V196" s="76"/>
      <c r="W196" s="24"/>
      <c r="X196" s="25"/>
      <c r="Y196" s="77"/>
      <c r="Z196" s="106"/>
      <c r="AA196" s="120"/>
      <c r="AB196" s="120"/>
      <c r="AC196" s="120"/>
      <c r="AD196" s="120"/>
      <c r="AE196" s="120"/>
      <c r="AF196" s="120"/>
      <c r="AG196" s="120"/>
      <c r="AH196" s="120"/>
      <c r="AI196" s="120"/>
      <c r="AJ196" s="250"/>
      <c r="AK196" s="250"/>
      <c r="AL196" s="250"/>
      <c r="AM196" s="250"/>
      <c r="AN196" s="250"/>
      <c r="AO196" s="250"/>
      <c r="AP196" s="250"/>
      <c r="AQ196" s="250"/>
      <c r="AR196" s="250"/>
      <c r="AS196" s="250"/>
      <c r="AT196" s="10">
        <v>203566</v>
      </c>
      <c r="AU196" s="10">
        <v>8502</v>
      </c>
      <c r="AV196" s="167">
        <v>25000</v>
      </c>
      <c r="AW196" s="168">
        <v>25600</v>
      </c>
      <c r="AX196" s="29">
        <f t="shared" si="311"/>
        <v>17051</v>
      </c>
      <c r="AY196" s="24">
        <f t="shared" si="312"/>
        <v>-186515</v>
      </c>
      <c r="AZ196" s="25">
        <f t="shared" si="313"/>
        <v>-0.91623846811353571</v>
      </c>
      <c r="BA196" s="24">
        <f t="shared" si="314"/>
        <v>-178566</v>
      </c>
      <c r="BB196" s="169">
        <f t="shared" si="315"/>
        <v>-0.87718970751500747</v>
      </c>
      <c r="BC196" s="170">
        <f t="shared" si="316"/>
        <v>17051</v>
      </c>
      <c r="BD196" s="10">
        <v>185017</v>
      </c>
      <c r="BE196" s="10">
        <v>3230000</v>
      </c>
      <c r="BF196" s="10">
        <v>3300000</v>
      </c>
      <c r="BG196" s="268">
        <v>3270000</v>
      </c>
      <c r="BH196" s="10">
        <v>3500000</v>
      </c>
      <c r="BI196" s="76">
        <f t="shared" si="326"/>
        <v>3325000</v>
      </c>
      <c r="BJ196" s="24">
        <f t="shared" si="327"/>
        <v>3139983</v>
      </c>
      <c r="BK196" s="25">
        <f t="shared" si="328"/>
        <v>16.971321554235558</v>
      </c>
      <c r="BL196" s="259">
        <f t="shared" si="329"/>
        <v>3325000</v>
      </c>
      <c r="BM196" s="10">
        <v>206603</v>
      </c>
      <c r="BN196" s="45">
        <v>43000</v>
      </c>
      <c r="BO196" s="45">
        <v>240182</v>
      </c>
      <c r="BP196" s="45">
        <v>75000</v>
      </c>
      <c r="BQ196" s="29">
        <f t="shared" si="317"/>
        <v>119394</v>
      </c>
      <c r="BR196" s="24">
        <f t="shared" si="318"/>
        <v>-87209</v>
      </c>
      <c r="BS196" s="25">
        <f t="shared" si="319"/>
        <v>-0.42210906908418561</v>
      </c>
      <c r="BT196" s="308">
        <f t="shared" si="320"/>
        <v>119394</v>
      </c>
    </row>
    <row r="197" spans="1:72" ht="37.35" customHeight="1">
      <c r="A197" s="91" t="s">
        <v>18</v>
      </c>
      <c r="B197" s="358" t="s">
        <v>2389</v>
      </c>
      <c r="C197" s="50" t="s">
        <v>150</v>
      </c>
      <c r="D197" s="99" t="s">
        <v>489</v>
      </c>
      <c r="E197" s="48" t="s">
        <v>14</v>
      </c>
      <c r="F197" s="10">
        <v>328070</v>
      </c>
      <c r="G197" s="38">
        <v>426681</v>
      </c>
      <c r="H197" s="31">
        <v>554685</v>
      </c>
      <c r="I197" s="36">
        <v>372950.8</v>
      </c>
      <c r="J197" s="29">
        <f t="shared" si="270"/>
        <v>451438.93333333335</v>
      </c>
      <c r="K197" s="24">
        <f t="shared" si="271"/>
        <v>123368.93333333335</v>
      </c>
      <c r="L197" s="25">
        <f t="shared" si="272"/>
        <v>0.37604454333932802</v>
      </c>
      <c r="M197" s="69" t="str">
        <f t="shared" si="273"/>
        <v>REVISAR PRECIO</v>
      </c>
      <c r="N197" s="77">
        <f t="shared" si="241"/>
        <v>451438.93333333335</v>
      </c>
      <c r="O197" s="73">
        <v>185196</v>
      </c>
      <c r="P197" s="74">
        <v>40669.152000000002</v>
      </c>
      <c r="Q197" s="74">
        <v>100000</v>
      </c>
      <c r="R197" s="75">
        <v>46857.936000000002</v>
      </c>
      <c r="S197" s="61">
        <v>40669.152000000002</v>
      </c>
      <c r="T197" s="60">
        <v>90000</v>
      </c>
      <c r="U197" s="74">
        <v>46769.524799999999</v>
      </c>
      <c r="V197" s="76">
        <f t="shared" ref="V197" si="330">AVERAGE(P197,Q197,R197,S197,T197,U197)</f>
        <v>60827.627466666665</v>
      </c>
      <c r="W197" s="24">
        <f t="shared" ref="W197" si="331">V197-O197</f>
        <v>-124368.37253333334</v>
      </c>
      <c r="X197" s="25">
        <f t="shared" ref="X197" si="332">+W197/O197</f>
        <v>-0.67154999316039943</v>
      </c>
      <c r="Y197" s="77">
        <f t="shared" ref="Y197" si="333">+IF(X197&lt;35%,V197,"REVISAR PRECIO")</f>
        <v>60827.627466666665</v>
      </c>
      <c r="Z197" s="106">
        <f t="shared" ref="Z197" si="334">V197</f>
        <v>60827.627466666665</v>
      </c>
      <c r="AA197" s="73">
        <v>185196</v>
      </c>
      <c r="AB197" s="88">
        <v>40000</v>
      </c>
      <c r="AC197" s="116">
        <v>40000</v>
      </c>
      <c r="AD197" s="74">
        <v>38900.928</v>
      </c>
      <c r="AE197" s="76">
        <f t="shared" ref="AE197" si="335">AVERAGE(AB197,AC197,AD197)</f>
        <v>39633.642666666667</v>
      </c>
      <c r="AF197" s="24">
        <f t="shared" ref="AF197" si="336">AE197-AA197</f>
        <v>-145562.35733333335</v>
      </c>
      <c r="AG197" s="25">
        <f t="shared" ref="AG197" si="337">+AF197/AA197</f>
        <v>-0.78599082773566031</v>
      </c>
      <c r="AH197" s="77">
        <f t="shared" ref="AH197" si="338">+IF(AG197&lt;35%,AE197,"REVISAR PRECIO")</f>
        <v>39633.642666666667</v>
      </c>
      <c r="AI197" s="77">
        <f t="shared" ref="AI197" si="339">AE197</f>
        <v>39633.642666666667</v>
      </c>
      <c r="AJ197" s="73">
        <v>185196</v>
      </c>
      <c r="AK197" s="79">
        <v>46857.936000000002</v>
      </c>
      <c r="AL197" s="79">
        <f>73676*1.2*0.4</f>
        <v>35364.480000000003</v>
      </c>
      <c r="AM197" s="127">
        <v>42437.376000000004</v>
      </c>
      <c r="AN197" s="128">
        <v>33200</v>
      </c>
      <c r="AO197" s="128">
        <v>36000</v>
      </c>
      <c r="AP197" s="133">
        <f t="shared" ref="AP197" si="340">AVERAGE(AK197,AL197,AM197,AN197,AO197)</f>
        <v>38771.958400000003</v>
      </c>
      <c r="AQ197" s="127">
        <f t="shared" ref="AQ197" si="341">AP197-AJ197</f>
        <v>-146424.0416</v>
      </c>
      <c r="AR197" s="134">
        <f t="shared" ref="AR197" si="342">+AQ197/AJ197</f>
        <v>-0.79064365105077861</v>
      </c>
      <c r="AS197" s="132">
        <f>AP197</f>
        <v>38771.958400000003</v>
      </c>
      <c r="AT197" s="10">
        <v>181078</v>
      </c>
      <c r="AU197" s="10">
        <v>35364</v>
      </c>
      <c r="AV197" s="167">
        <v>106092</v>
      </c>
      <c r="AW197" s="168">
        <v>30000</v>
      </c>
      <c r="AX197" s="29">
        <f t="shared" si="311"/>
        <v>32682</v>
      </c>
      <c r="AY197" s="24">
        <f t="shared" si="312"/>
        <v>-148396</v>
      </c>
      <c r="AZ197" s="25">
        <f t="shared" si="313"/>
        <v>-0.81951424248114069</v>
      </c>
      <c r="BA197" s="24">
        <f t="shared" si="314"/>
        <v>-74986</v>
      </c>
      <c r="BB197" s="169">
        <f t="shared" si="315"/>
        <v>-0.41410883707573531</v>
      </c>
      <c r="BC197" s="170">
        <f t="shared" si="316"/>
        <v>32682</v>
      </c>
      <c r="BD197" s="10">
        <v>162975</v>
      </c>
      <c r="BE197" s="10">
        <v>90000</v>
      </c>
      <c r="BF197" s="10">
        <v>98000</v>
      </c>
      <c r="BG197" s="268">
        <v>95000</v>
      </c>
      <c r="BH197" s="10">
        <v>100000</v>
      </c>
      <c r="BI197" s="76">
        <f t="shared" si="326"/>
        <v>95750</v>
      </c>
      <c r="BJ197" s="24">
        <f t="shared" si="327"/>
        <v>-67225</v>
      </c>
      <c r="BK197" s="25">
        <f t="shared" si="328"/>
        <v>-0.41248657769596564</v>
      </c>
      <c r="BL197" s="259">
        <f t="shared" si="329"/>
        <v>95750</v>
      </c>
      <c r="BM197" s="10">
        <v>181077</v>
      </c>
      <c r="BN197" s="45">
        <v>35000</v>
      </c>
      <c r="BO197" s="45">
        <v>35364</v>
      </c>
      <c r="BP197" s="45">
        <v>85000</v>
      </c>
      <c r="BQ197" s="29">
        <f t="shared" si="317"/>
        <v>51788</v>
      </c>
      <c r="BR197" s="24">
        <f t="shared" si="318"/>
        <v>-129289</v>
      </c>
      <c r="BS197" s="25">
        <f t="shared" si="319"/>
        <v>-0.71400012149527547</v>
      </c>
      <c r="BT197" s="308">
        <f t="shared" si="320"/>
        <v>51788</v>
      </c>
    </row>
    <row r="198" spans="1:72" ht="37.35" customHeight="1">
      <c r="A198" s="91" t="s">
        <v>18</v>
      </c>
      <c r="B198" s="358" t="s">
        <v>2390</v>
      </c>
      <c r="C198" s="50" t="s">
        <v>151</v>
      </c>
      <c r="D198" s="99" t="s">
        <v>490</v>
      </c>
      <c r="E198" s="48" t="s">
        <v>14</v>
      </c>
      <c r="F198" s="10">
        <v>105326</v>
      </c>
      <c r="G198" s="38">
        <v>136985</v>
      </c>
      <c r="H198" s="33">
        <v>178080</v>
      </c>
      <c r="I198" s="36">
        <v>119734.6</v>
      </c>
      <c r="J198" s="29">
        <f t="shared" si="270"/>
        <v>144933.19999999998</v>
      </c>
      <c r="K198" s="24">
        <f t="shared" si="271"/>
        <v>39607.199999999983</v>
      </c>
      <c r="L198" s="25">
        <f t="shared" si="272"/>
        <v>0.37604390179063085</v>
      </c>
      <c r="M198" s="69" t="str">
        <f t="shared" si="273"/>
        <v>REVISAR PRECIO</v>
      </c>
      <c r="N198" s="77">
        <f t="shared" si="241"/>
        <v>144933.19999999998</v>
      </c>
      <c r="O198" s="73"/>
      <c r="P198" s="74"/>
      <c r="Q198" s="74"/>
      <c r="R198" s="75"/>
      <c r="S198" s="61"/>
      <c r="T198" s="60"/>
      <c r="U198" s="74"/>
      <c r="V198" s="76"/>
      <c r="W198" s="24"/>
      <c r="X198" s="25"/>
      <c r="Y198" s="77"/>
      <c r="Z198" s="106"/>
      <c r="AA198" s="120"/>
      <c r="AB198" s="120"/>
      <c r="AC198" s="120"/>
      <c r="AD198" s="120"/>
      <c r="AE198" s="120"/>
      <c r="AF198" s="120"/>
      <c r="AG198" s="120"/>
      <c r="AH198" s="120"/>
      <c r="AI198" s="120"/>
      <c r="AJ198" s="250"/>
      <c r="AK198" s="250"/>
      <c r="AL198" s="250"/>
      <c r="AM198" s="250"/>
      <c r="AN198" s="250"/>
      <c r="AO198" s="250"/>
      <c r="AP198" s="250"/>
      <c r="AQ198" s="250"/>
      <c r="AR198" s="250"/>
      <c r="AS198" s="250"/>
      <c r="AT198" s="10">
        <v>65575</v>
      </c>
      <c r="AU198" s="10">
        <v>33000</v>
      </c>
      <c r="AV198" s="167">
        <v>30000</v>
      </c>
      <c r="AW198" s="168">
        <v>25000</v>
      </c>
      <c r="AX198" s="29">
        <f t="shared" si="311"/>
        <v>29000</v>
      </c>
      <c r="AY198" s="24">
        <f t="shared" si="312"/>
        <v>-36575</v>
      </c>
      <c r="AZ198" s="25">
        <f t="shared" si="313"/>
        <v>-0.55775829203202443</v>
      </c>
      <c r="BA198" s="24">
        <f t="shared" si="314"/>
        <v>-35575</v>
      </c>
      <c r="BB198" s="169">
        <f t="shared" si="315"/>
        <v>-0.54250857796416319</v>
      </c>
      <c r="BC198" s="170">
        <f t="shared" si="316"/>
        <v>29000</v>
      </c>
      <c r="BD198" s="10">
        <v>59602</v>
      </c>
      <c r="BE198" s="10">
        <v>90000</v>
      </c>
      <c r="BF198" s="10">
        <v>98000</v>
      </c>
      <c r="BG198" s="268">
        <v>95000</v>
      </c>
      <c r="BH198" s="10">
        <v>100000</v>
      </c>
      <c r="BI198" s="76">
        <f t="shared" si="326"/>
        <v>95750</v>
      </c>
      <c r="BJ198" s="24">
        <f t="shared" si="327"/>
        <v>36148</v>
      </c>
      <c r="BK198" s="25">
        <f t="shared" si="328"/>
        <v>0.6064897151102312</v>
      </c>
      <c r="BL198" s="259">
        <f t="shared" si="329"/>
        <v>95750</v>
      </c>
      <c r="BM198" s="10">
        <v>66552</v>
      </c>
      <c r="BN198" s="45"/>
      <c r="BO198" s="45">
        <v>35364</v>
      </c>
      <c r="BP198" s="45">
        <v>60000</v>
      </c>
      <c r="BQ198" s="29">
        <f t="shared" si="317"/>
        <v>47682</v>
      </c>
      <c r="BR198" s="24">
        <f t="shared" si="318"/>
        <v>-18870</v>
      </c>
      <c r="BS198" s="25">
        <f t="shared" si="319"/>
        <v>-0.28353768481788677</v>
      </c>
      <c r="BT198" s="308">
        <f t="shared" si="320"/>
        <v>47682</v>
      </c>
    </row>
    <row r="199" spans="1:72" ht="37.35" customHeight="1">
      <c r="A199" s="91" t="s">
        <v>18</v>
      </c>
      <c r="B199" s="358" t="s">
        <v>2391</v>
      </c>
      <c r="C199" s="50" t="s">
        <v>152</v>
      </c>
      <c r="D199" s="99" t="s">
        <v>491</v>
      </c>
      <c r="E199" s="48" t="s">
        <v>14</v>
      </c>
      <c r="F199" s="10">
        <v>1216536</v>
      </c>
      <c r="G199" s="38">
        <v>1582200</v>
      </c>
      <c r="H199" s="33">
        <v>2056860</v>
      </c>
      <c r="I199" s="36">
        <v>1382960</v>
      </c>
      <c r="J199" s="29">
        <f t="shared" si="270"/>
        <v>1674006.6666666667</v>
      </c>
      <c r="K199" s="24">
        <f t="shared" si="271"/>
        <v>457470.66666666674</v>
      </c>
      <c r="L199" s="25">
        <f t="shared" si="272"/>
        <v>0.37604367373153508</v>
      </c>
      <c r="M199" s="69" t="str">
        <f t="shared" si="273"/>
        <v>REVISAR PRECIO</v>
      </c>
      <c r="N199" s="77">
        <f t="shared" si="241"/>
        <v>1674006.6666666667</v>
      </c>
      <c r="O199" s="73">
        <v>629697</v>
      </c>
      <c r="P199" s="74">
        <v>759062.04249999998</v>
      </c>
      <c r="Q199" s="74">
        <v>660000</v>
      </c>
      <c r="R199" s="75">
        <v>874571.4837499999</v>
      </c>
      <c r="S199" s="61">
        <v>759062.04249999986</v>
      </c>
      <c r="T199" s="60">
        <v>480000</v>
      </c>
      <c r="U199" s="74">
        <v>872921.34887499979</v>
      </c>
      <c r="V199" s="76">
        <f t="shared" ref="V199:V221" si="343">AVERAGE(P199,Q199,R199,S199,T199,U199)</f>
        <v>734269.48627083329</v>
      </c>
      <c r="W199" s="24">
        <f t="shared" ref="W199:W221" si="344">V199-O199</f>
        <v>104572.48627083329</v>
      </c>
      <c r="X199" s="25">
        <f t="shared" ref="X199:X221" si="345">+W199/O199</f>
        <v>0.16606794421893911</v>
      </c>
      <c r="Y199" s="77">
        <f t="shared" ref="Y199:Y221" si="346">+IF(X199&lt;35%,V199,"REVISAR PRECIO")</f>
        <v>734269.48627083329</v>
      </c>
      <c r="Z199" s="106">
        <f t="shared" ref="Z199:Z221" si="347">V199</f>
        <v>734269.48627083329</v>
      </c>
      <c r="AA199" s="73">
        <v>629697</v>
      </c>
      <c r="AB199" s="88">
        <v>750000</v>
      </c>
      <c r="AC199" s="116">
        <v>750000</v>
      </c>
      <c r="AD199" s="74">
        <v>726059.34499999997</v>
      </c>
      <c r="AE199" s="76">
        <f t="shared" ref="AE199:AE221" si="348">AVERAGE(AB199,AC199,AD199)</f>
        <v>742019.78166666662</v>
      </c>
      <c r="AF199" s="24">
        <f t="shared" ref="AF199:AF221" si="349">AE199-AA199</f>
        <v>112322.78166666662</v>
      </c>
      <c r="AG199" s="25">
        <f t="shared" ref="AG199:AG221" si="350">+AF199/AA199</f>
        <v>0.17837591995303553</v>
      </c>
      <c r="AH199" s="77">
        <f t="shared" ref="AH199:AH221" si="351">+IF(AG199&lt;35%,AE199,"REVISAR PRECIO")</f>
        <v>742019.78166666662</v>
      </c>
      <c r="AI199" s="77">
        <f t="shared" ref="AI199:AI221" si="352">AE199</f>
        <v>742019.78166666662</v>
      </c>
      <c r="AJ199" s="73">
        <v>629697</v>
      </c>
      <c r="AK199" s="79">
        <v>874571.4837499999</v>
      </c>
      <c r="AL199" s="79">
        <v>660053.94999999995</v>
      </c>
      <c r="AM199" s="127">
        <v>726059.34499999997</v>
      </c>
      <c r="AN199" s="128">
        <v>659000</v>
      </c>
      <c r="AO199" s="128">
        <v>670000</v>
      </c>
      <c r="AP199" s="133">
        <f t="shared" ref="AP199:AP221" si="353">AVERAGE(AK199,AL199,AM199,AN199,AO199)</f>
        <v>717936.95574999996</v>
      </c>
      <c r="AQ199" s="127">
        <f t="shared" ref="AQ199:AQ221" si="354">AP199-AJ199</f>
        <v>88239.955749999965</v>
      </c>
      <c r="AR199" s="134">
        <f t="shared" ref="AR199:AR221" si="355">+AQ199/AJ199</f>
        <v>0.14013081807599523</v>
      </c>
      <c r="AS199" s="132">
        <f t="shared" ref="AS199:AS221" si="356">AP199</f>
        <v>717936.95574999996</v>
      </c>
      <c r="AT199" s="10">
        <v>617358</v>
      </c>
      <c r="AU199" s="10">
        <v>660054</v>
      </c>
      <c r="AV199" s="167">
        <v>1320108</v>
      </c>
      <c r="AW199" s="168">
        <v>505200</v>
      </c>
      <c r="AX199" s="29">
        <f t="shared" si="311"/>
        <v>582627</v>
      </c>
      <c r="AY199" s="24">
        <f t="shared" si="312"/>
        <v>-34731</v>
      </c>
      <c r="AZ199" s="25">
        <f t="shared" si="313"/>
        <v>-5.6257471353736405E-2</v>
      </c>
      <c r="BA199" s="24">
        <f t="shared" si="314"/>
        <v>702750</v>
      </c>
      <c r="BB199" s="169">
        <f t="shared" si="315"/>
        <v>1.1383184473190595</v>
      </c>
      <c r="BC199" s="170">
        <f t="shared" si="316"/>
        <v>582627</v>
      </c>
      <c r="BD199" s="10">
        <v>561125</v>
      </c>
      <c r="BE199" s="10">
        <v>1250000</v>
      </c>
      <c r="BF199" s="10">
        <v>1320000</v>
      </c>
      <c r="BG199" s="268">
        <v>1300000</v>
      </c>
      <c r="BH199" s="10">
        <v>1250000</v>
      </c>
      <c r="BI199" s="76">
        <f t="shared" ref="BI199:BI202" si="357">AVERAGE(BE199,BF199,BG199,BH199)</f>
        <v>1280000</v>
      </c>
      <c r="BJ199" s="24">
        <f t="shared" ref="BJ199:BJ202" si="358">BI199-BD199</f>
        <v>718875</v>
      </c>
      <c r="BK199" s="25">
        <f t="shared" ref="BK199:BK202" si="359">+BJ199/BD199</f>
        <v>1.2811316551570506</v>
      </c>
      <c r="BL199" s="259">
        <f t="shared" ref="BL199:BL202" si="360">BI199</f>
        <v>1280000</v>
      </c>
      <c r="BM199" s="10">
        <v>626565</v>
      </c>
      <c r="BN199" s="45">
        <v>550000</v>
      </c>
      <c r="BO199" s="45">
        <v>728410</v>
      </c>
      <c r="BP199" s="45">
        <v>450000</v>
      </c>
      <c r="BQ199" s="29">
        <f t="shared" si="317"/>
        <v>576136.66666666663</v>
      </c>
      <c r="BR199" s="24">
        <f t="shared" si="318"/>
        <v>-50428.333333333372</v>
      </c>
      <c r="BS199" s="25">
        <f t="shared" si="319"/>
        <v>-8.048380189339234E-2</v>
      </c>
      <c r="BT199" s="308">
        <f t="shared" si="320"/>
        <v>576136.66666666663</v>
      </c>
    </row>
    <row r="200" spans="1:72" ht="37.35" customHeight="1">
      <c r="A200" s="91" t="s">
        <v>18</v>
      </c>
      <c r="B200" s="358" t="s">
        <v>2392</v>
      </c>
      <c r="C200" s="50" t="s">
        <v>153</v>
      </c>
      <c r="D200" s="99" t="s">
        <v>492</v>
      </c>
      <c r="E200" s="48" t="s">
        <v>14</v>
      </c>
      <c r="F200" s="10">
        <v>1246908</v>
      </c>
      <c r="G200" s="38">
        <v>1621701</v>
      </c>
      <c r="H200" s="31">
        <v>2108211</v>
      </c>
      <c r="I200" s="36">
        <v>1417486.8</v>
      </c>
      <c r="J200" s="29">
        <f t="shared" si="270"/>
        <v>1715799.5999999999</v>
      </c>
      <c r="K200" s="24">
        <f t="shared" si="271"/>
        <v>468891.59999999986</v>
      </c>
      <c r="L200" s="25">
        <f t="shared" si="272"/>
        <v>0.37604346110539016</v>
      </c>
      <c r="M200" s="69" t="str">
        <f t="shared" si="273"/>
        <v>REVISAR PRECIO</v>
      </c>
      <c r="N200" s="77">
        <f t="shared" si="241"/>
        <v>1715799.5999999999</v>
      </c>
      <c r="O200" s="73">
        <v>791866</v>
      </c>
      <c r="P200" s="74">
        <v>906775</v>
      </c>
      <c r="Q200" s="74">
        <v>800000</v>
      </c>
      <c r="R200" s="75">
        <v>1044762.5</v>
      </c>
      <c r="S200" s="61">
        <v>906774.99999999988</v>
      </c>
      <c r="T200" s="60">
        <v>650000</v>
      </c>
      <c r="U200" s="74">
        <v>1042791.2499999998</v>
      </c>
      <c r="V200" s="76">
        <f t="shared" si="343"/>
        <v>891850.625</v>
      </c>
      <c r="W200" s="24">
        <f t="shared" si="344"/>
        <v>99984.625</v>
      </c>
      <c r="X200" s="25">
        <f t="shared" si="345"/>
        <v>0.12626457632983359</v>
      </c>
      <c r="Y200" s="77">
        <f t="shared" si="346"/>
        <v>891850.625</v>
      </c>
      <c r="Z200" s="106">
        <f t="shared" si="347"/>
        <v>891850.625</v>
      </c>
      <c r="AA200" s="73">
        <v>791866</v>
      </c>
      <c r="AB200" s="88">
        <v>900000</v>
      </c>
      <c r="AC200" s="116">
        <v>900000</v>
      </c>
      <c r="AD200" s="74">
        <v>867350</v>
      </c>
      <c r="AE200" s="76">
        <f t="shared" si="348"/>
        <v>889116.66666666663</v>
      </c>
      <c r="AF200" s="24">
        <f t="shared" si="349"/>
        <v>97250.666666666628</v>
      </c>
      <c r="AG200" s="25">
        <f t="shared" si="350"/>
        <v>0.12281202459338654</v>
      </c>
      <c r="AH200" s="77">
        <f t="shared" si="351"/>
        <v>889116.66666666663</v>
      </c>
      <c r="AI200" s="77">
        <f t="shared" si="352"/>
        <v>889116.66666666663</v>
      </c>
      <c r="AJ200" s="73">
        <v>791866</v>
      </c>
      <c r="AK200" s="79">
        <v>1044762.5</v>
      </c>
      <c r="AL200" s="79">
        <v>788500</v>
      </c>
      <c r="AM200" s="127">
        <v>946200</v>
      </c>
      <c r="AN200" s="128">
        <v>862000</v>
      </c>
      <c r="AO200" s="128">
        <v>790000</v>
      </c>
      <c r="AP200" s="133">
        <f t="shared" si="353"/>
        <v>886292.5</v>
      </c>
      <c r="AQ200" s="127">
        <f t="shared" si="354"/>
        <v>94426.5</v>
      </c>
      <c r="AR200" s="134">
        <f t="shared" si="355"/>
        <v>0.11924555417204426</v>
      </c>
      <c r="AS200" s="132">
        <f t="shared" si="356"/>
        <v>886292.5</v>
      </c>
      <c r="AT200" s="10">
        <v>776337</v>
      </c>
      <c r="AU200" s="10">
        <v>788500</v>
      </c>
      <c r="AV200" s="167">
        <v>1577000</v>
      </c>
      <c r="AW200" s="168">
        <v>650550</v>
      </c>
      <c r="AX200" s="29">
        <f t="shared" si="311"/>
        <v>719525</v>
      </c>
      <c r="AY200" s="24">
        <f t="shared" si="312"/>
        <v>-56812</v>
      </c>
      <c r="AZ200" s="25">
        <f t="shared" si="313"/>
        <v>-7.3179559907617445E-2</v>
      </c>
      <c r="BA200" s="24">
        <f t="shared" si="314"/>
        <v>800663</v>
      </c>
      <c r="BB200" s="169">
        <f t="shared" si="315"/>
        <v>1.0313343303230427</v>
      </c>
      <c r="BC200" s="170">
        <f t="shared" si="316"/>
        <v>719525</v>
      </c>
      <c r="BD200" s="10">
        <v>705618</v>
      </c>
      <c r="BE200" s="10">
        <v>1850000</v>
      </c>
      <c r="BF200" s="10">
        <v>2100000</v>
      </c>
      <c r="BG200" s="268">
        <v>2050000</v>
      </c>
      <c r="BH200" s="10">
        <v>1850000</v>
      </c>
      <c r="BI200" s="76">
        <f t="shared" si="357"/>
        <v>1962500</v>
      </c>
      <c r="BJ200" s="24">
        <f t="shared" si="358"/>
        <v>1256882</v>
      </c>
      <c r="BK200" s="25">
        <f t="shared" si="359"/>
        <v>1.7812499114251621</v>
      </c>
      <c r="BL200" s="259">
        <f t="shared" si="360"/>
        <v>1962500</v>
      </c>
      <c r="BM200" s="10">
        <v>787927</v>
      </c>
      <c r="BN200" s="45">
        <v>750000</v>
      </c>
      <c r="BO200" s="45">
        <v>915991</v>
      </c>
      <c r="BP200" s="45">
        <v>700000</v>
      </c>
      <c r="BQ200" s="29">
        <f t="shared" si="317"/>
        <v>788663.66666666663</v>
      </c>
      <c r="BR200" s="24">
        <f t="shared" si="318"/>
        <v>736.66666666662786</v>
      </c>
      <c r="BS200" s="25">
        <f t="shared" si="319"/>
        <v>9.3494278869315031E-4</v>
      </c>
      <c r="BT200" s="308">
        <f t="shared" si="320"/>
        <v>788663.66666666663</v>
      </c>
    </row>
    <row r="201" spans="1:72" ht="44.1" customHeight="1">
      <c r="A201" s="91" t="s">
        <v>18</v>
      </c>
      <c r="B201" s="358" t="s">
        <v>2393</v>
      </c>
      <c r="C201" s="50" t="s">
        <v>154</v>
      </c>
      <c r="D201" s="99" t="s">
        <v>493</v>
      </c>
      <c r="E201" s="48" t="s">
        <v>14</v>
      </c>
      <c r="F201" s="10">
        <v>433012</v>
      </c>
      <c r="G201" s="38">
        <v>563166</v>
      </c>
      <c r="H201" s="31">
        <v>563166</v>
      </c>
      <c r="I201" s="36">
        <v>492248.8</v>
      </c>
      <c r="J201" s="29">
        <f t="shared" si="270"/>
        <v>539526.93333333335</v>
      </c>
      <c r="K201" s="24">
        <f t="shared" si="271"/>
        <v>106514.93333333335</v>
      </c>
      <c r="L201" s="25">
        <f t="shared" si="272"/>
        <v>0.24598610046218891</v>
      </c>
      <c r="M201" s="69">
        <f t="shared" si="273"/>
        <v>539526.93333333335</v>
      </c>
      <c r="N201" s="77">
        <f t="shared" si="241"/>
        <v>539526.93333333335</v>
      </c>
      <c r="O201" s="73">
        <v>366654</v>
      </c>
      <c r="P201" s="74">
        <v>277725</v>
      </c>
      <c r="Q201" s="74">
        <v>450000</v>
      </c>
      <c r="R201" s="75">
        <v>319987.5</v>
      </c>
      <c r="S201" s="61">
        <v>540500</v>
      </c>
      <c r="T201" s="60">
        <v>460000</v>
      </c>
      <c r="U201" s="74">
        <v>621575</v>
      </c>
      <c r="V201" s="76">
        <f t="shared" si="343"/>
        <v>444964.58333333331</v>
      </c>
      <c r="W201" s="24">
        <f t="shared" si="344"/>
        <v>78310.583333333314</v>
      </c>
      <c r="X201" s="25">
        <f t="shared" si="345"/>
        <v>0.21358169645860489</v>
      </c>
      <c r="Y201" s="77">
        <f t="shared" si="346"/>
        <v>444964.58333333331</v>
      </c>
      <c r="Z201" s="106">
        <f t="shared" si="347"/>
        <v>444964.58333333331</v>
      </c>
      <c r="AA201" s="73">
        <v>366654</v>
      </c>
      <c r="AB201" s="88">
        <v>280000</v>
      </c>
      <c r="AC201" s="116">
        <v>280000</v>
      </c>
      <c r="AD201" s="74">
        <v>265650</v>
      </c>
      <c r="AE201" s="76">
        <f t="shared" si="348"/>
        <v>275216.66666666669</v>
      </c>
      <c r="AF201" s="24">
        <f t="shared" si="349"/>
        <v>-91437.333333333314</v>
      </c>
      <c r="AG201" s="25">
        <f t="shared" si="350"/>
        <v>-0.24938316050918116</v>
      </c>
      <c r="AH201" s="77">
        <f t="shared" si="351"/>
        <v>275216.66666666669</v>
      </c>
      <c r="AI201" s="77">
        <f t="shared" si="352"/>
        <v>275216.66666666669</v>
      </c>
      <c r="AJ201" s="73">
        <v>366654</v>
      </c>
      <c r="AK201" s="79">
        <v>319987.5</v>
      </c>
      <c r="AL201" s="79">
        <v>241500</v>
      </c>
      <c r="AM201" s="127">
        <v>289800</v>
      </c>
      <c r="AN201" s="128">
        <v>240800</v>
      </c>
      <c r="AO201" s="128">
        <v>250000</v>
      </c>
      <c r="AP201" s="133">
        <f t="shared" si="353"/>
        <v>268417.5</v>
      </c>
      <c r="AQ201" s="127">
        <f t="shared" si="354"/>
        <v>-98236.5</v>
      </c>
      <c r="AR201" s="134">
        <f t="shared" si="355"/>
        <v>-0.26792698293213768</v>
      </c>
      <c r="AS201" s="132">
        <f t="shared" si="356"/>
        <v>268417.5</v>
      </c>
      <c r="AT201" s="10">
        <v>402308</v>
      </c>
      <c r="AU201" s="10">
        <v>241500</v>
      </c>
      <c r="AV201" s="167">
        <v>483000</v>
      </c>
      <c r="AW201" s="168">
        <v>225650</v>
      </c>
      <c r="AX201" s="29">
        <f t="shared" si="311"/>
        <v>233575</v>
      </c>
      <c r="AY201" s="24">
        <f t="shared" si="312"/>
        <v>-168733</v>
      </c>
      <c r="AZ201" s="25">
        <f t="shared" si="313"/>
        <v>-0.41941248993308611</v>
      </c>
      <c r="BA201" s="24">
        <f t="shared" si="314"/>
        <v>80692</v>
      </c>
      <c r="BB201" s="169">
        <f t="shared" si="315"/>
        <v>0.20057269554669557</v>
      </c>
      <c r="BC201" s="170">
        <f t="shared" si="316"/>
        <v>233575</v>
      </c>
      <c r="BD201" s="10">
        <v>358396</v>
      </c>
      <c r="BE201" s="10">
        <v>60000</v>
      </c>
      <c r="BF201" s="10">
        <v>68000</v>
      </c>
      <c r="BG201" s="268">
        <v>65000</v>
      </c>
      <c r="BH201" s="10">
        <v>80000</v>
      </c>
      <c r="BI201" s="76">
        <f t="shared" si="357"/>
        <v>68250</v>
      </c>
      <c r="BJ201" s="24">
        <f t="shared" si="358"/>
        <v>-290146</v>
      </c>
      <c r="BK201" s="25">
        <f t="shared" si="359"/>
        <v>-0.80956818714494583</v>
      </c>
      <c r="BL201" s="259">
        <f t="shared" si="360"/>
        <v>68250</v>
      </c>
      <c r="BM201" s="10">
        <v>385800</v>
      </c>
      <c r="BN201" s="45">
        <v>310000</v>
      </c>
      <c r="BO201" s="45">
        <v>474673</v>
      </c>
      <c r="BP201" s="45">
        <v>236000</v>
      </c>
      <c r="BQ201" s="29">
        <f t="shared" si="317"/>
        <v>340224.33333333331</v>
      </c>
      <c r="BR201" s="24">
        <f t="shared" si="318"/>
        <v>-45575.666666666686</v>
      </c>
      <c r="BS201" s="25">
        <f t="shared" si="319"/>
        <v>-0.11813288405045798</v>
      </c>
      <c r="BT201" s="308">
        <f t="shared" si="320"/>
        <v>340224.33333333331</v>
      </c>
    </row>
    <row r="202" spans="1:72" ht="44.1" customHeight="1">
      <c r="A202" s="91" t="s">
        <v>18</v>
      </c>
      <c r="B202" s="358" t="s">
        <v>2394</v>
      </c>
      <c r="C202" s="50" t="s">
        <v>155</v>
      </c>
      <c r="D202" s="99" t="s">
        <v>494</v>
      </c>
      <c r="E202" s="48" t="s">
        <v>14</v>
      </c>
      <c r="F202" s="10">
        <v>620330</v>
      </c>
      <c r="G202" s="38">
        <v>806787</v>
      </c>
      <c r="H202" s="31">
        <v>1048823</v>
      </c>
      <c r="I202" s="36">
        <v>705191.6</v>
      </c>
      <c r="J202" s="29">
        <f t="shared" si="270"/>
        <v>853600.53333333333</v>
      </c>
      <c r="K202" s="24">
        <f t="shared" si="271"/>
        <v>233270.53333333333</v>
      </c>
      <c r="L202" s="25">
        <f t="shared" si="272"/>
        <v>0.37604264396907022</v>
      </c>
      <c r="M202" s="69" t="str">
        <f t="shared" si="273"/>
        <v>REVISAR PRECIO</v>
      </c>
      <c r="N202" s="77">
        <f t="shared" si="241"/>
        <v>853600.53333333333</v>
      </c>
      <c r="O202" s="73">
        <v>525263</v>
      </c>
      <c r="P202" s="74">
        <v>431595</v>
      </c>
      <c r="Q202" s="74">
        <v>750000</v>
      </c>
      <c r="R202" s="75">
        <v>497272.5</v>
      </c>
      <c r="S202" s="61">
        <v>736000</v>
      </c>
      <c r="T202" s="60">
        <v>520000</v>
      </c>
      <c r="U202" s="74">
        <v>846399.99999999988</v>
      </c>
      <c r="V202" s="76">
        <f t="shared" si="343"/>
        <v>630211.25</v>
      </c>
      <c r="W202" s="24">
        <f t="shared" si="344"/>
        <v>104948.25</v>
      </c>
      <c r="X202" s="25">
        <f t="shared" si="345"/>
        <v>0.19980133761563254</v>
      </c>
      <c r="Y202" s="77">
        <f t="shared" si="346"/>
        <v>630211.25</v>
      </c>
      <c r="Z202" s="106">
        <f t="shared" si="347"/>
        <v>630211.25</v>
      </c>
      <c r="AA202" s="73">
        <v>525263</v>
      </c>
      <c r="AB202" s="88">
        <v>430000</v>
      </c>
      <c r="AC202" s="116">
        <v>430000</v>
      </c>
      <c r="AD202" s="74">
        <v>412830</v>
      </c>
      <c r="AE202" s="76">
        <f t="shared" si="348"/>
        <v>424276.66666666669</v>
      </c>
      <c r="AF202" s="24">
        <f t="shared" si="349"/>
        <v>-100986.33333333331</v>
      </c>
      <c r="AG202" s="25">
        <f t="shared" si="350"/>
        <v>-0.19225860822737051</v>
      </c>
      <c r="AH202" s="77">
        <f t="shared" si="351"/>
        <v>424276.66666666669</v>
      </c>
      <c r="AI202" s="77">
        <f t="shared" si="352"/>
        <v>424276.66666666669</v>
      </c>
      <c r="AJ202" s="73">
        <v>525263</v>
      </c>
      <c r="AK202" s="79">
        <v>497272.5</v>
      </c>
      <c r="AL202" s="79">
        <v>375300</v>
      </c>
      <c r="AM202" s="127">
        <v>450360</v>
      </c>
      <c r="AN202" s="128">
        <v>461200</v>
      </c>
      <c r="AO202" s="128">
        <v>400000</v>
      </c>
      <c r="AP202" s="133">
        <f t="shared" si="353"/>
        <v>436826.5</v>
      </c>
      <c r="AQ202" s="127">
        <f t="shared" si="354"/>
        <v>-88436.5</v>
      </c>
      <c r="AR202" s="134">
        <f t="shared" si="355"/>
        <v>-0.16836613277539061</v>
      </c>
      <c r="AS202" s="132">
        <f t="shared" si="356"/>
        <v>436826.5</v>
      </c>
      <c r="AT202" s="10">
        <v>402308</v>
      </c>
      <c r="AU202" s="10">
        <v>375300</v>
      </c>
      <c r="AV202" s="167">
        <v>750600</v>
      </c>
      <c r="AW202" s="168">
        <v>325680</v>
      </c>
      <c r="AX202" s="29">
        <f t="shared" si="311"/>
        <v>350490</v>
      </c>
      <c r="AY202" s="24">
        <f t="shared" si="312"/>
        <v>-51818</v>
      </c>
      <c r="AZ202" s="25">
        <f t="shared" si="313"/>
        <v>-0.12880181353589787</v>
      </c>
      <c r="BA202" s="24">
        <f t="shared" si="314"/>
        <v>348292</v>
      </c>
      <c r="BB202" s="169">
        <f t="shared" si="315"/>
        <v>0.86573471071915054</v>
      </c>
      <c r="BC202" s="170">
        <f t="shared" si="316"/>
        <v>350490</v>
      </c>
      <c r="BD202" s="10">
        <v>516634</v>
      </c>
      <c r="BE202" s="10">
        <v>90000</v>
      </c>
      <c r="BF202" s="10">
        <v>96000</v>
      </c>
      <c r="BG202" s="268">
        <v>95000</v>
      </c>
      <c r="BH202" s="10">
        <v>100000</v>
      </c>
      <c r="BI202" s="76">
        <f t="shared" si="357"/>
        <v>95250</v>
      </c>
      <c r="BJ202" s="24">
        <f t="shared" si="358"/>
        <v>-421384</v>
      </c>
      <c r="BK202" s="25">
        <f t="shared" si="359"/>
        <v>-0.81563350456996631</v>
      </c>
      <c r="BL202" s="259">
        <f t="shared" si="360"/>
        <v>95250</v>
      </c>
      <c r="BM202" s="10">
        <v>554404</v>
      </c>
      <c r="BN202" s="45">
        <v>380000</v>
      </c>
      <c r="BO202" s="45">
        <v>474673</v>
      </c>
      <c r="BP202" s="45">
        <v>360000</v>
      </c>
      <c r="BQ202" s="29">
        <f t="shared" si="317"/>
        <v>404891</v>
      </c>
      <c r="BR202" s="24">
        <f t="shared" si="318"/>
        <v>-149513</v>
      </c>
      <c r="BS202" s="25">
        <f t="shared" si="319"/>
        <v>-0.26968239767389846</v>
      </c>
      <c r="BT202" s="308">
        <f t="shared" si="320"/>
        <v>404891</v>
      </c>
    </row>
    <row r="203" spans="1:72" ht="45.6" customHeight="1">
      <c r="A203" s="91" t="s">
        <v>18</v>
      </c>
      <c r="B203" s="358" t="s">
        <v>2395</v>
      </c>
      <c r="C203" s="50" t="s">
        <v>156</v>
      </c>
      <c r="D203" s="99" t="s">
        <v>495</v>
      </c>
      <c r="E203" s="48" t="s">
        <v>14</v>
      </c>
      <c r="F203" s="10">
        <v>433012</v>
      </c>
      <c r="G203" s="38">
        <v>563166</v>
      </c>
      <c r="H203" s="31">
        <v>732116</v>
      </c>
      <c r="I203" s="36">
        <v>492248.8</v>
      </c>
      <c r="J203" s="29">
        <f t="shared" si="270"/>
        <v>595843.6</v>
      </c>
      <c r="K203" s="24">
        <f t="shared" si="271"/>
        <v>162831.59999999998</v>
      </c>
      <c r="L203" s="25">
        <f t="shared" si="272"/>
        <v>0.37604408191920774</v>
      </c>
      <c r="M203" s="69" t="str">
        <f t="shared" si="273"/>
        <v>REVISAR PRECIO</v>
      </c>
      <c r="N203" s="77">
        <f t="shared" si="241"/>
        <v>595843.6</v>
      </c>
      <c r="O203" s="73">
        <v>366654</v>
      </c>
      <c r="P203" s="74">
        <v>316480</v>
      </c>
      <c r="Q203" s="74">
        <v>650000</v>
      </c>
      <c r="R203" s="75">
        <v>364640</v>
      </c>
      <c r="S203" s="61">
        <v>540500</v>
      </c>
      <c r="T203" s="60">
        <v>460000</v>
      </c>
      <c r="U203" s="74">
        <v>621575</v>
      </c>
      <c r="V203" s="76">
        <f t="shared" si="343"/>
        <v>492199.16666666669</v>
      </c>
      <c r="W203" s="24">
        <f t="shared" si="344"/>
        <v>125545.16666666669</v>
      </c>
      <c r="X203" s="25">
        <f t="shared" si="345"/>
        <v>0.34240773772184863</v>
      </c>
      <c r="Y203" s="77">
        <f t="shared" si="346"/>
        <v>492199.16666666669</v>
      </c>
      <c r="Z203" s="106">
        <f t="shared" si="347"/>
        <v>492199.16666666669</v>
      </c>
      <c r="AA203" s="73">
        <v>366654</v>
      </c>
      <c r="AB203" s="88">
        <v>310000</v>
      </c>
      <c r="AC203" s="116">
        <v>310000</v>
      </c>
      <c r="AD203" s="74">
        <v>302720</v>
      </c>
      <c r="AE203" s="76">
        <f t="shared" si="348"/>
        <v>307573.33333333331</v>
      </c>
      <c r="AF203" s="24">
        <f t="shared" si="349"/>
        <v>-59080.666666666686</v>
      </c>
      <c r="AG203" s="25">
        <f t="shared" si="350"/>
        <v>-0.16113465737907315</v>
      </c>
      <c r="AH203" s="77">
        <f t="shared" si="351"/>
        <v>307573.33333333331</v>
      </c>
      <c r="AI203" s="77">
        <f t="shared" si="352"/>
        <v>307573.33333333331</v>
      </c>
      <c r="AJ203" s="73">
        <v>366654</v>
      </c>
      <c r="AK203" s="79">
        <v>364640</v>
      </c>
      <c r="AL203" s="79">
        <v>275200</v>
      </c>
      <c r="AM203" s="127">
        <v>330240</v>
      </c>
      <c r="AN203" s="128">
        <v>271000</v>
      </c>
      <c r="AO203" s="128">
        <v>275000</v>
      </c>
      <c r="AP203" s="133">
        <f t="shared" si="353"/>
        <v>303216</v>
      </c>
      <c r="AQ203" s="127">
        <f t="shared" si="354"/>
        <v>-63438</v>
      </c>
      <c r="AR203" s="134">
        <f t="shared" si="355"/>
        <v>-0.17301870428251157</v>
      </c>
      <c r="AS203" s="132">
        <f t="shared" si="356"/>
        <v>303216</v>
      </c>
      <c r="AT203" s="10">
        <v>402308</v>
      </c>
      <c r="AU203" s="10">
        <v>275200</v>
      </c>
      <c r="AV203" s="167">
        <v>550400</v>
      </c>
      <c r="AW203" s="168">
        <v>225650</v>
      </c>
      <c r="AX203" s="29">
        <f t="shared" si="311"/>
        <v>250425</v>
      </c>
      <c r="AY203" s="24">
        <f t="shared" si="312"/>
        <v>-151883</v>
      </c>
      <c r="AZ203" s="25">
        <f t="shared" si="313"/>
        <v>-0.37752915676546328</v>
      </c>
      <c r="BA203" s="24">
        <f t="shared" si="314"/>
        <v>148092</v>
      </c>
      <c r="BB203" s="169">
        <f t="shared" si="315"/>
        <v>0.36810602821718685</v>
      </c>
      <c r="BC203" s="170">
        <f t="shared" si="316"/>
        <v>250425</v>
      </c>
      <c r="BD203" s="150"/>
      <c r="BE203" s="150"/>
      <c r="BF203" s="150"/>
      <c r="BG203" s="150"/>
      <c r="BH203" s="150"/>
      <c r="BI203" s="150"/>
      <c r="BJ203" s="150"/>
      <c r="BK203" s="150"/>
      <c r="BL203" s="150"/>
      <c r="BM203" s="10">
        <v>385800</v>
      </c>
      <c r="BN203" s="45">
        <v>320000</v>
      </c>
      <c r="BO203" s="45">
        <v>474673</v>
      </c>
      <c r="BP203" s="45">
        <v>245000</v>
      </c>
      <c r="BQ203" s="29">
        <f t="shared" si="317"/>
        <v>346557.66666666669</v>
      </c>
      <c r="BR203" s="24">
        <f t="shared" si="318"/>
        <v>-39242.333333333314</v>
      </c>
      <c r="BS203" s="25">
        <f t="shared" si="319"/>
        <v>-0.10171677898738547</v>
      </c>
      <c r="BT203" s="308">
        <f t="shared" si="320"/>
        <v>346557.66666666669</v>
      </c>
    </row>
    <row r="204" spans="1:72" ht="45" customHeight="1">
      <c r="A204" s="91" t="s">
        <v>18</v>
      </c>
      <c r="B204" s="358" t="s">
        <v>2396</v>
      </c>
      <c r="C204" s="50" t="s">
        <v>157</v>
      </c>
      <c r="D204" s="99" t="s">
        <v>496</v>
      </c>
      <c r="E204" s="48" t="s">
        <v>14</v>
      </c>
      <c r="F204" s="10">
        <v>620330</v>
      </c>
      <c r="G204" s="38">
        <v>806787</v>
      </c>
      <c r="H204" s="31">
        <v>1048823</v>
      </c>
      <c r="I204" s="36">
        <v>705191.6</v>
      </c>
      <c r="J204" s="29">
        <f t="shared" si="270"/>
        <v>853600.53333333333</v>
      </c>
      <c r="K204" s="24">
        <f t="shared" si="271"/>
        <v>233270.53333333333</v>
      </c>
      <c r="L204" s="25">
        <f t="shared" si="272"/>
        <v>0.37604264396907022</v>
      </c>
      <c r="M204" s="69" t="str">
        <f t="shared" si="273"/>
        <v>REVISAR PRECIO</v>
      </c>
      <c r="N204" s="77">
        <f t="shared" si="241"/>
        <v>853600.53333333333</v>
      </c>
      <c r="O204" s="73">
        <v>525263</v>
      </c>
      <c r="P204" s="74">
        <v>467245</v>
      </c>
      <c r="Q204" s="74">
        <v>800000</v>
      </c>
      <c r="R204" s="75">
        <v>538347.5</v>
      </c>
      <c r="S204" s="61">
        <v>736000</v>
      </c>
      <c r="T204" s="60">
        <v>520000</v>
      </c>
      <c r="U204" s="74">
        <v>846399.99999999988</v>
      </c>
      <c r="V204" s="76">
        <f t="shared" si="343"/>
        <v>651332.08333333337</v>
      </c>
      <c r="W204" s="24">
        <f t="shared" si="344"/>
        <v>126069.08333333337</v>
      </c>
      <c r="X204" s="25">
        <f t="shared" si="345"/>
        <v>0.24001135304282498</v>
      </c>
      <c r="Y204" s="77">
        <f t="shared" si="346"/>
        <v>651332.08333333337</v>
      </c>
      <c r="Z204" s="106">
        <f t="shared" si="347"/>
        <v>651332.08333333337</v>
      </c>
      <c r="AA204" s="73">
        <v>525263</v>
      </c>
      <c r="AB204" s="88">
        <v>430000</v>
      </c>
      <c r="AC204" s="116">
        <v>430000</v>
      </c>
      <c r="AD204" s="74">
        <v>446930</v>
      </c>
      <c r="AE204" s="76">
        <f t="shared" si="348"/>
        <v>435643.33333333331</v>
      </c>
      <c r="AF204" s="24">
        <f t="shared" si="349"/>
        <v>-89619.666666666686</v>
      </c>
      <c r="AG204" s="25">
        <f t="shared" si="350"/>
        <v>-0.17061865516258842</v>
      </c>
      <c r="AH204" s="77">
        <f t="shared" si="351"/>
        <v>435643.33333333331</v>
      </c>
      <c r="AI204" s="77">
        <f t="shared" si="352"/>
        <v>435643.33333333331</v>
      </c>
      <c r="AJ204" s="73">
        <v>525263</v>
      </c>
      <c r="AK204" s="79">
        <v>538347.5</v>
      </c>
      <c r="AL204" s="79">
        <v>406300</v>
      </c>
      <c r="AM204" s="127">
        <v>487560</v>
      </c>
      <c r="AN204" s="128">
        <v>500200</v>
      </c>
      <c r="AO204" s="128">
        <v>420000</v>
      </c>
      <c r="AP204" s="133">
        <f t="shared" si="353"/>
        <v>470481.5</v>
      </c>
      <c r="AQ204" s="127">
        <f t="shared" si="354"/>
        <v>-54781.5</v>
      </c>
      <c r="AR204" s="134">
        <f t="shared" si="355"/>
        <v>-0.10429346822448944</v>
      </c>
      <c r="AS204" s="132">
        <f t="shared" si="356"/>
        <v>470481.5</v>
      </c>
      <c r="AT204" s="10">
        <v>581192</v>
      </c>
      <c r="AU204" s="10">
        <v>406300</v>
      </c>
      <c r="AV204" s="167">
        <v>406300</v>
      </c>
      <c r="AW204" s="168">
        <v>325680</v>
      </c>
      <c r="AX204" s="29">
        <f t="shared" si="311"/>
        <v>365990</v>
      </c>
      <c r="AY204" s="24">
        <f t="shared" si="312"/>
        <v>-215202</v>
      </c>
      <c r="AZ204" s="25">
        <f t="shared" si="313"/>
        <v>-0.37027694806535533</v>
      </c>
      <c r="BA204" s="24">
        <f t="shared" si="314"/>
        <v>-174892</v>
      </c>
      <c r="BB204" s="169">
        <f t="shared" si="315"/>
        <v>-0.30091948960068271</v>
      </c>
      <c r="BC204" s="170">
        <f t="shared" si="316"/>
        <v>365990</v>
      </c>
      <c r="BD204" s="150"/>
      <c r="BE204" s="150"/>
      <c r="BF204" s="150"/>
      <c r="BG204" s="150"/>
      <c r="BH204" s="150"/>
      <c r="BI204" s="150"/>
      <c r="BJ204" s="150"/>
      <c r="BK204" s="150"/>
      <c r="BL204" s="150"/>
      <c r="BM204" s="10">
        <v>554404</v>
      </c>
      <c r="BN204" s="45">
        <v>390000</v>
      </c>
      <c r="BO204" s="45">
        <v>685737</v>
      </c>
      <c r="BP204" s="45">
        <v>360000</v>
      </c>
      <c r="BQ204" s="29">
        <f t="shared" si="317"/>
        <v>478579</v>
      </c>
      <c r="BR204" s="24">
        <f t="shared" si="318"/>
        <v>-75825</v>
      </c>
      <c r="BS204" s="25">
        <f t="shared" si="319"/>
        <v>-0.13676849373381145</v>
      </c>
      <c r="BT204" s="308">
        <f t="shared" si="320"/>
        <v>478579</v>
      </c>
    </row>
    <row r="205" spans="1:72" ht="21.6" customHeight="1">
      <c r="A205" s="91" t="s">
        <v>18</v>
      </c>
      <c r="B205" s="358" t="s">
        <v>2397</v>
      </c>
      <c r="C205" s="50" t="s">
        <v>158</v>
      </c>
      <c r="D205" s="99" t="s">
        <v>497</v>
      </c>
      <c r="E205" s="48" t="s">
        <v>14</v>
      </c>
      <c r="F205" s="10">
        <v>140649</v>
      </c>
      <c r="G205" s="39">
        <v>182925</v>
      </c>
      <c r="H205" s="31">
        <v>237803</v>
      </c>
      <c r="I205" s="36">
        <v>159890</v>
      </c>
      <c r="J205" s="29">
        <f t="shared" si="270"/>
        <v>193539.33333333334</v>
      </c>
      <c r="K205" s="24">
        <f t="shared" si="271"/>
        <v>52890.333333333343</v>
      </c>
      <c r="L205" s="25">
        <f t="shared" si="272"/>
        <v>0.37604485871448318</v>
      </c>
      <c r="M205" s="69" t="str">
        <f t="shared" si="273"/>
        <v>REVISAR PRECIO</v>
      </c>
      <c r="N205" s="77">
        <f t="shared" si="241"/>
        <v>193539.33333333334</v>
      </c>
      <c r="O205" s="73">
        <v>33223</v>
      </c>
      <c r="P205" s="74">
        <v>126500</v>
      </c>
      <c r="Q205" s="74">
        <v>150000</v>
      </c>
      <c r="R205" s="75">
        <v>145750</v>
      </c>
      <c r="S205" s="61">
        <v>126499.99999999999</v>
      </c>
      <c r="T205" s="60">
        <v>25000</v>
      </c>
      <c r="U205" s="74">
        <v>145474.99999999997</v>
      </c>
      <c r="V205" s="76">
        <f t="shared" si="343"/>
        <v>119870.83333333333</v>
      </c>
      <c r="W205" s="24">
        <f t="shared" si="344"/>
        <v>86647.833333333328</v>
      </c>
      <c r="X205" s="25">
        <f t="shared" si="345"/>
        <v>2.6080677041005726</v>
      </c>
      <c r="Y205" s="77" t="str">
        <f t="shared" si="346"/>
        <v>REVISAR PRECIO</v>
      </c>
      <c r="Z205" s="106">
        <f t="shared" si="347"/>
        <v>119870.83333333333</v>
      </c>
      <c r="AA205" s="73">
        <v>33223</v>
      </c>
      <c r="AB205" s="88">
        <v>115000</v>
      </c>
      <c r="AC205" s="116">
        <v>115000</v>
      </c>
      <c r="AD205" s="74">
        <v>121000</v>
      </c>
      <c r="AE205" s="76">
        <f t="shared" si="348"/>
        <v>117000</v>
      </c>
      <c r="AF205" s="24">
        <f t="shared" si="349"/>
        <v>83777</v>
      </c>
      <c r="AG205" s="25">
        <f t="shared" si="350"/>
        <v>2.5216566836227914</v>
      </c>
      <c r="AH205" s="77" t="str">
        <f t="shared" si="351"/>
        <v>REVISAR PRECIO</v>
      </c>
      <c r="AI205" s="77">
        <f t="shared" si="352"/>
        <v>117000</v>
      </c>
      <c r="AJ205" s="73">
        <v>33223</v>
      </c>
      <c r="AK205" s="79">
        <v>145750</v>
      </c>
      <c r="AL205" s="79">
        <v>110000</v>
      </c>
      <c r="AM205" s="127">
        <v>132000</v>
      </c>
      <c r="AN205" s="128">
        <v>138100</v>
      </c>
      <c r="AO205" s="128">
        <v>100000</v>
      </c>
      <c r="AP205" s="133">
        <f t="shared" si="353"/>
        <v>125170</v>
      </c>
      <c r="AQ205" s="127">
        <f t="shared" si="354"/>
        <v>91947</v>
      </c>
      <c r="AR205" s="134">
        <f t="shared" si="355"/>
        <v>2.7675706588808957</v>
      </c>
      <c r="AS205" s="132">
        <f t="shared" si="356"/>
        <v>125170</v>
      </c>
      <c r="AT205" s="250"/>
      <c r="AU205" s="250"/>
      <c r="AV205" s="250"/>
      <c r="AW205" s="250"/>
      <c r="AX205" s="250"/>
      <c r="AY205" s="250"/>
      <c r="AZ205" s="250"/>
      <c r="BA205" s="250"/>
      <c r="BB205" s="250"/>
      <c r="BC205" s="251"/>
      <c r="BD205" s="150"/>
      <c r="BE205" s="150"/>
      <c r="BF205" s="150"/>
      <c r="BG205" s="150"/>
      <c r="BH205" s="150"/>
      <c r="BI205" s="150"/>
      <c r="BJ205" s="150"/>
      <c r="BK205" s="150"/>
      <c r="BL205" s="150"/>
      <c r="BM205" s="10">
        <v>33062</v>
      </c>
      <c r="BN205" s="45">
        <v>100000</v>
      </c>
      <c r="BO205" s="45">
        <v>38432</v>
      </c>
      <c r="BP205" s="45">
        <v>130000</v>
      </c>
      <c r="BQ205" s="29">
        <f t="shared" si="317"/>
        <v>89477.333333333328</v>
      </c>
      <c r="BR205" s="24">
        <f t="shared" si="318"/>
        <v>56415.333333333328</v>
      </c>
      <c r="BS205" s="25">
        <f t="shared" si="319"/>
        <v>1.7063496864476839</v>
      </c>
      <c r="BT205" s="308">
        <f t="shared" si="320"/>
        <v>89477.333333333328</v>
      </c>
    </row>
    <row r="206" spans="1:72" ht="34.35" customHeight="1">
      <c r="A206" s="91" t="s">
        <v>18</v>
      </c>
      <c r="B206" s="358" t="s">
        <v>2398</v>
      </c>
      <c r="C206" s="50" t="s">
        <v>159</v>
      </c>
      <c r="D206" s="99" t="s">
        <v>498</v>
      </c>
      <c r="E206" s="48" t="s">
        <v>14</v>
      </c>
      <c r="F206" s="10">
        <v>163246</v>
      </c>
      <c r="G206" s="38">
        <v>212315</v>
      </c>
      <c r="H206" s="31">
        <v>276009</v>
      </c>
      <c r="I206" s="36">
        <v>185578.6</v>
      </c>
      <c r="J206" s="29">
        <f t="shared" si="270"/>
        <v>224634.19999999998</v>
      </c>
      <c r="K206" s="24">
        <f t="shared" si="271"/>
        <v>61388.199999999983</v>
      </c>
      <c r="L206" s="25">
        <f t="shared" si="272"/>
        <v>0.37604719258052255</v>
      </c>
      <c r="M206" s="69" t="str">
        <f t="shared" si="273"/>
        <v>REVISAR PRECIO</v>
      </c>
      <c r="N206" s="77">
        <f t="shared" si="241"/>
        <v>224634.19999999998</v>
      </c>
      <c r="O206" s="73">
        <v>64833</v>
      </c>
      <c r="P206" s="74">
        <v>34533.0625</v>
      </c>
      <c r="Q206" s="74">
        <v>70000</v>
      </c>
      <c r="R206" s="75">
        <v>39788.09375</v>
      </c>
      <c r="S206" s="61">
        <v>34533.0625</v>
      </c>
      <c r="T206" s="60">
        <v>38000</v>
      </c>
      <c r="U206" s="74">
        <v>39713.021874999999</v>
      </c>
      <c r="V206" s="76">
        <f t="shared" si="343"/>
        <v>42761.206770833334</v>
      </c>
      <c r="W206" s="24">
        <f t="shared" si="344"/>
        <v>-22071.793229166666</v>
      </c>
      <c r="X206" s="25">
        <f t="shared" si="345"/>
        <v>-0.3404407204535756</v>
      </c>
      <c r="Y206" s="77">
        <f t="shared" si="346"/>
        <v>42761.206770833334</v>
      </c>
      <c r="Z206" s="106">
        <f t="shared" si="347"/>
        <v>42761.206770833334</v>
      </c>
      <c r="AA206" s="73">
        <v>64833</v>
      </c>
      <c r="AB206" s="88">
        <v>31200</v>
      </c>
      <c r="AC206" s="116">
        <v>31200</v>
      </c>
      <c r="AD206" s="74">
        <v>33031.625</v>
      </c>
      <c r="AE206" s="76">
        <f t="shared" si="348"/>
        <v>31810.541666666668</v>
      </c>
      <c r="AF206" s="24">
        <f t="shared" si="349"/>
        <v>-33022.458333333328</v>
      </c>
      <c r="AG206" s="25">
        <f t="shared" si="350"/>
        <v>-0.50934644908200033</v>
      </c>
      <c r="AH206" s="77">
        <f t="shared" si="351"/>
        <v>31810.541666666668</v>
      </c>
      <c r="AI206" s="77">
        <f t="shared" si="352"/>
        <v>31810.541666666668</v>
      </c>
      <c r="AJ206" s="73">
        <v>64833</v>
      </c>
      <c r="AK206" s="79">
        <v>39788.09375</v>
      </c>
      <c r="AL206" s="79">
        <f>24023*1.25</f>
        <v>30028.75</v>
      </c>
      <c r="AM206" s="127">
        <v>36034.5</v>
      </c>
      <c r="AN206" s="128">
        <v>28900</v>
      </c>
      <c r="AO206" s="128">
        <v>30000</v>
      </c>
      <c r="AP206" s="133">
        <f t="shared" si="353"/>
        <v>32950.268750000003</v>
      </c>
      <c r="AQ206" s="127">
        <f t="shared" si="354"/>
        <v>-31882.731249999997</v>
      </c>
      <c r="AR206" s="134">
        <f t="shared" si="355"/>
        <v>-0.49176702065306244</v>
      </c>
      <c r="AS206" s="132">
        <f t="shared" si="356"/>
        <v>32950.268750000003</v>
      </c>
      <c r="AT206" s="10">
        <v>64834</v>
      </c>
      <c r="AU206" s="10">
        <v>30029</v>
      </c>
      <c r="AV206" s="167">
        <v>60058</v>
      </c>
      <c r="AW206" s="168">
        <v>29650</v>
      </c>
      <c r="AX206" s="29">
        <f t="shared" ref="AX206:AX212" si="361">AVERAGE(AU206,AW206)</f>
        <v>29839.5</v>
      </c>
      <c r="AY206" s="24">
        <f t="shared" ref="AY206:AY212" si="362">AX206-AT206</f>
        <v>-34994.5</v>
      </c>
      <c r="AZ206" s="25">
        <f t="shared" ref="AZ206:AZ212" si="363">+AY206/AT206</f>
        <v>-0.5397553752660641</v>
      </c>
      <c r="BA206" s="24">
        <f t="shared" ref="BA206:BA212" si="364">AV206-AT206</f>
        <v>-4776</v>
      </c>
      <c r="BB206" s="169">
        <f t="shared" ref="BB206:BB212" si="365">+BA206/AT206</f>
        <v>-7.3665052287380073E-2</v>
      </c>
      <c r="BC206" s="170">
        <f t="shared" ref="BC206:BC212" si="366">AX206</f>
        <v>29839.5</v>
      </c>
      <c r="BD206" s="87">
        <v>58350</v>
      </c>
      <c r="BE206" s="208">
        <v>72000</v>
      </c>
      <c r="BF206" s="208">
        <v>78000</v>
      </c>
      <c r="BG206" s="275">
        <v>75000</v>
      </c>
      <c r="BH206" s="208">
        <v>150000</v>
      </c>
      <c r="BI206" s="209">
        <v>93750</v>
      </c>
      <c r="BJ206" s="210">
        <v>35400</v>
      </c>
      <c r="BK206" s="216">
        <v>0.61</v>
      </c>
      <c r="BL206" s="276">
        <v>93750</v>
      </c>
      <c r="BM206" s="10">
        <v>64833</v>
      </c>
      <c r="BN206" s="45">
        <v>45000</v>
      </c>
      <c r="BO206" s="45">
        <v>76499</v>
      </c>
      <c r="BP206" s="45">
        <v>55000</v>
      </c>
      <c r="BQ206" s="29">
        <f t="shared" si="317"/>
        <v>58833</v>
      </c>
      <c r="BR206" s="24">
        <f t="shared" si="318"/>
        <v>-6000</v>
      </c>
      <c r="BS206" s="25">
        <f t="shared" si="319"/>
        <v>-9.2545462958678451E-2</v>
      </c>
      <c r="BT206" s="308">
        <f t="shared" si="320"/>
        <v>58833</v>
      </c>
    </row>
    <row r="207" spans="1:72" ht="34.35" customHeight="1">
      <c r="A207" s="91" t="s">
        <v>18</v>
      </c>
      <c r="B207" s="358" t="s">
        <v>2399</v>
      </c>
      <c r="C207" s="50" t="s">
        <v>160</v>
      </c>
      <c r="D207" s="99" t="s">
        <v>499</v>
      </c>
      <c r="E207" s="48" t="s">
        <v>14</v>
      </c>
      <c r="F207" s="10">
        <v>176875</v>
      </c>
      <c r="G207" s="38">
        <v>230040</v>
      </c>
      <c r="H207" s="31">
        <v>299052</v>
      </c>
      <c r="I207" s="36">
        <v>201072</v>
      </c>
      <c r="J207" s="29">
        <f t="shared" si="270"/>
        <v>243388</v>
      </c>
      <c r="K207" s="24">
        <f t="shared" si="271"/>
        <v>66513</v>
      </c>
      <c r="L207" s="25">
        <f t="shared" si="272"/>
        <v>0.37604522968197879</v>
      </c>
      <c r="M207" s="69" t="str">
        <f t="shared" si="273"/>
        <v>REVISAR PRECIO</v>
      </c>
      <c r="N207" s="77">
        <f t="shared" si="241"/>
        <v>243388</v>
      </c>
      <c r="O207" s="73">
        <v>94592</v>
      </c>
      <c r="P207" s="74">
        <v>93200.140000000014</v>
      </c>
      <c r="Q207" s="74">
        <v>100000</v>
      </c>
      <c r="R207" s="75">
        <v>107382.77</v>
      </c>
      <c r="S207" s="61">
        <v>93200.14</v>
      </c>
      <c r="T207" s="60">
        <v>60000</v>
      </c>
      <c r="U207" s="74">
        <v>107180.16099999999</v>
      </c>
      <c r="V207" s="76">
        <f t="shared" si="343"/>
        <v>93493.868499999997</v>
      </c>
      <c r="W207" s="24">
        <f t="shared" si="344"/>
        <v>-1098.1315000000031</v>
      </c>
      <c r="X207" s="25">
        <f t="shared" si="345"/>
        <v>-1.1609137136332916E-2</v>
      </c>
      <c r="Y207" s="77">
        <f t="shared" si="346"/>
        <v>93493.868499999997</v>
      </c>
      <c r="Z207" s="106">
        <f t="shared" si="347"/>
        <v>93493.868499999997</v>
      </c>
      <c r="AA207" s="73">
        <v>94592</v>
      </c>
      <c r="AB207" s="88">
        <v>85000</v>
      </c>
      <c r="AC207" s="116">
        <v>85000</v>
      </c>
      <c r="AD207" s="74">
        <v>89147.96</v>
      </c>
      <c r="AE207" s="76">
        <f t="shared" si="348"/>
        <v>86382.653333333335</v>
      </c>
      <c r="AF207" s="24">
        <f t="shared" si="349"/>
        <v>-8209.3466666666645</v>
      </c>
      <c r="AG207" s="25">
        <f t="shared" si="350"/>
        <v>-8.6786902345511924E-2</v>
      </c>
      <c r="AH207" s="77">
        <f t="shared" si="351"/>
        <v>86382.653333333335</v>
      </c>
      <c r="AI207" s="77">
        <f t="shared" si="352"/>
        <v>86382.653333333335</v>
      </c>
      <c r="AJ207" s="73">
        <v>94592</v>
      </c>
      <c r="AK207" s="79">
        <v>107382.77</v>
      </c>
      <c r="AL207" s="79">
        <f>73676*1.1</f>
        <v>81043.600000000006</v>
      </c>
      <c r="AM207" s="127">
        <v>97252.32</v>
      </c>
      <c r="AN207" s="128">
        <v>85000</v>
      </c>
      <c r="AO207" s="128">
        <v>83000</v>
      </c>
      <c r="AP207" s="133">
        <f t="shared" si="353"/>
        <v>90735.737999999998</v>
      </c>
      <c r="AQ207" s="127">
        <f t="shared" si="354"/>
        <v>-3856.2620000000024</v>
      </c>
      <c r="AR207" s="134">
        <f t="shared" si="355"/>
        <v>-4.0767316474966196E-2</v>
      </c>
      <c r="AS207" s="132">
        <f t="shared" si="356"/>
        <v>90735.737999999998</v>
      </c>
      <c r="AT207" s="10">
        <v>94593</v>
      </c>
      <c r="AU207" s="10">
        <v>81044</v>
      </c>
      <c r="AV207" s="167">
        <v>162088</v>
      </c>
      <c r="AW207" s="168">
        <v>78950</v>
      </c>
      <c r="AX207" s="29">
        <f t="shared" si="361"/>
        <v>79997</v>
      </c>
      <c r="AY207" s="24">
        <f t="shared" si="362"/>
        <v>-14596</v>
      </c>
      <c r="AZ207" s="25">
        <f t="shared" si="363"/>
        <v>-0.15430317253919423</v>
      </c>
      <c r="BA207" s="24">
        <f t="shared" si="364"/>
        <v>67495</v>
      </c>
      <c r="BB207" s="169">
        <f t="shared" si="365"/>
        <v>0.71353059951582043</v>
      </c>
      <c r="BC207" s="170">
        <f t="shared" si="366"/>
        <v>79997</v>
      </c>
      <c r="BD207" s="212">
        <v>85137</v>
      </c>
      <c r="BE207" s="213">
        <v>140000</v>
      </c>
      <c r="BF207" s="213">
        <v>148000</v>
      </c>
      <c r="BG207" s="277">
        <v>145000</v>
      </c>
      <c r="BH207" s="213">
        <v>250000</v>
      </c>
      <c r="BI207" s="214">
        <v>170750</v>
      </c>
      <c r="BJ207" s="215">
        <v>85613</v>
      </c>
      <c r="BK207" s="217">
        <v>1.01</v>
      </c>
      <c r="BL207" s="278">
        <v>170750</v>
      </c>
      <c r="BM207" s="10">
        <v>94592</v>
      </c>
      <c r="BN207" s="45">
        <v>75000</v>
      </c>
      <c r="BO207" s="45">
        <v>111608</v>
      </c>
      <c r="BP207" s="45">
        <v>75000</v>
      </c>
      <c r="BQ207" s="29">
        <f t="shared" si="317"/>
        <v>87202.666666666672</v>
      </c>
      <c r="BR207" s="24">
        <f t="shared" si="318"/>
        <v>-7389.3333333333285</v>
      </c>
      <c r="BS207" s="25">
        <f t="shared" si="319"/>
        <v>-7.8117952187640907E-2</v>
      </c>
      <c r="BT207" s="308">
        <f t="shared" si="320"/>
        <v>87202.666666666672</v>
      </c>
    </row>
    <row r="208" spans="1:72" ht="34.35" customHeight="1">
      <c r="A208" s="91" t="s">
        <v>18</v>
      </c>
      <c r="B208" s="358" t="s">
        <v>2400</v>
      </c>
      <c r="C208" s="50" t="s">
        <v>161</v>
      </c>
      <c r="D208" s="99" t="s">
        <v>500</v>
      </c>
      <c r="E208" s="48" t="s">
        <v>14</v>
      </c>
      <c r="F208" s="10">
        <v>180238</v>
      </c>
      <c r="G208" s="38">
        <v>234414</v>
      </c>
      <c r="H208" s="31">
        <v>304738</v>
      </c>
      <c r="I208" s="36">
        <v>204895.2</v>
      </c>
      <c r="J208" s="29">
        <f t="shared" si="270"/>
        <v>248015.73333333331</v>
      </c>
      <c r="K208" s="24">
        <f t="shared" si="271"/>
        <v>67777.733333333308</v>
      </c>
      <c r="L208" s="25">
        <f t="shared" si="272"/>
        <v>0.3760457469198133</v>
      </c>
      <c r="M208" s="69" t="str">
        <f t="shared" si="273"/>
        <v>REVISAR PRECIO</v>
      </c>
      <c r="N208" s="77">
        <f t="shared" si="241"/>
        <v>248015.73333333331</v>
      </c>
      <c r="O208" s="73">
        <v>96386</v>
      </c>
      <c r="P208" s="74">
        <v>96341.135000000009</v>
      </c>
      <c r="Q208" s="74">
        <v>100000</v>
      </c>
      <c r="R208" s="75">
        <v>111001.74250000002</v>
      </c>
      <c r="S208" s="61">
        <v>96341.135000000009</v>
      </c>
      <c r="T208" s="60">
        <v>38000</v>
      </c>
      <c r="U208" s="74">
        <v>110792.30525</v>
      </c>
      <c r="V208" s="76">
        <f t="shared" si="343"/>
        <v>92079.386291666669</v>
      </c>
      <c r="W208" s="24">
        <f t="shared" si="344"/>
        <v>-4306.6137083333306</v>
      </c>
      <c r="X208" s="25">
        <f t="shared" si="345"/>
        <v>-4.4680904989659605E-2</v>
      </c>
      <c r="Y208" s="77">
        <f t="shared" si="346"/>
        <v>92079.386291666669</v>
      </c>
      <c r="Z208" s="106">
        <f t="shared" si="347"/>
        <v>92079.386291666669</v>
      </c>
      <c r="AA208" s="73">
        <v>96386</v>
      </c>
      <c r="AB208" s="88">
        <v>95000</v>
      </c>
      <c r="AC208" s="116">
        <v>95000</v>
      </c>
      <c r="AD208" s="74">
        <v>92152.390000000014</v>
      </c>
      <c r="AE208" s="76">
        <f t="shared" si="348"/>
        <v>94050.796666666676</v>
      </c>
      <c r="AF208" s="24">
        <f t="shared" si="349"/>
        <v>-2335.2033333333238</v>
      </c>
      <c r="AG208" s="25">
        <f t="shared" si="350"/>
        <v>-2.4227619502140599E-2</v>
      </c>
      <c r="AH208" s="77">
        <f t="shared" si="351"/>
        <v>94050.796666666676</v>
      </c>
      <c r="AI208" s="77">
        <f t="shared" si="352"/>
        <v>94050.796666666676</v>
      </c>
      <c r="AJ208" s="73">
        <v>96386</v>
      </c>
      <c r="AK208" s="79">
        <v>111001.74250000002</v>
      </c>
      <c r="AL208" s="79">
        <f>76159*1.1</f>
        <v>83774.900000000009</v>
      </c>
      <c r="AM208" s="127">
        <v>100529.88</v>
      </c>
      <c r="AN208" s="128">
        <v>82100</v>
      </c>
      <c r="AO208" s="128">
        <v>85000</v>
      </c>
      <c r="AP208" s="133">
        <f t="shared" si="353"/>
        <v>92481.304499999998</v>
      </c>
      <c r="AQ208" s="127">
        <f t="shared" si="354"/>
        <v>-3904.6955000000016</v>
      </c>
      <c r="AR208" s="134">
        <f t="shared" si="355"/>
        <v>-4.0511023385138935E-2</v>
      </c>
      <c r="AS208" s="132">
        <f t="shared" si="356"/>
        <v>92481.304499999998</v>
      </c>
      <c r="AT208" s="10">
        <v>96387</v>
      </c>
      <c r="AU208" s="10">
        <v>83775</v>
      </c>
      <c r="AV208" s="167">
        <v>251325</v>
      </c>
      <c r="AW208" s="168">
        <v>85000</v>
      </c>
      <c r="AX208" s="29">
        <f t="shared" si="361"/>
        <v>84387.5</v>
      </c>
      <c r="AY208" s="24">
        <f t="shared" si="362"/>
        <v>-11999.5</v>
      </c>
      <c r="AZ208" s="25">
        <f t="shared" si="363"/>
        <v>-0.12449292954444063</v>
      </c>
      <c r="BA208" s="24">
        <f t="shared" si="364"/>
        <v>154938</v>
      </c>
      <c r="BB208" s="169">
        <f t="shared" si="365"/>
        <v>1.6074574372062622</v>
      </c>
      <c r="BC208" s="170">
        <f t="shared" si="366"/>
        <v>84387.5</v>
      </c>
      <c r="BD208" s="212">
        <v>86752</v>
      </c>
      <c r="BE208" s="213">
        <v>72000</v>
      </c>
      <c r="BF208" s="213">
        <v>78000</v>
      </c>
      <c r="BG208" s="277">
        <v>75000</v>
      </c>
      <c r="BH208" s="213">
        <v>250000</v>
      </c>
      <c r="BI208" s="214">
        <v>118750</v>
      </c>
      <c r="BJ208" s="215">
        <v>31998</v>
      </c>
      <c r="BK208" s="211">
        <v>0.37</v>
      </c>
      <c r="BL208" s="278">
        <v>118750</v>
      </c>
      <c r="BM208" s="10">
        <v>96386</v>
      </c>
      <c r="BN208" s="45">
        <v>80000</v>
      </c>
      <c r="BO208" s="45">
        <v>113726</v>
      </c>
      <c r="BP208" s="45">
        <v>55000</v>
      </c>
      <c r="BQ208" s="29">
        <f t="shared" si="317"/>
        <v>82908.666666666672</v>
      </c>
      <c r="BR208" s="24">
        <f t="shared" si="318"/>
        <v>-13477.333333333328</v>
      </c>
      <c r="BS208" s="25">
        <f t="shared" si="319"/>
        <v>-0.13982666915665479</v>
      </c>
      <c r="BT208" s="308">
        <f t="shared" si="320"/>
        <v>82908.666666666672</v>
      </c>
    </row>
    <row r="209" spans="1:72" ht="34.35" customHeight="1">
      <c r="A209" s="91" t="s">
        <v>18</v>
      </c>
      <c r="B209" s="358" t="s">
        <v>2401</v>
      </c>
      <c r="C209" s="50" t="s">
        <v>162</v>
      </c>
      <c r="D209" s="99" t="s">
        <v>501</v>
      </c>
      <c r="E209" s="48" t="s">
        <v>14</v>
      </c>
      <c r="F209" s="10">
        <v>136206</v>
      </c>
      <c r="G209" s="38">
        <v>177147</v>
      </c>
      <c r="H209" s="31">
        <v>230291</v>
      </c>
      <c r="I209" s="36">
        <v>154839.6</v>
      </c>
      <c r="J209" s="29">
        <f t="shared" si="270"/>
        <v>187425.86666666667</v>
      </c>
      <c r="K209" s="24">
        <f t="shared" si="271"/>
        <v>51219.866666666669</v>
      </c>
      <c r="L209" s="25">
        <f t="shared" si="272"/>
        <v>0.37604706596380971</v>
      </c>
      <c r="M209" s="69" t="str">
        <f t="shared" si="273"/>
        <v>REVISAR PRECIO</v>
      </c>
      <c r="N209" s="77">
        <f t="shared" si="241"/>
        <v>187425.86666666667</v>
      </c>
      <c r="O209" s="73">
        <v>72845</v>
      </c>
      <c r="P209" s="74">
        <v>82566.55</v>
      </c>
      <c r="Q209" s="74">
        <v>100000</v>
      </c>
      <c r="R209" s="75">
        <v>95131.024999999994</v>
      </c>
      <c r="S209" s="61">
        <v>82566.549999999988</v>
      </c>
      <c r="T209" s="60">
        <v>38000</v>
      </c>
      <c r="U209" s="74">
        <v>94951.532499999972</v>
      </c>
      <c r="V209" s="76">
        <f t="shared" si="343"/>
        <v>82202.609583333324</v>
      </c>
      <c r="W209" s="24">
        <f t="shared" si="344"/>
        <v>9357.6095833333238</v>
      </c>
      <c r="X209" s="25">
        <f t="shared" si="345"/>
        <v>0.12845918845951437</v>
      </c>
      <c r="Y209" s="77">
        <f t="shared" si="346"/>
        <v>82202.609583333324</v>
      </c>
      <c r="Z209" s="106">
        <f t="shared" si="347"/>
        <v>82202.609583333324</v>
      </c>
      <c r="AA209" s="73">
        <v>72845</v>
      </c>
      <c r="AB209" s="88">
        <v>95000</v>
      </c>
      <c r="AC209" s="116">
        <v>95000</v>
      </c>
      <c r="AD209" s="74">
        <v>78976.7</v>
      </c>
      <c r="AE209" s="76">
        <f t="shared" si="348"/>
        <v>89658.900000000009</v>
      </c>
      <c r="AF209" s="24">
        <f t="shared" si="349"/>
        <v>16813.900000000009</v>
      </c>
      <c r="AG209" s="25">
        <f t="shared" si="350"/>
        <v>0.23081748918937481</v>
      </c>
      <c r="AH209" s="77">
        <f t="shared" si="351"/>
        <v>89658.900000000009</v>
      </c>
      <c r="AI209" s="77">
        <f t="shared" si="352"/>
        <v>89658.900000000009</v>
      </c>
      <c r="AJ209" s="73">
        <v>72845</v>
      </c>
      <c r="AK209" s="79">
        <v>95131.024999999994</v>
      </c>
      <c r="AL209" s="79">
        <f>65270*1.1</f>
        <v>71797</v>
      </c>
      <c r="AM209" s="127">
        <v>86156.4</v>
      </c>
      <c r="AN209" s="128">
        <v>83500</v>
      </c>
      <c r="AO209" s="128">
        <v>75000</v>
      </c>
      <c r="AP209" s="133">
        <f t="shared" si="353"/>
        <v>82316.884999999995</v>
      </c>
      <c r="AQ209" s="127">
        <f t="shared" si="354"/>
        <v>9471.8849999999948</v>
      </c>
      <c r="AR209" s="134">
        <f t="shared" si="355"/>
        <v>0.1300279360285537</v>
      </c>
      <c r="AS209" s="132">
        <f t="shared" si="356"/>
        <v>82316.884999999995</v>
      </c>
      <c r="AT209" s="10">
        <v>72846</v>
      </c>
      <c r="AU209" s="10">
        <v>71797</v>
      </c>
      <c r="AV209" s="167">
        <v>215391</v>
      </c>
      <c r="AW209" s="168">
        <v>70000</v>
      </c>
      <c r="AX209" s="29">
        <f t="shared" si="361"/>
        <v>70898.5</v>
      </c>
      <c r="AY209" s="24">
        <f t="shared" si="362"/>
        <v>-1947.5</v>
      </c>
      <c r="AZ209" s="25">
        <f t="shared" si="363"/>
        <v>-2.6734480959833072E-2</v>
      </c>
      <c r="BA209" s="24">
        <f t="shared" si="364"/>
        <v>142545</v>
      </c>
      <c r="BB209" s="169">
        <f t="shared" si="365"/>
        <v>1.9567992751832632</v>
      </c>
      <c r="BC209" s="170">
        <f t="shared" si="366"/>
        <v>70898.5</v>
      </c>
      <c r="BD209" s="212">
        <v>65555</v>
      </c>
      <c r="BE209" s="213">
        <v>72000</v>
      </c>
      <c r="BF209" s="213">
        <v>78000</v>
      </c>
      <c r="BG209" s="277">
        <v>75000</v>
      </c>
      <c r="BH209" s="213">
        <v>150000</v>
      </c>
      <c r="BI209" s="214">
        <v>93750</v>
      </c>
      <c r="BJ209" s="215">
        <v>28195</v>
      </c>
      <c r="BK209" s="216">
        <v>0.43</v>
      </c>
      <c r="BL209" s="278">
        <v>93750</v>
      </c>
      <c r="BM209" s="10">
        <v>72845</v>
      </c>
      <c r="BN209" s="45">
        <v>45000</v>
      </c>
      <c r="BO209" s="45">
        <v>85944</v>
      </c>
      <c r="BP209" s="45">
        <v>55000</v>
      </c>
      <c r="BQ209" s="29">
        <f t="shared" si="317"/>
        <v>61981.333333333336</v>
      </c>
      <c r="BR209" s="24">
        <f t="shared" si="318"/>
        <v>-10863.666666666664</v>
      </c>
      <c r="BS209" s="25">
        <f t="shared" si="319"/>
        <v>-0.14913400599446311</v>
      </c>
      <c r="BT209" s="308">
        <f t="shared" si="320"/>
        <v>61981.333333333336</v>
      </c>
    </row>
    <row r="210" spans="1:72" ht="33" customHeight="1">
      <c r="A210" s="91" t="s">
        <v>18</v>
      </c>
      <c r="B210" s="358" t="s">
        <v>2402</v>
      </c>
      <c r="C210" s="50" t="s">
        <v>163</v>
      </c>
      <c r="D210" s="99" t="s">
        <v>502</v>
      </c>
      <c r="E210" s="48" t="s">
        <v>14</v>
      </c>
      <c r="F210" s="10">
        <v>88853</v>
      </c>
      <c r="G210" s="38">
        <v>115560</v>
      </c>
      <c r="H210" s="31">
        <v>115560</v>
      </c>
      <c r="I210" s="37">
        <v>101008</v>
      </c>
      <c r="J210" s="29">
        <f t="shared" si="270"/>
        <v>110709.33333333333</v>
      </c>
      <c r="K210" s="24">
        <f t="shared" si="271"/>
        <v>21856.333333333328</v>
      </c>
      <c r="L210" s="25">
        <f t="shared" si="272"/>
        <v>0.24598306566276129</v>
      </c>
      <c r="M210" s="69">
        <f t="shared" si="273"/>
        <v>110709.33333333333</v>
      </c>
      <c r="N210" s="77">
        <f t="shared" si="241"/>
        <v>110709.33333333333</v>
      </c>
      <c r="O210" s="73">
        <v>47519</v>
      </c>
      <c r="P210" s="74">
        <v>47337.56500000001</v>
      </c>
      <c r="Q210" s="74">
        <v>70000</v>
      </c>
      <c r="R210" s="75">
        <v>54541.107500000006</v>
      </c>
      <c r="S210" s="61">
        <v>47337.565000000002</v>
      </c>
      <c r="T210" s="60">
        <v>38000</v>
      </c>
      <c r="U210" s="74">
        <v>54438.19975</v>
      </c>
      <c r="V210" s="76">
        <f t="shared" si="343"/>
        <v>51942.406208333334</v>
      </c>
      <c r="W210" s="24">
        <f t="shared" si="344"/>
        <v>4423.4062083333338</v>
      </c>
      <c r="X210" s="25">
        <f t="shared" si="345"/>
        <v>9.3087106385515983E-2</v>
      </c>
      <c r="Y210" s="77">
        <f t="shared" si="346"/>
        <v>51942.406208333334</v>
      </c>
      <c r="Z210" s="106">
        <f t="shared" si="347"/>
        <v>51942.406208333334</v>
      </c>
      <c r="AA210" s="73">
        <v>47519</v>
      </c>
      <c r="AB210" s="88">
        <v>50000</v>
      </c>
      <c r="AC210" s="116">
        <v>50000</v>
      </c>
      <c r="AD210" s="74">
        <v>45279.41</v>
      </c>
      <c r="AE210" s="76">
        <f t="shared" si="348"/>
        <v>48426.47</v>
      </c>
      <c r="AF210" s="24">
        <f t="shared" si="349"/>
        <v>907.47000000000116</v>
      </c>
      <c r="AG210" s="25">
        <f t="shared" si="350"/>
        <v>1.909699278183466E-2</v>
      </c>
      <c r="AH210" s="77">
        <f t="shared" si="351"/>
        <v>48426.47</v>
      </c>
      <c r="AI210" s="77">
        <f t="shared" si="352"/>
        <v>48426.47</v>
      </c>
      <c r="AJ210" s="73">
        <v>47519</v>
      </c>
      <c r="AK210" s="79">
        <v>54541.107500000006</v>
      </c>
      <c r="AL210" s="79">
        <f>37421*1.1</f>
        <v>41163.100000000006</v>
      </c>
      <c r="AM210" s="127">
        <v>49395.720000000008</v>
      </c>
      <c r="AN210" s="128">
        <v>38900</v>
      </c>
      <c r="AO210" s="128">
        <v>42000</v>
      </c>
      <c r="AP210" s="133">
        <f t="shared" si="353"/>
        <v>45199.985500000003</v>
      </c>
      <c r="AQ210" s="127">
        <f t="shared" si="354"/>
        <v>-2319.0144999999975</v>
      </c>
      <c r="AR210" s="134">
        <f t="shared" si="355"/>
        <v>-4.8801837159872838E-2</v>
      </c>
      <c r="AS210" s="132">
        <f t="shared" si="356"/>
        <v>45199.985500000003</v>
      </c>
      <c r="AT210" s="10">
        <v>47520</v>
      </c>
      <c r="AU210" s="10">
        <v>41163</v>
      </c>
      <c r="AV210" s="167">
        <v>123489</v>
      </c>
      <c r="AW210" s="168">
        <v>38950</v>
      </c>
      <c r="AX210" s="29">
        <f t="shared" si="361"/>
        <v>40056.5</v>
      </c>
      <c r="AY210" s="24">
        <f t="shared" si="362"/>
        <v>-7463.5</v>
      </c>
      <c r="AZ210" s="25">
        <f t="shared" si="363"/>
        <v>-0.15706018518518519</v>
      </c>
      <c r="BA210" s="24">
        <f t="shared" si="364"/>
        <v>75969</v>
      </c>
      <c r="BB210" s="169">
        <f t="shared" si="365"/>
        <v>1.5986742424242424</v>
      </c>
      <c r="BC210" s="170">
        <f t="shared" si="366"/>
        <v>40056.5</v>
      </c>
      <c r="BD210" s="212">
        <v>42764</v>
      </c>
      <c r="BE210" s="213">
        <v>72000</v>
      </c>
      <c r="BF210" s="213">
        <v>78000</v>
      </c>
      <c r="BG210" s="277">
        <v>75000</v>
      </c>
      <c r="BH210" s="213">
        <v>250000</v>
      </c>
      <c r="BI210" s="214">
        <v>118750</v>
      </c>
      <c r="BJ210" s="215">
        <v>75986</v>
      </c>
      <c r="BK210" s="217">
        <v>1.78</v>
      </c>
      <c r="BL210" s="278">
        <v>118750</v>
      </c>
      <c r="BM210" s="10">
        <v>47519</v>
      </c>
      <c r="BN210" s="45">
        <v>45000</v>
      </c>
      <c r="BO210" s="45">
        <v>56062</v>
      </c>
      <c r="BP210" s="45">
        <v>55000</v>
      </c>
      <c r="BQ210" s="29">
        <f t="shared" si="317"/>
        <v>52020.666666666664</v>
      </c>
      <c r="BR210" s="24">
        <f t="shared" si="318"/>
        <v>4501.6666666666642</v>
      </c>
      <c r="BS210" s="25">
        <f t="shared" si="319"/>
        <v>9.4734036210077324E-2</v>
      </c>
      <c r="BT210" s="308">
        <f t="shared" si="320"/>
        <v>52020.666666666664</v>
      </c>
    </row>
    <row r="211" spans="1:72" ht="32.1" customHeight="1">
      <c r="A211" s="91" t="s">
        <v>18</v>
      </c>
      <c r="B211" s="358" t="s">
        <v>2403</v>
      </c>
      <c r="C211" s="50" t="s">
        <v>164</v>
      </c>
      <c r="D211" s="99" t="s">
        <v>503</v>
      </c>
      <c r="E211" s="48" t="s">
        <v>14</v>
      </c>
      <c r="F211" s="10">
        <v>132158</v>
      </c>
      <c r="G211" s="38">
        <v>171882</v>
      </c>
      <c r="H211" s="31">
        <v>223447</v>
      </c>
      <c r="I211" s="37">
        <v>150237.6</v>
      </c>
      <c r="J211" s="29">
        <f t="shared" si="270"/>
        <v>181855.53333333333</v>
      </c>
      <c r="K211" s="24">
        <f t="shared" si="271"/>
        <v>49697.533333333326</v>
      </c>
      <c r="L211" s="25">
        <f t="shared" si="272"/>
        <v>0.37604634856257907</v>
      </c>
      <c r="M211" s="69" t="str">
        <f t="shared" si="273"/>
        <v>REVISAR PRECIO</v>
      </c>
      <c r="N211" s="77">
        <f t="shared" si="241"/>
        <v>181855.53333333333</v>
      </c>
      <c r="O211" s="73">
        <v>70671</v>
      </c>
      <c r="P211" s="74">
        <v>68942.5</v>
      </c>
      <c r="Q211" s="74">
        <v>70000</v>
      </c>
      <c r="R211" s="75">
        <v>79433.75</v>
      </c>
      <c r="S211" s="61">
        <v>68942.5</v>
      </c>
      <c r="T211" s="60">
        <v>38000</v>
      </c>
      <c r="U211" s="74">
        <v>79283.875</v>
      </c>
      <c r="V211" s="76">
        <f t="shared" si="343"/>
        <v>67433.770833333328</v>
      </c>
      <c r="W211" s="24">
        <f t="shared" si="344"/>
        <v>-3237.2291666666715</v>
      </c>
      <c r="X211" s="25">
        <f t="shared" si="345"/>
        <v>-4.5807037775985507E-2</v>
      </c>
      <c r="Y211" s="77">
        <f t="shared" si="346"/>
        <v>67433.770833333328</v>
      </c>
      <c r="Z211" s="106">
        <f t="shared" si="347"/>
        <v>67433.770833333328</v>
      </c>
      <c r="AA211" s="73">
        <v>70671</v>
      </c>
      <c r="AB211" s="88">
        <v>70000</v>
      </c>
      <c r="AC211" s="116">
        <v>70000</v>
      </c>
      <c r="AD211" s="74">
        <v>65945.000000000015</v>
      </c>
      <c r="AE211" s="76">
        <f t="shared" si="348"/>
        <v>68648.333333333328</v>
      </c>
      <c r="AF211" s="24">
        <f t="shared" si="349"/>
        <v>-2022.6666666666715</v>
      </c>
      <c r="AG211" s="25">
        <f t="shared" si="350"/>
        <v>-2.8620886455075937E-2</v>
      </c>
      <c r="AH211" s="77">
        <f t="shared" si="351"/>
        <v>68648.333333333328</v>
      </c>
      <c r="AI211" s="77">
        <f t="shared" si="352"/>
        <v>68648.333333333328</v>
      </c>
      <c r="AJ211" s="73">
        <v>70671</v>
      </c>
      <c r="AK211" s="79">
        <v>79433.75</v>
      </c>
      <c r="AL211" s="79">
        <f>54500*1.1</f>
        <v>59950.000000000007</v>
      </c>
      <c r="AM211" s="127">
        <v>71940.000000000015</v>
      </c>
      <c r="AN211" s="128">
        <v>55500</v>
      </c>
      <c r="AO211" s="128">
        <v>60000</v>
      </c>
      <c r="AP211" s="133">
        <f t="shared" si="353"/>
        <v>65364.75</v>
      </c>
      <c r="AQ211" s="127">
        <f t="shared" si="354"/>
        <v>-5306.25</v>
      </c>
      <c r="AR211" s="134">
        <f t="shared" si="355"/>
        <v>-7.5083839198539712E-2</v>
      </c>
      <c r="AS211" s="132">
        <f t="shared" si="356"/>
        <v>65364.75</v>
      </c>
      <c r="AT211" s="10">
        <v>70672</v>
      </c>
      <c r="AU211" s="10">
        <v>59950</v>
      </c>
      <c r="AV211" s="167">
        <v>239800</v>
      </c>
      <c r="AW211" s="168">
        <v>60050</v>
      </c>
      <c r="AX211" s="29">
        <f t="shared" si="361"/>
        <v>60000</v>
      </c>
      <c r="AY211" s="24">
        <f t="shared" si="362"/>
        <v>-10672</v>
      </c>
      <c r="AZ211" s="25">
        <f t="shared" si="363"/>
        <v>-0.15100747113425403</v>
      </c>
      <c r="BA211" s="24">
        <f t="shared" si="364"/>
        <v>169128</v>
      </c>
      <c r="BB211" s="169">
        <f t="shared" si="365"/>
        <v>2.3931401403667647</v>
      </c>
      <c r="BC211" s="170">
        <f t="shared" si="366"/>
        <v>60000</v>
      </c>
      <c r="BD211" s="212">
        <v>63609</v>
      </c>
      <c r="BE211" s="213">
        <v>72000</v>
      </c>
      <c r="BF211" s="213">
        <v>78000</v>
      </c>
      <c r="BG211" s="277">
        <v>75000</v>
      </c>
      <c r="BH211" s="213">
        <v>250000</v>
      </c>
      <c r="BI211" s="214">
        <v>118750</v>
      </c>
      <c r="BJ211" s="215">
        <v>55141</v>
      </c>
      <c r="BK211" s="218">
        <v>0.87</v>
      </c>
      <c r="BL211" s="278">
        <v>118750</v>
      </c>
      <c r="BM211" s="10">
        <v>70671</v>
      </c>
      <c r="BN211" s="45">
        <v>45000</v>
      </c>
      <c r="BO211" s="45">
        <v>83388</v>
      </c>
      <c r="BP211" s="45">
        <v>55000</v>
      </c>
      <c r="BQ211" s="29">
        <f t="shared" si="317"/>
        <v>61129.333333333336</v>
      </c>
      <c r="BR211" s="24">
        <f t="shared" si="318"/>
        <v>-9541.6666666666642</v>
      </c>
      <c r="BS211" s="25">
        <f t="shared" si="319"/>
        <v>-0.1350153056652186</v>
      </c>
      <c r="BT211" s="308">
        <f t="shared" si="320"/>
        <v>61129.333333333336</v>
      </c>
    </row>
    <row r="212" spans="1:72" ht="32.450000000000003" customHeight="1">
      <c r="A212" s="91" t="s">
        <v>18</v>
      </c>
      <c r="B212" s="358" t="s">
        <v>2404</v>
      </c>
      <c r="C212" s="50" t="s">
        <v>165</v>
      </c>
      <c r="D212" s="99" t="s">
        <v>504</v>
      </c>
      <c r="E212" s="48" t="s">
        <v>10</v>
      </c>
      <c r="F212" s="10">
        <v>66598</v>
      </c>
      <c r="G212" s="38">
        <v>86616</v>
      </c>
      <c r="H212" s="31">
        <v>112601</v>
      </c>
      <c r="I212" s="37">
        <v>75708.800000000003</v>
      </c>
      <c r="J212" s="29">
        <f t="shared" si="270"/>
        <v>91641.933333333334</v>
      </c>
      <c r="K212" s="24">
        <f t="shared" si="271"/>
        <v>25043.933333333334</v>
      </c>
      <c r="L212" s="25">
        <f t="shared" si="272"/>
        <v>0.37604632771754909</v>
      </c>
      <c r="M212" s="69" t="str">
        <f t="shared" si="273"/>
        <v>REVISAR PRECIO</v>
      </c>
      <c r="N212" s="77">
        <f t="shared" si="241"/>
        <v>91641.933333333334</v>
      </c>
      <c r="O212" s="73">
        <v>35615</v>
      </c>
      <c r="P212" s="74">
        <v>103500</v>
      </c>
      <c r="Q212" s="74">
        <v>140000</v>
      </c>
      <c r="R212" s="75">
        <v>119250</v>
      </c>
      <c r="S212" s="61">
        <v>103499.99999999999</v>
      </c>
      <c r="T212" s="60">
        <v>70000</v>
      </c>
      <c r="U212" s="74">
        <v>119024.99999999997</v>
      </c>
      <c r="V212" s="76">
        <f t="shared" si="343"/>
        <v>109212.5</v>
      </c>
      <c r="W212" s="24">
        <f t="shared" si="344"/>
        <v>73597.5</v>
      </c>
      <c r="X212" s="25">
        <f t="shared" si="345"/>
        <v>2.066474799943844</v>
      </c>
      <c r="Y212" s="77" t="str">
        <f t="shared" si="346"/>
        <v>REVISAR PRECIO</v>
      </c>
      <c r="Z212" s="106">
        <f t="shared" si="347"/>
        <v>109212.5</v>
      </c>
      <c r="AA212" s="73">
        <v>35615</v>
      </c>
      <c r="AB212" s="88">
        <v>110000</v>
      </c>
      <c r="AC212" s="116">
        <v>110000</v>
      </c>
      <c r="AD212" s="74">
        <v>99000</v>
      </c>
      <c r="AE212" s="76">
        <f t="shared" si="348"/>
        <v>106333.33333333333</v>
      </c>
      <c r="AF212" s="24">
        <f t="shared" si="349"/>
        <v>70718.333333333328</v>
      </c>
      <c r="AG212" s="25">
        <f t="shared" si="350"/>
        <v>1.9856333941691233</v>
      </c>
      <c r="AH212" s="77" t="str">
        <f t="shared" si="351"/>
        <v>REVISAR PRECIO</v>
      </c>
      <c r="AI212" s="77">
        <f t="shared" si="352"/>
        <v>106333.33333333333</v>
      </c>
      <c r="AJ212" s="73">
        <v>35615</v>
      </c>
      <c r="AK212" s="79">
        <v>119250</v>
      </c>
      <c r="AL212" s="79">
        <v>90000</v>
      </c>
      <c r="AM212" s="127">
        <v>108000</v>
      </c>
      <c r="AN212" s="128">
        <v>100200</v>
      </c>
      <c r="AO212" s="128">
        <v>95000</v>
      </c>
      <c r="AP212" s="133">
        <f t="shared" si="353"/>
        <v>102490</v>
      </c>
      <c r="AQ212" s="127">
        <f t="shared" si="354"/>
        <v>66875</v>
      </c>
      <c r="AR212" s="134">
        <f t="shared" si="355"/>
        <v>1.8777200617717253</v>
      </c>
      <c r="AS212" s="132">
        <f t="shared" si="356"/>
        <v>102490</v>
      </c>
      <c r="AT212" s="10">
        <v>35617</v>
      </c>
      <c r="AU212" s="10">
        <v>90000</v>
      </c>
      <c r="AV212" s="167">
        <v>180000</v>
      </c>
      <c r="AW212" s="168">
        <v>82560</v>
      </c>
      <c r="AX212" s="29">
        <f t="shared" si="361"/>
        <v>86280</v>
      </c>
      <c r="AY212" s="24">
        <f t="shared" si="362"/>
        <v>50663</v>
      </c>
      <c r="AZ212" s="25">
        <f t="shared" si="363"/>
        <v>1.4224387230816744</v>
      </c>
      <c r="BA212" s="24">
        <f t="shared" si="364"/>
        <v>144383</v>
      </c>
      <c r="BB212" s="169">
        <f t="shared" si="365"/>
        <v>4.053766459836595</v>
      </c>
      <c r="BC212" s="170">
        <f t="shared" si="366"/>
        <v>86280</v>
      </c>
      <c r="BD212" s="212">
        <v>32056</v>
      </c>
      <c r="BE212" s="213">
        <v>190000</v>
      </c>
      <c r="BF212" s="213">
        <v>205000</v>
      </c>
      <c r="BG212" s="277">
        <v>200000</v>
      </c>
      <c r="BH212" s="213">
        <v>200000</v>
      </c>
      <c r="BI212" s="214">
        <v>198750</v>
      </c>
      <c r="BJ212" s="215">
        <v>166694</v>
      </c>
      <c r="BK212" s="217">
        <v>5.2</v>
      </c>
      <c r="BL212" s="278">
        <v>198750</v>
      </c>
      <c r="BM212" s="10">
        <v>35615</v>
      </c>
      <c r="BN212" s="45">
        <v>90000</v>
      </c>
      <c r="BO212" s="45">
        <v>42020</v>
      </c>
      <c r="BP212" s="45">
        <v>85000</v>
      </c>
      <c r="BQ212" s="29">
        <f t="shared" si="317"/>
        <v>72340</v>
      </c>
      <c r="BR212" s="24">
        <f t="shared" si="318"/>
        <v>36725</v>
      </c>
      <c r="BS212" s="25">
        <f t="shared" si="319"/>
        <v>1.0311666432682858</v>
      </c>
      <c r="BT212" s="308">
        <f t="shared" si="320"/>
        <v>72340</v>
      </c>
    </row>
    <row r="213" spans="1:72" ht="18.600000000000001" customHeight="1">
      <c r="A213" s="91" t="s">
        <v>18</v>
      </c>
      <c r="B213" s="358" t="s">
        <v>2405</v>
      </c>
      <c r="C213" s="50" t="s">
        <v>166</v>
      </c>
      <c r="D213" s="99" t="s">
        <v>505</v>
      </c>
      <c r="E213" s="48" t="s">
        <v>740</v>
      </c>
      <c r="F213" s="10">
        <v>65083</v>
      </c>
      <c r="G213" s="39">
        <v>84645</v>
      </c>
      <c r="H213" s="31">
        <v>110039</v>
      </c>
      <c r="I213" s="37">
        <v>73986</v>
      </c>
      <c r="J213" s="29">
        <f t="shared" si="270"/>
        <v>89556.666666666672</v>
      </c>
      <c r="K213" s="24">
        <f t="shared" si="271"/>
        <v>24473.666666666672</v>
      </c>
      <c r="L213" s="25">
        <f t="shared" si="272"/>
        <v>0.37603777740218908</v>
      </c>
      <c r="M213" s="69" t="str">
        <f t="shared" si="273"/>
        <v>REVISAR PRECIO</v>
      </c>
      <c r="N213" s="77">
        <f t="shared" si="241"/>
        <v>89556.666666666672</v>
      </c>
      <c r="O213" s="73">
        <v>54106</v>
      </c>
      <c r="P213" s="74">
        <v>23000</v>
      </c>
      <c r="Q213" s="74">
        <v>60000</v>
      </c>
      <c r="R213" s="75">
        <v>26500</v>
      </c>
      <c r="S213" s="61">
        <v>62099.999999999993</v>
      </c>
      <c r="T213" s="60"/>
      <c r="U213" s="74">
        <v>71414.999999999985</v>
      </c>
      <c r="V213" s="76">
        <f t="shared" si="343"/>
        <v>48603</v>
      </c>
      <c r="W213" s="24">
        <f t="shared" si="344"/>
        <v>-5503</v>
      </c>
      <c r="X213" s="25">
        <f t="shared" si="345"/>
        <v>-0.10170775884375116</v>
      </c>
      <c r="Y213" s="77">
        <f t="shared" si="346"/>
        <v>48603</v>
      </c>
      <c r="Z213" s="106">
        <f t="shared" si="347"/>
        <v>48603</v>
      </c>
      <c r="AA213" s="73">
        <v>54106</v>
      </c>
      <c r="AB213" s="88">
        <v>25000</v>
      </c>
      <c r="AC213" s="116">
        <v>25000</v>
      </c>
      <c r="AD213" s="74">
        <v>22000</v>
      </c>
      <c r="AE213" s="76">
        <f t="shared" si="348"/>
        <v>24000</v>
      </c>
      <c r="AF213" s="24">
        <f t="shared" si="349"/>
        <v>-30106</v>
      </c>
      <c r="AG213" s="25">
        <f t="shared" si="350"/>
        <v>-0.5564262743503493</v>
      </c>
      <c r="AH213" s="77">
        <f t="shared" si="351"/>
        <v>24000</v>
      </c>
      <c r="AI213" s="77">
        <f t="shared" si="352"/>
        <v>24000</v>
      </c>
      <c r="AJ213" s="73">
        <v>54106</v>
      </c>
      <c r="AK213" s="79">
        <v>26500</v>
      </c>
      <c r="AL213" s="79">
        <v>20000</v>
      </c>
      <c r="AM213" s="127">
        <v>24000</v>
      </c>
      <c r="AN213" s="142">
        <v>19100</v>
      </c>
      <c r="AO213" s="142">
        <v>20000</v>
      </c>
      <c r="AP213" s="29">
        <f t="shared" si="353"/>
        <v>21920</v>
      </c>
      <c r="AQ213" s="24">
        <f t="shared" si="354"/>
        <v>-32186</v>
      </c>
      <c r="AR213" s="25">
        <f t="shared" si="355"/>
        <v>-0.59486933057331903</v>
      </c>
      <c r="AS213" s="146">
        <f t="shared" si="356"/>
        <v>21920</v>
      </c>
      <c r="AT213" s="250"/>
      <c r="AU213" s="250"/>
      <c r="AV213" s="250"/>
      <c r="AW213" s="250"/>
      <c r="AX213" s="250"/>
      <c r="AY213" s="250"/>
      <c r="AZ213" s="250"/>
      <c r="BA213" s="250"/>
      <c r="BB213" s="250"/>
      <c r="BC213" s="251"/>
      <c r="BD213" s="150"/>
      <c r="BE213" s="150"/>
      <c r="BF213" s="150"/>
      <c r="BG213" s="150"/>
      <c r="BH213" s="150"/>
      <c r="BI213" s="150"/>
      <c r="BJ213" s="150"/>
      <c r="BK213" s="150"/>
      <c r="BL213" s="150"/>
      <c r="BM213" s="293"/>
      <c r="BN213" s="293"/>
      <c r="BO213" s="293"/>
      <c r="BP213" s="293"/>
      <c r="BQ213" s="293"/>
      <c r="BR213" s="293"/>
      <c r="BS213" s="293"/>
      <c r="BT213" s="293"/>
    </row>
    <row r="214" spans="1:72" ht="32.450000000000003" customHeight="1">
      <c r="A214" s="91" t="s">
        <v>18</v>
      </c>
      <c r="B214" s="358" t="s">
        <v>2406</v>
      </c>
      <c r="C214" s="50" t="s">
        <v>167</v>
      </c>
      <c r="D214" s="99" t="s">
        <v>506</v>
      </c>
      <c r="E214" s="48" t="s">
        <v>740</v>
      </c>
      <c r="F214" s="10">
        <v>125598</v>
      </c>
      <c r="G214" s="38">
        <v>163350</v>
      </c>
      <c r="H214" s="31">
        <v>212355</v>
      </c>
      <c r="I214" s="37">
        <v>142780</v>
      </c>
      <c r="J214" s="29">
        <f t="shared" si="270"/>
        <v>172828.33333333334</v>
      </c>
      <c r="K214" s="24">
        <f t="shared" si="271"/>
        <v>47230.333333333343</v>
      </c>
      <c r="L214" s="25">
        <f t="shared" si="272"/>
        <v>0.37604367373153508</v>
      </c>
      <c r="M214" s="69" t="str">
        <f t="shared" si="273"/>
        <v>REVISAR PRECIO</v>
      </c>
      <c r="N214" s="77">
        <f t="shared" si="241"/>
        <v>172828.33333333334</v>
      </c>
      <c r="O214" s="73">
        <v>104416</v>
      </c>
      <c r="P214" s="74">
        <v>184000</v>
      </c>
      <c r="Q214" s="74">
        <v>230000</v>
      </c>
      <c r="R214" s="75">
        <v>212000</v>
      </c>
      <c r="S214" s="61">
        <v>184000</v>
      </c>
      <c r="T214" s="60"/>
      <c r="U214" s="74">
        <v>211599.99999999997</v>
      </c>
      <c r="V214" s="76">
        <f t="shared" si="343"/>
        <v>204320</v>
      </c>
      <c r="W214" s="24">
        <f t="shared" si="344"/>
        <v>99904</v>
      </c>
      <c r="X214" s="25">
        <f t="shared" si="345"/>
        <v>0.95678823168863014</v>
      </c>
      <c r="Y214" s="77" t="str">
        <f t="shared" si="346"/>
        <v>REVISAR PRECIO</v>
      </c>
      <c r="Z214" s="106">
        <f t="shared" si="347"/>
        <v>204320</v>
      </c>
      <c r="AA214" s="73">
        <v>104416</v>
      </c>
      <c r="AB214" s="88">
        <v>180000</v>
      </c>
      <c r="AC214" s="116">
        <v>180000</v>
      </c>
      <c r="AD214" s="74">
        <v>176000</v>
      </c>
      <c r="AE214" s="76">
        <f t="shared" si="348"/>
        <v>178666.66666666666</v>
      </c>
      <c r="AF214" s="24">
        <f t="shared" si="349"/>
        <v>74250.666666666657</v>
      </c>
      <c r="AG214" s="25">
        <f t="shared" si="350"/>
        <v>0.71110430074573494</v>
      </c>
      <c r="AH214" s="77" t="str">
        <f t="shared" si="351"/>
        <v>REVISAR PRECIO</v>
      </c>
      <c r="AI214" s="77">
        <f t="shared" si="352"/>
        <v>178666.66666666666</v>
      </c>
      <c r="AJ214" s="73">
        <v>104416</v>
      </c>
      <c r="AK214" s="79">
        <v>212000</v>
      </c>
      <c r="AL214" s="79">
        <v>160000</v>
      </c>
      <c r="AM214" s="127">
        <v>192000</v>
      </c>
      <c r="AN214" s="142">
        <v>198300</v>
      </c>
      <c r="AO214" s="142">
        <v>160000</v>
      </c>
      <c r="AP214" s="29">
        <f t="shared" si="353"/>
        <v>184460</v>
      </c>
      <c r="AQ214" s="24">
        <f t="shared" si="354"/>
        <v>80044</v>
      </c>
      <c r="AR214" s="25">
        <f t="shared" si="355"/>
        <v>0.76658749616916944</v>
      </c>
      <c r="AS214" s="146">
        <f t="shared" si="356"/>
        <v>184460</v>
      </c>
      <c r="AT214" s="250"/>
      <c r="AU214" s="250"/>
      <c r="AV214" s="250"/>
      <c r="AW214" s="250"/>
      <c r="AX214" s="250"/>
      <c r="AY214" s="250"/>
      <c r="AZ214" s="250"/>
      <c r="BA214" s="250"/>
      <c r="BB214" s="250"/>
      <c r="BC214" s="251"/>
      <c r="BD214" s="150"/>
      <c r="BE214" s="150"/>
      <c r="BF214" s="150"/>
      <c r="BG214" s="150"/>
      <c r="BH214" s="150"/>
      <c r="BI214" s="150"/>
      <c r="BJ214" s="150"/>
      <c r="BK214" s="150"/>
      <c r="BL214" s="150"/>
      <c r="BM214" s="293"/>
      <c r="BN214" s="293"/>
      <c r="BO214" s="293"/>
      <c r="BP214" s="293"/>
      <c r="BQ214" s="293"/>
      <c r="BR214" s="293"/>
      <c r="BS214" s="293"/>
      <c r="BT214" s="293"/>
    </row>
    <row r="215" spans="1:72" ht="32.450000000000003" customHeight="1">
      <c r="A215" s="91" t="s">
        <v>18</v>
      </c>
      <c r="B215" s="358" t="s">
        <v>2407</v>
      </c>
      <c r="C215" s="50" t="s">
        <v>168</v>
      </c>
      <c r="D215" s="99" t="s">
        <v>507</v>
      </c>
      <c r="E215" s="48" t="s">
        <v>740</v>
      </c>
      <c r="F215" s="10">
        <v>159852</v>
      </c>
      <c r="G215" s="38">
        <v>207900</v>
      </c>
      <c r="H215" s="33">
        <v>270270</v>
      </c>
      <c r="I215" s="40">
        <v>181720</v>
      </c>
      <c r="J215" s="29">
        <f t="shared" si="270"/>
        <v>219963.33333333334</v>
      </c>
      <c r="K215" s="24">
        <f t="shared" si="271"/>
        <v>60111.333333333343</v>
      </c>
      <c r="L215" s="25">
        <f t="shared" si="272"/>
        <v>0.37604367373153508</v>
      </c>
      <c r="M215" s="69" t="str">
        <f t="shared" si="273"/>
        <v>REVISAR PRECIO</v>
      </c>
      <c r="N215" s="77">
        <f t="shared" si="241"/>
        <v>219963.33333333334</v>
      </c>
      <c r="O215" s="73">
        <v>123401</v>
      </c>
      <c r="P215" s="74">
        <v>97750</v>
      </c>
      <c r="Q215" s="74">
        <v>160000</v>
      </c>
      <c r="R215" s="75">
        <v>112625</v>
      </c>
      <c r="S215" s="61">
        <v>97749.999999999985</v>
      </c>
      <c r="T215" s="60"/>
      <c r="U215" s="74">
        <v>112412.49999999997</v>
      </c>
      <c r="V215" s="76">
        <f t="shared" si="343"/>
        <v>116107.5</v>
      </c>
      <c r="W215" s="24">
        <f t="shared" si="344"/>
        <v>-7293.5</v>
      </c>
      <c r="X215" s="25">
        <f t="shared" si="345"/>
        <v>-5.9104059124318278E-2</v>
      </c>
      <c r="Y215" s="77">
        <f t="shared" si="346"/>
        <v>116107.5</v>
      </c>
      <c r="Z215" s="106">
        <f t="shared" si="347"/>
        <v>116107.5</v>
      </c>
      <c r="AA215" s="73">
        <v>123401</v>
      </c>
      <c r="AB215" s="88">
        <v>90000</v>
      </c>
      <c r="AC215" s="116">
        <v>90000</v>
      </c>
      <c r="AD215" s="74">
        <v>93500</v>
      </c>
      <c r="AE215" s="76">
        <f t="shared" si="348"/>
        <v>91166.666666666672</v>
      </c>
      <c r="AF215" s="24">
        <f t="shared" si="349"/>
        <v>-32234.333333333328</v>
      </c>
      <c r="AG215" s="25">
        <f t="shared" si="350"/>
        <v>-0.26121614357528161</v>
      </c>
      <c r="AH215" s="77">
        <f t="shared" si="351"/>
        <v>91166.666666666672</v>
      </c>
      <c r="AI215" s="77">
        <f t="shared" si="352"/>
        <v>91166.666666666672</v>
      </c>
      <c r="AJ215" s="73">
        <v>123401</v>
      </c>
      <c r="AK215" s="79">
        <v>112625</v>
      </c>
      <c r="AL215" s="79">
        <v>85000</v>
      </c>
      <c r="AM215" s="127">
        <v>102000</v>
      </c>
      <c r="AN215" s="142">
        <v>99800</v>
      </c>
      <c r="AO215" s="142">
        <v>85000</v>
      </c>
      <c r="AP215" s="29">
        <f t="shared" si="353"/>
        <v>96885</v>
      </c>
      <c r="AQ215" s="24">
        <f t="shared" si="354"/>
        <v>-26516</v>
      </c>
      <c r="AR215" s="25">
        <f t="shared" si="355"/>
        <v>-0.21487670278198717</v>
      </c>
      <c r="AS215" s="146">
        <f t="shared" si="356"/>
        <v>96885</v>
      </c>
      <c r="AT215" s="250"/>
      <c r="AU215" s="250"/>
      <c r="AV215" s="250"/>
      <c r="AW215" s="250"/>
      <c r="AX215" s="250"/>
      <c r="AY215" s="250"/>
      <c r="AZ215" s="250"/>
      <c r="BA215" s="250"/>
      <c r="BB215" s="250"/>
      <c r="BC215" s="251"/>
      <c r="BD215" s="150"/>
      <c r="BE215" s="150"/>
      <c r="BF215" s="150"/>
      <c r="BG215" s="150"/>
      <c r="BH215" s="150"/>
      <c r="BI215" s="150"/>
      <c r="BJ215" s="150"/>
      <c r="BK215" s="150"/>
      <c r="BL215" s="150"/>
      <c r="BM215" s="293"/>
      <c r="BN215" s="293"/>
      <c r="BO215" s="293"/>
      <c r="BP215" s="293"/>
      <c r="BQ215" s="293"/>
      <c r="BR215" s="293"/>
      <c r="BS215" s="293"/>
      <c r="BT215" s="293"/>
    </row>
    <row r="216" spans="1:72" ht="32.450000000000003" customHeight="1">
      <c r="A216" s="91" t="s">
        <v>18</v>
      </c>
      <c r="B216" s="358" t="s">
        <v>2408</v>
      </c>
      <c r="C216" s="50" t="s">
        <v>169</v>
      </c>
      <c r="D216" s="99" t="s">
        <v>508</v>
      </c>
      <c r="E216" s="48" t="s">
        <v>741</v>
      </c>
      <c r="F216" s="10">
        <v>145735</v>
      </c>
      <c r="G216" s="39">
        <v>189540</v>
      </c>
      <c r="H216" s="33">
        <v>246402</v>
      </c>
      <c r="I216" s="40">
        <v>165672</v>
      </c>
      <c r="J216" s="29">
        <f t="shared" si="270"/>
        <v>200538</v>
      </c>
      <c r="K216" s="24">
        <f t="shared" si="271"/>
        <v>54803</v>
      </c>
      <c r="L216" s="25">
        <f t="shared" si="272"/>
        <v>0.37604556215047863</v>
      </c>
      <c r="M216" s="69" t="str">
        <f t="shared" si="273"/>
        <v>REVISAR PRECIO</v>
      </c>
      <c r="N216" s="77">
        <f t="shared" si="241"/>
        <v>200538</v>
      </c>
      <c r="O216" s="73">
        <v>123401</v>
      </c>
      <c r="P216" s="74">
        <v>120750</v>
      </c>
      <c r="Q216" s="74">
        <v>210000</v>
      </c>
      <c r="R216" s="75">
        <v>139125</v>
      </c>
      <c r="S216" s="61">
        <v>120749.99999999999</v>
      </c>
      <c r="T216" s="60"/>
      <c r="U216" s="74">
        <v>138862.49999999997</v>
      </c>
      <c r="V216" s="76">
        <f t="shared" si="343"/>
        <v>145897.5</v>
      </c>
      <c r="W216" s="24">
        <f t="shared" si="344"/>
        <v>22496.5</v>
      </c>
      <c r="X216" s="25">
        <f t="shared" si="345"/>
        <v>0.18230403319259975</v>
      </c>
      <c r="Y216" s="77">
        <f t="shared" si="346"/>
        <v>145897.5</v>
      </c>
      <c r="Z216" s="106">
        <f t="shared" si="347"/>
        <v>145897.5</v>
      </c>
      <c r="AA216" s="73">
        <v>123401</v>
      </c>
      <c r="AB216" s="88">
        <v>115000</v>
      </c>
      <c r="AC216" s="116">
        <v>115000</v>
      </c>
      <c r="AD216" s="74">
        <v>115500</v>
      </c>
      <c r="AE216" s="76">
        <f t="shared" si="348"/>
        <v>115166.66666666667</v>
      </c>
      <c r="AF216" s="24">
        <f t="shared" si="349"/>
        <v>-8234.3333333333285</v>
      </c>
      <c r="AG216" s="25">
        <f t="shared" si="350"/>
        <v>-6.6728254498207698E-2</v>
      </c>
      <c r="AH216" s="77">
        <f t="shared" si="351"/>
        <v>115166.66666666667</v>
      </c>
      <c r="AI216" s="77">
        <f t="shared" si="352"/>
        <v>115166.66666666667</v>
      </c>
      <c r="AJ216" s="73">
        <v>123401</v>
      </c>
      <c r="AK216" s="79">
        <v>139125</v>
      </c>
      <c r="AL216" s="79">
        <v>105000</v>
      </c>
      <c r="AM216" s="127">
        <v>126000</v>
      </c>
      <c r="AN216" s="142">
        <v>110200</v>
      </c>
      <c r="AO216" s="142">
        <v>110000</v>
      </c>
      <c r="AP216" s="143">
        <f t="shared" si="353"/>
        <v>118065</v>
      </c>
      <c r="AQ216" s="144">
        <f t="shared" si="354"/>
        <v>-5336</v>
      </c>
      <c r="AR216" s="145">
        <f t="shared" si="355"/>
        <v>-4.324114067146944E-2</v>
      </c>
      <c r="AS216" s="146">
        <f t="shared" si="356"/>
        <v>118065</v>
      </c>
      <c r="AT216" s="250"/>
      <c r="AU216" s="250"/>
      <c r="AV216" s="250"/>
      <c r="AW216" s="250"/>
      <c r="AX216" s="250"/>
      <c r="AY216" s="250"/>
      <c r="AZ216" s="250"/>
      <c r="BA216" s="250"/>
      <c r="BB216" s="250"/>
      <c r="BC216" s="251"/>
      <c r="BD216" s="150"/>
      <c r="BE216" s="150"/>
      <c r="BF216" s="150"/>
      <c r="BG216" s="150"/>
      <c r="BH216" s="150"/>
      <c r="BI216" s="150"/>
      <c r="BJ216" s="150"/>
      <c r="BK216" s="150"/>
      <c r="BL216" s="150"/>
      <c r="BM216" s="293"/>
      <c r="BN216" s="293"/>
      <c r="BO216" s="293"/>
      <c r="BP216" s="293"/>
      <c r="BQ216" s="293"/>
      <c r="BR216" s="293"/>
      <c r="BS216" s="293"/>
      <c r="BT216" s="293"/>
    </row>
    <row r="217" spans="1:72" ht="20.45" customHeight="1">
      <c r="A217" s="91" t="s">
        <v>18</v>
      </c>
      <c r="B217" s="358" t="s">
        <v>2409</v>
      </c>
      <c r="C217" s="50" t="s">
        <v>170</v>
      </c>
      <c r="D217" s="99" t="s">
        <v>509</v>
      </c>
      <c r="E217" s="48" t="s">
        <v>740</v>
      </c>
      <c r="F217" s="10">
        <v>39963</v>
      </c>
      <c r="G217" s="39">
        <v>51975</v>
      </c>
      <c r="H217" s="31">
        <v>67568</v>
      </c>
      <c r="I217" s="37">
        <v>45430</v>
      </c>
      <c r="J217" s="29">
        <f t="shared" si="270"/>
        <v>54991</v>
      </c>
      <c r="K217" s="24">
        <f t="shared" si="271"/>
        <v>15028</v>
      </c>
      <c r="L217" s="25">
        <f t="shared" si="272"/>
        <v>0.37604784425593674</v>
      </c>
      <c r="M217" s="69" t="str">
        <f t="shared" si="273"/>
        <v>REVISAR PRECIO</v>
      </c>
      <c r="N217" s="77">
        <f t="shared" si="241"/>
        <v>54991</v>
      </c>
      <c r="O217" s="73"/>
      <c r="P217" s="74">
        <v>6900</v>
      </c>
      <c r="Q217" s="74">
        <v>15000</v>
      </c>
      <c r="R217" s="75">
        <v>7950</v>
      </c>
      <c r="S217" s="61">
        <v>6899.9999999999991</v>
      </c>
      <c r="T217" s="60"/>
      <c r="U217" s="74">
        <v>7934.9999999999982</v>
      </c>
      <c r="V217" s="76">
        <f t="shared" si="343"/>
        <v>8937</v>
      </c>
      <c r="W217" s="24">
        <f t="shared" si="344"/>
        <v>8937</v>
      </c>
      <c r="X217" s="25"/>
      <c r="Y217" s="77">
        <f t="shared" si="346"/>
        <v>8937</v>
      </c>
      <c r="Z217" s="106">
        <f t="shared" si="347"/>
        <v>8937</v>
      </c>
      <c r="AA217" s="73"/>
      <c r="AB217" s="88">
        <v>6300</v>
      </c>
      <c r="AC217" s="116">
        <v>6300</v>
      </c>
      <c r="AD217" s="74">
        <v>6600</v>
      </c>
      <c r="AE217" s="76">
        <f t="shared" si="348"/>
        <v>6400</v>
      </c>
      <c r="AF217" s="24">
        <f t="shared" si="349"/>
        <v>6400</v>
      </c>
      <c r="AG217" s="25"/>
      <c r="AH217" s="77"/>
      <c r="AI217" s="77">
        <f t="shared" si="352"/>
        <v>6400</v>
      </c>
      <c r="AJ217" s="73"/>
      <c r="AK217" s="79">
        <v>7950</v>
      </c>
      <c r="AL217" s="79">
        <v>6000</v>
      </c>
      <c r="AM217" s="127">
        <v>7200</v>
      </c>
      <c r="AN217" s="142">
        <v>5800</v>
      </c>
      <c r="AO217" s="142">
        <v>7000</v>
      </c>
      <c r="AP217" s="29">
        <f t="shared" si="353"/>
        <v>6790</v>
      </c>
      <c r="AQ217" s="24">
        <f t="shared" si="354"/>
        <v>6790</v>
      </c>
      <c r="AR217" s="25"/>
      <c r="AS217" s="146">
        <f t="shared" si="356"/>
        <v>6790</v>
      </c>
      <c r="AT217" s="250"/>
      <c r="AU217" s="250"/>
      <c r="AV217" s="250"/>
      <c r="AW217" s="250"/>
      <c r="AX217" s="250"/>
      <c r="AY217" s="250"/>
      <c r="AZ217" s="250"/>
      <c r="BA217" s="250"/>
      <c r="BB217" s="250"/>
      <c r="BC217" s="251"/>
      <c r="BD217" s="150"/>
      <c r="BE217" s="150"/>
      <c r="BF217" s="150"/>
      <c r="BG217" s="150"/>
      <c r="BH217" s="150"/>
      <c r="BI217" s="150"/>
      <c r="BJ217" s="150"/>
      <c r="BK217" s="150"/>
      <c r="BL217" s="150"/>
      <c r="BM217" s="293"/>
      <c r="BN217" s="293"/>
      <c r="BO217" s="293"/>
      <c r="BP217" s="293"/>
      <c r="BQ217" s="293"/>
      <c r="BR217" s="293"/>
      <c r="BS217" s="293"/>
      <c r="BT217" s="293"/>
    </row>
    <row r="218" spans="1:72" ht="20.45" customHeight="1">
      <c r="A218" s="91" t="s">
        <v>18</v>
      </c>
      <c r="B218" s="358" t="s">
        <v>2410</v>
      </c>
      <c r="C218" s="50" t="s">
        <v>171</v>
      </c>
      <c r="D218" s="99" t="s">
        <v>510</v>
      </c>
      <c r="E218" s="48" t="s">
        <v>740</v>
      </c>
      <c r="F218" s="10">
        <v>61315</v>
      </c>
      <c r="G218" s="39">
        <v>79745</v>
      </c>
      <c r="H218" s="31">
        <v>103668</v>
      </c>
      <c r="I218" s="37">
        <v>69702.600000000006</v>
      </c>
      <c r="J218" s="29">
        <f t="shared" si="270"/>
        <v>84371.866666666669</v>
      </c>
      <c r="K218" s="24">
        <f t="shared" si="271"/>
        <v>23056.866666666669</v>
      </c>
      <c r="L218" s="25">
        <f t="shared" si="272"/>
        <v>0.37603957704748703</v>
      </c>
      <c r="M218" s="69" t="str">
        <f t="shared" si="273"/>
        <v>REVISAR PRECIO</v>
      </c>
      <c r="N218" s="77">
        <f t="shared" si="241"/>
        <v>84371.866666666669</v>
      </c>
      <c r="O218" s="73"/>
      <c r="P218" s="74">
        <v>97750</v>
      </c>
      <c r="Q218" s="74">
        <v>130000</v>
      </c>
      <c r="R218" s="75">
        <v>112625</v>
      </c>
      <c r="S218" s="61">
        <v>109939.99999999999</v>
      </c>
      <c r="T218" s="60"/>
      <c r="U218" s="74">
        <v>126430.99999999997</v>
      </c>
      <c r="V218" s="76">
        <f t="shared" si="343"/>
        <v>115349.2</v>
      </c>
      <c r="W218" s="24">
        <f t="shared" si="344"/>
        <v>115349.2</v>
      </c>
      <c r="X218" s="25"/>
      <c r="Y218" s="77">
        <f t="shared" si="346"/>
        <v>115349.2</v>
      </c>
      <c r="Z218" s="106">
        <f t="shared" si="347"/>
        <v>115349.2</v>
      </c>
      <c r="AA218" s="73"/>
      <c r="AB218" s="88">
        <v>95000</v>
      </c>
      <c r="AC218" s="116">
        <v>95000</v>
      </c>
      <c r="AD218" s="74">
        <v>93500</v>
      </c>
      <c r="AE218" s="76">
        <f t="shared" si="348"/>
        <v>94500</v>
      </c>
      <c r="AF218" s="24">
        <f t="shared" si="349"/>
        <v>94500</v>
      </c>
      <c r="AG218" s="25"/>
      <c r="AH218" s="77"/>
      <c r="AI218" s="77">
        <f t="shared" si="352"/>
        <v>94500</v>
      </c>
      <c r="AJ218" s="73"/>
      <c r="AK218" s="79">
        <v>112625</v>
      </c>
      <c r="AL218" s="79">
        <v>85000</v>
      </c>
      <c r="AM218" s="127">
        <v>102000</v>
      </c>
      <c r="AN218" s="142">
        <v>90200</v>
      </c>
      <c r="AO218" s="142">
        <v>90000</v>
      </c>
      <c r="AP218" s="29">
        <f t="shared" si="353"/>
        <v>95965</v>
      </c>
      <c r="AQ218" s="24">
        <f t="shared" si="354"/>
        <v>95965</v>
      </c>
      <c r="AR218" s="25"/>
      <c r="AS218" s="146">
        <f t="shared" si="356"/>
        <v>95965</v>
      </c>
      <c r="AT218" s="250"/>
      <c r="AU218" s="250"/>
      <c r="AV218" s="250"/>
      <c r="AW218" s="250"/>
      <c r="AX218" s="250"/>
      <c r="AY218" s="250"/>
      <c r="AZ218" s="250"/>
      <c r="BA218" s="250"/>
      <c r="BB218" s="250"/>
      <c r="BC218" s="251"/>
      <c r="BD218" s="10">
        <v>82184</v>
      </c>
      <c r="BE218" s="10">
        <v>240000</v>
      </c>
      <c r="BF218" s="10">
        <v>248000</v>
      </c>
      <c r="BG218" s="268">
        <v>245000</v>
      </c>
      <c r="BH218" s="10" t="s">
        <v>1421</v>
      </c>
      <c r="BI218" s="76">
        <f t="shared" ref="BI218" si="367">AVERAGE(BE218,BF218,BG218,BH218)</f>
        <v>244333.33333333334</v>
      </c>
      <c r="BJ218" s="24">
        <f t="shared" ref="BJ218" si="368">BI218-BD218</f>
        <v>162149.33333333334</v>
      </c>
      <c r="BK218" s="25">
        <f t="shared" ref="BK218" si="369">+BJ218/BD218</f>
        <v>1.9730036665693242</v>
      </c>
      <c r="BL218" s="309">
        <f t="shared" ref="BL218" si="370">BI218</f>
        <v>244333.33333333334</v>
      </c>
      <c r="BM218" s="293"/>
      <c r="BN218" s="293"/>
      <c r="BO218" s="293"/>
      <c r="BP218" s="293"/>
      <c r="BQ218" s="293"/>
      <c r="BR218" s="293"/>
      <c r="BS218" s="293"/>
      <c r="BT218" s="293"/>
    </row>
    <row r="219" spans="1:72" ht="20.45" customHeight="1">
      <c r="A219" s="91" t="s">
        <v>18</v>
      </c>
      <c r="B219" s="358" t="s">
        <v>2411</v>
      </c>
      <c r="C219" s="50" t="s">
        <v>172</v>
      </c>
      <c r="D219" s="99" t="s">
        <v>511</v>
      </c>
      <c r="E219" s="48" t="s">
        <v>740</v>
      </c>
      <c r="F219" s="10">
        <v>61315</v>
      </c>
      <c r="G219" s="39">
        <v>79745</v>
      </c>
      <c r="H219" s="31">
        <v>79745</v>
      </c>
      <c r="I219" s="37">
        <v>69702.600000000006</v>
      </c>
      <c r="J219" s="29">
        <f t="shared" si="270"/>
        <v>76397.53333333334</v>
      </c>
      <c r="K219" s="24">
        <f t="shared" si="271"/>
        <v>15082.53333333334</v>
      </c>
      <c r="L219" s="25">
        <f t="shared" si="272"/>
        <v>0.24598439751012541</v>
      </c>
      <c r="M219" s="69">
        <f t="shared" si="273"/>
        <v>76397.53333333334</v>
      </c>
      <c r="N219" s="77">
        <f t="shared" ref="N219:N422" si="371">J219</f>
        <v>76397.53333333334</v>
      </c>
      <c r="O219" s="73"/>
      <c r="P219" s="74">
        <v>55200</v>
      </c>
      <c r="Q219" s="74">
        <v>80000</v>
      </c>
      <c r="R219" s="75">
        <v>63600</v>
      </c>
      <c r="S219" s="61">
        <v>87400</v>
      </c>
      <c r="T219" s="60"/>
      <c r="U219" s="74">
        <v>100509.99999999999</v>
      </c>
      <c r="V219" s="76">
        <f t="shared" si="343"/>
        <v>77342</v>
      </c>
      <c r="W219" s="24">
        <f t="shared" si="344"/>
        <v>77342</v>
      </c>
      <c r="X219" s="25"/>
      <c r="Y219" s="77">
        <f t="shared" si="346"/>
        <v>77342</v>
      </c>
      <c r="Z219" s="106">
        <f t="shared" si="347"/>
        <v>77342</v>
      </c>
      <c r="AA219" s="73"/>
      <c r="AB219" s="88">
        <v>53000</v>
      </c>
      <c r="AC219" s="116">
        <v>53000</v>
      </c>
      <c r="AD219" s="74">
        <v>52800</v>
      </c>
      <c r="AE219" s="76">
        <f t="shared" si="348"/>
        <v>52933.333333333336</v>
      </c>
      <c r="AF219" s="24">
        <f t="shared" si="349"/>
        <v>52933.333333333336</v>
      </c>
      <c r="AG219" s="25"/>
      <c r="AH219" s="77"/>
      <c r="AI219" s="77">
        <f t="shared" si="352"/>
        <v>52933.333333333336</v>
      </c>
      <c r="AJ219" s="73"/>
      <c r="AK219" s="79">
        <v>63600</v>
      </c>
      <c r="AL219" s="79">
        <v>48000</v>
      </c>
      <c r="AM219" s="127">
        <v>57600</v>
      </c>
      <c r="AN219" s="142">
        <v>50100</v>
      </c>
      <c r="AO219" s="142">
        <v>50000</v>
      </c>
      <c r="AP219" s="29">
        <f t="shared" si="353"/>
        <v>53860</v>
      </c>
      <c r="AQ219" s="24">
        <f t="shared" si="354"/>
        <v>53860</v>
      </c>
      <c r="AR219" s="25"/>
      <c r="AS219" s="146">
        <f t="shared" si="356"/>
        <v>53860</v>
      </c>
      <c r="AT219" s="250"/>
      <c r="AU219" s="250"/>
      <c r="AV219" s="250"/>
      <c r="AW219" s="250"/>
      <c r="AX219" s="250"/>
      <c r="AY219" s="250"/>
      <c r="AZ219" s="250"/>
      <c r="BA219" s="250"/>
      <c r="BB219" s="250"/>
      <c r="BC219" s="251"/>
      <c r="BD219" s="150"/>
      <c r="BE219" s="150"/>
      <c r="BF219" s="150"/>
      <c r="BG219" s="150"/>
      <c r="BH219" s="150"/>
      <c r="BI219" s="150"/>
      <c r="BJ219" s="150"/>
      <c r="BK219" s="150"/>
      <c r="BL219" s="150"/>
      <c r="BM219" s="293"/>
      <c r="BN219" s="293"/>
      <c r="BO219" s="293"/>
      <c r="BP219" s="293"/>
      <c r="BQ219" s="293"/>
      <c r="BR219" s="293"/>
      <c r="BS219" s="293"/>
      <c r="BT219" s="293"/>
    </row>
    <row r="220" spans="1:72" ht="32.450000000000003" customHeight="1">
      <c r="A220" s="91" t="s">
        <v>18</v>
      </c>
      <c r="B220" s="358" t="s">
        <v>2412</v>
      </c>
      <c r="C220" s="50" t="s">
        <v>768</v>
      </c>
      <c r="D220" s="99" t="s">
        <v>512</v>
      </c>
      <c r="E220" s="48" t="s">
        <v>740</v>
      </c>
      <c r="F220" s="10">
        <v>185543</v>
      </c>
      <c r="G220" s="38">
        <v>241313</v>
      </c>
      <c r="H220" s="33">
        <v>313706</v>
      </c>
      <c r="I220" s="40">
        <v>210925</v>
      </c>
      <c r="J220" s="29">
        <f t="shared" si="270"/>
        <v>255314.66666666666</v>
      </c>
      <c r="K220" s="24">
        <f t="shared" si="271"/>
        <v>69771.666666666657</v>
      </c>
      <c r="L220" s="25">
        <f t="shared" si="272"/>
        <v>0.37604041471069594</v>
      </c>
      <c r="M220" s="69" t="str">
        <f t="shared" si="273"/>
        <v>REVISAR PRECIO</v>
      </c>
      <c r="N220" s="77">
        <f t="shared" si="371"/>
        <v>255314.66666666666</v>
      </c>
      <c r="O220" s="73">
        <v>128147</v>
      </c>
      <c r="P220" s="74">
        <v>34258.965749999996</v>
      </c>
      <c r="Q220" s="74">
        <v>60000</v>
      </c>
      <c r="R220" s="75">
        <v>39472.286624999993</v>
      </c>
      <c r="S220" s="61">
        <v>34258.965749999988</v>
      </c>
      <c r="T220" s="60"/>
      <c r="U220" s="74">
        <v>39397.810612499983</v>
      </c>
      <c r="V220" s="76">
        <f t="shared" si="343"/>
        <v>41477.605747499983</v>
      </c>
      <c r="W220" s="24">
        <f t="shared" si="344"/>
        <v>-86669.394252500017</v>
      </c>
      <c r="X220" s="25">
        <f t="shared" si="345"/>
        <v>-0.67632792224944804</v>
      </c>
      <c r="Y220" s="77">
        <f t="shared" si="346"/>
        <v>41477.605747499983</v>
      </c>
      <c r="Z220" s="106">
        <f t="shared" si="347"/>
        <v>41477.605747499983</v>
      </c>
      <c r="AA220" s="73">
        <v>128147</v>
      </c>
      <c r="AB220" s="88">
        <v>33000</v>
      </c>
      <c r="AC220" s="116">
        <v>33000</v>
      </c>
      <c r="AD220" s="74">
        <v>32769.445499999994</v>
      </c>
      <c r="AE220" s="76">
        <f t="shared" si="348"/>
        <v>32923.148500000003</v>
      </c>
      <c r="AF220" s="24">
        <f t="shared" si="349"/>
        <v>-95223.85149999999</v>
      </c>
      <c r="AG220" s="25">
        <f t="shared" si="350"/>
        <v>-0.74308295551202908</v>
      </c>
      <c r="AH220" s="77">
        <f t="shared" si="351"/>
        <v>32923.148500000003</v>
      </c>
      <c r="AI220" s="77">
        <f t="shared" si="352"/>
        <v>32923.148500000003</v>
      </c>
      <c r="AJ220" s="73">
        <v>128147</v>
      </c>
      <c r="AK220" s="79">
        <v>39472.286624999993</v>
      </c>
      <c r="AL220" s="79">
        <f>+AL180*0.6</f>
        <v>50264.94</v>
      </c>
      <c r="AM220" s="127">
        <v>35748.485999999997</v>
      </c>
      <c r="AN220" s="142">
        <v>35600</v>
      </c>
      <c r="AO220" s="142">
        <v>30000</v>
      </c>
      <c r="AP220" s="138">
        <f t="shared" si="353"/>
        <v>38217.142524999996</v>
      </c>
      <c r="AQ220" s="139">
        <f t="shared" si="354"/>
        <v>-89929.857474999997</v>
      </c>
      <c r="AR220" s="140">
        <f t="shared" si="355"/>
        <v>-0.7017710713087314</v>
      </c>
      <c r="AS220" s="146">
        <f t="shared" si="356"/>
        <v>38217.142524999996</v>
      </c>
      <c r="AT220" s="250"/>
      <c r="AU220" s="250"/>
      <c r="AV220" s="250"/>
      <c r="AW220" s="250"/>
      <c r="AX220" s="250"/>
      <c r="AY220" s="250"/>
      <c r="AZ220" s="250"/>
      <c r="BA220" s="250"/>
      <c r="BB220" s="250"/>
      <c r="BC220" s="251"/>
      <c r="BD220" s="150"/>
      <c r="BE220" s="150"/>
      <c r="BF220" s="150"/>
      <c r="BG220" s="150"/>
      <c r="BH220" s="150"/>
      <c r="BI220" s="150"/>
      <c r="BJ220" s="150"/>
      <c r="BK220" s="150"/>
      <c r="BL220" s="150"/>
      <c r="BM220" s="293"/>
      <c r="BN220" s="293"/>
      <c r="BO220" s="293"/>
      <c r="BP220" s="293"/>
      <c r="BQ220" s="293"/>
      <c r="BR220" s="293"/>
      <c r="BS220" s="293"/>
      <c r="BT220" s="293"/>
    </row>
    <row r="221" spans="1:72" ht="37.35" customHeight="1">
      <c r="A221" s="91" t="s">
        <v>18</v>
      </c>
      <c r="B221" s="358" t="s">
        <v>2413</v>
      </c>
      <c r="C221" s="50" t="s">
        <v>769</v>
      </c>
      <c r="D221" s="99" t="s">
        <v>513</v>
      </c>
      <c r="E221" s="48" t="s">
        <v>24</v>
      </c>
      <c r="F221" s="10">
        <v>211025</v>
      </c>
      <c r="G221" s="41">
        <v>274455</v>
      </c>
      <c r="H221" s="31">
        <v>356792</v>
      </c>
      <c r="I221" s="37">
        <v>239894</v>
      </c>
      <c r="J221" s="29">
        <f t="shared" si="270"/>
        <v>290380.33333333331</v>
      </c>
      <c r="K221" s="24">
        <f t="shared" si="271"/>
        <v>79355.333333333314</v>
      </c>
      <c r="L221" s="25">
        <f t="shared" si="272"/>
        <v>0.37604707183193137</v>
      </c>
      <c r="M221" s="69" t="str">
        <f t="shared" si="273"/>
        <v>REVISAR PRECIO</v>
      </c>
      <c r="N221" s="77">
        <f t="shared" si="371"/>
        <v>290380.33333333331</v>
      </c>
      <c r="O221" s="73">
        <v>90178</v>
      </c>
      <c r="P221" s="74">
        <v>357332.6</v>
      </c>
      <c r="Q221" s="74">
        <v>550000</v>
      </c>
      <c r="R221" s="75">
        <v>411709.3</v>
      </c>
      <c r="S221" s="61">
        <v>482999.99999999994</v>
      </c>
      <c r="T221" s="60"/>
      <c r="U221" s="74">
        <v>555449.99999999988</v>
      </c>
      <c r="V221" s="76">
        <f t="shared" si="343"/>
        <v>471498.38</v>
      </c>
      <c r="W221" s="24">
        <f t="shared" si="344"/>
        <v>381320.38</v>
      </c>
      <c r="X221" s="25">
        <f t="shared" si="345"/>
        <v>4.2285300184080379</v>
      </c>
      <c r="Y221" s="77" t="str">
        <f t="shared" si="346"/>
        <v>REVISAR PRECIO</v>
      </c>
      <c r="Z221" s="106">
        <f t="shared" si="347"/>
        <v>471498.38</v>
      </c>
      <c r="AA221" s="73">
        <v>90178</v>
      </c>
      <c r="AB221" s="88">
        <v>350000</v>
      </c>
      <c r="AC221" s="116">
        <v>350000</v>
      </c>
      <c r="AD221" s="74">
        <v>341796.4</v>
      </c>
      <c r="AE221" s="76">
        <f t="shared" si="348"/>
        <v>347265.46666666667</v>
      </c>
      <c r="AF221" s="24">
        <f t="shared" si="349"/>
        <v>257087.46666666667</v>
      </c>
      <c r="AG221" s="25">
        <f t="shared" si="350"/>
        <v>2.8508889825308463</v>
      </c>
      <c r="AH221" s="77" t="str">
        <f t="shared" si="351"/>
        <v>REVISAR PRECIO</v>
      </c>
      <c r="AI221" s="77">
        <f t="shared" si="352"/>
        <v>347265.46666666667</v>
      </c>
      <c r="AJ221" s="73">
        <v>90178</v>
      </c>
      <c r="AK221" s="79">
        <v>411709.3</v>
      </c>
      <c r="AL221" s="79">
        <v>310724</v>
      </c>
      <c r="AM221" s="127">
        <v>372868.8</v>
      </c>
      <c r="AN221" s="142">
        <v>369500</v>
      </c>
      <c r="AO221" s="142">
        <v>330000</v>
      </c>
      <c r="AP221" s="29">
        <f t="shared" si="353"/>
        <v>358960.42000000004</v>
      </c>
      <c r="AQ221" s="24">
        <f t="shared" si="354"/>
        <v>268782.42000000004</v>
      </c>
      <c r="AR221" s="25">
        <f t="shared" si="355"/>
        <v>2.9805764155337227</v>
      </c>
      <c r="AS221" s="146">
        <f t="shared" si="356"/>
        <v>358960.42000000004</v>
      </c>
      <c r="AT221" s="250"/>
      <c r="AU221" s="250"/>
      <c r="AV221" s="250"/>
      <c r="AW221" s="250"/>
      <c r="AX221" s="250"/>
      <c r="AY221" s="250"/>
      <c r="AZ221" s="250"/>
      <c r="BA221" s="250"/>
      <c r="BB221" s="250"/>
      <c r="BC221" s="251"/>
      <c r="BD221" s="150"/>
      <c r="BE221" s="150"/>
      <c r="BF221" s="150"/>
      <c r="BG221" s="150"/>
      <c r="BH221" s="150"/>
      <c r="BI221" s="150"/>
      <c r="BJ221" s="150"/>
      <c r="BK221" s="150"/>
      <c r="BL221" s="150"/>
      <c r="BM221" s="293"/>
      <c r="BN221" s="293"/>
      <c r="BO221" s="293"/>
      <c r="BP221" s="293"/>
      <c r="BQ221" s="293"/>
      <c r="BR221" s="293"/>
      <c r="BS221" s="293"/>
      <c r="BT221" s="293"/>
    </row>
    <row r="222" spans="1:72" s="1" customFormat="1" ht="37.35" customHeight="1">
      <c r="A222" s="91"/>
      <c r="B222" s="358" t="s">
        <v>2414</v>
      </c>
      <c r="C222" s="50" t="s">
        <v>874</v>
      </c>
      <c r="D222" s="177" t="s">
        <v>866</v>
      </c>
      <c r="E222" s="62" t="s">
        <v>14</v>
      </c>
      <c r="F222" s="10"/>
      <c r="G222" s="41"/>
      <c r="H222" s="31"/>
      <c r="I222" s="182"/>
      <c r="J222" s="29"/>
      <c r="K222" s="24"/>
      <c r="L222" s="25"/>
      <c r="M222" s="69"/>
      <c r="N222" s="77"/>
      <c r="O222" s="73"/>
      <c r="P222" s="74"/>
      <c r="Q222" s="74"/>
      <c r="R222" s="75"/>
      <c r="S222" s="61"/>
      <c r="T222" s="60"/>
      <c r="U222" s="74"/>
      <c r="V222" s="76"/>
      <c r="W222" s="24"/>
      <c r="X222" s="25"/>
      <c r="Y222" s="77"/>
      <c r="Z222" s="106"/>
      <c r="AA222" s="73"/>
      <c r="AB222" s="88"/>
      <c r="AC222" s="116"/>
      <c r="AD222" s="74"/>
      <c r="AE222" s="76"/>
      <c r="AF222" s="24"/>
      <c r="AG222" s="25"/>
      <c r="AH222" s="77"/>
      <c r="AI222" s="77"/>
      <c r="AJ222" s="73"/>
      <c r="AK222" s="79"/>
      <c r="AL222" s="79"/>
      <c r="AM222" s="127"/>
      <c r="AN222" s="142"/>
      <c r="AO222" s="142"/>
      <c r="AP222" s="29"/>
      <c r="AQ222" s="24"/>
      <c r="AR222" s="25"/>
      <c r="AS222" s="146"/>
      <c r="AT222" s="10">
        <v>60629</v>
      </c>
      <c r="AU222" s="10">
        <v>34254</v>
      </c>
      <c r="AV222" s="167">
        <v>137016</v>
      </c>
      <c r="AW222" s="168">
        <v>33520</v>
      </c>
      <c r="AX222" s="29">
        <f t="shared" ref="AX222:AX229" si="372">AVERAGE(AU222,AW222)</f>
        <v>33887</v>
      </c>
      <c r="AY222" s="24">
        <f t="shared" ref="AY222:AY229" si="373">AX222-AT222</f>
        <v>-26742</v>
      </c>
      <c r="AZ222" s="25">
        <f t="shared" ref="AZ222:AZ229" si="374">+AY222/AT222</f>
        <v>-0.44107605271404771</v>
      </c>
      <c r="BA222" s="24">
        <f t="shared" ref="BA222:BA229" si="375">AV222-AT222</f>
        <v>76387</v>
      </c>
      <c r="BB222" s="169">
        <f t="shared" ref="BB222:BB229" si="376">+BA222/AT222</f>
        <v>1.2599086245855944</v>
      </c>
      <c r="BC222" s="170">
        <f t="shared" ref="BC222:BC229" si="377">AX222</f>
        <v>33887</v>
      </c>
      <c r="BD222" s="10">
        <v>55103</v>
      </c>
      <c r="BE222" s="10">
        <v>90000</v>
      </c>
      <c r="BF222" s="10">
        <v>98000</v>
      </c>
      <c r="BG222" s="268">
        <v>95000</v>
      </c>
      <c r="BH222" s="10">
        <v>120000</v>
      </c>
      <c r="BI222" s="76">
        <f t="shared" ref="BI222:BI225" si="378">AVERAGE(BE222,BF222,BG222,BH222)</f>
        <v>100750</v>
      </c>
      <c r="BJ222" s="24">
        <f t="shared" ref="BJ222:BJ225" si="379">BI222-BD222</f>
        <v>45647</v>
      </c>
      <c r="BK222" s="25">
        <f t="shared" ref="BK222:BK225" si="380">+BJ222/BD222</f>
        <v>0.82839409832495503</v>
      </c>
      <c r="BL222" s="259">
        <f t="shared" ref="BL222:BL225" si="381">BI222</f>
        <v>100750</v>
      </c>
      <c r="BM222" s="10">
        <v>61530</v>
      </c>
      <c r="BN222" s="45">
        <v>75000</v>
      </c>
      <c r="BO222" s="45">
        <v>71531</v>
      </c>
      <c r="BP222" s="45">
        <v>60000</v>
      </c>
      <c r="BQ222" s="29">
        <f t="shared" ref="BQ222:BQ225" si="382">AVERAGE(BN222,BO222,BP222)</f>
        <v>68843.666666666672</v>
      </c>
      <c r="BR222" s="24">
        <f t="shared" ref="BR222:BR225" si="383">BQ222-BM222</f>
        <v>7313.6666666666715</v>
      </c>
      <c r="BS222" s="25">
        <f t="shared" ref="BS222:BS225" si="384">+BR222/BM222</f>
        <v>0.11886342705455341</v>
      </c>
      <c r="BT222" s="308">
        <f t="shared" ref="BT222:BT225" si="385">BQ222</f>
        <v>68843.666666666672</v>
      </c>
    </row>
    <row r="223" spans="1:72" s="1" customFormat="1" ht="37.35" customHeight="1">
      <c r="A223" s="91"/>
      <c r="B223" s="358" t="s">
        <v>2415</v>
      </c>
      <c r="C223" s="50" t="s">
        <v>875</v>
      </c>
      <c r="D223" s="177" t="s">
        <v>867</v>
      </c>
      <c r="E223" s="62" t="s">
        <v>10</v>
      </c>
      <c r="F223" s="10"/>
      <c r="G223" s="41"/>
      <c r="H223" s="31"/>
      <c r="I223" s="182"/>
      <c r="J223" s="29"/>
      <c r="K223" s="24"/>
      <c r="L223" s="25"/>
      <c r="M223" s="69"/>
      <c r="N223" s="77"/>
      <c r="O223" s="73"/>
      <c r="P223" s="74"/>
      <c r="Q223" s="74"/>
      <c r="R223" s="75"/>
      <c r="S223" s="61"/>
      <c r="T223" s="60"/>
      <c r="U223" s="74"/>
      <c r="V223" s="76"/>
      <c r="W223" s="24"/>
      <c r="X223" s="25"/>
      <c r="Y223" s="77"/>
      <c r="Z223" s="106"/>
      <c r="AA223" s="73"/>
      <c r="AB223" s="88"/>
      <c r="AC223" s="116"/>
      <c r="AD223" s="74"/>
      <c r="AE223" s="76"/>
      <c r="AF223" s="24"/>
      <c r="AG223" s="25"/>
      <c r="AH223" s="77"/>
      <c r="AI223" s="77"/>
      <c r="AJ223" s="73"/>
      <c r="AK223" s="79"/>
      <c r="AL223" s="79"/>
      <c r="AM223" s="127"/>
      <c r="AN223" s="142"/>
      <c r="AO223" s="142"/>
      <c r="AP223" s="29"/>
      <c r="AQ223" s="24"/>
      <c r="AR223" s="25"/>
      <c r="AS223" s="146"/>
      <c r="AT223" s="10">
        <v>15312</v>
      </c>
      <c r="AU223" s="10">
        <v>44475</v>
      </c>
      <c r="AV223" s="167">
        <v>177900</v>
      </c>
      <c r="AW223" s="168">
        <v>43522</v>
      </c>
      <c r="AX223" s="29">
        <f t="shared" si="372"/>
        <v>43998.5</v>
      </c>
      <c r="AY223" s="24">
        <f t="shared" si="373"/>
        <v>28686.5</v>
      </c>
      <c r="AZ223" s="25">
        <f t="shared" si="374"/>
        <v>1.8734652560083596</v>
      </c>
      <c r="BA223" s="24">
        <f t="shared" si="375"/>
        <v>162588</v>
      </c>
      <c r="BB223" s="169">
        <f t="shared" si="376"/>
        <v>10.618338557993731</v>
      </c>
      <c r="BC223" s="170">
        <f t="shared" si="377"/>
        <v>43998.5</v>
      </c>
      <c r="BD223" s="10">
        <v>13783</v>
      </c>
      <c r="BE223" s="10">
        <v>42000</v>
      </c>
      <c r="BF223" s="10">
        <v>45000</v>
      </c>
      <c r="BG223" s="268">
        <v>45000</v>
      </c>
      <c r="BH223" s="10">
        <v>60000</v>
      </c>
      <c r="BI223" s="76">
        <f t="shared" si="378"/>
        <v>48000</v>
      </c>
      <c r="BJ223" s="24">
        <f t="shared" si="379"/>
        <v>34217</v>
      </c>
      <c r="BK223" s="25">
        <f t="shared" si="380"/>
        <v>2.482550968584488</v>
      </c>
      <c r="BL223" s="259">
        <f t="shared" si="381"/>
        <v>48000</v>
      </c>
      <c r="BM223" s="10">
        <v>15312</v>
      </c>
      <c r="BN223" s="45"/>
      <c r="BO223" s="45">
        <v>18063</v>
      </c>
      <c r="BP223" s="45">
        <v>75000</v>
      </c>
      <c r="BQ223" s="29">
        <f t="shared" si="382"/>
        <v>46531.5</v>
      </c>
      <c r="BR223" s="24">
        <f t="shared" si="383"/>
        <v>31219.5</v>
      </c>
      <c r="BS223" s="25">
        <f t="shared" si="384"/>
        <v>2.0388910658307209</v>
      </c>
      <c r="BT223" s="308">
        <f t="shared" si="385"/>
        <v>46531.5</v>
      </c>
    </row>
    <row r="224" spans="1:72" s="1" customFormat="1" ht="37.35" customHeight="1">
      <c r="A224" s="91"/>
      <c r="B224" s="358" t="s">
        <v>2416</v>
      </c>
      <c r="C224" s="50" t="s">
        <v>876</v>
      </c>
      <c r="D224" s="177" t="s">
        <v>868</v>
      </c>
      <c r="E224" s="62" t="s">
        <v>10</v>
      </c>
      <c r="F224" s="10"/>
      <c r="G224" s="41"/>
      <c r="H224" s="31"/>
      <c r="I224" s="182"/>
      <c r="J224" s="29"/>
      <c r="K224" s="24"/>
      <c r="L224" s="25"/>
      <c r="M224" s="69"/>
      <c r="N224" s="77"/>
      <c r="O224" s="73"/>
      <c r="P224" s="74"/>
      <c r="Q224" s="74"/>
      <c r="R224" s="75"/>
      <c r="S224" s="61"/>
      <c r="T224" s="60"/>
      <c r="U224" s="74"/>
      <c r="V224" s="76"/>
      <c r="W224" s="24"/>
      <c r="X224" s="25"/>
      <c r="Y224" s="77"/>
      <c r="Z224" s="106"/>
      <c r="AA224" s="73"/>
      <c r="AB224" s="88"/>
      <c r="AC224" s="116"/>
      <c r="AD224" s="74"/>
      <c r="AE224" s="76"/>
      <c r="AF224" s="24"/>
      <c r="AG224" s="25"/>
      <c r="AH224" s="77"/>
      <c r="AI224" s="77"/>
      <c r="AJ224" s="73"/>
      <c r="AK224" s="79"/>
      <c r="AL224" s="79"/>
      <c r="AM224" s="127"/>
      <c r="AN224" s="142"/>
      <c r="AO224" s="142"/>
      <c r="AP224" s="29"/>
      <c r="AQ224" s="24"/>
      <c r="AR224" s="25"/>
      <c r="AS224" s="146"/>
      <c r="AT224" s="10">
        <v>29057</v>
      </c>
      <c r="AU224" s="10">
        <v>31500</v>
      </c>
      <c r="AV224" s="167">
        <v>18000</v>
      </c>
      <c r="AW224" s="168">
        <v>49600</v>
      </c>
      <c r="AX224" s="29">
        <f t="shared" si="372"/>
        <v>40550</v>
      </c>
      <c r="AY224" s="24">
        <f t="shared" si="373"/>
        <v>11493</v>
      </c>
      <c r="AZ224" s="25">
        <f t="shared" si="374"/>
        <v>0.39553291805761093</v>
      </c>
      <c r="BA224" s="24">
        <f t="shared" si="375"/>
        <v>-11057</v>
      </c>
      <c r="BB224" s="169">
        <f t="shared" si="376"/>
        <v>-0.38052792786591871</v>
      </c>
      <c r="BC224" s="170">
        <f t="shared" si="377"/>
        <v>40550</v>
      </c>
      <c r="BD224" s="10">
        <v>26151</v>
      </c>
      <c r="BE224" s="10">
        <v>73000</v>
      </c>
      <c r="BF224" s="10">
        <v>78000</v>
      </c>
      <c r="BG224" s="268">
        <v>75000</v>
      </c>
      <c r="BH224" s="10">
        <v>80000</v>
      </c>
      <c r="BI224" s="76">
        <f t="shared" si="378"/>
        <v>76500</v>
      </c>
      <c r="BJ224" s="24">
        <f t="shared" si="379"/>
        <v>50349</v>
      </c>
      <c r="BK224" s="25">
        <f t="shared" si="380"/>
        <v>1.9253183434667891</v>
      </c>
      <c r="BL224" s="259">
        <f t="shared" si="381"/>
        <v>76500</v>
      </c>
      <c r="BM224" s="10">
        <v>29056</v>
      </c>
      <c r="BN224" s="45"/>
      <c r="BO224" s="45">
        <v>34285</v>
      </c>
      <c r="BP224" s="45">
        <v>75000</v>
      </c>
      <c r="BQ224" s="29">
        <f t="shared" si="382"/>
        <v>54642.5</v>
      </c>
      <c r="BR224" s="24">
        <f t="shared" si="383"/>
        <v>25586.5</v>
      </c>
      <c r="BS224" s="25">
        <f t="shared" si="384"/>
        <v>0.88059264867841414</v>
      </c>
      <c r="BT224" s="308">
        <f t="shared" si="385"/>
        <v>54642.5</v>
      </c>
    </row>
    <row r="225" spans="1:72" s="1" customFormat="1" ht="37.35" customHeight="1">
      <c r="A225" s="91"/>
      <c r="B225" s="358" t="s">
        <v>2417</v>
      </c>
      <c r="C225" s="50" t="s">
        <v>877</v>
      </c>
      <c r="D225" s="177" t="s">
        <v>869</v>
      </c>
      <c r="E225" s="62" t="s">
        <v>10</v>
      </c>
      <c r="F225" s="10"/>
      <c r="G225" s="41"/>
      <c r="H225" s="31"/>
      <c r="I225" s="182"/>
      <c r="J225" s="29"/>
      <c r="K225" s="24"/>
      <c r="L225" s="25"/>
      <c r="M225" s="69"/>
      <c r="N225" s="77"/>
      <c r="O225" s="73"/>
      <c r="P225" s="74"/>
      <c r="Q225" s="74"/>
      <c r="R225" s="75"/>
      <c r="S225" s="61"/>
      <c r="T225" s="60"/>
      <c r="U225" s="74"/>
      <c r="V225" s="76"/>
      <c r="W225" s="24"/>
      <c r="X225" s="25"/>
      <c r="Y225" s="77"/>
      <c r="Z225" s="106"/>
      <c r="AA225" s="73"/>
      <c r="AB225" s="88"/>
      <c r="AC225" s="116"/>
      <c r="AD225" s="74"/>
      <c r="AE225" s="76"/>
      <c r="AF225" s="24"/>
      <c r="AG225" s="25"/>
      <c r="AH225" s="77"/>
      <c r="AI225" s="77"/>
      <c r="AJ225" s="73"/>
      <c r="AK225" s="79"/>
      <c r="AL225" s="79"/>
      <c r="AM225" s="127"/>
      <c r="AN225" s="142"/>
      <c r="AO225" s="142"/>
      <c r="AP225" s="29"/>
      <c r="AQ225" s="24"/>
      <c r="AR225" s="25"/>
      <c r="AS225" s="146"/>
      <c r="AT225" s="10">
        <v>72276</v>
      </c>
      <c r="AU225" s="10">
        <v>65000</v>
      </c>
      <c r="AV225" s="167">
        <v>18500</v>
      </c>
      <c r="AW225" s="168">
        <v>60523</v>
      </c>
      <c r="AX225" s="29">
        <f t="shared" si="372"/>
        <v>62761.5</v>
      </c>
      <c r="AY225" s="24">
        <f t="shared" si="373"/>
        <v>-9514.5</v>
      </c>
      <c r="AZ225" s="25">
        <f t="shared" si="374"/>
        <v>-0.13164120869998339</v>
      </c>
      <c r="BA225" s="24">
        <f t="shared" si="375"/>
        <v>-53776</v>
      </c>
      <c r="BB225" s="169">
        <f t="shared" si="376"/>
        <v>-0.74403674802147324</v>
      </c>
      <c r="BC225" s="170">
        <f t="shared" si="377"/>
        <v>62761.5</v>
      </c>
      <c r="BD225" s="10">
        <v>65688</v>
      </c>
      <c r="BE225" s="10">
        <v>138000</v>
      </c>
      <c r="BF225" s="10">
        <v>145000</v>
      </c>
      <c r="BG225" s="268">
        <v>140000</v>
      </c>
      <c r="BH225" s="10">
        <v>150000</v>
      </c>
      <c r="BI225" s="76">
        <f t="shared" si="378"/>
        <v>143250</v>
      </c>
      <c r="BJ225" s="24">
        <f t="shared" si="379"/>
        <v>77562</v>
      </c>
      <c r="BK225" s="25">
        <f t="shared" si="380"/>
        <v>1.1807636097917429</v>
      </c>
      <c r="BL225" s="259">
        <f t="shared" si="381"/>
        <v>143250</v>
      </c>
      <c r="BM225" s="10">
        <v>73357</v>
      </c>
      <c r="BN225" s="45"/>
      <c r="BO225" s="45">
        <v>85277</v>
      </c>
      <c r="BP225" s="45">
        <v>75000</v>
      </c>
      <c r="BQ225" s="29">
        <f t="shared" si="382"/>
        <v>80138.5</v>
      </c>
      <c r="BR225" s="24">
        <f t="shared" si="383"/>
        <v>6781.5</v>
      </c>
      <c r="BS225" s="25">
        <f t="shared" si="384"/>
        <v>9.2445165423885922E-2</v>
      </c>
      <c r="BT225" s="308">
        <f t="shared" si="385"/>
        <v>80138.5</v>
      </c>
    </row>
    <row r="226" spans="1:72" s="1" customFormat="1" ht="37.35" customHeight="1">
      <c r="A226" s="91"/>
      <c r="B226" s="358" t="s">
        <v>2418</v>
      </c>
      <c r="C226" s="50" t="s">
        <v>878</v>
      </c>
      <c r="D226" s="177" t="s">
        <v>870</v>
      </c>
      <c r="E226" s="62" t="s">
        <v>14</v>
      </c>
      <c r="F226" s="10"/>
      <c r="G226" s="41"/>
      <c r="H226" s="31"/>
      <c r="I226" s="182"/>
      <c r="J226" s="29"/>
      <c r="K226" s="24"/>
      <c r="L226" s="25"/>
      <c r="M226" s="69"/>
      <c r="N226" s="77"/>
      <c r="O226" s="73"/>
      <c r="P226" s="74"/>
      <c r="Q226" s="74"/>
      <c r="R226" s="75"/>
      <c r="S226" s="61"/>
      <c r="T226" s="60"/>
      <c r="U226" s="74"/>
      <c r="V226" s="76"/>
      <c r="W226" s="24"/>
      <c r="X226" s="25"/>
      <c r="Y226" s="77"/>
      <c r="Z226" s="106"/>
      <c r="AA226" s="73"/>
      <c r="AB226" s="88"/>
      <c r="AC226" s="116"/>
      <c r="AD226" s="74"/>
      <c r="AE226" s="76"/>
      <c r="AF226" s="24"/>
      <c r="AG226" s="25"/>
      <c r="AH226" s="77"/>
      <c r="AI226" s="77"/>
      <c r="AJ226" s="73"/>
      <c r="AK226" s="79"/>
      <c r="AL226" s="79"/>
      <c r="AM226" s="127"/>
      <c r="AN226" s="142"/>
      <c r="AO226" s="142"/>
      <c r="AP226" s="29"/>
      <c r="AQ226" s="24"/>
      <c r="AR226" s="25"/>
      <c r="AS226" s="146"/>
      <c r="AT226" s="10">
        <v>32570</v>
      </c>
      <c r="AU226" s="10">
        <v>110000</v>
      </c>
      <c r="AV226" s="167">
        <v>110000</v>
      </c>
      <c r="AW226" s="168">
        <v>95000</v>
      </c>
      <c r="AX226" s="29">
        <f t="shared" si="372"/>
        <v>102500</v>
      </c>
      <c r="AY226" s="24">
        <f t="shared" si="373"/>
        <v>69930</v>
      </c>
      <c r="AZ226" s="25">
        <f t="shared" si="374"/>
        <v>2.1470678538532391</v>
      </c>
      <c r="BA226" s="24">
        <f t="shared" si="375"/>
        <v>77430</v>
      </c>
      <c r="BB226" s="169">
        <f t="shared" si="376"/>
        <v>2.3773411114522567</v>
      </c>
      <c r="BC226" s="170">
        <f t="shared" si="377"/>
        <v>102500</v>
      </c>
      <c r="BD226" s="10">
        <v>29607</v>
      </c>
      <c r="BE226" s="10">
        <v>70000</v>
      </c>
      <c r="BF226" s="10">
        <v>75000</v>
      </c>
      <c r="BG226" s="268">
        <v>73000</v>
      </c>
      <c r="BH226" s="10">
        <v>80000</v>
      </c>
      <c r="BI226" s="76">
        <f t="shared" ref="BI226" si="386">AVERAGE(BE226,BF226,BG226,BH226)</f>
        <v>74500</v>
      </c>
      <c r="BJ226" s="24">
        <f t="shared" ref="BJ226" si="387">BI226-BD226</f>
        <v>44893</v>
      </c>
      <c r="BK226" s="25">
        <f t="shared" ref="BK226" si="388">+BJ226/BD226</f>
        <v>1.5162968216975716</v>
      </c>
      <c r="BL226" s="309">
        <f t="shared" ref="BL226" si="389">BI226</f>
        <v>74500</v>
      </c>
      <c r="BM226" s="293"/>
      <c r="BN226" s="293"/>
      <c r="BO226" s="293"/>
      <c r="BP226" s="293"/>
      <c r="BQ226" s="293"/>
      <c r="BR226" s="293"/>
      <c r="BS226" s="293"/>
      <c r="BT226" s="293"/>
    </row>
    <row r="227" spans="1:72" s="1" customFormat="1" ht="37.35" customHeight="1">
      <c r="A227" s="91"/>
      <c r="B227" s="358" t="s">
        <v>2419</v>
      </c>
      <c r="C227" s="50" t="s">
        <v>879</v>
      </c>
      <c r="D227" s="177" t="s">
        <v>871</v>
      </c>
      <c r="E227" s="62" t="s">
        <v>14</v>
      </c>
      <c r="F227" s="10"/>
      <c r="G227" s="41"/>
      <c r="H227" s="31"/>
      <c r="I227" s="182"/>
      <c r="J227" s="29"/>
      <c r="K227" s="24"/>
      <c r="L227" s="25"/>
      <c r="M227" s="69"/>
      <c r="N227" s="77"/>
      <c r="O227" s="73"/>
      <c r="P227" s="74"/>
      <c r="Q227" s="74"/>
      <c r="R227" s="75"/>
      <c r="S227" s="61"/>
      <c r="T227" s="60"/>
      <c r="U227" s="74"/>
      <c r="V227" s="76"/>
      <c r="W227" s="24"/>
      <c r="X227" s="25"/>
      <c r="Y227" s="77"/>
      <c r="Z227" s="106"/>
      <c r="AA227" s="73"/>
      <c r="AB227" s="88"/>
      <c r="AC227" s="116"/>
      <c r="AD227" s="74"/>
      <c r="AE227" s="76"/>
      <c r="AF227" s="24"/>
      <c r="AG227" s="25"/>
      <c r="AH227" s="77"/>
      <c r="AI227" s="77"/>
      <c r="AJ227" s="73"/>
      <c r="AK227" s="79"/>
      <c r="AL227" s="79"/>
      <c r="AM227" s="127"/>
      <c r="AN227" s="142"/>
      <c r="AO227" s="142"/>
      <c r="AP227" s="29"/>
      <c r="AQ227" s="24"/>
      <c r="AR227" s="25"/>
      <c r="AS227" s="146"/>
      <c r="AT227" s="10">
        <v>5990</v>
      </c>
      <c r="AU227" s="10">
        <v>45000</v>
      </c>
      <c r="AV227" s="167">
        <v>34000</v>
      </c>
      <c r="AW227" s="168">
        <v>30000</v>
      </c>
      <c r="AX227" s="29">
        <f t="shared" si="372"/>
        <v>37500</v>
      </c>
      <c r="AY227" s="24">
        <f t="shared" si="373"/>
        <v>31510</v>
      </c>
      <c r="AZ227" s="25">
        <f t="shared" si="374"/>
        <v>5.2604340567612686</v>
      </c>
      <c r="BA227" s="24">
        <f t="shared" si="375"/>
        <v>28010</v>
      </c>
      <c r="BB227" s="169">
        <f t="shared" si="376"/>
        <v>4.6761268781302174</v>
      </c>
      <c r="BC227" s="170">
        <f t="shared" si="377"/>
        <v>37500</v>
      </c>
      <c r="BD227" s="150"/>
      <c r="BE227" s="150"/>
      <c r="BF227" s="150"/>
      <c r="BG227" s="150"/>
      <c r="BH227" s="150"/>
      <c r="BI227" s="150"/>
      <c r="BJ227" s="150"/>
      <c r="BK227" s="150"/>
      <c r="BL227" s="150"/>
      <c r="BM227" s="293"/>
      <c r="BN227" s="293"/>
      <c r="BO227" s="293"/>
      <c r="BP227" s="293"/>
      <c r="BQ227" s="293"/>
      <c r="BR227" s="293"/>
      <c r="BS227" s="293"/>
      <c r="BT227" s="293"/>
    </row>
    <row r="228" spans="1:72" s="1" customFormat="1" ht="37.35" customHeight="1">
      <c r="A228" s="91"/>
      <c r="B228" s="358" t="s">
        <v>2420</v>
      </c>
      <c r="C228" s="50" t="s">
        <v>880</v>
      </c>
      <c r="D228" s="177" t="s">
        <v>872</v>
      </c>
      <c r="E228" s="62" t="s">
        <v>13</v>
      </c>
      <c r="F228" s="10"/>
      <c r="G228" s="41"/>
      <c r="H228" s="31"/>
      <c r="I228" s="182"/>
      <c r="J228" s="29"/>
      <c r="K228" s="24"/>
      <c r="L228" s="25"/>
      <c r="M228" s="69"/>
      <c r="N228" s="77"/>
      <c r="O228" s="73"/>
      <c r="P228" s="74"/>
      <c r="Q228" s="74"/>
      <c r="R228" s="75"/>
      <c r="S228" s="61"/>
      <c r="T228" s="60"/>
      <c r="U228" s="74"/>
      <c r="V228" s="76"/>
      <c r="W228" s="24"/>
      <c r="X228" s="25"/>
      <c r="Y228" s="77"/>
      <c r="Z228" s="106"/>
      <c r="AA228" s="73"/>
      <c r="AB228" s="88"/>
      <c r="AC228" s="116"/>
      <c r="AD228" s="74"/>
      <c r="AE228" s="76"/>
      <c r="AF228" s="24"/>
      <c r="AG228" s="25"/>
      <c r="AH228" s="77"/>
      <c r="AI228" s="77"/>
      <c r="AJ228" s="73"/>
      <c r="AK228" s="79"/>
      <c r="AL228" s="79"/>
      <c r="AM228" s="127"/>
      <c r="AN228" s="142"/>
      <c r="AO228" s="142"/>
      <c r="AP228" s="29"/>
      <c r="AQ228" s="24"/>
      <c r="AR228" s="25"/>
      <c r="AS228" s="146"/>
      <c r="AT228" s="10">
        <v>59803</v>
      </c>
      <c r="AU228" s="10">
        <v>92316</v>
      </c>
      <c r="AV228" s="167">
        <v>92316</v>
      </c>
      <c r="AW228" s="168">
        <v>78569</v>
      </c>
      <c r="AX228" s="29">
        <f t="shared" si="372"/>
        <v>85442.5</v>
      </c>
      <c r="AY228" s="24">
        <f t="shared" si="373"/>
        <v>25639.5</v>
      </c>
      <c r="AZ228" s="25">
        <f t="shared" si="374"/>
        <v>0.42873267227396616</v>
      </c>
      <c r="BA228" s="24">
        <f t="shared" si="375"/>
        <v>32513</v>
      </c>
      <c r="BB228" s="169">
        <f t="shared" si="376"/>
        <v>0.54366837784057653</v>
      </c>
      <c r="BC228" s="170">
        <f t="shared" si="377"/>
        <v>85442.5</v>
      </c>
      <c r="BD228" s="150"/>
      <c r="BE228" s="150"/>
      <c r="BF228" s="150"/>
      <c r="BG228" s="150"/>
      <c r="BH228" s="150"/>
      <c r="BI228" s="150"/>
      <c r="BJ228" s="150"/>
      <c r="BK228" s="150"/>
      <c r="BL228" s="150"/>
      <c r="BM228" s="293"/>
      <c r="BN228" s="293"/>
      <c r="BO228" s="293"/>
      <c r="BP228" s="293"/>
      <c r="BQ228" s="293"/>
      <c r="BR228" s="293"/>
      <c r="BS228" s="293"/>
      <c r="BT228" s="293"/>
    </row>
    <row r="229" spans="1:72" s="1" customFormat="1" ht="37.35" customHeight="1">
      <c r="A229" s="91"/>
      <c r="B229" s="358" t="s">
        <v>2421</v>
      </c>
      <c r="C229" s="50" t="s">
        <v>881</v>
      </c>
      <c r="D229" s="177" t="s">
        <v>873</v>
      </c>
      <c r="E229" s="62" t="s">
        <v>14</v>
      </c>
      <c r="F229" s="10"/>
      <c r="G229" s="41"/>
      <c r="H229" s="31"/>
      <c r="I229" s="182"/>
      <c r="J229" s="29"/>
      <c r="K229" s="24"/>
      <c r="L229" s="25"/>
      <c r="M229" s="69"/>
      <c r="N229" s="77"/>
      <c r="O229" s="73"/>
      <c r="P229" s="74"/>
      <c r="Q229" s="74"/>
      <c r="R229" s="75"/>
      <c r="S229" s="61"/>
      <c r="T229" s="60"/>
      <c r="U229" s="74"/>
      <c r="V229" s="76"/>
      <c r="W229" s="24"/>
      <c r="X229" s="25"/>
      <c r="Y229" s="77"/>
      <c r="Z229" s="106"/>
      <c r="AA229" s="73"/>
      <c r="AB229" s="88"/>
      <c r="AC229" s="116"/>
      <c r="AD229" s="74"/>
      <c r="AE229" s="76"/>
      <c r="AF229" s="24"/>
      <c r="AG229" s="25"/>
      <c r="AH229" s="77"/>
      <c r="AI229" s="77"/>
      <c r="AJ229" s="73"/>
      <c r="AK229" s="79"/>
      <c r="AL229" s="79"/>
      <c r="AM229" s="127"/>
      <c r="AN229" s="142"/>
      <c r="AO229" s="142"/>
      <c r="AP229" s="29"/>
      <c r="AQ229" s="24"/>
      <c r="AR229" s="25"/>
      <c r="AS229" s="146"/>
      <c r="AT229" s="10">
        <v>569545</v>
      </c>
      <c r="AU229" s="10">
        <v>27554</v>
      </c>
      <c r="AV229" s="167">
        <v>27554</v>
      </c>
      <c r="AW229" s="168">
        <v>1125000</v>
      </c>
      <c r="AX229" s="29">
        <f t="shared" si="372"/>
        <v>576277</v>
      </c>
      <c r="AY229" s="24">
        <f t="shared" si="373"/>
        <v>6732</v>
      </c>
      <c r="AZ229" s="25">
        <f t="shared" si="374"/>
        <v>1.1819961548253431E-2</v>
      </c>
      <c r="BA229" s="24">
        <f t="shared" si="375"/>
        <v>-541991</v>
      </c>
      <c r="BB229" s="169">
        <f t="shared" si="376"/>
        <v>-0.95162103082284977</v>
      </c>
      <c r="BC229" s="170">
        <f t="shared" si="377"/>
        <v>576277</v>
      </c>
      <c r="BD229" s="150"/>
      <c r="BE229" s="150"/>
      <c r="BF229" s="150"/>
      <c r="BG229" s="150"/>
      <c r="BH229" s="150"/>
      <c r="BI229" s="150"/>
      <c r="BJ229" s="150"/>
      <c r="BK229" s="150"/>
      <c r="BL229" s="150"/>
      <c r="BM229" s="293"/>
      <c r="BN229" s="293"/>
      <c r="BO229" s="293"/>
      <c r="BP229" s="293"/>
      <c r="BQ229" s="293"/>
      <c r="BR229" s="293"/>
      <c r="BS229" s="293"/>
      <c r="BT229" s="293"/>
    </row>
    <row r="230" spans="1:72" s="1" customFormat="1" ht="37.35" customHeight="1">
      <c r="A230" s="91"/>
      <c r="B230" s="358" t="s">
        <v>2422</v>
      </c>
      <c r="C230" s="50" t="s">
        <v>2161</v>
      </c>
      <c r="D230" s="264" t="s">
        <v>1512</v>
      </c>
      <c r="E230" s="262" t="s">
        <v>827</v>
      </c>
      <c r="F230" s="10"/>
      <c r="G230" s="41"/>
      <c r="H230" s="31"/>
      <c r="I230" s="182"/>
      <c r="J230" s="29"/>
      <c r="K230" s="24"/>
      <c r="L230" s="25"/>
      <c r="M230" s="69"/>
      <c r="N230" s="77"/>
      <c r="O230" s="73"/>
      <c r="P230" s="74"/>
      <c r="Q230" s="74"/>
      <c r="R230" s="75"/>
      <c r="S230" s="61"/>
      <c r="T230" s="60"/>
      <c r="U230" s="74"/>
      <c r="V230" s="76"/>
      <c r="W230" s="24"/>
      <c r="X230" s="25"/>
      <c r="Y230" s="77"/>
      <c r="Z230" s="106"/>
      <c r="AA230" s="73"/>
      <c r="AB230" s="88"/>
      <c r="AC230" s="116"/>
      <c r="AD230" s="74"/>
      <c r="AE230" s="76"/>
      <c r="AF230" s="24"/>
      <c r="AG230" s="25"/>
      <c r="AH230" s="77"/>
      <c r="AI230" s="77"/>
      <c r="AJ230" s="73"/>
      <c r="AK230" s="79"/>
      <c r="AL230" s="79"/>
      <c r="AM230" s="127"/>
      <c r="AN230" s="142"/>
      <c r="AO230" s="142"/>
      <c r="AP230" s="29"/>
      <c r="AQ230" s="24"/>
      <c r="AR230" s="25"/>
      <c r="AS230" s="146"/>
      <c r="AT230" s="10"/>
      <c r="AU230" s="10"/>
      <c r="AV230" s="167"/>
      <c r="AW230" s="168"/>
      <c r="AX230" s="29"/>
      <c r="AY230" s="24"/>
      <c r="AZ230" s="25"/>
      <c r="BA230" s="24"/>
      <c r="BB230" s="169"/>
      <c r="BC230" s="170"/>
      <c r="BD230" s="10">
        <v>54629</v>
      </c>
      <c r="BE230" s="10">
        <v>62000</v>
      </c>
      <c r="BF230" s="10">
        <v>68000</v>
      </c>
      <c r="BG230" s="268">
        <v>65000</v>
      </c>
      <c r="BH230" s="10">
        <v>120000</v>
      </c>
      <c r="BI230" s="76">
        <f t="shared" ref="BI230:BI251" si="390">AVERAGE(BE230,BF230,BG230,BH230)</f>
        <v>78750</v>
      </c>
      <c r="BJ230" s="24">
        <f t="shared" ref="BJ230:BJ251" si="391">BI230-BD230</f>
        <v>24121</v>
      </c>
      <c r="BK230" s="25">
        <f t="shared" ref="BK230:BK251" si="392">+BJ230/BD230</f>
        <v>0.44154203811162568</v>
      </c>
      <c r="BL230" s="309">
        <f t="shared" ref="BL230:BL251" si="393">BI230</f>
        <v>78750</v>
      </c>
      <c r="BM230" s="293"/>
      <c r="BN230" s="293"/>
      <c r="BO230" s="293"/>
      <c r="BP230" s="293"/>
      <c r="BQ230" s="293"/>
      <c r="BR230" s="293"/>
      <c r="BS230" s="293"/>
      <c r="BT230" s="293"/>
    </row>
    <row r="231" spans="1:72" s="1" customFormat="1" ht="37.35" customHeight="1">
      <c r="A231" s="91"/>
      <c r="B231" s="358" t="s">
        <v>2423</v>
      </c>
      <c r="C231" s="50" t="s">
        <v>2162</v>
      </c>
      <c r="D231" s="264" t="s">
        <v>1513</v>
      </c>
      <c r="E231" s="262" t="s">
        <v>999</v>
      </c>
      <c r="F231" s="10"/>
      <c r="G231" s="41"/>
      <c r="H231" s="31"/>
      <c r="I231" s="182"/>
      <c r="J231" s="29"/>
      <c r="K231" s="24"/>
      <c r="L231" s="25"/>
      <c r="M231" s="69"/>
      <c r="N231" s="77"/>
      <c r="O231" s="73"/>
      <c r="P231" s="74"/>
      <c r="Q231" s="74"/>
      <c r="R231" s="75"/>
      <c r="S231" s="61"/>
      <c r="T231" s="60"/>
      <c r="U231" s="74"/>
      <c r="V231" s="76"/>
      <c r="W231" s="24"/>
      <c r="X231" s="25"/>
      <c r="Y231" s="77"/>
      <c r="Z231" s="106"/>
      <c r="AA231" s="73"/>
      <c r="AB231" s="88"/>
      <c r="AC231" s="116"/>
      <c r="AD231" s="74"/>
      <c r="AE231" s="76"/>
      <c r="AF231" s="24"/>
      <c r="AG231" s="25"/>
      <c r="AH231" s="77"/>
      <c r="AI231" s="77"/>
      <c r="AJ231" s="73"/>
      <c r="AK231" s="79"/>
      <c r="AL231" s="79"/>
      <c r="AM231" s="127"/>
      <c r="AN231" s="142"/>
      <c r="AO231" s="142"/>
      <c r="AP231" s="29"/>
      <c r="AQ231" s="24"/>
      <c r="AR231" s="25"/>
      <c r="AS231" s="146"/>
      <c r="AT231" s="10"/>
      <c r="AU231" s="10"/>
      <c r="AV231" s="167"/>
      <c r="AW231" s="168"/>
      <c r="AX231" s="29"/>
      <c r="AY231" s="24"/>
      <c r="AZ231" s="25"/>
      <c r="BA231" s="24"/>
      <c r="BB231" s="169"/>
      <c r="BC231" s="170"/>
      <c r="BD231" s="10">
        <v>45678</v>
      </c>
      <c r="BE231" s="10">
        <v>243000</v>
      </c>
      <c r="BF231" s="10">
        <v>250000</v>
      </c>
      <c r="BG231" s="268">
        <v>250000</v>
      </c>
      <c r="BH231" s="10">
        <v>250000</v>
      </c>
      <c r="BI231" s="76">
        <f t="shared" si="390"/>
        <v>248250</v>
      </c>
      <c r="BJ231" s="24">
        <f t="shared" si="391"/>
        <v>202572</v>
      </c>
      <c r="BK231" s="25">
        <f t="shared" si="392"/>
        <v>4.4347826086956523</v>
      </c>
      <c r="BL231" s="309">
        <f t="shared" si="393"/>
        <v>248250</v>
      </c>
      <c r="BM231" s="293"/>
      <c r="BN231" s="293"/>
      <c r="BO231" s="293"/>
      <c r="BP231" s="293"/>
      <c r="BQ231" s="293"/>
      <c r="BR231" s="293"/>
      <c r="BS231" s="293"/>
      <c r="BT231" s="293"/>
    </row>
    <row r="232" spans="1:72" s="1" customFormat="1" ht="37.35" customHeight="1">
      <c r="A232" s="91"/>
      <c r="B232" s="358" t="s">
        <v>2424</v>
      </c>
      <c r="C232" s="50" t="s">
        <v>2163</v>
      </c>
      <c r="D232" s="264" t="s">
        <v>1514</v>
      </c>
      <c r="E232" s="262" t="s">
        <v>827</v>
      </c>
      <c r="F232" s="10"/>
      <c r="G232" s="41"/>
      <c r="H232" s="31"/>
      <c r="I232" s="182"/>
      <c r="J232" s="29"/>
      <c r="K232" s="24"/>
      <c r="L232" s="25"/>
      <c r="M232" s="69"/>
      <c r="N232" s="77"/>
      <c r="O232" s="73"/>
      <c r="P232" s="74"/>
      <c r="Q232" s="74"/>
      <c r="R232" s="75"/>
      <c r="S232" s="61"/>
      <c r="T232" s="60"/>
      <c r="U232" s="74"/>
      <c r="V232" s="76"/>
      <c r="W232" s="24"/>
      <c r="X232" s="25"/>
      <c r="Y232" s="77"/>
      <c r="Z232" s="106"/>
      <c r="AA232" s="73"/>
      <c r="AB232" s="88"/>
      <c r="AC232" s="116"/>
      <c r="AD232" s="74"/>
      <c r="AE232" s="76"/>
      <c r="AF232" s="24"/>
      <c r="AG232" s="25"/>
      <c r="AH232" s="77"/>
      <c r="AI232" s="77"/>
      <c r="AJ232" s="73"/>
      <c r="AK232" s="79"/>
      <c r="AL232" s="79"/>
      <c r="AM232" s="127"/>
      <c r="AN232" s="142"/>
      <c r="AO232" s="142"/>
      <c r="AP232" s="29"/>
      <c r="AQ232" s="24"/>
      <c r="AR232" s="25"/>
      <c r="AS232" s="146"/>
      <c r="AT232" s="10"/>
      <c r="AU232" s="10"/>
      <c r="AV232" s="167"/>
      <c r="AW232" s="168"/>
      <c r="AX232" s="29"/>
      <c r="AY232" s="24"/>
      <c r="AZ232" s="25"/>
      <c r="BA232" s="24"/>
      <c r="BB232" s="169"/>
      <c r="BC232" s="170"/>
      <c r="BD232" s="10">
        <v>46285</v>
      </c>
      <c r="BE232" s="10">
        <v>43000</v>
      </c>
      <c r="BF232" s="10">
        <v>48000</v>
      </c>
      <c r="BG232" s="268">
        <v>45000</v>
      </c>
      <c r="BH232" s="10">
        <v>110000</v>
      </c>
      <c r="BI232" s="76">
        <f t="shared" si="390"/>
        <v>61500</v>
      </c>
      <c r="BJ232" s="24">
        <f t="shared" si="391"/>
        <v>15215</v>
      </c>
      <c r="BK232" s="25">
        <f t="shared" si="392"/>
        <v>0.32872420870692448</v>
      </c>
      <c r="BL232" s="309">
        <f t="shared" si="393"/>
        <v>61500</v>
      </c>
      <c r="BM232" s="293"/>
      <c r="BN232" s="293"/>
      <c r="BO232" s="293"/>
      <c r="BP232" s="293"/>
      <c r="BQ232" s="293"/>
      <c r="BR232" s="293"/>
      <c r="BS232" s="293"/>
      <c r="BT232" s="293"/>
    </row>
    <row r="233" spans="1:72" s="1" customFormat="1" ht="37.35" customHeight="1">
      <c r="A233" s="91"/>
      <c r="B233" s="358" t="s">
        <v>2425</v>
      </c>
      <c r="C233" s="50" t="s">
        <v>2164</v>
      </c>
      <c r="D233" s="264" t="s">
        <v>1515</v>
      </c>
      <c r="E233" s="262" t="s">
        <v>827</v>
      </c>
      <c r="F233" s="10"/>
      <c r="G233" s="41"/>
      <c r="H233" s="31"/>
      <c r="I233" s="182"/>
      <c r="J233" s="29"/>
      <c r="K233" s="24"/>
      <c r="L233" s="25"/>
      <c r="M233" s="69"/>
      <c r="N233" s="77"/>
      <c r="O233" s="73"/>
      <c r="P233" s="74"/>
      <c r="Q233" s="74"/>
      <c r="R233" s="75"/>
      <c r="S233" s="61"/>
      <c r="T233" s="60"/>
      <c r="U233" s="74"/>
      <c r="V233" s="76"/>
      <c r="W233" s="24"/>
      <c r="X233" s="25"/>
      <c r="Y233" s="77"/>
      <c r="Z233" s="106"/>
      <c r="AA233" s="73"/>
      <c r="AB233" s="88"/>
      <c r="AC233" s="116"/>
      <c r="AD233" s="74"/>
      <c r="AE233" s="76"/>
      <c r="AF233" s="24"/>
      <c r="AG233" s="25"/>
      <c r="AH233" s="77"/>
      <c r="AI233" s="77"/>
      <c r="AJ233" s="73"/>
      <c r="AK233" s="79"/>
      <c r="AL233" s="79"/>
      <c r="AM233" s="127"/>
      <c r="AN233" s="142"/>
      <c r="AO233" s="142"/>
      <c r="AP233" s="29"/>
      <c r="AQ233" s="24"/>
      <c r="AR233" s="25"/>
      <c r="AS233" s="146"/>
      <c r="AT233" s="10"/>
      <c r="AU233" s="10"/>
      <c r="AV233" s="167"/>
      <c r="AW233" s="168"/>
      <c r="AX233" s="29"/>
      <c r="AY233" s="24"/>
      <c r="AZ233" s="25"/>
      <c r="BA233" s="24"/>
      <c r="BB233" s="169"/>
      <c r="BC233" s="170"/>
      <c r="BD233" s="10">
        <v>62545</v>
      </c>
      <c r="BE233" s="10">
        <v>92000</v>
      </c>
      <c r="BF233" s="10">
        <v>98000</v>
      </c>
      <c r="BG233" s="268">
        <v>95000</v>
      </c>
      <c r="BH233" s="10">
        <v>100000</v>
      </c>
      <c r="BI233" s="76">
        <f t="shared" si="390"/>
        <v>96250</v>
      </c>
      <c r="BJ233" s="24">
        <f t="shared" si="391"/>
        <v>33705</v>
      </c>
      <c r="BK233" s="25">
        <f t="shared" si="392"/>
        <v>0.53889199776161167</v>
      </c>
      <c r="BL233" s="309">
        <f t="shared" si="393"/>
        <v>96250</v>
      </c>
      <c r="BM233" s="293"/>
      <c r="BN233" s="293"/>
      <c r="BO233" s="293"/>
      <c r="BP233" s="293"/>
      <c r="BQ233" s="293"/>
      <c r="BR233" s="293"/>
      <c r="BS233" s="293"/>
      <c r="BT233" s="293"/>
    </row>
    <row r="234" spans="1:72" s="1" customFormat="1" ht="37.35" customHeight="1">
      <c r="A234" s="91"/>
      <c r="B234" s="358" t="s">
        <v>2426</v>
      </c>
      <c r="C234" s="50" t="s">
        <v>2165</v>
      </c>
      <c r="D234" s="264" t="s">
        <v>1516</v>
      </c>
      <c r="E234" s="262" t="s">
        <v>999</v>
      </c>
      <c r="F234" s="10"/>
      <c r="G234" s="41"/>
      <c r="H234" s="31"/>
      <c r="I234" s="182"/>
      <c r="J234" s="29"/>
      <c r="K234" s="24"/>
      <c r="L234" s="25"/>
      <c r="M234" s="69"/>
      <c r="N234" s="77"/>
      <c r="O234" s="73"/>
      <c r="P234" s="74"/>
      <c r="Q234" s="74"/>
      <c r="R234" s="75"/>
      <c r="S234" s="61"/>
      <c r="T234" s="60"/>
      <c r="U234" s="74"/>
      <c r="V234" s="76"/>
      <c r="W234" s="24"/>
      <c r="X234" s="25"/>
      <c r="Y234" s="77"/>
      <c r="Z234" s="106"/>
      <c r="AA234" s="73"/>
      <c r="AB234" s="88"/>
      <c r="AC234" s="116"/>
      <c r="AD234" s="74"/>
      <c r="AE234" s="76"/>
      <c r="AF234" s="24"/>
      <c r="AG234" s="25"/>
      <c r="AH234" s="77"/>
      <c r="AI234" s="77"/>
      <c r="AJ234" s="73"/>
      <c r="AK234" s="79"/>
      <c r="AL234" s="79"/>
      <c r="AM234" s="127"/>
      <c r="AN234" s="142"/>
      <c r="AO234" s="142"/>
      <c r="AP234" s="29"/>
      <c r="AQ234" s="24"/>
      <c r="AR234" s="25"/>
      <c r="AS234" s="146"/>
      <c r="AT234" s="10"/>
      <c r="AU234" s="10"/>
      <c r="AV234" s="167"/>
      <c r="AW234" s="168"/>
      <c r="AX234" s="29"/>
      <c r="AY234" s="24"/>
      <c r="AZ234" s="25"/>
      <c r="BA234" s="24"/>
      <c r="BB234" s="169"/>
      <c r="BC234" s="170"/>
      <c r="BD234" s="10">
        <v>107368</v>
      </c>
      <c r="BE234" s="10">
        <v>80000</v>
      </c>
      <c r="BF234" s="10">
        <v>85000</v>
      </c>
      <c r="BG234" s="268">
        <v>85000</v>
      </c>
      <c r="BH234" s="10">
        <v>100000</v>
      </c>
      <c r="BI234" s="76">
        <f t="shared" si="390"/>
        <v>87500</v>
      </c>
      <c r="BJ234" s="24">
        <f t="shared" si="391"/>
        <v>-19868</v>
      </c>
      <c r="BK234" s="25">
        <f t="shared" si="392"/>
        <v>-0.18504582370911257</v>
      </c>
      <c r="BL234" s="309">
        <f t="shared" si="393"/>
        <v>87500</v>
      </c>
      <c r="BM234" s="293"/>
      <c r="BN234" s="293"/>
      <c r="BO234" s="293"/>
      <c r="BP234" s="293"/>
      <c r="BQ234" s="293"/>
      <c r="BR234" s="293"/>
      <c r="BS234" s="293"/>
      <c r="BT234" s="293"/>
    </row>
    <row r="235" spans="1:72" s="1" customFormat="1" ht="37.35" customHeight="1">
      <c r="A235" s="91"/>
      <c r="B235" s="358" t="s">
        <v>2427</v>
      </c>
      <c r="C235" s="50" t="s">
        <v>2166</v>
      </c>
      <c r="D235" s="264" t="s">
        <v>1517</v>
      </c>
      <c r="E235" s="262" t="s">
        <v>827</v>
      </c>
      <c r="F235" s="10"/>
      <c r="G235" s="41"/>
      <c r="H235" s="31"/>
      <c r="I235" s="182"/>
      <c r="J235" s="29"/>
      <c r="K235" s="24"/>
      <c r="L235" s="25"/>
      <c r="M235" s="69"/>
      <c r="N235" s="77"/>
      <c r="O235" s="73"/>
      <c r="P235" s="74"/>
      <c r="Q235" s="74"/>
      <c r="R235" s="75"/>
      <c r="S235" s="61"/>
      <c r="T235" s="60"/>
      <c r="U235" s="74"/>
      <c r="V235" s="76"/>
      <c r="W235" s="24"/>
      <c r="X235" s="25"/>
      <c r="Y235" s="77"/>
      <c r="Z235" s="106"/>
      <c r="AA235" s="73"/>
      <c r="AB235" s="88"/>
      <c r="AC235" s="116"/>
      <c r="AD235" s="74"/>
      <c r="AE235" s="76"/>
      <c r="AF235" s="24"/>
      <c r="AG235" s="25"/>
      <c r="AH235" s="77"/>
      <c r="AI235" s="77"/>
      <c r="AJ235" s="73"/>
      <c r="AK235" s="79"/>
      <c r="AL235" s="79"/>
      <c r="AM235" s="127"/>
      <c r="AN235" s="142"/>
      <c r="AO235" s="142"/>
      <c r="AP235" s="29"/>
      <c r="AQ235" s="24"/>
      <c r="AR235" s="25"/>
      <c r="AS235" s="146"/>
      <c r="AT235" s="10"/>
      <c r="AU235" s="10"/>
      <c r="AV235" s="167"/>
      <c r="AW235" s="168"/>
      <c r="AX235" s="29"/>
      <c r="AY235" s="24"/>
      <c r="AZ235" s="25"/>
      <c r="BA235" s="24"/>
      <c r="BB235" s="169"/>
      <c r="BC235" s="170"/>
      <c r="BD235" s="10">
        <v>5420</v>
      </c>
      <c r="BE235" s="10">
        <v>32000</v>
      </c>
      <c r="BF235" s="10">
        <v>38000</v>
      </c>
      <c r="BG235" s="268">
        <v>35000</v>
      </c>
      <c r="BH235" s="10">
        <v>45000</v>
      </c>
      <c r="BI235" s="76">
        <f t="shared" si="390"/>
        <v>37500</v>
      </c>
      <c r="BJ235" s="24">
        <f t="shared" si="391"/>
        <v>32080</v>
      </c>
      <c r="BK235" s="25">
        <f t="shared" si="392"/>
        <v>5.9188191881918817</v>
      </c>
      <c r="BL235" s="309">
        <f t="shared" si="393"/>
        <v>37500</v>
      </c>
      <c r="BM235" s="293"/>
      <c r="BN235" s="293"/>
      <c r="BO235" s="293"/>
      <c r="BP235" s="293"/>
      <c r="BQ235" s="293"/>
      <c r="BR235" s="293"/>
      <c r="BS235" s="293"/>
      <c r="BT235" s="293"/>
    </row>
    <row r="236" spans="1:72" s="1" customFormat="1" ht="37.35" customHeight="1">
      <c r="A236" s="91"/>
      <c r="B236" s="358" t="s">
        <v>2428</v>
      </c>
      <c r="C236" s="50" t="s">
        <v>2167</v>
      </c>
      <c r="D236" s="264" t="s">
        <v>1518</v>
      </c>
      <c r="E236" s="262" t="s">
        <v>999</v>
      </c>
      <c r="F236" s="10"/>
      <c r="G236" s="41"/>
      <c r="H236" s="31"/>
      <c r="I236" s="182"/>
      <c r="J236" s="29"/>
      <c r="K236" s="24"/>
      <c r="L236" s="25"/>
      <c r="M236" s="69"/>
      <c r="N236" s="77"/>
      <c r="O236" s="73"/>
      <c r="P236" s="74"/>
      <c r="Q236" s="74"/>
      <c r="R236" s="75"/>
      <c r="S236" s="61"/>
      <c r="T236" s="60"/>
      <c r="U236" s="74"/>
      <c r="V236" s="76"/>
      <c r="W236" s="24"/>
      <c r="X236" s="25"/>
      <c r="Y236" s="77"/>
      <c r="Z236" s="106"/>
      <c r="AA236" s="73"/>
      <c r="AB236" s="88"/>
      <c r="AC236" s="116"/>
      <c r="AD236" s="74"/>
      <c r="AE236" s="76"/>
      <c r="AF236" s="24"/>
      <c r="AG236" s="25"/>
      <c r="AH236" s="77"/>
      <c r="AI236" s="77"/>
      <c r="AJ236" s="73"/>
      <c r="AK236" s="79"/>
      <c r="AL236" s="79"/>
      <c r="AM236" s="127"/>
      <c r="AN236" s="142"/>
      <c r="AO236" s="142"/>
      <c r="AP236" s="29"/>
      <c r="AQ236" s="24"/>
      <c r="AR236" s="25"/>
      <c r="AS236" s="146"/>
      <c r="AT236" s="10"/>
      <c r="AU236" s="10"/>
      <c r="AV236" s="167"/>
      <c r="AW236" s="168"/>
      <c r="AX236" s="29"/>
      <c r="AY236" s="24"/>
      <c r="AZ236" s="25"/>
      <c r="BA236" s="24"/>
      <c r="BB236" s="169"/>
      <c r="BC236" s="170"/>
      <c r="BD236" s="10">
        <v>15738</v>
      </c>
      <c r="BE236" s="10">
        <v>90000</v>
      </c>
      <c r="BF236" s="10">
        <v>98000</v>
      </c>
      <c r="BG236" s="268">
        <v>95000</v>
      </c>
      <c r="BH236" s="10">
        <v>100000</v>
      </c>
      <c r="BI236" s="76">
        <f t="shared" si="390"/>
        <v>95750</v>
      </c>
      <c r="BJ236" s="24">
        <f t="shared" si="391"/>
        <v>80012</v>
      </c>
      <c r="BK236" s="25">
        <f t="shared" si="392"/>
        <v>5.0840005083238022</v>
      </c>
      <c r="BL236" s="309">
        <f t="shared" si="393"/>
        <v>95750</v>
      </c>
      <c r="BM236" s="293"/>
      <c r="BN236" s="293"/>
      <c r="BO236" s="293"/>
      <c r="BP236" s="293"/>
      <c r="BQ236" s="293"/>
      <c r="BR236" s="293"/>
      <c r="BS236" s="293"/>
      <c r="BT236" s="293"/>
    </row>
    <row r="237" spans="1:72" s="1" customFormat="1" ht="37.35" customHeight="1">
      <c r="A237" s="91"/>
      <c r="B237" s="358" t="s">
        <v>2429</v>
      </c>
      <c r="C237" s="50" t="s">
        <v>2168</v>
      </c>
      <c r="D237" s="264" t="s">
        <v>1519</v>
      </c>
      <c r="E237" s="262" t="s">
        <v>999</v>
      </c>
      <c r="F237" s="10"/>
      <c r="G237" s="41"/>
      <c r="H237" s="31"/>
      <c r="I237" s="182"/>
      <c r="J237" s="29"/>
      <c r="K237" s="24"/>
      <c r="L237" s="25"/>
      <c r="M237" s="69"/>
      <c r="N237" s="77"/>
      <c r="O237" s="73"/>
      <c r="P237" s="74"/>
      <c r="Q237" s="74"/>
      <c r="R237" s="75"/>
      <c r="S237" s="61"/>
      <c r="T237" s="60"/>
      <c r="U237" s="74"/>
      <c r="V237" s="76"/>
      <c r="W237" s="24"/>
      <c r="X237" s="25"/>
      <c r="Y237" s="77"/>
      <c r="Z237" s="106"/>
      <c r="AA237" s="73"/>
      <c r="AB237" s="88"/>
      <c r="AC237" s="116"/>
      <c r="AD237" s="74"/>
      <c r="AE237" s="76"/>
      <c r="AF237" s="24"/>
      <c r="AG237" s="25"/>
      <c r="AH237" s="77"/>
      <c r="AI237" s="77"/>
      <c r="AJ237" s="73"/>
      <c r="AK237" s="79"/>
      <c r="AL237" s="79"/>
      <c r="AM237" s="127"/>
      <c r="AN237" s="142"/>
      <c r="AO237" s="142"/>
      <c r="AP237" s="29"/>
      <c r="AQ237" s="24"/>
      <c r="AR237" s="25"/>
      <c r="AS237" s="146"/>
      <c r="AT237" s="10"/>
      <c r="AU237" s="10"/>
      <c r="AV237" s="167"/>
      <c r="AW237" s="168"/>
      <c r="AX237" s="29"/>
      <c r="AY237" s="24"/>
      <c r="AZ237" s="25"/>
      <c r="BA237" s="24"/>
      <c r="BB237" s="169"/>
      <c r="BC237" s="170"/>
      <c r="BD237" s="10">
        <v>52512</v>
      </c>
      <c r="BE237" s="10">
        <v>32000</v>
      </c>
      <c r="BF237" s="10">
        <v>36000</v>
      </c>
      <c r="BG237" s="268">
        <v>35000</v>
      </c>
      <c r="BH237" s="10">
        <v>45000</v>
      </c>
      <c r="BI237" s="76">
        <f t="shared" si="390"/>
        <v>37000</v>
      </c>
      <c r="BJ237" s="24">
        <f t="shared" si="391"/>
        <v>-15512</v>
      </c>
      <c r="BK237" s="25">
        <f t="shared" si="392"/>
        <v>-0.29539914686166974</v>
      </c>
      <c r="BL237" s="309">
        <f t="shared" si="393"/>
        <v>37000</v>
      </c>
      <c r="BM237" s="293"/>
      <c r="BN237" s="293"/>
      <c r="BO237" s="293"/>
      <c r="BP237" s="293"/>
      <c r="BQ237" s="293"/>
      <c r="BR237" s="293"/>
      <c r="BS237" s="293"/>
      <c r="BT237" s="293"/>
    </row>
    <row r="238" spans="1:72" s="1" customFormat="1" ht="37.35" customHeight="1">
      <c r="A238" s="91"/>
      <c r="B238" s="358" t="s">
        <v>2430</v>
      </c>
      <c r="C238" s="50" t="s">
        <v>2169</v>
      </c>
      <c r="D238" s="264" t="s">
        <v>1520</v>
      </c>
      <c r="E238" s="262" t="s">
        <v>999</v>
      </c>
      <c r="F238" s="10"/>
      <c r="G238" s="41"/>
      <c r="H238" s="31"/>
      <c r="I238" s="182"/>
      <c r="J238" s="29"/>
      <c r="K238" s="24"/>
      <c r="L238" s="25"/>
      <c r="M238" s="69"/>
      <c r="N238" s="77"/>
      <c r="O238" s="73"/>
      <c r="P238" s="74"/>
      <c r="Q238" s="74"/>
      <c r="R238" s="75"/>
      <c r="S238" s="61"/>
      <c r="T238" s="60"/>
      <c r="U238" s="74"/>
      <c r="V238" s="76"/>
      <c r="W238" s="24"/>
      <c r="X238" s="25"/>
      <c r="Y238" s="77"/>
      <c r="Z238" s="106"/>
      <c r="AA238" s="73"/>
      <c r="AB238" s="88"/>
      <c r="AC238" s="116"/>
      <c r="AD238" s="74"/>
      <c r="AE238" s="76"/>
      <c r="AF238" s="24"/>
      <c r="AG238" s="25"/>
      <c r="AH238" s="77"/>
      <c r="AI238" s="77"/>
      <c r="AJ238" s="73"/>
      <c r="AK238" s="79"/>
      <c r="AL238" s="79"/>
      <c r="AM238" s="127"/>
      <c r="AN238" s="142"/>
      <c r="AO238" s="142"/>
      <c r="AP238" s="29"/>
      <c r="AQ238" s="24"/>
      <c r="AR238" s="25"/>
      <c r="AS238" s="146"/>
      <c r="AT238" s="10"/>
      <c r="AU238" s="10"/>
      <c r="AV238" s="167"/>
      <c r="AW238" s="168"/>
      <c r="AX238" s="29"/>
      <c r="AY238" s="24"/>
      <c r="AZ238" s="25"/>
      <c r="BA238" s="24"/>
      <c r="BB238" s="169"/>
      <c r="BC238" s="170"/>
      <c r="BD238" s="10">
        <v>16764</v>
      </c>
      <c r="BE238" s="10">
        <v>13000</v>
      </c>
      <c r="BF238" s="10">
        <v>18000</v>
      </c>
      <c r="BG238" s="268">
        <v>15000</v>
      </c>
      <c r="BH238" s="10">
        <v>15000</v>
      </c>
      <c r="BI238" s="76">
        <f t="shared" si="390"/>
        <v>15250</v>
      </c>
      <c r="BJ238" s="24">
        <f t="shared" si="391"/>
        <v>-1514</v>
      </c>
      <c r="BK238" s="25">
        <f t="shared" si="392"/>
        <v>-9.0312574564543072E-2</v>
      </c>
      <c r="BL238" s="309">
        <f t="shared" si="393"/>
        <v>15250</v>
      </c>
      <c r="BM238" s="293"/>
      <c r="BN238" s="293"/>
      <c r="BO238" s="293"/>
      <c r="BP238" s="293"/>
      <c r="BQ238" s="293"/>
      <c r="BR238" s="293"/>
      <c r="BS238" s="293"/>
      <c r="BT238" s="293"/>
    </row>
    <row r="239" spans="1:72" s="1" customFormat="1" ht="37.35" customHeight="1">
      <c r="A239" s="91"/>
      <c r="B239" s="358" t="s">
        <v>2431</v>
      </c>
      <c r="C239" s="50" t="s">
        <v>2170</v>
      </c>
      <c r="D239" s="264" t="s">
        <v>1521</v>
      </c>
      <c r="E239" s="262" t="s">
        <v>999</v>
      </c>
      <c r="F239" s="10"/>
      <c r="G239" s="41"/>
      <c r="H239" s="31"/>
      <c r="I239" s="182"/>
      <c r="J239" s="29"/>
      <c r="K239" s="24"/>
      <c r="L239" s="25"/>
      <c r="M239" s="69"/>
      <c r="N239" s="77"/>
      <c r="O239" s="73"/>
      <c r="P239" s="74"/>
      <c r="Q239" s="74"/>
      <c r="R239" s="75"/>
      <c r="S239" s="61"/>
      <c r="T239" s="60"/>
      <c r="U239" s="74"/>
      <c r="V239" s="76"/>
      <c r="W239" s="24"/>
      <c r="X239" s="25"/>
      <c r="Y239" s="77"/>
      <c r="Z239" s="106"/>
      <c r="AA239" s="73"/>
      <c r="AB239" s="88"/>
      <c r="AC239" s="116"/>
      <c r="AD239" s="74"/>
      <c r="AE239" s="76"/>
      <c r="AF239" s="24"/>
      <c r="AG239" s="25"/>
      <c r="AH239" s="77"/>
      <c r="AI239" s="77"/>
      <c r="AJ239" s="73"/>
      <c r="AK239" s="79"/>
      <c r="AL239" s="79"/>
      <c r="AM239" s="127"/>
      <c r="AN239" s="142"/>
      <c r="AO239" s="142"/>
      <c r="AP239" s="29"/>
      <c r="AQ239" s="24"/>
      <c r="AR239" s="25"/>
      <c r="AS239" s="146"/>
      <c r="AT239" s="10"/>
      <c r="AU239" s="10"/>
      <c r="AV239" s="167"/>
      <c r="AW239" s="168"/>
      <c r="AX239" s="29"/>
      <c r="AY239" s="24"/>
      <c r="AZ239" s="25"/>
      <c r="BA239" s="24"/>
      <c r="BB239" s="169"/>
      <c r="BC239" s="170"/>
      <c r="BD239" s="10">
        <v>50955</v>
      </c>
      <c r="BE239" s="10">
        <v>180000</v>
      </c>
      <c r="BF239" s="10">
        <v>190000</v>
      </c>
      <c r="BG239" s="268">
        <v>185000</v>
      </c>
      <c r="BH239" s="10">
        <v>200000</v>
      </c>
      <c r="BI239" s="76">
        <f t="shared" si="390"/>
        <v>188750</v>
      </c>
      <c r="BJ239" s="24">
        <f t="shared" si="391"/>
        <v>137795</v>
      </c>
      <c r="BK239" s="25">
        <f t="shared" si="392"/>
        <v>2.7042488470218822</v>
      </c>
      <c r="BL239" s="309">
        <f t="shared" si="393"/>
        <v>188750</v>
      </c>
      <c r="BM239" s="293"/>
      <c r="BN239" s="293"/>
      <c r="BO239" s="293"/>
      <c r="BP239" s="293"/>
      <c r="BQ239" s="293"/>
      <c r="BR239" s="293"/>
      <c r="BS239" s="293"/>
      <c r="BT239" s="293"/>
    </row>
    <row r="240" spans="1:72" s="1" customFormat="1" ht="37.35" customHeight="1">
      <c r="A240" s="91"/>
      <c r="B240" s="358" t="s">
        <v>2432</v>
      </c>
      <c r="C240" s="50" t="s">
        <v>2171</v>
      </c>
      <c r="D240" s="264" t="s">
        <v>1522</v>
      </c>
      <c r="E240" s="262" t="s">
        <v>1426</v>
      </c>
      <c r="F240" s="10"/>
      <c r="G240" s="41"/>
      <c r="H240" s="31"/>
      <c r="I240" s="182"/>
      <c r="J240" s="29"/>
      <c r="K240" s="24"/>
      <c r="L240" s="25"/>
      <c r="M240" s="69"/>
      <c r="N240" s="77"/>
      <c r="O240" s="73"/>
      <c r="P240" s="74"/>
      <c r="Q240" s="74"/>
      <c r="R240" s="75"/>
      <c r="S240" s="61"/>
      <c r="T240" s="60"/>
      <c r="U240" s="74"/>
      <c r="V240" s="76"/>
      <c r="W240" s="24"/>
      <c r="X240" s="25"/>
      <c r="Y240" s="77"/>
      <c r="Z240" s="106"/>
      <c r="AA240" s="73"/>
      <c r="AB240" s="88"/>
      <c r="AC240" s="116"/>
      <c r="AD240" s="74"/>
      <c r="AE240" s="76"/>
      <c r="AF240" s="24"/>
      <c r="AG240" s="25"/>
      <c r="AH240" s="77"/>
      <c r="AI240" s="77"/>
      <c r="AJ240" s="73"/>
      <c r="AK240" s="79"/>
      <c r="AL240" s="79"/>
      <c r="AM240" s="127"/>
      <c r="AN240" s="142"/>
      <c r="AO240" s="142"/>
      <c r="AP240" s="29"/>
      <c r="AQ240" s="24"/>
      <c r="AR240" s="25"/>
      <c r="AS240" s="146"/>
      <c r="AT240" s="10"/>
      <c r="AU240" s="10"/>
      <c r="AV240" s="167"/>
      <c r="AW240" s="168"/>
      <c r="AX240" s="29"/>
      <c r="AY240" s="24"/>
      <c r="AZ240" s="25"/>
      <c r="BA240" s="24"/>
      <c r="BB240" s="169"/>
      <c r="BC240" s="170"/>
      <c r="BD240" s="10">
        <v>2692665</v>
      </c>
      <c r="BE240" s="10">
        <v>930000</v>
      </c>
      <c r="BF240" s="10">
        <v>950000</v>
      </c>
      <c r="BG240" s="268">
        <v>940000</v>
      </c>
      <c r="BH240" s="10" t="s">
        <v>1421</v>
      </c>
      <c r="BI240" s="76">
        <f t="shared" si="390"/>
        <v>940000</v>
      </c>
      <c r="BJ240" s="24">
        <f t="shared" si="391"/>
        <v>-1752665</v>
      </c>
      <c r="BK240" s="25">
        <f t="shared" si="392"/>
        <v>-0.65090347295337514</v>
      </c>
      <c r="BL240" s="309">
        <f t="shared" si="393"/>
        <v>940000</v>
      </c>
      <c r="BM240" s="293"/>
      <c r="BN240" s="293"/>
      <c r="BO240" s="293"/>
      <c r="BP240" s="293"/>
      <c r="BQ240" s="293"/>
      <c r="BR240" s="293"/>
      <c r="BS240" s="293"/>
      <c r="BT240" s="293"/>
    </row>
    <row r="241" spans="1:72" s="1" customFormat="1" ht="37.35" customHeight="1">
      <c r="A241" s="91"/>
      <c r="B241" s="358" t="s">
        <v>2433</v>
      </c>
      <c r="C241" s="50" t="s">
        <v>2172</v>
      </c>
      <c r="D241" s="264" t="s">
        <v>1523</v>
      </c>
      <c r="E241" s="262" t="s">
        <v>999</v>
      </c>
      <c r="F241" s="10"/>
      <c r="G241" s="41"/>
      <c r="H241" s="31"/>
      <c r="I241" s="182"/>
      <c r="J241" s="29"/>
      <c r="K241" s="24"/>
      <c r="L241" s="25"/>
      <c r="M241" s="69"/>
      <c r="N241" s="77"/>
      <c r="O241" s="73"/>
      <c r="P241" s="74"/>
      <c r="Q241" s="74"/>
      <c r="R241" s="75"/>
      <c r="S241" s="61"/>
      <c r="T241" s="60"/>
      <c r="U241" s="74"/>
      <c r="V241" s="76"/>
      <c r="W241" s="24"/>
      <c r="X241" s="25"/>
      <c r="Y241" s="77"/>
      <c r="Z241" s="106"/>
      <c r="AA241" s="73"/>
      <c r="AB241" s="88"/>
      <c r="AC241" s="116"/>
      <c r="AD241" s="74"/>
      <c r="AE241" s="76"/>
      <c r="AF241" s="24"/>
      <c r="AG241" s="25"/>
      <c r="AH241" s="77"/>
      <c r="AI241" s="77"/>
      <c r="AJ241" s="73"/>
      <c r="AK241" s="79"/>
      <c r="AL241" s="79"/>
      <c r="AM241" s="127"/>
      <c r="AN241" s="142"/>
      <c r="AO241" s="142"/>
      <c r="AP241" s="29"/>
      <c r="AQ241" s="24"/>
      <c r="AR241" s="25"/>
      <c r="AS241" s="146"/>
      <c r="AT241" s="10"/>
      <c r="AU241" s="10"/>
      <c r="AV241" s="167"/>
      <c r="AW241" s="168"/>
      <c r="AX241" s="29"/>
      <c r="AY241" s="24"/>
      <c r="AZ241" s="25"/>
      <c r="BA241" s="24"/>
      <c r="BB241" s="169"/>
      <c r="BC241" s="170"/>
      <c r="BD241" s="10">
        <v>433002</v>
      </c>
      <c r="BE241" s="10">
        <v>160000</v>
      </c>
      <c r="BF241" s="10">
        <v>168000</v>
      </c>
      <c r="BG241" s="268">
        <v>165000</v>
      </c>
      <c r="BH241" s="10" t="s">
        <v>1421</v>
      </c>
      <c r="BI241" s="76">
        <f t="shared" si="390"/>
        <v>164333.33333333334</v>
      </c>
      <c r="BJ241" s="24">
        <f t="shared" si="391"/>
        <v>-268668.66666666663</v>
      </c>
      <c r="BK241" s="25">
        <f t="shared" si="392"/>
        <v>-0.62047904320688274</v>
      </c>
      <c r="BL241" s="309">
        <f t="shared" si="393"/>
        <v>164333.33333333334</v>
      </c>
      <c r="BM241" s="293"/>
      <c r="BN241" s="293"/>
      <c r="BO241" s="293"/>
      <c r="BP241" s="293"/>
      <c r="BQ241" s="293"/>
      <c r="BR241" s="293"/>
      <c r="BS241" s="293"/>
      <c r="BT241" s="293"/>
    </row>
    <row r="242" spans="1:72" s="1" customFormat="1" ht="37.35" customHeight="1">
      <c r="A242" s="91"/>
      <c r="B242" s="358" t="s">
        <v>2434</v>
      </c>
      <c r="C242" s="50" t="s">
        <v>2173</v>
      </c>
      <c r="D242" s="264" t="s">
        <v>1524</v>
      </c>
      <c r="E242" s="262" t="s">
        <v>1426</v>
      </c>
      <c r="F242" s="10"/>
      <c r="G242" s="41"/>
      <c r="H242" s="31"/>
      <c r="I242" s="182"/>
      <c r="J242" s="29"/>
      <c r="K242" s="24"/>
      <c r="L242" s="25"/>
      <c r="M242" s="69"/>
      <c r="N242" s="77"/>
      <c r="O242" s="73"/>
      <c r="P242" s="74"/>
      <c r="Q242" s="74"/>
      <c r="R242" s="75"/>
      <c r="S242" s="61"/>
      <c r="T242" s="60"/>
      <c r="U242" s="74"/>
      <c r="V242" s="76"/>
      <c r="W242" s="24"/>
      <c r="X242" s="25"/>
      <c r="Y242" s="77"/>
      <c r="Z242" s="106"/>
      <c r="AA242" s="73"/>
      <c r="AB242" s="88"/>
      <c r="AC242" s="116"/>
      <c r="AD242" s="74"/>
      <c r="AE242" s="76"/>
      <c r="AF242" s="24"/>
      <c r="AG242" s="25"/>
      <c r="AH242" s="77"/>
      <c r="AI242" s="77"/>
      <c r="AJ242" s="73"/>
      <c r="AK242" s="79"/>
      <c r="AL242" s="79"/>
      <c r="AM242" s="127"/>
      <c r="AN242" s="142"/>
      <c r="AO242" s="142"/>
      <c r="AP242" s="29"/>
      <c r="AQ242" s="24"/>
      <c r="AR242" s="25"/>
      <c r="AS242" s="146"/>
      <c r="AT242" s="10"/>
      <c r="AU242" s="10"/>
      <c r="AV242" s="167"/>
      <c r="AW242" s="168"/>
      <c r="AX242" s="29"/>
      <c r="AY242" s="24"/>
      <c r="AZ242" s="25"/>
      <c r="BA242" s="24"/>
      <c r="BB242" s="169"/>
      <c r="BC242" s="170"/>
      <c r="BD242" s="10">
        <v>92926</v>
      </c>
      <c r="BE242" s="10">
        <v>160000</v>
      </c>
      <c r="BF242" s="10">
        <v>168000</v>
      </c>
      <c r="BG242" s="268">
        <v>165000</v>
      </c>
      <c r="BH242" s="10" t="s">
        <v>1421</v>
      </c>
      <c r="BI242" s="76">
        <f t="shared" si="390"/>
        <v>164333.33333333334</v>
      </c>
      <c r="BJ242" s="24">
        <f t="shared" si="391"/>
        <v>71407.333333333343</v>
      </c>
      <c r="BK242" s="25">
        <f t="shared" si="392"/>
        <v>0.76843222922899235</v>
      </c>
      <c r="BL242" s="309">
        <f t="shared" si="393"/>
        <v>164333.33333333334</v>
      </c>
      <c r="BM242" s="293"/>
      <c r="BN242" s="293"/>
      <c r="BO242" s="293"/>
      <c r="BP242" s="293"/>
      <c r="BQ242" s="293"/>
      <c r="BR242" s="293"/>
      <c r="BS242" s="293"/>
      <c r="BT242" s="293"/>
    </row>
    <row r="243" spans="1:72" s="1" customFormat="1" ht="37.35" customHeight="1">
      <c r="A243" s="91"/>
      <c r="B243" s="358" t="s">
        <v>2435</v>
      </c>
      <c r="C243" s="50" t="s">
        <v>2174</v>
      </c>
      <c r="D243" s="264" t="s">
        <v>1525</v>
      </c>
      <c r="E243" s="262" t="s">
        <v>999</v>
      </c>
      <c r="F243" s="10"/>
      <c r="G243" s="41"/>
      <c r="H243" s="31"/>
      <c r="I243" s="182"/>
      <c r="J243" s="29"/>
      <c r="K243" s="24"/>
      <c r="L243" s="25"/>
      <c r="M243" s="69"/>
      <c r="N243" s="77"/>
      <c r="O243" s="73"/>
      <c r="P243" s="74"/>
      <c r="Q243" s="74"/>
      <c r="R243" s="75"/>
      <c r="S243" s="61"/>
      <c r="T243" s="60"/>
      <c r="U243" s="74"/>
      <c r="V243" s="76"/>
      <c r="W243" s="24"/>
      <c r="X243" s="25"/>
      <c r="Y243" s="77"/>
      <c r="Z243" s="106"/>
      <c r="AA243" s="73"/>
      <c r="AB243" s="88"/>
      <c r="AC243" s="116"/>
      <c r="AD243" s="74"/>
      <c r="AE243" s="76"/>
      <c r="AF243" s="24"/>
      <c r="AG243" s="25"/>
      <c r="AH243" s="77"/>
      <c r="AI243" s="77"/>
      <c r="AJ243" s="73"/>
      <c r="AK243" s="79"/>
      <c r="AL243" s="79"/>
      <c r="AM243" s="127"/>
      <c r="AN243" s="142"/>
      <c r="AO243" s="142"/>
      <c r="AP243" s="29"/>
      <c r="AQ243" s="24"/>
      <c r="AR243" s="25"/>
      <c r="AS243" s="146"/>
      <c r="AT243" s="10"/>
      <c r="AU243" s="10"/>
      <c r="AV243" s="167"/>
      <c r="AW243" s="168"/>
      <c r="AX243" s="29"/>
      <c r="AY243" s="24"/>
      <c r="AZ243" s="25"/>
      <c r="BA243" s="24"/>
      <c r="BB243" s="169"/>
      <c r="BC243" s="170"/>
      <c r="BD243" s="10">
        <v>21089</v>
      </c>
      <c r="BE243" s="10">
        <v>35000</v>
      </c>
      <c r="BF243" s="10">
        <v>41000</v>
      </c>
      <c r="BG243" s="268">
        <v>38000</v>
      </c>
      <c r="BH243" s="10">
        <v>45000</v>
      </c>
      <c r="BI243" s="76">
        <f t="shared" si="390"/>
        <v>39750</v>
      </c>
      <c r="BJ243" s="24">
        <f t="shared" si="391"/>
        <v>18661</v>
      </c>
      <c r="BK243" s="25">
        <f t="shared" si="392"/>
        <v>0.88486888899426241</v>
      </c>
      <c r="BL243" s="309">
        <f t="shared" si="393"/>
        <v>39750</v>
      </c>
      <c r="BM243" s="293"/>
      <c r="BN243" s="293"/>
      <c r="BO243" s="293"/>
      <c r="BP243" s="293"/>
      <c r="BQ243" s="293"/>
      <c r="BR243" s="293"/>
      <c r="BS243" s="293"/>
      <c r="BT243" s="293"/>
    </row>
    <row r="244" spans="1:72" s="1" customFormat="1" ht="37.35" customHeight="1">
      <c r="A244" s="91"/>
      <c r="B244" s="358" t="s">
        <v>2436</v>
      </c>
      <c r="C244" s="50" t="s">
        <v>2175</v>
      </c>
      <c r="D244" s="264" t="s">
        <v>1526</v>
      </c>
      <c r="E244" s="262" t="s">
        <v>999</v>
      </c>
      <c r="F244" s="10"/>
      <c r="G244" s="41"/>
      <c r="H244" s="31"/>
      <c r="I244" s="182"/>
      <c r="J244" s="29"/>
      <c r="K244" s="24"/>
      <c r="L244" s="25"/>
      <c r="M244" s="69"/>
      <c r="N244" s="77"/>
      <c r="O244" s="73"/>
      <c r="P244" s="74"/>
      <c r="Q244" s="74"/>
      <c r="R244" s="75"/>
      <c r="S244" s="61"/>
      <c r="T244" s="60"/>
      <c r="U244" s="74"/>
      <c r="V244" s="76"/>
      <c r="W244" s="24"/>
      <c r="X244" s="25"/>
      <c r="Y244" s="77"/>
      <c r="Z244" s="106"/>
      <c r="AA244" s="73"/>
      <c r="AB244" s="88"/>
      <c r="AC244" s="116"/>
      <c r="AD244" s="74"/>
      <c r="AE244" s="76"/>
      <c r="AF244" s="24"/>
      <c r="AG244" s="25"/>
      <c r="AH244" s="77"/>
      <c r="AI244" s="77"/>
      <c r="AJ244" s="73"/>
      <c r="AK244" s="79"/>
      <c r="AL244" s="79"/>
      <c r="AM244" s="127"/>
      <c r="AN244" s="142"/>
      <c r="AO244" s="142"/>
      <c r="AP244" s="29"/>
      <c r="AQ244" s="24"/>
      <c r="AR244" s="25"/>
      <c r="AS244" s="146"/>
      <c r="AT244" s="10"/>
      <c r="AU244" s="10"/>
      <c r="AV244" s="167"/>
      <c r="AW244" s="168"/>
      <c r="AX244" s="29"/>
      <c r="AY244" s="24"/>
      <c r="AZ244" s="25"/>
      <c r="BA244" s="24"/>
      <c r="BB244" s="169"/>
      <c r="BC244" s="170"/>
      <c r="BD244" s="10">
        <v>41440</v>
      </c>
      <c r="BE244" s="10">
        <v>82000</v>
      </c>
      <c r="BF244" s="10">
        <v>88000</v>
      </c>
      <c r="BG244" s="268">
        <v>85000</v>
      </c>
      <c r="BH244" s="10">
        <v>100000</v>
      </c>
      <c r="BI244" s="76">
        <f t="shared" si="390"/>
        <v>88750</v>
      </c>
      <c r="BJ244" s="24">
        <f t="shared" si="391"/>
        <v>47310</v>
      </c>
      <c r="BK244" s="25">
        <f t="shared" si="392"/>
        <v>1.1416505791505791</v>
      </c>
      <c r="BL244" s="309">
        <f t="shared" si="393"/>
        <v>88750</v>
      </c>
      <c r="BM244" s="293"/>
      <c r="BN244" s="293"/>
      <c r="BO244" s="293"/>
      <c r="BP244" s="293"/>
      <c r="BQ244" s="293"/>
      <c r="BR244" s="293"/>
      <c r="BS244" s="293"/>
      <c r="BT244" s="293"/>
    </row>
    <row r="245" spans="1:72" s="1" customFormat="1" ht="37.35" customHeight="1">
      <c r="A245" s="91"/>
      <c r="B245" s="358" t="s">
        <v>2437</v>
      </c>
      <c r="C245" s="50" t="s">
        <v>2176</v>
      </c>
      <c r="D245" s="264" t="s">
        <v>1527</v>
      </c>
      <c r="E245" s="262" t="s">
        <v>999</v>
      </c>
      <c r="F245" s="10"/>
      <c r="G245" s="41"/>
      <c r="H245" s="31"/>
      <c r="I245" s="182"/>
      <c r="J245" s="29"/>
      <c r="K245" s="24"/>
      <c r="L245" s="25"/>
      <c r="M245" s="69"/>
      <c r="N245" s="77"/>
      <c r="O245" s="73"/>
      <c r="P245" s="74"/>
      <c r="Q245" s="74"/>
      <c r="R245" s="75"/>
      <c r="S245" s="61"/>
      <c r="T245" s="60"/>
      <c r="U245" s="74"/>
      <c r="V245" s="76"/>
      <c r="W245" s="24"/>
      <c r="X245" s="25"/>
      <c r="Y245" s="77"/>
      <c r="Z245" s="106"/>
      <c r="AA245" s="73"/>
      <c r="AB245" s="88"/>
      <c r="AC245" s="116"/>
      <c r="AD245" s="74"/>
      <c r="AE245" s="76"/>
      <c r="AF245" s="24"/>
      <c r="AG245" s="25"/>
      <c r="AH245" s="77"/>
      <c r="AI245" s="77"/>
      <c r="AJ245" s="73"/>
      <c r="AK245" s="79"/>
      <c r="AL245" s="79"/>
      <c r="AM245" s="127"/>
      <c r="AN245" s="142"/>
      <c r="AO245" s="142"/>
      <c r="AP245" s="29"/>
      <c r="AQ245" s="24"/>
      <c r="AR245" s="25"/>
      <c r="AS245" s="146"/>
      <c r="AT245" s="10"/>
      <c r="AU245" s="10"/>
      <c r="AV245" s="167"/>
      <c r="AW245" s="168"/>
      <c r="AX245" s="29"/>
      <c r="AY245" s="24"/>
      <c r="AZ245" s="25"/>
      <c r="BA245" s="24"/>
      <c r="BB245" s="169"/>
      <c r="BC245" s="170"/>
      <c r="BD245" s="10">
        <v>107367</v>
      </c>
      <c r="BE245" s="10">
        <v>16000</v>
      </c>
      <c r="BF245" s="10">
        <v>19000</v>
      </c>
      <c r="BG245" s="268">
        <v>18000</v>
      </c>
      <c r="BH245" s="10">
        <v>25000</v>
      </c>
      <c r="BI245" s="76">
        <f t="shared" si="390"/>
        <v>19500</v>
      </c>
      <c r="BJ245" s="24">
        <f t="shared" si="391"/>
        <v>-87867</v>
      </c>
      <c r="BK245" s="25">
        <f t="shared" si="392"/>
        <v>-0.81837994914638579</v>
      </c>
      <c r="BL245" s="309">
        <f t="shared" si="393"/>
        <v>19500</v>
      </c>
      <c r="BM245" s="293"/>
      <c r="BN245" s="293"/>
      <c r="BO245" s="293"/>
      <c r="BP245" s="293"/>
      <c r="BQ245" s="293"/>
      <c r="BR245" s="293"/>
      <c r="BS245" s="293"/>
      <c r="BT245" s="293"/>
    </row>
    <row r="246" spans="1:72" s="1" customFormat="1" ht="37.35" customHeight="1">
      <c r="A246" s="91"/>
      <c r="B246" s="358" t="s">
        <v>2438</v>
      </c>
      <c r="C246" s="50" t="s">
        <v>2177</v>
      </c>
      <c r="D246" s="264" t="s">
        <v>1528</v>
      </c>
      <c r="E246" s="262" t="s">
        <v>999</v>
      </c>
      <c r="F246" s="10"/>
      <c r="G246" s="41"/>
      <c r="H246" s="31"/>
      <c r="I246" s="182"/>
      <c r="J246" s="29"/>
      <c r="K246" s="24"/>
      <c r="L246" s="25"/>
      <c r="M246" s="69"/>
      <c r="N246" s="77"/>
      <c r="O246" s="73"/>
      <c r="P246" s="74"/>
      <c r="Q246" s="74"/>
      <c r="R246" s="75"/>
      <c r="S246" s="61"/>
      <c r="T246" s="60"/>
      <c r="U246" s="74"/>
      <c r="V246" s="76"/>
      <c r="W246" s="24"/>
      <c r="X246" s="25"/>
      <c r="Y246" s="77"/>
      <c r="Z246" s="106"/>
      <c r="AA246" s="73"/>
      <c r="AB246" s="88"/>
      <c r="AC246" s="116"/>
      <c r="AD246" s="74"/>
      <c r="AE246" s="76"/>
      <c r="AF246" s="24"/>
      <c r="AG246" s="25"/>
      <c r="AH246" s="77"/>
      <c r="AI246" s="77"/>
      <c r="AJ246" s="73"/>
      <c r="AK246" s="79"/>
      <c r="AL246" s="79"/>
      <c r="AM246" s="127"/>
      <c r="AN246" s="142"/>
      <c r="AO246" s="142"/>
      <c r="AP246" s="29"/>
      <c r="AQ246" s="24"/>
      <c r="AR246" s="25"/>
      <c r="AS246" s="146"/>
      <c r="AT246" s="10"/>
      <c r="AU246" s="10"/>
      <c r="AV246" s="167"/>
      <c r="AW246" s="168"/>
      <c r="AX246" s="29"/>
      <c r="AY246" s="24"/>
      <c r="AZ246" s="25"/>
      <c r="BA246" s="24"/>
      <c r="BB246" s="169"/>
      <c r="BC246" s="170"/>
      <c r="BD246" s="10">
        <v>320754</v>
      </c>
      <c r="BE246" s="10">
        <v>700000</v>
      </c>
      <c r="BF246" s="10">
        <v>715000</v>
      </c>
      <c r="BG246" s="268">
        <v>710000</v>
      </c>
      <c r="BH246" s="10" t="s">
        <v>1421</v>
      </c>
      <c r="BI246" s="76">
        <f t="shared" si="390"/>
        <v>708333.33333333337</v>
      </c>
      <c r="BJ246" s="24">
        <f t="shared" si="391"/>
        <v>387579.33333333337</v>
      </c>
      <c r="BK246" s="25">
        <f t="shared" si="392"/>
        <v>1.2083382696188774</v>
      </c>
      <c r="BL246" s="309">
        <f t="shared" si="393"/>
        <v>708333.33333333337</v>
      </c>
      <c r="BM246" s="293"/>
      <c r="BN246" s="293"/>
      <c r="BO246" s="293"/>
      <c r="BP246" s="293"/>
      <c r="BQ246" s="293"/>
      <c r="BR246" s="293"/>
      <c r="BS246" s="293"/>
      <c r="BT246" s="293"/>
    </row>
    <row r="247" spans="1:72" s="1" customFormat="1" ht="37.35" customHeight="1">
      <c r="A247" s="91"/>
      <c r="B247" s="358" t="s">
        <v>2439</v>
      </c>
      <c r="C247" s="50" t="s">
        <v>2178</v>
      </c>
      <c r="D247" s="264" t="s">
        <v>1529</v>
      </c>
      <c r="E247" s="262" t="s">
        <v>999</v>
      </c>
      <c r="F247" s="10"/>
      <c r="G247" s="41"/>
      <c r="H247" s="31"/>
      <c r="I247" s="182"/>
      <c r="J247" s="29"/>
      <c r="K247" s="24"/>
      <c r="L247" s="25"/>
      <c r="M247" s="69"/>
      <c r="N247" s="77"/>
      <c r="O247" s="73"/>
      <c r="P247" s="74"/>
      <c r="Q247" s="74"/>
      <c r="R247" s="75"/>
      <c r="S247" s="61"/>
      <c r="T247" s="60"/>
      <c r="U247" s="74"/>
      <c r="V247" s="76"/>
      <c r="W247" s="24"/>
      <c r="X247" s="25"/>
      <c r="Y247" s="77"/>
      <c r="Z247" s="106"/>
      <c r="AA247" s="73"/>
      <c r="AB247" s="88"/>
      <c r="AC247" s="116"/>
      <c r="AD247" s="74"/>
      <c r="AE247" s="76"/>
      <c r="AF247" s="24"/>
      <c r="AG247" s="25"/>
      <c r="AH247" s="77"/>
      <c r="AI247" s="77"/>
      <c r="AJ247" s="73"/>
      <c r="AK247" s="79"/>
      <c r="AL247" s="79"/>
      <c r="AM247" s="127"/>
      <c r="AN247" s="142"/>
      <c r="AO247" s="142"/>
      <c r="AP247" s="29"/>
      <c r="AQ247" s="24"/>
      <c r="AR247" s="25"/>
      <c r="AS247" s="146"/>
      <c r="AT247" s="10"/>
      <c r="AU247" s="10"/>
      <c r="AV247" s="167"/>
      <c r="AW247" s="168"/>
      <c r="AX247" s="29"/>
      <c r="AY247" s="24"/>
      <c r="AZ247" s="25"/>
      <c r="BA247" s="24"/>
      <c r="BB247" s="169"/>
      <c r="BC247" s="170"/>
      <c r="BD247" s="10">
        <v>97426</v>
      </c>
      <c r="BE247" s="10">
        <v>240000</v>
      </c>
      <c r="BF247" s="10">
        <v>248000</v>
      </c>
      <c r="BG247" s="268">
        <v>245000</v>
      </c>
      <c r="BH247" s="10" t="s">
        <v>1421</v>
      </c>
      <c r="BI247" s="76">
        <f t="shared" si="390"/>
        <v>244333.33333333334</v>
      </c>
      <c r="BJ247" s="24">
        <f t="shared" si="391"/>
        <v>146907.33333333334</v>
      </c>
      <c r="BK247" s="25">
        <f t="shared" si="392"/>
        <v>1.5078863274006256</v>
      </c>
      <c r="BL247" s="309">
        <f t="shared" si="393"/>
        <v>244333.33333333334</v>
      </c>
      <c r="BM247" s="293"/>
      <c r="BN247" s="293"/>
      <c r="BO247" s="293"/>
      <c r="BP247" s="293"/>
      <c r="BQ247" s="293"/>
      <c r="BR247" s="293"/>
      <c r="BS247" s="293"/>
      <c r="BT247" s="293"/>
    </row>
    <row r="248" spans="1:72" s="1" customFormat="1" ht="37.35" customHeight="1">
      <c r="A248" s="91"/>
      <c r="B248" s="358" t="s">
        <v>2440</v>
      </c>
      <c r="C248" s="50" t="s">
        <v>2179</v>
      </c>
      <c r="D248" s="264" t="s">
        <v>1530</v>
      </c>
      <c r="E248" s="262" t="s">
        <v>999</v>
      </c>
      <c r="F248" s="10"/>
      <c r="G248" s="41"/>
      <c r="H248" s="31"/>
      <c r="I248" s="182"/>
      <c r="J248" s="29"/>
      <c r="K248" s="24"/>
      <c r="L248" s="25"/>
      <c r="M248" s="69"/>
      <c r="N248" s="77"/>
      <c r="O248" s="73"/>
      <c r="P248" s="74"/>
      <c r="Q248" s="74"/>
      <c r="R248" s="75"/>
      <c r="S248" s="61"/>
      <c r="T248" s="60"/>
      <c r="U248" s="74"/>
      <c r="V248" s="76"/>
      <c r="W248" s="24"/>
      <c r="X248" s="25"/>
      <c r="Y248" s="77"/>
      <c r="Z248" s="106"/>
      <c r="AA248" s="73"/>
      <c r="AB248" s="88"/>
      <c r="AC248" s="116"/>
      <c r="AD248" s="74"/>
      <c r="AE248" s="76"/>
      <c r="AF248" s="24"/>
      <c r="AG248" s="25"/>
      <c r="AH248" s="77"/>
      <c r="AI248" s="77"/>
      <c r="AJ248" s="73"/>
      <c r="AK248" s="79"/>
      <c r="AL248" s="79"/>
      <c r="AM248" s="127"/>
      <c r="AN248" s="142"/>
      <c r="AO248" s="142"/>
      <c r="AP248" s="29"/>
      <c r="AQ248" s="24"/>
      <c r="AR248" s="25"/>
      <c r="AS248" s="146"/>
      <c r="AT248" s="10"/>
      <c r="AU248" s="10"/>
      <c r="AV248" s="167"/>
      <c r="AW248" s="168"/>
      <c r="AX248" s="29"/>
      <c r="AY248" s="24"/>
      <c r="AZ248" s="25"/>
      <c r="BA248" s="24"/>
      <c r="BB248" s="169"/>
      <c r="BC248" s="170"/>
      <c r="BD248" s="10">
        <v>171820</v>
      </c>
      <c r="BE248" s="10">
        <v>240000</v>
      </c>
      <c r="BF248" s="10">
        <v>248000</v>
      </c>
      <c r="BG248" s="268">
        <v>245000</v>
      </c>
      <c r="BH248" s="10">
        <v>250000</v>
      </c>
      <c r="BI248" s="76">
        <f t="shared" si="390"/>
        <v>245750</v>
      </c>
      <c r="BJ248" s="24">
        <f t="shared" si="391"/>
        <v>73930</v>
      </c>
      <c r="BK248" s="25">
        <f t="shared" si="392"/>
        <v>0.43027587009661272</v>
      </c>
      <c r="BL248" s="309">
        <f t="shared" si="393"/>
        <v>245750</v>
      </c>
      <c r="BM248" s="293"/>
      <c r="BN248" s="293"/>
      <c r="BO248" s="293"/>
      <c r="BP248" s="293"/>
      <c r="BQ248" s="293"/>
      <c r="BR248" s="293"/>
      <c r="BS248" s="293"/>
      <c r="BT248" s="293"/>
    </row>
    <row r="249" spans="1:72" s="1" customFormat="1" ht="37.35" customHeight="1">
      <c r="A249" s="91"/>
      <c r="B249" s="358" t="s">
        <v>2441</v>
      </c>
      <c r="C249" s="50" t="s">
        <v>2180</v>
      </c>
      <c r="D249" s="264" t="s">
        <v>1531</v>
      </c>
      <c r="E249" s="262" t="s">
        <v>999</v>
      </c>
      <c r="F249" s="10"/>
      <c r="G249" s="41"/>
      <c r="H249" s="31"/>
      <c r="I249" s="182"/>
      <c r="J249" s="29"/>
      <c r="K249" s="24"/>
      <c r="L249" s="25"/>
      <c r="M249" s="69"/>
      <c r="N249" s="77"/>
      <c r="O249" s="73"/>
      <c r="P249" s="74"/>
      <c r="Q249" s="74"/>
      <c r="R249" s="75"/>
      <c r="S249" s="61"/>
      <c r="T249" s="60"/>
      <c r="U249" s="74"/>
      <c r="V249" s="76"/>
      <c r="W249" s="24"/>
      <c r="X249" s="25"/>
      <c r="Y249" s="77"/>
      <c r="Z249" s="106"/>
      <c r="AA249" s="73"/>
      <c r="AB249" s="88"/>
      <c r="AC249" s="116"/>
      <c r="AD249" s="74"/>
      <c r="AE249" s="76"/>
      <c r="AF249" s="24"/>
      <c r="AG249" s="25"/>
      <c r="AH249" s="77"/>
      <c r="AI249" s="77"/>
      <c r="AJ249" s="73"/>
      <c r="AK249" s="79"/>
      <c r="AL249" s="79"/>
      <c r="AM249" s="127"/>
      <c r="AN249" s="142"/>
      <c r="AO249" s="142"/>
      <c r="AP249" s="29"/>
      <c r="AQ249" s="24"/>
      <c r="AR249" s="25"/>
      <c r="AS249" s="146"/>
      <c r="AT249" s="10"/>
      <c r="AU249" s="10"/>
      <c r="AV249" s="167"/>
      <c r="AW249" s="168"/>
      <c r="AX249" s="29"/>
      <c r="AY249" s="24"/>
      <c r="AZ249" s="25"/>
      <c r="BA249" s="24"/>
      <c r="BB249" s="169"/>
      <c r="BC249" s="170"/>
      <c r="BD249" s="10">
        <v>65780</v>
      </c>
      <c r="BE249" s="10">
        <v>120000</v>
      </c>
      <c r="BF249" s="10">
        <v>126000</v>
      </c>
      <c r="BG249" s="268">
        <v>125000</v>
      </c>
      <c r="BH249" s="10" t="s">
        <v>1421</v>
      </c>
      <c r="BI249" s="76">
        <f t="shared" si="390"/>
        <v>123666.66666666667</v>
      </c>
      <c r="BJ249" s="24">
        <f t="shared" si="391"/>
        <v>57886.666666666672</v>
      </c>
      <c r="BK249" s="25">
        <f t="shared" si="392"/>
        <v>0.88000405391709746</v>
      </c>
      <c r="BL249" s="309">
        <f t="shared" si="393"/>
        <v>123666.66666666667</v>
      </c>
      <c r="BM249" s="293"/>
      <c r="BN249" s="293"/>
      <c r="BO249" s="293"/>
      <c r="BP249" s="293"/>
      <c r="BQ249" s="293"/>
      <c r="BR249" s="293"/>
      <c r="BS249" s="293"/>
      <c r="BT249" s="293"/>
    </row>
    <row r="250" spans="1:72" s="1" customFormat="1" ht="37.35" customHeight="1">
      <c r="A250" s="91"/>
      <c r="B250" s="358" t="s">
        <v>2442</v>
      </c>
      <c r="C250" s="50" t="s">
        <v>2181</v>
      </c>
      <c r="D250" s="264" t="s">
        <v>1532</v>
      </c>
      <c r="E250" s="262" t="s">
        <v>999</v>
      </c>
      <c r="F250" s="10"/>
      <c r="G250" s="41"/>
      <c r="H250" s="31"/>
      <c r="I250" s="182"/>
      <c r="J250" s="29"/>
      <c r="K250" s="24"/>
      <c r="L250" s="25"/>
      <c r="M250" s="69"/>
      <c r="N250" s="77"/>
      <c r="O250" s="73"/>
      <c r="P250" s="74"/>
      <c r="Q250" s="74"/>
      <c r="R250" s="75"/>
      <c r="S250" s="61"/>
      <c r="T250" s="60"/>
      <c r="U250" s="74"/>
      <c r="V250" s="76"/>
      <c r="W250" s="24"/>
      <c r="X250" s="25"/>
      <c r="Y250" s="77"/>
      <c r="Z250" s="106"/>
      <c r="AA250" s="73"/>
      <c r="AB250" s="88"/>
      <c r="AC250" s="116"/>
      <c r="AD250" s="74"/>
      <c r="AE250" s="76"/>
      <c r="AF250" s="24"/>
      <c r="AG250" s="25"/>
      <c r="AH250" s="77"/>
      <c r="AI250" s="77"/>
      <c r="AJ250" s="73"/>
      <c r="AK250" s="79"/>
      <c r="AL250" s="79"/>
      <c r="AM250" s="127"/>
      <c r="AN250" s="142"/>
      <c r="AO250" s="142"/>
      <c r="AP250" s="29"/>
      <c r="AQ250" s="24"/>
      <c r="AR250" s="25"/>
      <c r="AS250" s="146"/>
      <c r="AT250" s="10"/>
      <c r="AU250" s="10"/>
      <c r="AV250" s="167"/>
      <c r="AW250" s="168"/>
      <c r="AX250" s="29"/>
      <c r="AY250" s="24"/>
      <c r="AZ250" s="25"/>
      <c r="BA250" s="24"/>
      <c r="BB250" s="169"/>
      <c r="BC250" s="170"/>
      <c r="BD250" s="10">
        <v>60776</v>
      </c>
      <c r="BE250" s="10">
        <v>90000</v>
      </c>
      <c r="BF250" s="10">
        <v>95000</v>
      </c>
      <c r="BG250" s="268">
        <v>95000</v>
      </c>
      <c r="BH250" s="10" t="s">
        <v>1421</v>
      </c>
      <c r="BI250" s="76">
        <f t="shared" si="390"/>
        <v>93333.333333333328</v>
      </c>
      <c r="BJ250" s="24">
        <f t="shared" si="391"/>
        <v>32557.333333333328</v>
      </c>
      <c r="BK250" s="25">
        <f t="shared" si="392"/>
        <v>0.53569391426440249</v>
      </c>
      <c r="BL250" s="309">
        <f t="shared" si="393"/>
        <v>93333.333333333328</v>
      </c>
      <c r="BM250" s="293"/>
      <c r="BN250" s="293"/>
      <c r="BO250" s="293"/>
      <c r="BP250" s="293"/>
      <c r="BQ250" s="293"/>
      <c r="BR250" s="293"/>
      <c r="BS250" s="293"/>
      <c r="BT250" s="293"/>
    </row>
    <row r="251" spans="1:72" s="1" customFormat="1" ht="37.35" customHeight="1">
      <c r="A251" s="91"/>
      <c r="B251" s="358" t="s">
        <v>2443</v>
      </c>
      <c r="C251" s="50" t="s">
        <v>2182</v>
      </c>
      <c r="D251" s="264" t="s">
        <v>1533</v>
      </c>
      <c r="E251" s="262" t="s">
        <v>999</v>
      </c>
      <c r="F251" s="10"/>
      <c r="G251" s="41"/>
      <c r="H251" s="31"/>
      <c r="I251" s="182"/>
      <c r="J251" s="29"/>
      <c r="K251" s="24"/>
      <c r="L251" s="25"/>
      <c r="M251" s="69"/>
      <c r="N251" s="77"/>
      <c r="O251" s="73"/>
      <c r="P251" s="74"/>
      <c r="Q251" s="74"/>
      <c r="R251" s="75"/>
      <c r="S251" s="61"/>
      <c r="T251" s="60"/>
      <c r="U251" s="74"/>
      <c r="V251" s="76"/>
      <c r="W251" s="24"/>
      <c r="X251" s="25"/>
      <c r="Y251" s="77"/>
      <c r="Z251" s="106"/>
      <c r="AA251" s="73"/>
      <c r="AB251" s="88"/>
      <c r="AC251" s="116"/>
      <c r="AD251" s="74"/>
      <c r="AE251" s="76"/>
      <c r="AF251" s="24"/>
      <c r="AG251" s="25"/>
      <c r="AH251" s="77"/>
      <c r="AI251" s="77"/>
      <c r="AJ251" s="73"/>
      <c r="AK251" s="79"/>
      <c r="AL251" s="79"/>
      <c r="AM251" s="127"/>
      <c r="AN251" s="142"/>
      <c r="AO251" s="142"/>
      <c r="AP251" s="29"/>
      <c r="AQ251" s="24"/>
      <c r="AR251" s="25"/>
      <c r="AS251" s="146"/>
      <c r="AT251" s="10"/>
      <c r="AU251" s="10"/>
      <c r="AV251" s="167"/>
      <c r="AW251" s="168"/>
      <c r="AX251" s="29"/>
      <c r="AY251" s="24"/>
      <c r="AZ251" s="25"/>
      <c r="BA251" s="24"/>
      <c r="BB251" s="169"/>
      <c r="BC251" s="170"/>
      <c r="BD251" s="10">
        <v>31224</v>
      </c>
      <c r="BE251" s="10">
        <v>60000</v>
      </c>
      <c r="BF251" s="10">
        <v>66000</v>
      </c>
      <c r="BG251" s="268">
        <v>65000</v>
      </c>
      <c r="BH251" s="10" t="s">
        <v>1421</v>
      </c>
      <c r="BI251" s="76">
        <f t="shared" si="390"/>
        <v>63666.666666666664</v>
      </c>
      <c r="BJ251" s="24">
        <f t="shared" si="391"/>
        <v>32442.666666666664</v>
      </c>
      <c r="BK251" s="25">
        <f t="shared" si="392"/>
        <v>1.0390298061320351</v>
      </c>
      <c r="BL251" s="309">
        <f t="shared" si="393"/>
        <v>63666.666666666664</v>
      </c>
      <c r="BM251" s="293"/>
      <c r="BN251" s="293"/>
      <c r="BO251" s="293"/>
      <c r="BP251" s="293"/>
      <c r="BQ251" s="293"/>
      <c r="BR251" s="293"/>
      <c r="BS251" s="293"/>
      <c r="BT251" s="293"/>
    </row>
    <row r="252" spans="1:72" s="1" customFormat="1" ht="24.6" customHeight="1">
      <c r="A252" s="91" t="s">
        <v>514</v>
      </c>
      <c r="B252" s="358" t="s">
        <v>2444</v>
      </c>
      <c r="C252" s="252" t="s">
        <v>753</v>
      </c>
      <c r="D252" s="100" t="s">
        <v>514</v>
      </c>
      <c r="E252" s="47"/>
      <c r="F252" s="47"/>
      <c r="G252" s="47"/>
      <c r="H252" s="47"/>
      <c r="I252" s="47"/>
      <c r="J252" s="47"/>
      <c r="K252" s="47"/>
      <c r="L252" s="47"/>
      <c r="M252" s="91"/>
      <c r="N252" s="47"/>
      <c r="O252" s="47"/>
      <c r="P252" s="47"/>
      <c r="Q252" s="47"/>
      <c r="R252" s="47"/>
      <c r="S252" s="47"/>
      <c r="T252" s="47"/>
      <c r="U252" s="47"/>
      <c r="V252" s="47"/>
      <c r="W252" s="47"/>
      <c r="X252" s="47"/>
      <c r="Y252" s="47"/>
      <c r="Z252" s="47"/>
      <c r="AA252" s="47"/>
      <c r="AB252" s="47"/>
      <c r="AC252" s="47"/>
      <c r="AD252" s="47"/>
      <c r="AE252" s="47"/>
      <c r="AF252" s="47"/>
      <c r="AG252" s="47"/>
      <c r="AH252" s="47"/>
      <c r="AI252" s="47"/>
      <c r="AJ252" s="147"/>
      <c r="AK252" s="148"/>
      <c r="AL252" s="148"/>
      <c r="AM252" s="149"/>
      <c r="AN252" s="148"/>
      <c r="AO252" s="148"/>
      <c r="AP252" s="133"/>
      <c r="AQ252" s="127"/>
      <c r="AR252" s="134"/>
      <c r="AS252" s="132"/>
      <c r="AT252" s="173"/>
      <c r="AU252" s="173"/>
      <c r="AV252" s="174"/>
      <c r="AW252" s="175"/>
      <c r="AX252" s="29"/>
      <c r="AY252" s="24"/>
      <c r="AZ252" s="25"/>
      <c r="BA252" s="24"/>
      <c r="BB252" s="169"/>
      <c r="BC252" s="170"/>
      <c r="BD252" s="173"/>
      <c r="BE252" s="173"/>
      <c r="BF252" s="173"/>
      <c r="BG252" s="274"/>
      <c r="BH252" s="266"/>
      <c r="BI252" s="76"/>
      <c r="BJ252" s="24"/>
      <c r="BK252" s="25"/>
      <c r="BL252" s="259"/>
      <c r="BM252" s="323"/>
      <c r="BN252" s="324"/>
      <c r="BO252" s="324"/>
      <c r="BP252" s="323"/>
      <c r="BQ252" s="29"/>
      <c r="BR252" s="24"/>
      <c r="BS252" s="25"/>
      <c r="BT252" s="308">
        <f t="shared" ref="BT252:BT271" si="394">BQ252</f>
        <v>0</v>
      </c>
    </row>
    <row r="253" spans="1:72" ht="45.6" customHeight="1">
      <c r="A253" s="91" t="s">
        <v>514</v>
      </c>
      <c r="B253" s="358" t="s">
        <v>2445</v>
      </c>
      <c r="C253" s="50" t="s">
        <v>173</v>
      </c>
      <c r="D253" s="99" t="s">
        <v>515</v>
      </c>
      <c r="E253" s="48" t="s">
        <v>14</v>
      </c>
      <c r="F253" s="10">
        <v>131992</v>
      </c>
      <c r="G253" s="31">
        <v>171666</v>
      </c>
      <c r="H253" s="31">
        <v>223166</v>
      </c>
      <c r="I253" s="35">
        <v>150048.79999999999</v>
      </c>
      <c r="J253" s="29">
        <f t="shared" si="270"/>
        <v>181626.93333333335</v>
      </c>
      <c r="K253" s="24">
        <f t="shared" si="271"/>
        <v>49634.933333333349</v>
      </c>
      <c r="L253" s="25">
        <f t="shared" si="272"/>
        <v>0.37604501282906044</v>
      </c>
      <c r="M253" s="69" t="str">
        <f t="shared" si="273"/>
        <v>REVISAR PRECIO</v>
      </c>
      <c r="N253" s="77">
        <f t="shared" si="371"/>
        <v>181626.93333333335</v>
      </c>
      <c r="O253" s="73">
        <v>117649</v>
      </c>
      <c r="P253" s="74">
        <v>170649.76500000001</v>
      </c>
      <c r="Q253" s="74">
        <v>160000</v>
      </c>
      <c r="R253" s="75">
        <v>196618.20750000002</v>
      </c>
      <c r="S253" s="61">
        <v>170649.76499999998</v>
      </c>
      <c r="T253" s="60">
        <v>23000</v>
      </c>
      <c r="U253" s="74">
        <v>196247.22974999997</v>
      </c>
      <c r="V253" s="76">
        <f t="shared" ref="V253:V273" si="395">AVERAGE(P253,Q253,R253,S253,T253,U253)</f>
        <v>152860.82787499999</v>
      </c>
      <c r="W253" s="24">
        <f t="shared" ref="W253:W273" si="396">V253-O253</f>
        <v>35211.827874999988</v>
      </c>
      <c r="X253" s="25">
        <f t="shared" ref="X253:X272" si="397">+W253/O253</f>
        <v>0.29929559856012367</v>
      </c>
      <c r="Y253" s="77">
        <f t="shared" ref="Y253:Y273" si="398">+IF(X253&lt;35%,V253,"REVISAR PRECIO")</f>
        <v>152860.82787499999</v>
      </c>
      <c r="Z253" s="106">
        <f t="shared" ref="Z253:Z273" si="399">V253</f>
        <v>152860.82787499999</v>
      </c>
      <c r="AA253" s="73">
        <v>117649</v>
      </c>
      <c r="AB253" s="88">
        <v>165000</v>
      </c>
      <c r="AC253" s="116">
        <v>165000</v>
      </c>
      <c r="AD253" s="74">
        <v>163230.21000000002</v>
      </c>
      <c r="AE253" s="76">
        <f t="shared" ref="AE253:AE273" si="400">AVERAGE(AB253,AC253,AD253)</f>
        <v>164410.07</v>
      </c>
      <c r="AF253" s="24">
        <f t="shared" ref="AF253:AF273" si="401">AE253-AA253</f>
        <v>46761.070000000007</v>
      </c>
      <c r="AG253" s="25">
        <f t="shared" ref="AG253:AG272" si="402">+AF253/AA253</f>
        <v>0.39746253686814176</v>
      </c>
      <c r="AH253" s="77" t="str">
        <f t="shared" ref="AH253:AH272" si="403">+IF(AG253&lt;35%,AE253,"REVISAR PRECIO")</f>
        <v>REVISAR PRECIO</v>
      </c>
      <c r="AI253" s="77">
        <f t="shared" ref="AI253:AI273" si="404">AE253</f>
        <v>164410.07</v>
      </c>
      <c r="AJ253" s="73">
        <v>117649</v>
      </c>
      <c r="AK253" s="79">
        <v>196618.20750000002</v>
      </c>
      <c r="AL253" s="79">
        <f>134901*1.1</f>
        <v>148391.1</v>
      </c>
      <c r="AM253" s="127">
        <v>155810.655</v>
      </c>
      <c r="AN253" s="128">
        <v>180900</v>
      </c>
      <c r="AO253" s="128">
        <v>160000</v>
      </c>
      <c r="AP253" s="133">
        <f t="shared" ref="AP253:AP273" si="405">AVERAGE(AK253,AL253,AM253,AN253,AO253)</f>
        <v>168343.99249999999</v>
      </c>
      <c r="AQ253" s="127">
        <f t="shared" ref="AQ253:AQ273" si="406">AP253-AJ253</f>
        <v>50694.992499999993</v>
      </c>
      <c r="AR253" s="134">
        <f t="shared" ref="AR253:AR272" si="407">+AQ253/AJ253</f>
        <v>0.43090032639461445</v>
      </c>
      <c r="AS253" s="132">
        <f t="shared" ref="AS253:AS273" si="408">AP253</f>
        <v>168343.99249999999</v>
      </c>
      <c r="AT253" s="10">
        <v>117650</v>
      </c>
      <c r="AU253" s="10">
        <v>148391</v>
      </c>
      <c r="AV253" s="167">
        <v>296782</v>
      </c>
      <c r="AW253" s="168">
        <v>112500</v>
      </c>
      <c r="AX253" s="29">
        <f t="shared" ref="AX253:AX271" si="409">AVERAGE(AU253,AW253)</f>
        <v>130445.5</v>
      </c>
      <c r="AY253" s="24">
        <f t="shared" ref="AY253:AY271" si="410">AX253-AT253</f>
        <v>12795.5</v>
      </c>
      <c r="AZ253" s="25">
        <f t="shared" ref="AZ253:AZ271" si="411">+AY253/AT253</f>
        <v>0.10875903102422439</v>
      </c>
      <c r="BA253" s="24">
        <f t="shared" ref="BA253:BA271" si="412">AV253-AT253</f>
        <v>179132</v>
      </c>
      <c r="BB253" s="169">
        <f t="shared" ref="BB253:BB271" si="413">+BA253/AT253</f>
        <v>1.5225839354016149</v>
      </c>
      <c r="BC253" s="170">
        <f t="shared" ref="BC253:BC271" si="414">AX253</f>
        <v>130445.5</v>
      </c>
      <c r="BD253" s="10">
        <v>106172</v>
      </c>
      <c r="BE253" s="10">
        <v>80000</v>
      </c>
      <c r="BF253" s="10">
        <v>87000</v>
      </c>
      <c r="BG253" s="268">
        <v>85000</v>
      </c>
      <c r="BH253" s="10" t="s">
        <v>1421</v>
      </c>
      <c r="BI253" s="76">
        <f t="shared" ref="BI253:BI261" si="415">AVERAGE(BE253,BF253,BG253,BH253)</f>
        <v>84000</v>
      </c>
      <c r="BJ253" s="24">
        <f t="shared" ref="BJ253:BJ261" si="416">BI253-BD253</f>
        <v>-22172</v>
      </c>
      <c r="BK253" s="25">
        <f t="shared" ref="BK253:BK261" si="417">+BJ253/BD253</f>
        <v>-0.20883095354707457</v>
      </c>
      <c r="BL253" s="259">
        <f t="shared" ref="BL253:BL261" si="418">BI253</f>
        <v>84000</v>
      </c>
      <c r="BM253" s="10">
        <v>117649</v>
      </c>
      <c r="BN253" s="45"/>
      <c r="BO253" s="45">
        <v>138809</v>
      </c>
      <c r="BP253" s="45">
        <v>140000</v>
      </c>
      <c r="BQ253" s="29">
        <f t="shared" ref="BQ253:BQ271" si="419">AVERAGE(BN253,BO253,BP253)</f>
        <v>139404.5</v>
      </c>
      <c r="BR253" s="24">
        <f t="shared" ref="BR253:BR271" si="420">BQ253-BM253</f>
        <v>21755.5</v>
      </c>
      <c r="BS253" s="25">
        <f t="shared" ref="BS253:BS271" si="421">+BR253/BM253</f>
        <v>0.18491869884146911</v>
      </c>
      <c r="BT253" s="308">
        <f t="shared" si="394"/>
        <v>139404.5</v>
      </c>
    </row>
    <row r="254" spans="1:72" ht="45.6" customHeight="1">
      <c r="A254" s="91" t="s">
        <v>514</v>
      </c>
      <c r="B254" s="358" t="s">
        <v>2446</v>
      </c>
      <c r="C254" s="50" t="s">
        <v>174</v>
      </c>
      <c r="D254" s="99" t="s">
        <v>516</v>
      </c>
      <c r="E254" s="48" t="s">
        <v>14</v>
      </c>
      <c r="F254" s="10">
        <v>231339</v>
      </c>
      <c r="G254" s="31">
        <v>300875</v>
      </c>
      <c r="H254" s="31">
        <v>391137</v>
      </c>
      <c r="I254" s="35">
        <v>262986.59999999998</v>
      </c>
      <c r="J254" s="29">
        <f t="shared" si="270"/>
        <v>318332.86666666664</v>
      </c>
      <c r="K254" s="24">
        <f t="shared" si="271"/>
        <v>86993.86666666664</v>
      </c>
      <c r="L254" s="25">
        <f t="shared" si="272"/>
        <v>0.37604496719820973</v>
      </c>
      <c r="M254" s="69" t="str">
        <f t="shared" si="273"/>
        <v>REVISAR PRECIO</v>
      </c>
      <c r="N254" s="77">
        <f t="shared" si="371"/>
        <v>318332.86666666664</v>
      </c>
      <c r="O254" s="73">
        <v>206194</v>
      </c>
      <c r="P254" s="74">
        <v>309459.48</v>
      </c>
      <c r="Q254" s="74">
        <v>280000</v>
      </c>
      <c r="R254" s="75">
        <v>356551.14</v>
      </c>
      <c r="S254" s="61">
        <v>309459.48</v>
      </c>
      <c r="T254" s="60">
        <v>190000</v>
      </c>
      <c r="U254" s="74">
        <v>355878.40199999994</v>
      </c>
      <c r="V254" s="76">
        <f t="shared" si="395"/>
        <v>300224.75033333333</v>
      </c>
      <c r="W254" s="24">
        <f t="shared" si="396"/>
        <v>94030.75033333333</v>
      </c>
      <c r="X254" s="25">
        <f t="shared" si="397"/>
        <v>0.45603048746972913</v>
      </c>
      <c r="Y254" s="77" t="str">
        <f t="shared" si="398"/>
        <v>REVISAR PRECIO</v>
      </c>
      <c r="Z254" s="106">
        <f t="shared" si="399"/>
        <v>300224.75033333333</v>
      </c>
      <c r="AA254" s="73">
        <v>206194</v>
      </c>
      <c r="AB254" s="88">
        <v>300000</v>
      </c>
      <c r="AC254" s="116">
        <v>300000</v>
      </c>
      <c r="AD254" s="74">
        <v>296004.72000000003</v>
      </c>
      <c r="AE254" s="76">
        <f t="shared" si="400"/>
        <v>298668.24</v>
      </c>
      <c r="AF254" s="24">
        <f t="shared" si="401"/>
        <v>92474.239999999991</v>
      </c>
      <c r="AG254" s="25">
        <f t="shared" si="402"/>
        <v>0.44848172109760709</v>
      </c>
      <c r="AH254" s="77" t="str">
        <f t="shared" si="403"/>
        <v>REVISAR PRECIO</v>
      </c>
      <c r="AI254" s="77">
        <f t="shared" si="404"/>
        <v>298668.24</v>
      </c>
      <c r="AJ254" s="73">
        <v>206194</v>
      </c>
      <c r="AK254" s="79">
        <v>356551.14</v>
      </c>
      <c r="AL254" s="79">
        <f>244632*1.1</f>
        <v>269095.2</v>
      </c>
      <c r="AM254" s="127">
        <v>322914.24</v>
      </c>
      <c r="AN254" s="128">
        <v>3259000</v>
      </c>
      <c r="AO254" s="128">
        <v>300000</v>
      </c>
      <c r="AP254" s="133">
        <f t="shared" si="405"/>
        <v>901512.11600000004</v>
      </c>
      <c r="AQ254" s="127">
        <f t="shared" si="406"/>
        <v>695318.11600000004</v>
      </c>
      <c r="AR254" s="134">
        <f t="shared" si="407"/>
        <v>3.3721549414628944</v>
      </c>
      <c r="AS254" s="132">
        <f t="shared" si="408"/>
        <v>901512.11600000004</v>
      </c>
      <c r="AT254" s="10">
        <v>206166</v>
      </c>
      <c r="AU254" s="10">
        <v>269095</v>
      </c>
      <c r="AV254" s="167">
        <v>538190</v>
      </c>
      <c r="AW254" s="168">
        <v>202670</v>
      </c>
      <c r="AX254" s="29">
        <f t="shared" si="409"/>
        <v>235882.5</v>
      </c>
      <c r="AY254" s="24">
        <f t="shared" si="410"/>
        <v>29716.5</v>
      </c>
      <c r="AZ254" s="25">
        <f t="shared" si="411"/>
        <v>0.1441387037629871</v>
      </c>
      <c r="BA254" s="24">
        <f t="shared" si="412"/>
        <v>332024</v>
      </c>
      <c r="BB254" s="169">
        <f t="shared" si="413"/>
        <v>1.6104692335302619</v>
      </c>
      <c r="BC254" s="170">
        <f t="shared" si="414"/>
        <v>235882.5</v>
      </c>
      <c r="BD254" s="10">
        <v>172040</v>
      </c>
      <c r="BE254" s="10">
        <v>147000</v>
      </c>
      <c r="BF254" s="10">
        <v>160000</v>
      </c>
      <c r="BG254" s="268">
        <v>155000</v>
      </c>
      <c r="BH254" s="10" t="s">
        <v>1421</v>
      </c>
      <c r="BI254" s="76">
        <f t="shared" si="415"/>
        <v>154000</v>
      </c>
      <c r="BJ254" s="24">
        <f t="shared" si="416"/>
        <v>-18040</v>
      </c>
      <c r="BK254" s="25">
        <f t="shared" si="417"/>
        <v>-0.10485933503836317</v>
      </c>
      <c r="BL254" s="259">
        <f t="shared" si="418"/>
        <v>154000</v>
      </c>
      <c r="BM254" s="10">
        <v>206279</v>
      </c>
      <c r="BN254" s="45"/>
      <c r="BO254" s="45">
        <v>243251</v>
      </c>
      <c r="BP254" s="45">
        <v>260000</v>
      </c>
      <c r="BQ254" s="29">
        <f t="shared" si="419"/>
        <v>251625.5</v>
      </c>
      <c r="BR254" s="24">
        <f t="shared" si="420"/>
        <v>45346.5</v>
      </c>
      <c r="BS254" s="25">
        <f t="shared" si="421"/>
        <v>0.21983090862375715</v>
      </c>
      <c r="BT254" s="308">
        <f t="shared" si="394"/>
        <v>251625.5</v>
      </c>
    </row>
    <row r="255" spans="1:72" ht="58.35" customHeight="1">
      <c r="A255" s="91" t="s">
        <v>514</v>
      </c>
      <c r="B255" s="358" t="s">
        <v>2447</v>
      </c>
      <c r="C255" s="50" t="s">
        <v>175</v>
      </c>
      <c r="D255" s="99" t="s">
        <v>517</v>
      </c>
      <c r="E255" s="48" t="s">
        <v>14</v>
      </c>
      <c r="F255" s="10">
        <v>126812</v>
      </c>
      <c r="G255" s="31">
        <v>164930</v>
      </c>
      <c r="H255" s="31">
        <v>214408</v>
      </c>
      <c r="I255" s="35">
        <v>144160.6</v>
      </c>
      <c r="J255" s="29">
        <f t="shared" si="270"/>
        <v>174499.53333333333</v>
      </c>
      <c r="K255" s="24">
        <f t="shared" si="271"/>
        <v>47687.533333333326</v>
      </c>
      <c r="L255" s="25">
        <f t="shared" si="272"/>
        <v>0.37604905950015238</v>
      </c>
      <c r="M255" s="69" t="str">
        <f t="shared" si="273"/>
        <v>REVISAR PRECIO</v>
      </c>
      <c r="N255" s="77">
        <f t="shared" si="371"/>
        <v>174499.53333333333</v>
      </c>
      <c r="O255" s="73">
        <v>110549</v>
      </c>
      <c r="P255" s="74">
        <v>158394.44500000001</v>
      </c>
      <c r="Q255" s="74">
        <v>160000</v>
      </c>
      <c r="R255" s="75">
        <v>182497.94750000001</v>
      </c>
      <c r="S255" s="61">
        <v>158394.44500000001</v>
      </c>
      <c r="T255" s="60">
        <v>170000</v>
      </c>
      <c r="U255" s="74">
        <v>182153.61174999998</v>
      </c>
      <c r="V255" s="76">
        <f t="shared" si="395"/>
        <v>168573.40820833333</v>
      </c>
      <c r="W255" s="24">
        <f t="shared" si="396"/>
        <v>58024.408208333334</v>
      </c>
      <c r="X255" s="25">
        <f t="shared" si="397"/>
        <v>0.5248750165838979</v>
      </c>
      <c r="Y255" s="77" t="str">
        <f t="shared" si="398"/>
        <v>REVISAR PRECIO</v>
      </c>
      <c r="Z255" s="106">
        <f t="shared" si="399"/>
        <v>168573.40820833333</v>
      </c>
      <c r="AA255" s="73">
        <v>110549</v>
      </c>
      <c r="AB255" s="88">
        <v>144600</v>
      </c>
      <c r="AC255" s="116">
        <v>144600</v>
      </c>
      <c r="AD255" s="74">
        <v>151507.73000000001</v>
      </c>
      <c r="AE255" s="76">
        <f t="shared" si="400"/>
        <v>146902.57666666666</v>
      </c>
      <c r="AF255" s="24">
        <f t="shared" si="401"/>
        <v>36353.57666666666</v>
      </c>
      <c r="AG255" s="25">
        <f t="shared" si="402"/>
        <v>0.32884582100848186</v>
      </c>
      <c r="AH255" s="77">
        <f t="shared" si="403"/>
        <v>146902.57666666666</v>
      </c>
      <c r="AI255" s="77">
        <f t="shared" si="404"/>
        <v>146902.57666666666</v>
      </c>
      <c r="AJ255" s="73">
        <v>110549</v>
      </c>
      <c r="AK255" s="79">
        <v>182497.94750000001</v>
      </c>
      <c r="AL255" s="79">
        <f>125213*1.1</f>
        <v>137734.30000000002</v>
      </c>
      <c r="AM255" s="127">
        <v>165281.16000000003</v>
      </c>
      <c r="AN255" s="128">
        <v>165700</v>
      </c>
      <c r="AO255" s="128">
        <v>150000</v>
      </c>
      <c r="AP255" s="133">
        <f t="shared" si="405"/>
        <v>160242.68150000001</v>
      </c>
      <c r="AQ255" s="127">
        <f t="shared" si="406"/>
        <v>49693.681500000006</v>
      </c>
      <c r="AR255" s="134">
        <f t="shared" si="407"/>
        <v>0.44951724122334896</v>
      </c>
      <c r="AS255" s="132">
        <f t="shared" si="408"/>
        <v>160242.68150000001</v>
      </c>
      <c r="AT255" s="10">
        <v>110549</v>
      </c>
      <c r="AU255" s="10">
        <v>137734</v>
      </c>
      <c r="AV255" s="167">
        <v>275468</v>
      </c>
      <c r="AW255" s="168">
        <v>115000</v>
      </c>
      <c r="AX255" s="29">
        <f t="shared" si="409"/>
        <v>126367</v>
      </c>
      <c r="AY255" s="24">
        <f t="shared" si="410"/>
        <v>15818</v>
      </c>
      <c r="AZ255" s="25">
        <f t="shared" si="411"/>
        <v>0.14308587142353166</v>
      </c>
      <c r="BA255" s="24">
        <f t="shared" si="412"/>
        <v>164919</v>
      </c>
      <c r="BB255" s="169">
        <f t="shared" si="413"/>
        <v>1.4918181078073975</v>
      </c>
      <c r="BC255" s="170">
        <f t="shared" si="414"/>
        <v>126367</v>
      </c>
      <c r="BD255" s="10">
        <v>99500</v>
      </c>
      <c r="BE255" s="10">
        <v>110200</v>
      </c>
      <c r="BF255" s="10">
        <v>115500</v>
      </c>
      <c r="BG255" s="268">
        <v>113000</v>
      </c>
      <c r="BH255" s="10" t="s">
        <v>1421</v>
      </c>
      <c r="BI255" s="76">
        <f t="shared" si="415"/>
        <v>112900</v>
      </c>
      <c r="BJ255" s="24">
        <f t="shared" si="416"/>
        <v>13400</v>
      </c>
      <c r="BK255" s="25">
        <f t="shared" si="417"/>
        <v>0.13467336683417086</v>
      </c>
      <c r="BL255" s="259">
        <f t="shared" si="418"/>
        <v>112900</v>
      </c>
      <c r="BM255" s="10">
        <v>110549</v>
      </c>
      <c r="BN255" s="45"/>
      <c r="BO255" s="45">
        <v>130436</v>
      </c>
      <c r="BP255" s="45">
        <v>160000</v>
      </c>
      <c r="BQ255" s="29">
        <f t="shared" si="419"/>
        <v>145218</v>
      </c>
      <c r="BR255" s="24">
        <f t="shared" si="420"/>
        <v>34669</v>
      </c>
      <c r="BS255" s="25">
        <f t="shared" si="421"/>
        <v>0.31360754054763046</v>
      </c>
      <c r="BT255" s="308">
        <f t="shared" si="394"/>
        <v>145218</v>
      </c>
    </row>
    <row r="256" spans="1:72" ht="58.35" customHeight="1">
      <c r="A256" s="91" t="s">
        <v>514</v>
      </c>
      <c r="B256" s="358" t="s">
        <v>2448</v>
      </c>
      <c r="C256" s="50" t="s">
        <v>176</v>
      </c>
      <c r="D256" s="99" t="s">
        <v>518</v>
      </c>
      <c r="E256" s="48" t="s">
        <v>14</v>
      </c>
      <c r="F256" s="10">
        <v>119754</v>
      </c>
      <c r="G256" s="31">
        <v>155750</v>
      </c>
      <c r="H256" s="31">
        <v>202474</v>
      </c>
      <c r="I256" s="35">
        <v>136136.6</v>
      </c>
      <c r="J256" s="29">
        <f t="shared" ref="J256:J429" si="422">AVERAGE(G256,H256,I256)</f>
        <v>164786.86666666667</v>
      </c>
      <c r="K256" s="24">
        <f t="shared" ref="K256:K429" si="423">J256-F256</f>
        <v>45032.866666666669</v>
      </c>
      <c r="L256" s="25">
        <f t="shared" ref="L256:L429" si="424">+K256/F256</f>
        <v>0.37604478068930197</v>
      </c>
      <c r="M256" s="69" t="str">
        <f t="shared" ref="M256:M429" si="425">+IF(L256&lt;35%,J256,"REVISAR PRECIO")</f>
        <v>REVISAR PRECIO</v>
      </c>
      <c r="N256" s="77">
        <f t="shared" si="371"/>
        <v>164786.86666666667</v>
      </c>
      <c r="O256" s="73">
        <v>115295</v>
      </c>
      <c r="P256" s="74">
        <v>143763.45500000002</v>
      </c>
      <c r="Q256" s="74">
        <v>160000</v>
      </c>
      <c r="R256" s="75">
        <v>165640.5025</v>
      </c>
      <c r="S256" s="61">
        <v>143763.45500000002</v>
      </c>
      <c r="T256" s="60">
        <v>38000</v>
      </c>
      <c r="U256" s="74">
        <v>165327.97325000001</v>
      </c>
      <c r="V256" s="76">
        <f t="shared" si="395"/>
        <v>136082.5642916667</v>
      </c>
      <c r="W256" s="24">
        <f t="shared" si="396"/>
        <v>20787.564291666698</v>
      </c>
      <c r="X256" s="25">
        <f t="shared" si="397"/>
        <v>0.18029892269106812</v>
      </c>
      <c r="Y256" s="77">
        <f t="shared" si="398"/>
        <v>136082.5642916667</v>
      </c>
      <c r="Z256" s="106">
        <f t="shared" si="399"/>
        <v>136082.5642916667</v>
      </c>
      <c r="AA256" s="73">
        <v>115295</v>
      </c>
      <c r="AB256" s="88">
        <v>131300</v>
      </c>
      <c r="AC256" s="116">
        <v>131300</v>
      </c>
      <c r="AD256" s="74">
        <v>137512.87000000002</v>
      </c>
      <c r="AE256" s="76">
        <f t="shared" si="400"/>
        <v>133370.95666666667</v>
      </c>
      <c r="AF256" s="24">
        <f t="shared" si="401"/>
        <v>18075.956666666665</v>
      </c>
      <c r="AG256" s="25">
        <f t="shared" si="402"/>
        <v>0.15678005695534641</v>
      </c>
      <c r="AH256" s="77">
        <f t="shared" si="403"/>
        <v>133370.95666666667</v>
      </c>
      <c r="AI256" s="77">
        <f t="shared" si="404"/>
        <v>133370.95666666667</v>
      </c>
      <c r="AJ256" s="73">
        <v>115295</v>
      </c>
      <c r="AK256" s="79">
        <v>165640.5025</v>
      </c>
      <c r="AL256" s="79">
        <f>113647*1.1</f>
        <v>125011.70000000001</v>
      </c>
      <c r="AM256" s="127">
        <v>150014.04</v>
      </c>
      <c r="AN256" s="128">
        <v>125600</v>
      </c>
      <c r="AO256" s="128">
        <v>130000</v>
      </c>
      <c r="AP256" s="133">
        <f t="shared" si="405"/>
        <v>139253.24850000002</v>
      </c>
      <c r="AQ256" s="127">
        <f t="shared" si="406"/>
        <v>23958.248500000016</v>
      </c>
      <c r="AR256" s="134">
        <f t="shared" si="407"/>
        <v>0.20779954464634212</v>
      </c>
      <c r="AS256" s="132">
        <f t="shared" si="408"/>
        <v>139253.24850000002</v>
      </c>
      <c r="AT256" s="10">
        <v>104646</v>
      </c>
      <c r="AU256" s="10">
        <v>125012</v>
      </c>
      <c r="AV256" s="167">
        <v>250024</v>
      </c>
      <c r="AW256" s="168">
        <v>115000</v>
      </c>
      <c r="AX256" s="29">
        <f t="shared" si="409"/>
        <v>120006</v>
      </c>
      <c r="AY256" s="24">
        <f t="shared" si="410"/>
        <v>15360</v>
      </c>
      <c r="AZ256" s="25">
        <f t="shared" si="411"/>
        <v>0.14678057450834242</v>
      </c>
      <c r="BA256" s="24">
        <f t="shared" si="412"/>
        <v>145378</v>
      </c>
      <c r="BB256" s="169">
        <f t="shared" si="413"/>
        <v>1.3892360912027215</v>
      </c>
      <c r="BC256" s="170">
        <f t="shared" si="414"/>
        <v>120006</v>
      </c>
      <c r="BD256" s="10">
        <v>95114</v>
      </c>
      <c r="BE256" s="10">
        <v>120000</v>
      </c>
      <c r="BF256" s="10">
        <v>126000</v>
      </c>
      <c r="BG256" s="268">
        <v>125000</v>
      </c>
      <c r="BH256" s="10" t="s">
        <v>1421</v>
      </c>
      <c r="BI256" s="76">
        <f t="shared" si="415"/>
        <v>123666.66666666667</v>
      </c>
      <c r="BJ256" s="24">
        <f t="shared" si="416"/>
        <v>28552.666666666672</v>
      </c>
      <c r="BK256" s="25">
        <f t="shared" si="417"/>
        <v>0.30019415298133473</v>
      </c>
      <c r="BL256" s="259">
        <f t="shared" si="418"/>
        <v>123666.66666666667</v>
      </c>
      <c r="BM256" s="10">
        <v>106201</v>
      </c>
      <c r="BN256" s="45"/>
      <c r="BO256" s="45">
        <v>123468</v>
      </c>
      <c r="BP256" s="45">
        <v>180000</v>
      </c>
      <c r="BQ256" s="29">
        <f t="shared" si="419"/>
        <v>151734</v>
      </c>
      <c r="BR256" s="24">
        <f t="shared" si="420"/>
        <v>45533</v>
      </c>
      <c r="BS256" s="25">
        <f t="shared" si="421"/>
        <v>0.42874360881724277</v>
      </c>
      <c r="BT256" s="308">
        <f t="shared" si="394"/>
        <v>151734</v>
      </c>
    </row>
    <row r="257" spans="1:72" ht="34.35" customHeight="1">
      <c r="A257" s="91" t="s">
        <v>514</v>
      </c>
      <c r="B257" s="358" t="s">
        <v>2449</v>
      </c>
      <c r="C257" s="50" t="s">
        <v>177</v>
      </c>
      <c r="D257" s="99" t="s">
        <v>519</v>
      </c>
      <c r="E257" s="48" t="s">
        <v>14</v>
      </c>
      <c r="F257" s="10">
        <v>97001</v>
      </c>
      <c r="G257" s="31">
        <v>126158</v>
      </c>
      <c r="H257" s="31">
        <v>126158</v>
      </c>
      <c r="I257" s="35">
        <v>110271</v>
      </c>
      <c r="J257" s="29">
        <f t="shared" si="422"/>
        <v>120862.33333333333</v>
      </c>
      <c r="K257" s="24">
        <f t="shared" si="423"/>
        <v>23861.333333333328</v>
      </c>
      <c r="L257" s="25">
        <f t="shared" si="424"/>
        <v>0.24599059116229038</v>
      </c>
      <c r="M257" s="69">
        <f t="shared" si="425"/>
        <v>120862.33333333333</v>
      </c>
      <c r="N257" s="77">
        <f t="shared" si="371"/>
        <v>120862.33333333333</v>
      </c>
      <c r="O257" s="73">
        <v>86457</v>
      </c>
      <c r="P257" s="74">
        <v>138011.5</v>
      </c>
      <c r="Q257" s="74">
        <v>150000</v>
      </c>
      <c r="R257" s="75">
        <v>159013.25</v>
      </c>
      <c r="S257" s="61">
        <v>138011.5</v>
      </c>
      <c r="T257" s="60">
        <v>230000</v>
      </c>
      <c r="U257" s="74">
        <v>158713.22499999998</v>
      </c>
      <c r="V257" s="76">
        <f t="shared" si="395"/>
        <v>162291.57916666666</v>
      </c>
      <c r="W257" s="24">
        <f t="shared" si="396"/>
        <v>75834.579166666663</v>
      </c>
      <c r="X257" s="25">
        <f t="shared" si="397"/>
        <v>0.87713637029583102</v>
      </c>
      <c r="Y257" s="77" t="str">
        <f t="shared" si="398"/>
        <v>REVISAR PRECIO</v>
      </c>
      <c r="Z257" s="106">
        <f t="shared" si="399"/>
        <v>162291.57916666666</v>
      </c>
      <c r="AA257" s="73">
        <v>86457</v>
      </c>
      <c r="AB257" s="88">
        <v>125000</v>
      </c>
      <c r="AC257" s="116">
        <v>125000</v>
      </c>
      <c r="AD257" s="74">
        <v>132011.00000000003</v>
      </c>
      <c r="AE257" s="76">
        <f t="shared" si="400"/>
        <v>127337</v>
      </c>
      <c r="AF257" s="24">
        <f t="shared" si="401"/>
        <v>40880</v>
      </c>
      <c r="AG257" s="25">
        <f t="shared" si="402"/>
        <v>0.47283620759452677</v>
      </c>
      <c r="AH257" s="77" t="str">
        <f t="shared" si="403"/>
        <v>REVISAR PRECIO</v>
      </c>
      <c r="AI257" s="77">
        <f t="shared" si="404"/>
        <v>127337</v>
      </c>
      <c r="AJ257" s="73">
        <v>86457</v>
      </c>
      <c r="AK257" s="79">
        <v>159013.25</v>
      </c>
      <c r="AL257" s="79">
        <f>109100*1.1</f>
        <v>120010.00000000001</v>
      </c>
      <c r="AM257" s="127">
        <v>144012.00000000003</v>
      </c>
      <c r="AN257" s="128">
        <v>130000</v>
      </c>
      <c r="AO257" s="128">
        <v>130000</v>
      </c>
      <c r="AP257" s="133">
        <f t="shared" si="405"/>
        <v>136607.04999999999</v>
      </c>
      <c r="AQ257" s="127">
        <f t="shared" si="406"/>
        <v>50150.049999999988</v>
      </c>
      <c r="AR257" s="134">
        <f t="shared" si="407"/>
        <v>0.58005771655273708</v>
      </c>
      <c r="AS257" s="132">
        <f t="shared" si="408"/>
        <v>136607.04999999999</v>
      </c>
      <c r="AT257" s="10">
        <v>84758</v>
      </c>
      <c r="AU257" s="10">
        <v>120010</v>
      </c>
      <c r="AV257" s="167">
        <v>360030</v>
      </c>
      <c r="AW257" s="168">
        <v>108900</v>
      </c>
      <c r="AX257" s="29">
        <f t="shared" si="409"/>
        <v>114455</v>
      </c>
      <c r="AY257" s="24">
        <f t="shared" si="410"/>
        <v>29697</v>
      </c>
      <c r="AZ257" s="25">
        <f t="shared" si="411"/>
        <v>0.35037400599353452</v>
      </c>
      <c r="BA257" s="24">
        <f t="shared" si="412"/>
        <v>275272</v>
      </c>
      <c r="BB257" s="169">
        <f t="shared" si="413"/>
        <v>3.2477406262535689</v>
      </c>
      <c r="BC257" s="170">
        <f t="shared" si="414"/>
        <v>114455</v>
      </c>
      <c r="BD257" s="10">
        <v>77041</v>
      </c>
      <c r="BE257" s="10">
        <v>78200</v>
      </c>
      <c r="BF257" s="10">
        <v>85000</v>
      </c>
      <c r="BG257" s="268">
        <v>85000</v>
      </c>
      <c r="BH257" s="10" t="s">
        <v>1421</v>
      </c>
      <c r="BI257" s="76">
        <f t="shared" si="415"/>
        <v>82733.333333333328</v>
      </c>
      <c r="BJ257" s="24">
        <f t="shared" si="416"/>
        <v>5692.3333333333285</v>
      </c>
      <c r="BK257" s="25">
        <f t="shared" si="417"/>
        <v>7.3887064463510704E-2</v>
      </c>
      <c r="BL257" s="259">
        <f t="shared" si="418"/>
        <v>82733.333333333328</v>
      </c>
      <c r="BM257" s="10">
        <v>86030</v>
      </c>
      <c r="BN257" s="45"/>
      <c r="BO257" s="45">
        <v>100008</v>
      </c>
      <c r="BP257" s="45">
        <v>140000</v>
      </c>
      <c r="BQ257" s="29">
        <f t="shared" si="419"/>
        <v>120004</v>
      </c>
      <c r="BR257" s="24">
        <f t="shared" si="420"/>
        <v>33974</v>
      </c>
      <c r="BS257" s="25">
        <f t="shared" si="421"/>
        <v>0.39490875276066489</v>
      </c>
      <c r="BT257" s="308">
        <f t="shared" si="394"/>
        <v>120004</v>
      </c>
    </row>
    <row r="258" spans="1:72" ht="34.35" customHeight="1">
      <c r="A258" s="91" t="s">
        <v>514</v>
      </c>
      <c r="B258" s="358" t="s">
        <v>2450</v>
      </c>
      <c r="C258" s="50" t="s">
        <v>178</v>
      </c>
      <c r="D258" s="99" t="s">
        <v>520</v>
      </c>
      <c r="E258" s="48" t="s">
        <v>14</v>
      </c>
      <c r="F258" s="10">
        <v>101205</v>
      </c>
      <c r="G258" s="31">
        <v>131625</v>
      </c>
      <c r="H258" s="31">
        <v>171113</v>
      </c>
      <c r="I258" s="35">
        <v>115050</v>
      </c>
      <c r="J258" s="29">
        <f t="shared" si="422"/>
        <v>139262.66666666666</v>
      </c>
      <c r="K258" s="24">
        <f t="shared" si="423"/>
        <v>38057.666666666657</v>
      </c>
      <c r="L258" s="25">
        <f t="shared" si="424"/>
        <v>0.37604532055399098</v>
      </c>
      <c r="M258" s="69" t="str">
        <f t="shared" si="425"/>
        <v>REVISAR PRECIO</v>
      </c>
      <c r="N258" s="77">
        <f t="shared" si="371"/>
        <v>139262.66666666666</v>
      </c>
      <c r="O258" s="73">
        <v>90206</v>
      </c>
      <c r="P258" s="74">
        <v>118982.10500000001</v>
      </c>
      <c r="Q258" s="74">
        <v>140000</v>
      </c>
      <c r="R258" s="75">
        <v>137088.07750000001</v>
      </c>
      <c r="S258" s="61">
        <v>118982.10500000001</v>
      </c>
      <c r="T258" s="60">
        <v>260000</v>
      </c>
      <c r="U258" s="74">
        <v>136829.42074999999</v>
      </c>
      <c r="V258" s="76">
        <f t="shared" si="395"/>
        <v>151980.28470833332</v>
      </c>
      <c r="W258" s="24">
        <f t="shared" si="396"/>
        <v>61774.284708333318</v>
      </c>
      <c r="X258" s="25">
        <f t="shared" si="397"/>
        <v>0.68481347924010949</v>
      </c>
      <c r="Y258" s="77" t="str">
        <f t="shared" si="398"/>
        <v>REVISAR PRECIO</v>
      </c>
      <c r="Z258" s="106">
        <f t="shared" si="399"/>
        <v>151980.28470833332</v>
      </c>
      <c r="AA258" s="73">
        <v>90206</v>
      </c>
      <c r="AB258" s="88">
        <v>108000</v>
      </c>
      <c r="AC258" s="116">
        <v>108000</v>
      </c>
      <c r="AD258" s="74">
        <v>113808.97000000002</v>
      </c>
      <c r="AE258" s="76">
        <f t="shared" si="400"/>
        <v>109936.32333333335</v>
      </c>
      <c r="AF258" s="24">
        <f t="shared" si="401"/>
        <v>19730.323333333348</v>
      </c>
      <c r="AG258" s="25">
        <f t="shared" si="402"/>
        <v>0.21872517718703133</v>
      </c>
      <c r="AH258" s="77">
        <f t="shared" si="403"/>
        <v>109936.32333333335</v>
      </c>
      <c r="AI258" s="77">
        <f t="shared" si="404"/>
        <v>109936.32333333335</v>
      </c>
      <c r="AJ258" s="73">
        <v>90206</v>
      </c>
      <c r="AK258" s="79">
        <v>137088.07750000001</v>
      </c>
      <c r="AL258" s="79">
        <f>94057*1.1</f>
        <v>103462.70000000001</v>
      </c>
      <c r="AM258" s="127">
        <v>124155.24000000002</v>
      </c>
      <c r="AN258" s="128">
        <v>105600</v>
      </c>
      <c r="AO258" s="128">
        <v>105000</v>
      </c>
      <c r="AP258" s="133">
        <f t="shared" si="405"/>
        <v>115061.20350000002</v>
      </c>
      <c r="AQ258" s="127">
        <f t="shared" si="406"/>
        <v>24855.203500000018</v>
      </c>
      <c r="AR258" s="134">
        <f t="shared" si="407"/>
        <v>0.27553825133583154</v>
      </c>
      <c r="AS258" s="132">
        <f t="shared" si="408"/>
        <v>115061.20350000002</v>
      </c>
      <c r="AT258" s="10">
        <v>88442</v>
      </c>
      <c r="AU258" s="10">
        <v>103463</v>
      </c>
      <c r="AV258" s="167">
        <v>310389</v>
      </c>
      <c r="AW258" s="168">
        <v>105000</v>
      </c>
      <c r="AX258" s="29">
        <f t="shared" si="409"/>
        <v>104231.5</v>
      </c>
      <c r="AY258" s="24">
        <f t="shared" si="410"/>
        <v>15789.5</v>
      </c>
      <c r="AZ258" s="25">
        <f t="shared" si="411"/>
        <v>0.17852943171796207</v>
      </c>
      <c r="BA258" s="24">
        <f t="shared" si="412"/>
        <v>221947</v>
      </c>
      <c r="BB258" s="169">
        <f t="shared" si="413"/>
        <v>2.5095203636281407</v>
      </c>
      <c r="BC258" s="170">
        <f t="shared" si="414"/>
        <v>104231.5</v>
      </c>
      <c r="BD258" s="10">
        <v>80382</v>
      </c>
      <c r="BE258" s="10">
        <v>79400</v>
      </c>
      <c r="BF258" s="10">
        <v>86000</v>
      </c>
      <c r="BG258" s="268">
        <v>82000</v>
      </c>
      <c r="BH258" s="10" t="s">
        <v>1421</v>
      </c>
      <c r="BI258" s="76">
        <f t="shared" si="415"/>
        <v>82466.666666666672</v>
      </c>
      <c r="BJ258" s="24">
        <f t="shared" si="416"/>
        <v>2084.6666666666715</v>
      </c>
      <c r="BK258" s="25">
        <f t="shared" si="417"/>
        <v>2.5934496114387195E-2</v>
      </c>
      <c r="BL258" s="259">
        <f t="shared" si="418"/>
        <v>82466.666666666672</v>
      </c>
      <c r="BM258" s="319">
        <v>89760</v>
      </c>
      <c r="BN258" s="317"/>
      <c r="BO258" s="317">
        <v>104350</v>
      </c>
      <c r="BP258" s="45">
        <v>100000</v>
      </c>
      <c r="BQ258" s="29">
        <f t="shared" si="419"/>
        <v>102175</v>
      </c>
      <c r="BR258" s="24">
        <f t="shared" si="420"/>
        <v>12415</v>
      </c>
      <c r="BS258" s="25">
        <f t="shared" si="421"/>
        <v>0.1383132798573975</v>
      </c>
      <c r="BT258" s="308">
        <f t="shared" si="394"/>
        <v>102175</v>
      </c>
    </row>
    <row r="259" spans="1:72" ht="45" customHeight="1">
      <c r="A259" s="91" t="s">
        <v>514</v>
      </c>
      <c r="B259" s="358" t="s">
        <v>2451</v>
      </c>
      <c r="C259" s="50" t="s">
        <v>179</v>
      </c>
      <c r="D259" s="99" t="s">
        <v>521</v>
      </c>
      <c r="E259" s="48" t="s">
        <v>10</v>
      </c>
      <c r="F259" s="10">
        <v>5294</v>
      </c>
      <c r="G259" s="31">
        <v>6885</v>
      </c>
      <c r="H259" s="31">
        <v>8951</v>
      </c>
      <c r="I259" s="35">
        <v>6018</v>
      </c>
      <c r="J259" s="29">
        <f t="shared" si="422"/>
        <v>7284.666666666667</v>
      </c>
      <c r="K259" s="24">
        <f t="shared" si="423"/>
        <v>1990.666666666667</v>
      </c>
      <c r="L259" s="25">
        <f t="shared" si="424"/>
        <v>0.37602317088527898</v>
      </c>
      <c r="M259" s="69" t="str">
        <f t="shared" si="425"/>
        <v>REVISAR PRECIO</v>
      </c>
      <c r="N259" s="77">
        <f t="shared" si="371"/>
        <v>7284.666666666667</v>
      </c>
      <c r="O259" s="73">
        <v>4718</v>
      </c>
      <c r="P259" s="74">
        <v>22095.800999999999</v>
      </c>
      <c r="Q259" s="74">
        <v>30000</v>
      </c>
      <c r="R259" s="75">
        <v>25458.205499999996</v>
      </c>
      <c r="S259" s="61">
        <v>22095.800999999996</v>
      </c>
      <c r="T259" s="60">
        <v>190000</v>
      </c>
      <c r="U259" s="74">
        <v>25410.171149999995</v>
      </c>
      <c r="V259" s="76">
        <f t="shared" si="395"/>
        <v>52509.99644166667</v>
      </c>
      <c r="W259" s="24">
        <f t="shared" si="396"/>
        <v>47791.99644166667</v>
      </c>
      <c r="X259" s="25">
        <f t="shared" si="397"/>
        <v>10.129715227144271</v>
      </c>
      <c r="Y259" s="77" t="str">
        <f t="shared" si="398"/>
        <v>REVISAR PRECIO</v>
      </c>
      <c r="Z259" s="106">
        <f t="shared" si="399"/>
        <v>52509.99644166667</v>
      </c>
      <c r="AA259" s="73">
        <v>4718</v>
      </c>
      <c r="AB259" s="88">
        <v>22000</v>
      </c>
      <c r="AC259" s="116">
        <v>22000</v>
      </c>
      <c r="AD259" s="74">
        <v>21135.113999999998</v>
      </c>
      <c r="AE259" s="76">
        <f t="shared" si="400"/>
        <v>21711.704666666668</v>
      </c>
      <c r="AF259" s="24">
        <f t="shared" si="401"/>
        <v>16993.704666666668</v>
      </c>
      <c r="AG259" s="25">
        <f t="shared" si="402"/>
        <v>3.6018873816588952</v>
      </c>
      <c r="AH259" s="77" t="str">
        <f t="shared" si="403"/>
        <v>REVISAR PRECIO</v>
      </c>
      <c r="AI259" s="77">
        <f t="shared" si="404"/>
        <v>21711.704666666668</v>
      </c>
      <c r="AJ259" s="73">
        <v>4718</v>
      </c>
      <c r="AK259" s="79">
        <v>25458.205499999996</v>
      </c>
      <c r="AL259" s="79">
        <f>16146*1.19</f>
        <v>19213.739999999998</v>
      </c>
      <c r="AM259" s="127">
        <v>23056.487999999998</v>
      </c>
      <c r="AN259" s="128">
        <v>21900</v>
      </c>
      <c r="AO259" s="128">
        <v>20000</v>
      </c>
      <c r="AP259" s="133">
        <f t="shared" si="405"/>
        <v>21925.686699999998</v>
      </c>
      <c r="AQ259" s="127">
        <f t="shared" si="406"/>
        <v>17207.686699999998</v>
      </c>
      <c r="AR259" s="134">
        <f t="shared" si="407"/>
        <v>3.6472417761763456</v>
      </c>
      <c r="AS259" s="132">
        <f t="shared" si="408"/>
        <v>21925.686699999998</v>
      </c>
      <c r="AT259" s="10">
        <v>4624</v>
      </c>
      <c r="AU259" s="10">
        <v>19214</v>
      </c>
      <c r="AV259" s="167">
        <v>57642</v>
      </c>
      <c r="AW259" s="168">
        <v>22300</v>
      </c>
      <c r="AX259" s="29">
        <f t="shared" si="409"/>
        <v>20757</v>
      </c>
      <c r="AY259" s="24">
        <f t="shared" si="410"/>
        <v>16133</v>
      </c>
      <c r="AZ259" s="25">
        <f t="shared" si="411"/>
        <v>3.4889705882352939</v>
      </c>
      <c r="BA259" s="24">
        <f t="shared" si="412"/>
        <v>53018</v>
      </c>
      <c r="BB259" s="169">
        <f t="shared" si="413"/>
        <v>11.46583044982699</v>
      </c>
      <c r="BC259" s="170">
        <f t="shared" si="414"/>
        <v>20757</v>
      </c>
      <c r="BD259" s="10">
        <v>4206</v>
      </c>
      <c r="BE259" s="10">
        <v>78200</v>
      </c>
      <c r="BF259" s="10">
        <v>85500</v>
      </c>
      <c r="BG259" s="268">
        <v>85500</v>
      </c>
      <c r="BH259" s="10">
        <v>85000</v>
      </c>
      <c r="BI259" s="76">
        <f t="shared" si="415"/>
        <v>83550</v>
      </c>
      <c r="BJ259" s="24">
        <f t="shared" si="416"/>
        <v>79344</v>
      </c>
      <c r="BK259" s="25">
        <f t="shared" si="417"/>
        <v>18.86447931526391</v>
      </c>
      <c r="BL259" s="259">
        <f t="shared" si="418"/>
        <v>83550</v>
      </c>
      <c r="BM259" s="10">
        <v>4698</v>
      </c>
      <c r="BN259" s="45"/>
      <c r="BO259" s="45">
        <v>19214</v>
      </c>
      <c r="BP259" s="45">
        <v>25000</v>
      </c>
      <c r="BQ259" s="29">
        <f t="shared" si="419"/>
        <v>22107</v>
      </c>
      <c r="BR259" s="24">
        <f t="shared" si="420"/>
        <v>17409</v>
      </c>
      <c r="BS259" s="25">
        <f t="shared" si="421"/>
        <v>3.7056194125159641</v>
      </c>
      <c r="BT259" s="308">
        <f t="shared" si="394"/>
        <v>22107</v>
      </c>
    </row>
    <row r="260" spans="1:72" ht="56.1" customHeight="1">
      <c r="A260" s="91" t="s">
        <v>514</v>
      </c>
      <c r="B260" s="358" t="s">
        <v>2452</v>
      </c>
      <c r="C260" s="50" t="s">
        <v>180</v>
      </c>
      <c r="D260" s="99" t="s">
        <v>522</v>
      </c>
      <c r="E260" s="48" t="s">
        <v>14</v>
      </c>
      <c r="F260" s="10">
        <v>42672</v>
      </c>
      <c r="G260" s="31">
        <v>55499</v>
      </c>
      <c r="H260" s="31">
        <v>72148</v>
      </c>
      <c r="I260" s="35">
        <v>48509.8</v>
      </c>
      <c r="J260" s="29">
        <f t="shared" si="422"/>
        <v>58718.933333333327</v>
      </c>
      <c r="K260" s="24">
        <f t="shared" si="423"/>
        <v>16046.933333333327</v>
      </c>
      <c r="L260" s="25">
        <f t="shared" si="424"/>
        <v>0.37605299337582787</v>
      </c>
      <c r="M260" s="69" t="str">
        <f t="shared" si="425"/>
        <v>REVISAR PRECIO</v>
      </c>
      <c r="N260" s="77">
        <f t="shared" si="371"/>
        <v>58718.933333333327</v>
      </c>
      <c r="O260" s="73">
        <v>38036</v>
      </c>
      <c r="P260" s="74">
        <v>308620.09499999997</v>
      </c>
      <c r="Q260" s="74">
        <v>290000</v>
      </c>
      <c r="R260" s="75">
        <v>355584.02249999996</v>
      </c>
      <c r="S260" s="61">
        <v>308620.09499999997</v>
      </c>
      <c r="T260" s="60">
        <v>360000</v>
      </c>
      <c r="U260" s="74">
        <v>354913.10924999992</v>
      </c>
      <c r="V260" s="76">
        <f t="shared" si="395"/>
        <v>329622.88695833331</v>
      </c>
      <c r="W260" s="24">
        <f t="shared" si="396"/>
        <v>291586.88695833331</v>
      </c>
      <c r="X260" s="25">
        <f t="shared" si="397"/>
        <v>7.6660765316629851</v>
      </c>
      <c r="Y260" s="77" t="str">
        <f t="shared" si="398"/>
        <v>REVISAR PRECIO</v>
      </c>
      <c r="Z260" s="106">
        <f t="shared" si="399"/>
        <v>329622.88695833331</v>
      </c>
      <c r="AA260" s="73">
        <v>38036</v>
      </c>
      <c r="AB260" s="88">
        <v>298000</v>
      </c>
      <c r="AC260" s="116">
        <v>320000</v>
      </c>
      <c r="AD260" s="74">
        <v>295201.82999999996</v>
      </c>
      <c r="AE260" s="76">
        <f t="shared" si="400"/>
        <v>304400.61</v>
      </c>
      <c r="AF260" s="24">
        <f t="shared" si="401"/>
        <v>266364.61</v>
      </c>
      <c r="AG260" s="25">
        <f t="shared" si="402"/>
        <v>7.0029606162582816</v>
      </c>
      <c r="AH260" s="77" t="str">
        <f t="shared" si="403"/>
        <v>REVISAR PRECIO</v>
      </c>
      <c r="AI260" s="77">
        <f t="shared" si="404"/>
        <v>304400.61</v>
      </c>
      <c r="AJ260" s="73">
        <v>38036</v>
      </c>
      <c r="AK260" s="79">
        <v>355584.02249999996</v>
      </c>
      <c r="AL260" s="79">
        <f>255586*1.05</f>
        <v>268365.3</v>
      </c>
      <c r="AM260" s="127">
        <v>322038.36</v>
      </c>
      <c r="AN260" s="128">
        <v>259600</v>
      </c>
      <c r="AO260" s="128">
        <v>300000</v>
      </c>
      <c r="AP260" s="133">
        <f t="shared" si="405"/>
        <v>301117.53650000005</v>
      </c>
      <c r="AQ260" s="127">
        <f t="shared" si="406"/>
        <v>263081.53650000005</v>
      </c>
      <c r="AR260" s="134">
        <f t="shared" si="407"/>
        <v>6.9166457172152711</v>
      </c>
      <c r="AS260" s="132">
        <f t="shared" si="408"/>
        <v>301117.53650000005</v>
      </c>
      <c r="AT260" s="10">
        <v>37287</v>
      </c>
      <c r="AU260" s="10">
        <v>268365</v>
      </c>
      <c r="AV260" s="167">
        <v>1073460</v>
      </c>
      <c r="AW260" s="168">
        <v>265000</v>
      </c>
      <c r="AX260" s="29">
        <f t="shared" si="409"/>
        <v>266682.5</v>
      </c>
      <c r="AY260" s="24">
        <f t="shared" si="410"/>
        <v>229395.5</v>
      </c>
      <c r="AZ260" s="25">
        <f t="shared" si="411"/>
        <v>6.1521575884356476</v>
      </c>
      <c r="BA260" s="24">
        <f t="shared" si="412"/>
        <v>1036173</v>
      </c>
      <c r="BB260" s="169">
        <f t="shared" si="413"/>
        <v>27.789122214176523</v>
      </c>
      <c r="BC260" s="170">
        <f t="shared" si="414"/>
        <v>266682.5</v>
      </c>
      <c r="BD260" s="10">
        <v>33897</v>
      </c>
      <c r="BE260" s="10">
        <v>136000</v>
      </c>
      <c r="BF260" s="10">
        <v>145000</v>
      </c>
      <c r="BG260" s="268">
        <v>140000</v>
      </c>
      <c r="BH260" s="10">
        <v>145000</v>
      </c>
      <c r="BI260" s="76">
        <f t="shared" si="415"/>
        <v>141500</v>
      </c>
      <c r="BJ260" s="24">
        <f t="shared" si="416"/>
        <v>107603</v>
      </c>
      <c r="BK260" s="25">
        <f t="shared" si="417"/>
        <v>3.1744107148125202</v>
      </c>
      <c r="BL260" s="259">
        <f t="shared" si="418"/>
        <v>141500</v>
      </c>
      <c r="BM260" s="10">
        <v>37847</v>
      </c>
      <c r="BN260" s="45"/>
      <c r="BO260" s="45">
        <v>268365</v>
      </c>
      <c r="BP260" s="45">
        <v>260000</v>
      </c>
      <c r="BQ260" s="29">
        <f t="shared" si="419"/>
        <v>264182.5</v>
      </c>
      <c r="BR260" s="24">
        <f t="shared" si="420"/>
        <v>226335.5</v>
      </c>
      <c r="BS260" s="25">
        <f t="shared" si="421"/>
        <v>5.9802758474912148</v>
      </c>
      <c r="BT260" s="308">
        <f t="shared" si="394"/>
        <v>264182.5</v>
      </c>
    </row>
    <row r="261" spans="1:72" ht="43.35" customHeight="1">
      <c r="A261" s="91" t="s">
        <v>514</v>
      </c>
      <c r="B261" s="358" t="s">
        <v>2453</v>
      </c>
      <c r="C261" s="50" t="s">
        <v>181</v>
      </c>
      <c r="D261" s="99" t="s">
        <v>523</v>
      </c>
      <c r="E261" s="48" t="s">
        <v>14</v>
      </c>
      <c r="F261" s="10">
        <v>181899</v>
      </c>
      <c r="G261" s="31">
        <v>236574</v>
      </c>
      <c r="H261" s="31">
        <v>307546</v>
      </c>
      <c r="I261" s="35">
        <v>206783.2</v>
      </c>
      <c r="J261" s="29">
        <f t="shared" si="422"/>
        <v>250301.06666666665</v>
      </c>
      <c r="K261" s="24">
        <f t="shared" si="423"/>
        <v>68402.066666666651</v>
      </c>
      <c r="L261" s="25">
        <f t="shared" si="424"/>
        <v>0.37604421501309326</v>
      </c>
      <c r="M261" s="69" t="str">
        <f t="shared" si="425"/>
        <v>REVISAR PRECIO</v>
      </c>
      <c r="N261" s="77">
        <f t="shared" si="371"/>
        <v>250301.06666666665</v>
      </c>
      <c r="O261" s="73">
        <v>162130</v>
      </c>
      <c r="P261" s="74">
        <v>219480.03000000003</v>
      </c>
      <c r="Q261" s="74">
        <v>230000</v>
      </c>
      <c r="R261" s="75">
        <v>252879.16500000001</v>
      </c>
      <c r="S261" s="61">
        <v>219480.03</v>
      </c>
      <c r="T261" s="60">
        <v>140000</v>
      </c>
      <c r="U261" s="74">
        <v>252402.03449999998</v>
      </c>
      <c r="V261" s="76">
        <f t="shared" si="395"/>
        <v>219040.2099166667</v>
      </c>
      <c r="W261" s="24">
        <f t="shared" si="396"/>
        <v>56910.209916666703</v>
      </c>
      <c r="X261" s="25">
        <f t="shared" si="397"/>
        <v>0.35101591264211868</v>
      </c>
      <c r="Y261" s="77" t="str">
        <f t="shared" si="398"/>
        <v>REVISAR PRECIO</v>
      </c>
      <c r="Z261" s="106">
        <f t="shared" si="399"/>
        <v>219040.2099166667</v>
      </c>
      <c r="AA261" s="73">
        <v>162130</v>
      </c>
      <c r="AB261" s="88">
        <v>210000</v>
      </c>
      <c r="AC261" s="116">
        <v>210000</v>
      </c>
      <c r="AD261" s="74">
        <v>209937.42</v>
      </c>
      <c r="AE261" s="76">
        <f t="shared" si="400"/>
        <v>209979.14</v>
      </c>
      <c r="AF261" s="24">
        <f t="shared" si="401"/>
        <v>47849.140000000014</v>
      </c>
      <c r="AG261" s="25">
        <f t="shared" si="402"/>
        <v>0.29512823043236919</v>
      </c>
      <c r="AH261" s="77">
        <f t="shared" si="403"/>
        <v>209979.14</v>
      </c>
      <c r="AI261" s="77">
        <f t="shared" si="404"/>
        <v>209979.14</v>
      </c>
      <c r="AJ261" s="73">
        <v>162130</v>
      </c>
      <c r="AK261" s="79">
        <v>252879.16500000001</v>
      </c>
      <c r="AL261" s="79">
        <f>181764*1.05</f>
        <v>190852.2</v>
      </c>
      <c r="AM261" s="127">
        <v>229022.64</v>
      </c>
      <c r="AN261" s="128">
        <v>234200</v>
      </c>
      <c r="AO261" s="128">
        <v>210000</v>
      </c>
      <c r="AP261" s="133">
        <f t="shared" si="405"/>
        <v>223390.80099999998</v>
      </c>
      <c r="AQ261" s="127">
        <f t="shared" si="406"/>
        <v>61260.800999999978</v>
      </c>
      <c r="AR261" s="134">
        <f t="shared" si="407"/>
        <v>0.37784987972614553</v>
      </c>
      <c r="AS261" s="132">
        <f t="shared" si="408"/>
        <v>223390.80099999998</v>
      </c>
      <c r="AT261" s="10">
        <v>162131</v>
      </c>
      <c r="AU261" s="10">
        <v>190852</v>
      </c>
      <c r="AV261" s="167">
        <v>954260</v>
      </c>
      <c r="AW261" s="168">
        <v>201500</v>
      </c>
      <c r="AX261" s="29">
        <f t="shared" si="409"/>
        <v>196176</v>
      </c>
      <c r="AY261" s="24">
        <f t="shared" si="410"/>
        <v>34045</v>
      </c>
      <c r="AZ261" s="25">
        <f t="shared" si="411"/>
        <v>0.20998451869167525</v>
      </c>
      <c r="BA261" s="24">
        <f t="shared" si="412"/>
        <v>792129</v>
      </c>
      <c r="BB261" s="169">
        <f t="shared" si="413"/>
        <v>4.8857343752891182</v>
      </c>
      <c r="BC261" s="170">
        <f t="shared" si="414"/>
        <v>196176</v>
      </c>
      <c r="BD261" s="10">
        <v>146212</v>
      </c>
      <c r="BE261" s="10">
        <v>99000</v>
      </c>
      <c r="BF261" s="10">
        <v>106000</v>
      </c>
      <c r="BG261" s="268">
        <v>100000</v>
      </c>
      <c r="BH261" s="10">
        <v>100000</v>
      </c>
      <c r="BI261" s="76">
        <f t="shared" si="415"/>
        <v>101250</v>
      </c>
      <c r="BJ261" s="24">
        <f t="shared" si="416"/>
        <v>-44962</v>
      </c>
      <c r="BK261" s="25">
        <f t="shared" si="417"/>
        <v>-0.30751237928487402</v>
      </c>
      <c r="BL261" s="259">
        <f t="shared" si="418"/>
        <v>101250</v>
      </c>
      <c r="BM261" s="10">
        <v>162130</v>
      </c>
      <c r="BN261" s="45"/>
      <c r="BO261" s="45">
        <v>191295</v>
      </c>
      <c r="BP261" s="45">
        <v>95000</v>
      </c>
      <c r="BQ261" s="29">
        <f t="shared" si="419"/>
        <v>143147.5</v>
      </c>
      <c r="BR261" s="24">
        <f t="shared" si="420"/>
        <v>-18982.5</v>
      </c>
      <c r="BS261" s="25">
        <f t="shared" si="421"/>
        <v>-0.11708197125763277</v>
      </c>
      <c r="BT261" s="308">
        <f t="shared" si="394"/>
        <v>143147.5</v>
      </c>
    </row>
    <row r="262" spans="1:72" ht="35.1" customHeight="1">
      <c r="A262" s="91" t="s">
        <v>514</v>
      </c>
      <c r="B262" s="358" t="s">
        <v>2454</v>
      </c>
      <c r="C262" s="50" t="s">
        <v>182</v>
      </c>
      <c r="D262" s="99" t="s">
        <v>524</v>
      </c>
      <c r="E262" s="48" t="s">
        <v>14</v>
      </c>
      <c r="F262" s="10">
        <v>16992</v>
      </c>
      <c r="G262" s="31">
        <v>22100</v>
      </c>
      <c r="H262" s="31">
        <v>28729</v>
      </c>
      <c r="I262" s="35">
        <v>19316.599999999999</v>
      </c>
      <c r="J262" s="29">
        <f t="shared" si="422"/>
        <v>23381.866666666669</v>
      </c>
      <c r="K262" s="24">
        <f t="shared" si="423"/>
        <v>6389.8666666666686</v>
      </c>
      <c r="L262" s="25">
        <f t="shared" si="424"/>
        <v>0.37605147520401772</v>
      </c>
      <c r="M262" s="69" t="str">
        <f t="shared" si="425"/>
        <v>REVISAR PRECIO</v>
      </c>
      <c r="N262" s="77">
        <f t="shared" si="371"/>
        <v>23381.866666666669</v>
      </c>
      <c r="O262" s="73">
        <v>15140</v>
      </c>
      <c r="P262" s="74">
        <v>51750</v>
      </c>
      <c r="Q262" s="74">
        <v>80000</v>
      </c>
      <c r="R262" s="75">
        <v>59625</v>
      </c>
      <c r="S262" s="61">
        <v>51749.999999999993</v>
      </c>
      <c r="T262" s="60">
        <v>120000</v>
      </c>
      <c r="U262" s="74">
        <v>59512.499999999985</v>
      </c>
      <c r="V262" s="76">
        <f t="shared" si="395"/>
        <v>70439.583333333328</v>
      </c>
      <c r="W262" s="24">
        <f t="shared" si="396"/>
        <v>55299.583333333328</v>
      </c>
      <c r="X262" s="25">
        <f t="shared" si="397"/>
        <v>3.6525484368119767</v>
      </c>
      <c r="Y262" s="77" t="str">
        <f t="shared" si="398"/>
        <v>REVISAR PRECIO</v>
      </c>
      <c r="Z262" s="106">
        <f t="shared" si="399"/>
        <v>70439.583333333328</v>
      </c>
      <c r="AA262" s="73">
        <v>15140</v>
      </c>
      <c r="AB262" s="88">
        <v>50000</v>
      </c>
      <c r="AC262" s="116">
        <v>50000</v>
      </c>
      <c r="AD262" s="74">
        <v>49500</v>
      </c>
      <c r="AE262" s="76">
        <f t="shared" si="400"/>
        <v>49833.333333333336</v>
      </c>
      <c r="AF262" s="24">
        <f t="shared" si="401"/>
        <v>34693.333333333336</v>
      </c>
      <c r="AG262" s="25">
        <f t="shared" si="402"/>
        <v>2.2915015411712902</v>
      </c>
      <c r="AH262" s="77" t="str">
        <f t="shared" si="403"/>
        <v>REVISAR PRECIO</v>
      </c>
      <c r="AI262" s="77">
        <f t="shared" si="404"/>
        <v>49833.333333333336</v>
      </c>
      <c r="AJ262" s="73">
        <v>15140</v>
      </c>
      <c r="AK262" s="79">
        <v>59625</v>
      </c>
      <c r="AL262" s="79">
        <v>45000</v>
      </c>
      <c r="AM262" s="127">
        <v>54000</v>
      </c>
      <c r="AN262" s="128">
        <v>44200</v>
      </c>
      <c r="AO262" s="128">
        <v>50000</v>
      </c>
      <c r="AP262" s="133">
        <f t="shared" si="405"/>
        <v>50565</v>
      </c>
      <c r="AQ262" s="127">
        <f t="shared" si="406"/>
        <v>35425</v>
      </c>
      <c r="AR262" s="134">
        <f t="shared" si="407"/>
        <v>2.3398282694848085</v>
      </c>
      <c r="AS262" s="132">
        <f t="shared" si="408"/>
        <v>50565</v>
      </c>
      <c r="AT262" s="10">
        <v>14847</v>
      </c>
      <c r="AU262" s="10">
        <v>85000</v>
      </c>
      <c r="AV262" s="167">
        <v>9000</v>
      </c>
      <c r="AW262" s="168">
        <v>65000</v>
      </c>
      <c r="AX262" s="29">
        <f t="shared" si="409"/>
        <v>75000</v>
      </c>
      <c r="AY262" s="24">
        <f t="shared" si="410"/>
        <v>60153</v>
      </c>
      <c r="AZ262" s="25">
        <f t="shared" si="411"/>
        <v>4.0515255607193374</v>
      </c>
      <c r="BA262" s="24">
        <f t="shared" si="412"/>
        <v>-5847</v>
      </c>
      <c r="BB262" s="169">
        <f t="shared" si="413"/>
        <v>-0.39381693271367951</v>
      </c>
      <c r="BC262" s="170">
        <f t="shared" si="414"/>
        <v>75000</v>
      </c>
      <c r="BD262" s="10">
        <v>13489</v>
      </c>
      <c r="BE262" s="10">
        <v>40000</v>
      </c>
      <c r="BF262" s="10">
        <v>47000</v>
      </c>
      <c r="BG262" s="268">
        <v>45000</v>
      </c>
      <c r="BH262" s="10">
        <v>45000</v>
      </c>
      <c r="BI262" s="76">
        <f t="shared" ref="BI262" si="426">AVERAGE(BE262,BF262,BG262,BH262)</f>
        <v>44250</v>
      </c>
      <c r="BJ262" s="24">
        <f t="shared" ref="BJ262" si="427">BI262-BD262</f>
        <v>30761</v>
      </c>
      <c r="BK262" s="25">
        <f t="shared" ref="BK262" si="428">+BJ262/BD262</f>
        <v>2.2804507376380756</v>
      </c>
      <c r="BL262" s="259">
        <f t="shared" ref="BL262" si="429">BI262</f>
        <v>44250</v>
      </c>
      <c r="BM262" s="10">
        <v>15065</v>
      </c>
      <c r="BN262" s="45"/>
      <c r="BO262" s="45">
        <v>17516</v>
      </c>
      <c r="BP262" s="45">
        <v>45000</v>
      </c>
      <c r="BQ262" s="29">
        <f t="shared" si="419"/>
        <v>31258</v>
      </c>
      <c r="BR262" s="24">
        <f t="shared" si="420"/>
        <v>16193</v>
      </c>
      <c r="BS262" s="25">
        <f t="shared" si="421"/>
        <v>1.0748755393295719</v>
      </c>
      <c r="BT262" s="308">
        <f t="shared" si="394"/>
        <v>31258</v>
      </c>
    </row>
    <row r="263" spans="1:72" ht="47.1" customHeight="1">
      <c r="A263" s="91" t="s">
        <v>514</v>
      </c>
      <c r="B263" s="358" t="s">
        <v>2455</v>
      </c>
      <c r="C263" s="50" t="s">
        <v>183</v>
      </c>
      <c r="D263" s="99" t="s">
        <v>525</v>
      </c>
      <c r="E263" s="48" t="s">
        <v>14</v>
      </c>
      <c r="F263" s="10">
        <v>122899</v>
      </c>
      <c r="G263" s="33">
        <v>159840</v>
      </c>
      <c r="H263" s="31">
        <v>207792</v>
      </c>
      <c r="I263" s="35">
        <v>139712</v>
      </c>
      <c r="J263" s="29">
        <f t="shared" si="422"/>
        <v>169114.66666666666</v>
      </c>
      <c r="K263" s="24">
        <f t="shared" si="423"/>
        <v>46215.666666666657</v>
      </c>
      <c r="L263" s="25">
        <f t="shared" si="424"/>
        <v>0.37604591303970464</v>
      </c>
      <c r="M263" s="69" t="str">
        <f t="shared" si="425"/>
        <v>REVISAR PRECIO</v>
      </c>
      <c r="N263" s="77">
        <f t="shared" si="371"/>
        <v>169114.66666666666</v>
      </c>
      <c r="O263" s="73">
        <v>86665</v>
      </c>
      <c r="P263" s="74">
        <v>40089</v>
      </c>
      <c r="Q263" s="74">
        <v>60000</v>
      </c>
      <c r="R263" s="75">
        <v>46189.5</v>
      </c>
      <c r="S263" s="61">
        <v>40089</v>
      </c>
      <c r="T263" s="60">
        <v>140000</v>
      </c>
      <c r="U263" s="74">
        <v>46102.35</v>
      </c>
      <c r="V263" s="76">
        <f t="shared" si="395"/>
        <v>62078.308333333327</v>
      </c>
      <c r="W263" s="24">
        <f t="shared" si="396"/>
        <v>-24586.691666666673</v>
      </c>
      <c r="X263" s="25">
        <f t="shared" si="397"/>
        <v>-0.28369805188561326</v>
      </c>
      <c r="Y263" s="77">
        <f t="shared" si="398"/>
        <v>62078.308333333327</v>
      </c>
      <c r="Z263" s="106">
        <f t="shared" si="399"/>
        <v>62078.308333333327</v>
      </c>
      <c r="AA263" s="73">
        <v>86665</v>
      </c>
      <c r="AB263" s="88">
        <v>39000</v>
      </c>
      <c r="AC263" s="116">
        <v>39000</v>
      </c>
      <c r="AD263" s="74">
        <v>38346</v>
      </c>
      <c r="AE263" s="76">
        <f t="shared" si="400"/>
        <v>38782</v>
      </c>
      <c r="AF263" s="24">
        <f t="shared" si="401"/>
        <v>-47883</v>
      </c>
      <c r="AG263" s="25">
        <f t="shared" si="402"/>
        <v>-0.55250677897651879</v>
      </c>
      <c r="AH263" s="77">
        <f t="shared" si="403"/>
        <v>38782</v>
      </c>
      <c r="AI263" s="77">
        <f t="shared" si="404"/>
        <v>38782</v>
      </c>
      <c r="AJ263" s="73">
        <v>86665</v>
      </c>
      <c r="AK263" s="79">
        <v>46189.5</v>
      </c>
      <c r="AL263" s="79">
        <f>24900*1.4</f>
        <v>34860</v>
      </c>
      <c r="AM263" s="127">
        <v>41832</v>
      </c>
      <c r="AN263" s="128">
        <v>41700</v>
      </c>
      <c r="AO263" s="128">
        <v>40000</v>
      </c>
      <c r="AP263" s="133">
        <f t="shared" si="405"/>
        <v>40916.300000000003</v>
      </c>
      <c r="AQ263" s="127">
        <f t="shared" si="406"/>
        <v>-45748.7</v>
      </c>
      <c r="AR263" s="134">
        <f t="shared" si="407"/>
        <v>-0.52787976691859451</v>
      </c>
      <c r="AS263" s="132">
        <f t="shared" si="408"/>
        <v>40916.300000000003</v>
      </c>
      <c r="AT263" s="10">
        <v>84968</v>
      </c>
      <c r="AU263" s="10">
        <v>34860</v>
      </c>
      <c r="AV263" s="167">
        <v>69720</v>
      </c>
      <c r="AW263" s="168">
        <v>49800</v>
      </c>
      <c r="AX263" s="29">
        <f t="shared" si="409"/>
        <v>42330</v>
      </c>
      <c r="AY263" s="24">
        <f t="shared" si="410"/>
        <v>-42638</v>
      </c>
      <c r="AZ263" s="25">
        <f t="shared" si="411"/>
        <v>-0.50181244703888528</v>
      </c>
      <c r="BA263" s="24">
        <f t="shared" si="412"/>
        <v>-15248</v>
      </c>
      <c r="BB263" s="169">
        <f t="shared" si="413"/>
        <v>-0.1794557951228698</v>
      </c>
      <c r="BC263" s="170">
        <f t="shared" si="414"/>
        <v>42330</v>
      </c>
      <c r="BD263" s="10">
        <v>77231</v>
      </c>
      <c r="BE263" s="10">
        <v>48000</v>
      </c>
      <c r="BF263" s="10">
        <v>55000</v>
      </c>
      <c r="BG263" s="268">
        <v>52000</v>
      </c>
      <c r="BH263" s="10">
        <v>55000</v>
      </c>
      <c r="BI263" s="76">
        <f t="shared" ref="BI263:BI271" si="430">AVERAGE(BE263,BF263,BG263,BH263)</f>
        <v>52500</v>
      </c>
      <c r="BJ263" s="24">
        <f t="shared" ref="BJ263:BJ271" si="431">BI263-BD263</f>
        <v>-24731</v>
      </c>
      <c r="BK263" s="25">
        <f t="shared" ref="BK263:BK271" si="432">+BJ263/BD263</f>
        <v>-0.32022115471766521</v>
      </c>
      <c r="BL263" s="259">
        <f t="shared" ref="BL263:BL271" si="433">BI263</f>
        <v>52500</v>
      </c>
      <c r="BM263" s="10">
        <v>86238</v>
      </c>
      <c r="BN263" s="45"/>
      <c r="BO263" s="45">
        <v>100250</v>
      </c>
      <c r="BP263" s="45">
        <v>50000</v>
      </c>
      <c r="BQ263" s="29">
        <f t="shared" si="419"/>
        <v>75125</v>
      </c>
      <c r="BR263" s="24">
        <f t="shared" si="420"/>
        <v>-11113</v>
      </c>
      <c r="BS263" s="25">
        <f t="shared" si="421"/>
        <v>-0.12886430575848234</v>
      </c>
      <c r="BT263" s="308">
        <f t="shared" si="394"/>
        <v>75125</v>
      </c>
    </row>
    <row r="264" spans="1:72" ht="45" customHeight="1">
      <c r="A264" s="91" t="s">
        <v>514</v>
      </c>
      <c r="B264" s="358" t="s">
        <v>2456</v>
      </c>
      <c r="C264" s="50" t="s">
        <v>184</v>
      </c>
      <c r="D264" s="99" t="s">
        <v>20</v>
      </c>
      <c r="E264" s="48" t="s">
        <v>14</v>
      </c>
      <c r="F264" s="10">
        <v>21175</v>
      </c>
      <c r="G264" s="31">
        <v>27540</v>
      </c>
      <c r="H264" s="31">
        <v>35802</v>
      </c>
      <c r="I264" s="35">
        <v>24072</v>
      </c>
      <c r="J264" s="29">
        <f t="shared" si="422"/>
        <v>29138</v>
      </c>
      <c r="K264" s="24">
        <f t="shared" si="423"/>
        <v>7963</v>
      </c>
      <c r="L264" s="25">
        <f t="shared" si="424"/>
        <v>0.37605667060212516</v>
      </c>
      <c r="M264" s="69" t="str">
        <f t="shared" si="425"/>
        <v>REVISAR PRECIO</v>
      </c>
      <c r="N264" s="77">
        <f t="shared" si="371"/>
        <v>29138</v>
      </c>
      <c r="O264" s="73">
        <v>15369</v>
      </c>
      <c r="P264" s="74">
        <v>36685</v>
      </c>
      <c r="Q264" s="74">
        <v>40000</v>
      </c>
      <c r="R264" s="75">
        <v>42267.5</v>
      </c>
      <c r="S264" s="61">
        <v>36685</v>
      </c>
      <c r="T264" s="60">
        <v>90000</v>
      </c>
      <c r="U264" s="74">
        <v>42187.75</v>
      </c>
      <c r="V264" s="76">
        <f t="shared" si="395"/>
        <v>47970.875</v>
      </c>
      <c r="W264" s="24">
        <f t="shared" si="396"/>
        <v>32601.875</v>
      </c>
      <c r="X264" s="25">
        <f t="shared" si="397"/>
        <v>2.1212749690936299</v>
      </c>
      <c r="Y264" s="77" t="str">
        <f t="shared" si="398"/>
        <v>REVISAR PRECIO</v>
      </c>
      <c r="Z264" s="106">
        <f t="shared" si="399"/>
        <v>47970.875</v>
      </c>
      <c r="AA264" s="73">
        <v>15369</v>
      </c>
      <c r="AB264" s="88">
        <v>35000</v>
      </c>
      <c r="AC264" s="116">
        <v>35000</v>
      </c>
      <c r="AD264" s="74">
        <v>35090</v>
      </c>
      <c r="AE264" s="76">
        <f t="shared" si="400"/>
        <v>35030</v>
      </c>
      <c r="AF264" s="24">
        <f t="shared" si="401"/>
        <v>19661</v>
      </c>
      <c r="AG264" s="25">
        <f t="shared" si="402"/>
        <v>1.2792634524041901</v>
      </c>
      <c r="AH264" s="77" t="str">
        <f t="shared" si="403"/>
        <v>REVISAR PRECIO</v>
      </c>
      <c r="AI264" s="77">
        <f t="shared" si="404"/>
        <v>35030</v>
      </c>
      <c r="AJ264" s="73">
        <v>15369</v>
      </c>
      <c r="AK264" s="79">
        <v>42267.5</v>
      </c>
      <c r="AL264" s="79">
        <f>22000*1.45</f>
        <v>31900</v>
      </c>
      <c r="AM264" s="127">
        <v>38280</v>
      </c>
      <c r="AN264" s="128">
        <v>31900</v>
      </c>
      <c r="AO264" s="128">
        <v>30000</v>
      </c>
      <c r="AP264" s="133">
        <f t="shared" si="405"/>
        <v>34869.5</v>
      </c>
      <c r="AQ264" s="127">
        <f t="shared" si="406"/>
        <v>19500.5</v>
      </c>
      <c r="AR264" s="134">
        <f t="shared" si="407"/>
        <v>1.2688203526579478</v>
      </c>
      <c r="AS264" s="132">
        <f t="shared" si="408"/>
        <v>34869.5</v>
      </c>
      <c r="AT264" s="10">
        <v>15369</v>
      </c>
      <c r="AU264" s="10">
        <v>31900</v>
      </c>
      <c r="AV264" s="167">
        <v>95700</v>
      </c>
      <c r="AW264" s="168">
        <v>45900</v>
      </c>
      <c r="AX264" s="29">
        <f t="shared" si="409"/>
        <v>38900</v>
      </c>
      <c r="AY264" s="24">
        <f t="shared" si="410"/>
        <v>23531</v>
      </c>
      <c r="AZ264" s="25">
        <f t="shared" si="411"/>
        <v>1.5310690350705967</v>
      </c>
      <c r="BA264" s="24">
        <f t="shared" si="412"/>
        <v>80331</v>
      </c>
      <c r="BB264" s="169">
        <f t="shared" si="413"/>
        <v>5.2268202225258635</v>
      </c>
      <c r="BC264" s="170">
        <f t="shared" si="414"/>
        <v>38900</v>
      </c>
      <c r="BD264" s="10">
        <v>13830</v>
      </c>
      <c r="BE264" s="10">
        <v>45000</v>
      </c>
      <c r="BF264" s="10">
        <v>51000</v>
      </c>
      <c r="BG264" s="268">
        <v>51000</v>
      </c>
      <c r="BH264" s="10">
        <v>75000</v>
      </c>
      <c r="BI264" s="76">
        <f t="shared" si="430"/>
        <v>55500</v>
      </c>
      <c r="BJ264" s="24">
        <f t="shared" si="431"/>
        <v>41670</v>
      </c>
      <c r="BK264" s="25">
        <f t="shared" si="432"/>
        <v>3.013015184381779</v>
      </c>
      <c r="BL264" s="259">
        <f t="shared" si="433"/>
        <v>55500</v>
      </c>
      <c r="BM264" s="10">
        <v>15369</v>
      </c>
      <c r="BN264" s="45"/>
      <c r="BO264" s="45">
        <v>31900</v>
      </c>
      <c r="BP264" s="45">
        <v>45000</v>
      </c>
      <c r="BQ264" s="29">
        <f t="shared" si="419"/>
        <v>38450</v>
      </c>
      <c r="BR264" s="24">
        <f t="shared" si="420"/>
        <v>23081</v>
      </c>
      <c r="BS264" s="25">
        <f t="shared" si="421"/>
        <v>1.5017893161558982</v>
      </c>
      <c r="BT264" s="308">
        <f t="shared" si="394"/>
        <v>38450</v>
      </c>
    </row>
    <row r="265" spans="1:72" ht="45" customHeight="1">
      <c r="A265" s="91" t="s">
        <v>514</v>
      </c>
      <c r="B265" s="358" t="s">
        <v>2457</v>
      </c>
      <c r="C265" s="50" t="s">
        <v>185</v>
      </c>
      <c r="D265" s="99" t="s">
        <v>21</v>
      </c>
      <c r="E265" s="48" t="s">
        <v>14</v>
      </c>
      <c r="F265" s="10">
        <v>104008</v>
      </c>
      <c r="G265" s="31">
        <v>135270</v>
      </c>
      <c r="H265" s="31">
        <v>175851</v>
      </c>
      <c r="I265" s="35">
        <v>118236</v>
      </c>
      <c r="J265" s="29">
        <f t="shared" si="422"/>
        <v>143119</v>
      </c>
      <c r="K265" s="24">
        <f t="shared" si="423"/>
        <v>39111</v>
      </c>
      <c r="L265" s="25">
        <f t="shared" si="424"/>
        <v>0.37603838166294901</v>
      </c>
      <c r="M265" s="69" t="str">
        <f t="shared" si="425"/>
        <v>REVISAR PRECIO</v>
      </c>
      <c r="N265" s="77">
        <f t="shared" si="371"/>
        <v>143119</v>
      </c>
      <c r="O265" s="73">
        <v>75484</v>
      </c>
      <c r="P265" s="74">
        <v>64400</v>
      </c>
      <c r="Q265" s="74">
        <v>100000</v>
      </c>
      <c r="R265" s="75">
        <v>74200</v>
      </c>
      <c r="S265" s="61">
        <v>64399.999999999993</v>
      </c>
      <c r="T265" s="60">
        <v>140000</v>
      </c>
      <c r="U265" s="74">
        <v>74059.999999999985</v>
      </c>
      <c r="V265" s="76">
        <f t="shared" si="395"/>
        <v>86176.666666666672</v>
      </c>
      <c r="W265" s="24">
        <f t="shared" si="396"/>
        <v>10692.666666666672</v>
      </c>
      <c r="X265" s="25">
        <f t="shared" si="397"/>
        <v>0.14165474361012495</v>
      </c>
      <c r="Y265" s="77">
        <f t="shared" si="398"/>
        <v>86176.666666666672</v>
      </c>
      <c r="Z265" s="106">
        <f t="shared" si="399"/>
        <v>86176.666666666672</v>
      </c>
      <c r="AA265" s="73">
        <v>75484</v>
      </c>
      <c r="AB265" s="88">
        <v>58800</v>
      </c>
      <c r="AC265" s="116">
        <v>58800</v>
      </c>
      <c r="AD265" s="74">
        <v>61600</v>
      </c>
      <c r="AE265" s="76">
        <f t="shared" si="400"/>
        <v>59733.333333333336</v>
      </c>
      <c r="AF265" s="24">
        <f t="shared" si="401"/>
        <v>-15750.666666666664</v>
      </c>
      <c r="AG265" s="25">
        <f t="shared" si="402"/>
        <v>-0.20866232137494919</v>
      </c>
      <c r="AH265" s="77">
        <f t="shared" si="403"/>
        <v>59733.333333333336</v>
      </c>
      <c r="AI265" s="77">
        <f t="shared" si="404"/>
        <v>59733.333333333336</v>
      </c>
      <c r="AJ265" s="73">
        <v>75484</v>
      </c>
      <c r="AK265" s="79">
        <v>74200</v>
      </c>
      <c r="AL265" s="79">
        <f>40000*1.4</f>
        <v>56000</v>
      </c>
      <c r="AM265" s="127">
        <v>67200</v>
      </c>
      <c r="AN265" s="128">
        <v>55100</v>
      </c>
      <c r="AO265" s="128">
        <v>55000</v>
      </c>
      <c r="AP265" s="133">
        <f t="shared" si="405"/>
        <v>61500</v>
      </c>
      <c r="AQ265" s="127">
        <f t="shared" si="406"/>
        <v>-13984</v>
      </c>
      <c r="AR265" s="134">
        <f t="shared" si="407"/>
        <v>-0.18525780297811456</v>
      </c>
      <c r="AS265" s="132">
        <f t="shared" si="408"/>
        <v>61500</v>
      </c>
      <c r="AT265" s="10">
        <v>75485</v>
      </c>
      <c r="AU265" s="10">
        <v>56000</v>
      </c>
      <c r="AV265" s="167">
        <v>112000</v>
      </c>
      <c r="AW265" s="168">
        <v>80000</v>
      </c>
      <c r="AX265" s="29">
        <f t="shared" si="409"/>
        <v>68000</v>
      </c>
      <c r="AY265" s="24">
        <f t="shared" si="410"/>
        <v>-7485</v>
      </c>
      <c r="AZ265" s="25">
        <f t="shared" si="411"/>
        <v>-9.9158773266211836E-2</v>
      </c>
      <c r="BA265" s="24">
        <f t="shared" si="412"/>
        <v>36515</v>
      </c>
      <c r="BB265" s="169">
        <f t="shared" si="413"/>
        <v>0.48373849109094524</v>
      </c>
      <c r="BC265" s="170">
        <f t="shared" si="414"/>
        <v>68000</v>
      </c>
      <c r="BD265" s="10">
        <v>67937</v>
      </c>
      <c r="BE265" s="10">
        <v>89000</v>
      </c>
      <c r="BF265" s="10">
        <v>95000</v>
      </c>
      <c r="BG265" s="268">
        <v>93000</v>
      </c>
      <c r="BH265" s="10">
        <v>85000</v>
      </c>
      <c r="BI265" s="76">
        <f t="shared" si="430"/>
        <v>90500</v>
      </c>
      <c r="BJ265" s="24">
        <f t="shared" si="431"/>
        <v>22563</v>
      </c>
      <c r="BK265" s="25">
        <f t="shared" si="432"/>
        <v>0.33211651971679645</v>
      </c>
      <c r="BL265" s="259">
        <f t="shared" si="433"/>
        <v>90500</v>
      </c>
      <c r="BM265" s="10">
        <v>75484</v>
      </c>
      <c r="BN265" s="45"/>
      <c r="BO265" s="45">
        <v>89065</v>
      </c>
      <c r="BP265" s="45">
        <v>55000</v>
      </c>
      <c r="BQ265" s="29">
        <f t="shared" si="419"/>
        <v>72032.5</v>
      </c>
      <c r="BR265" s="24">
        <f t="shared" si="420"/>
        <v>-3451.5</v>
      </c>
      <c r="BS265" s="25">
        <f t="shared" si="421"/>
        <v>-4.5724921837740448E-2</v>
      </c>
      <c r="BT265" s="308">
        <f t="shared" si="394"/>
        <v>72032.5</v>
      </c>
    </row>
    <row r="266" spans="1:72" ht="45" customHeight="1">
      <c r="A266" s="91" t="s">
        <v>514</v>
      </c>
      <c r="B266" s="358" t="s">
        <v>2458</v>
      </c>
      <c r="C266" s="50" t="s">
        <v>186</v>
      </c>
      <c r="D266" s="99" t="s">
        <v>526</v>
      </c>
      <c r="E266" s="48" t="s">
        <v>22</v>
      </c>
      <c r="F266" s="10">
        <v>137047</v>
      </c>
      <c r="G266" s="31">
        <v>178241</v>
      </c>
      <c r="H266" s="31">
        <v>178241</v>
      </c>
      <c r="I266" s="35">
        <v>155795.4</v>
      </c>
      <c r="J266" s="29">
        <f t="shared" si="422"/>
        <v>170759.13333333333</v>
      </c>
      <c r="K266" s="24">
        <f t="shared" si="423"/>
        <v>33712.133333333331</v>
      </c>
      <c r="L266" s="25">
        <f t="shared" si="424"/>
        <v>0.24598957535249463</v>
      </c>
      <c r="M266" s="69">
        <f t="shared" si="425"/>
        <v>170759.13333333333</v>
      </c>
      <c r="N266" s="77">
        <f t="shared" si="371"/>
        <v>170759.13333333333</v>
      </c>
      <c r="O266" s="73">
        <v>99471</v>
      </c>
      <c r="P266" s="74">
        <v>35403.899999999994</v>
      </c>
      <c r="Q266" s="74">
        <v>50000</v>
      </c>
      <c r="R266" s="75">
        <v>40791.449999999997</v>
      </c>
      <c r="S266" s="61">
        <v>35403.899999999994</v>
      </c>
      <c r="T266" s="60">
        <v>18000</v>
      </c>
      <c r="U266" s="74">
        <v>40714.484999999993</v>
      </c>
      <c r="V266" s="76">
        <f t="shared" si="395"/>
        <v>36718.955833333333</v>
      </c>
      <c r="W266" s="24">
        <f t="shared" si="396"/>
        <v>-62752.044166666667</v>
      </c>
      <c r="X266" s="25">
        <f t="shared" si="397"/>
        <v>-0.63085767878745225</v>
      </c>
      <c r="Y266" s="77">
        <f t="shared" si="398"/>
        <v>36718.955833333333</v>
      </c>
      <c r="Z266" s="106">
        <f t="shared" si="399"/>
        <v>36718.955833333333</v>
      </c>
      <c r="AA266" s="73">
        <v>99471</v>
      </c>
      <c r="AB266" s="88">
        <v>33000</v>
      </c>
      <c r="AC266" s="116">
        <v>33000</v>
      </c>
      <c r="AD266" s="74">
        <v>33864.6</v>
      </c>
      <c r="AE266" s="76">
        <f t="shared" si="400"/>
        <v>33288.200000000004</v>
      </c>
      <c r="AF266" s="24">
        <f t="shared" si="401"/>
        <v>-66182.799999999988</v>
      </c>
      <c r="AG266" s="25">
        <f t="shared" si="402"/>
        <v>-0.66534768927627141</v>
      </c>
      <c r="AH266" s="77">
        <f t="shared" si="403"/>
        <v>33288.200000000004</v>
      </c>
      <c r="AI266" s="77">
        <f t="shared" si="404"/>
        <v>33288.200000000004</v>
      </c>
      <c r="AJ266" s="73">
        <v>99471</v>
      </c>
      <c r="AK266" s="79">
        <v>40791.449999999997</v>
      </c>
      <c r="AL266" s="79">
        <f>21990*1.4</f>
        <v>30785.999999999996</v>
      </c>
      <c r="AM266" s="127">
        <v>36943.199999999997</v>
      </c>
      <c r="AN266" s="128">
        <v>36200</v>
      </c>
      <c r="AO266" s="128">
        <v>30000</v>
      </c>
      <c r="AP266" s="133">
        <f t="shared" si="405"/>
        <v>34944.129999999997</v>
      </c>
      <c r="AQ266" s="127">
        <f t="shared" si="406"/>
        <v>-64526.87</v>
      </c>
      <c r="AR266" s="134">
        <f t="shared" si="407"/>
        <v>-0.64870032471775696</v>
      </c>
      <c r="AS266" s="132">
        <f t="shared" si="408"/>
        <v>34944.129999999997</v>
      </c>
      <c r="AT266" s="10">
        <v>97517</v>
      </c>
      <c r="AU266" s="10">
        <v>30786</v>
      </c>
      <c r="AV266" s="167">
        <v>61572</v>
      </c>
      <c r="AW266" s="168">
        <v>203000</v>
      </c>
      <c r="AX266" s="29">
        <f t="shared" si="409"/>
        <v>116893</v>
      </c>
      <c r="AY266" s="24">
        <f t="shared" si="410"/>
        <v>19376</v>
      </c>
      <c r="AZ266" s="25">
        <f t="shared" si="411"/>
        <v>0.19869356112267605</v>
      </c>
      <c r="BA266" s="24">
        <f t="shared" si="412"/>
        <v>-35945</v>
      </c>
      <c r="BB266" s="169">
        <f t="shared" si="413"/>
        <v>-0.36860239753068696</v>
      </c>
      <c r="BC266" s="170">
        <f t="shared" si="414"/>
        <v>116893</v>
      </c>
      <c r="BD266" s="10">
        <v>88640</v>
      </c>
      <c r="BE266" s="10">
        <v>79900</v>
      </c>
      <c r="BF266" s="10">
        <v>85000</v>
      </c>
      <c r="BG266" s="268">
        <v>80000</v>
      </c>
      <c r="BH266" s="10">
        <v>120000</v>
      </c>
      <c r="BI266" s="76">
        <f t="shared" si="430"/>
        <v>91225</v>
      </c>
      <c r="BJ266" s="24">
        <f t="shared" si="431"/>
        <v>2585</v>
      </c>
      <c r="BK266" s="25">
        <f t="shared" si="432"/>
        <v>2.9162906137184117E-2</v>
      </c>
      <c r="BL266" s="259">
        <f t="shared" si="433"/>
        <v>91225</v>
      </c>
      <c r="BM266" s="10">
        <v>98977</v>
      </c>
      <c r="BN266" s="45"/>
      <c r="BO266" s="45">
        <v>115062</v>
      </c>
      <c r="BP266" s="45">
        <v>45000</v>
      </c>
      <c r="BQ266" s="29">
        <f t="shared" si="419"/>
        <v>80031</v>
      </c>
      <c r="BR266" s="24">
        <f t="shared" si="420"/>
        <v>-18946</v>
      </c>
      <c r="BS266" s="25">
        <f t="shared" si="421"/>
        <v>-0.19141820827060832</v>
      </c>
      <c r="BT266" s="308">
        <f t="shared" si="394"/>
        <v>80031</v>
      </c>
    </row>
    <row r="267" spans="1:72" ht="45" customHeight="1">
      <c r="A267" s="91" t="s">
        <v>514</v>
      </c>
      <c r="B267" s="358" t="s">
        <v>2459</v>
      </c>
      <c r="C267" s="50" t="s">
        <v>187</v>
      </c>
      <c r="D267" s="99" t="s">
        <v>527</v>
      </c>
      <c r="E267" s="48" t="s">
        <v>14</v>
      </c>
      <c r="F267" s="10">
        <v>86538</v>
      </c>
      <c r="G267" s="31">
        <v>112550</v>
      </c>
      <c r="H267" s="31">
        <v>146314</v>
      </c>
      <c r="I267" s="35">
        <v>98376.6</v>
      </c>
      <c r="J267" s="29">
        <f t="shared" si="422"/>
        <v>119080.2</v>
      </c>
      <c r="K267" s="24">
        <f t="shared" si="423"/>
        <v>32542.199999999997</v>
      </c>
      <c r="L267" s="25">
        <f t="shared" si="424"/>
        <v>0.37604520557442972</v>
      </c>
      <c r="M267" s="69" t="str">
        <f t="shared" si="425"/>
        <v>REVISAR PRECIO</v>
      </c>
      <c r="N267" s="77">
        <f t="shared" si="371"/>
        <v>119080.2</v>
      </c>
      <c r="O267" s="73">
        <v>62811</v>
      </c>
      <c r="P267" s="74">
        <v>135291.75</v>
      </c>
      <c r="Q267" s="74">
        <v>200000</v>
      </c>
      <c r="R267" s="75">
        <v>155879.625</v>
      </c>
      <c r="S267" s="61">
        <v>135291.75</v>
      </c>
      <c r="T267" s="60">
        <v>600000</v>
      </c>
      <c r="U267" s="74">
        <v>155585.51249999998</v>
      </c>
      <c r="V267" s="76">
        <f t="shared" si="395"/>
        <v>230341.43958333333</v>
      </c>
      <c r="W267" s="24">
        <f t="shared" si="396"/>
        <v>167530.43958333333</v>
      </c>
      <c r="X267" s="25">
        <f t="shared" si="397"/>
        <v>2.66721497163448</v>
      </c>
      <c r="Y267" s="77" t="str">
        <f t="shared" si="398"/>
        <v>REVISAR PRECIO</v>
      </c>
      <c r="Z267" s="106">
        <f t="shared" si="399"/>
        <v>230341.43958333333</v>
      </c>
      <c r="AA267" s="73">
        <v>62811</v>
      </c>
      <c r="AB267" s="88">
        <v>130000</v>
      </c>
      <c r="AC267" s="116">
        <v>130000</v>
      </c>
      <c r="AD267" s="74">
        <v>129409.5</v>
      </c>
      <c r="AE267" s="76">
        <f t="shared" si="400"/>
        <v>129803.16666666667</v>
      </c>
      <c r="AF267" s="24">
        <f t="shared" si="401"/>
        <v>66992.166666666672</v>
      </c>
      <c r="AG267" s="25">
        <f t="shared" si="402"/>
        <v>1.0665674271491725</v>
      </c>
      <c r="AH267" s="77" t="str">
        <f t="shared" si="403"/>
        <v>REVISAR PRECIO</v>
      </c>
      <c r="AI267" s="77">
        <f t="shared" si="404"/>
        <v>129803.16666666667</v>
      </c>
      <c r="AJ267" s="73">
        <v>62811</v>
      </c>
      <c r="AK267" s="79">
        <v>155879.625</v>
      </c>
      <c r="AL267" s="79">
        <f>75900*1.55</f>
        <v>117645</v>
      </c>
      <c r="AM267" s="127">
        <v>141174</v>
      </c>
      <c r="AN267" s="128">
        <v>120100</v>
      </c>
      <c r="AO267" s="128">
        <v>120000</v>
      </c>
      <c r="AP267" s="133">
        <f t="shared" si="405"/>
        <v>130959.72500000001</v>
      </c>
      <c r="AQ267" s="127">
        <f t="shared" si="406"/>
        <v>68148.725000000006</v>
      </c>
      <c r="AR267" s="134">
        <f t="shared" si="407"/>
        <v>1.0849807358583687</v>
      </c>
      <c r="AS267" s="132">
        <f t="shared" si="408"/>
        <v>130959.72500000001</v>
      </c>
      <c r="AT267" s="10">
        <v>61578</v>
      </c>
      <c r="AU267" s="10">
        <v>117645</v>
      </c>
      <c r="AV267" s="167">
        <v>352935</v>
      </c>
      <c r="AW267" s="168">
        <v>145000</v>
      </c>
      <c r="AX267" s="29">
        <f t="shared" si="409"/>
        <v>131322.5</v>
      </c>
      <c r="AY267" s="24">
        <f t="shared" si="410"/>
        <v>69744.5</v>
      </c>
      <c r="AZ267" s="25">
        <f t="shared" si="411"/>
        <v>1.1326204163824742</v>
      </c>
      <c r="BA267" s="24">
        <f t="shared" si="412"/>
        <v>291357</v>
      </c>
      <c r="BB267" s="169">
        <f t="shared" si="413"/>
        <v>4.731511254019293</v>
      </c>
      <c r="BC267" s="170">
        <f t="shared" si="414"/>
        <v>131322.5</v>
      </c>
      <c r="BD267" s="10">
        <v>55967</v>
      </c>
      <c r="BE267" s="10">
        <v>70000</v>
      </c>
      <c r="BF267" s="10">
        <v>76500</v>
      </c>
      <c r="BG267" s="268">
        <v>74000</v>
      </c>
      <c r="BH267" s="10">
        <v>120000</v>
      </c>
      <c r="BI267" s="76">
        <f t="shared" si="430"/>
        <v>85125</v>
      </c>
      <c r="BJ267" s="24">
        <f t="shared" si="431"/>
        <v>29158</v>
      </c>
      <c r="BK267" s="25">
        <f t="shared" si="432"/>
        <v>0.52098558078867907</v>
      </c>
      <c r="BL267" s="259">
        <f t="shared" si="433"/>
        <v>85125</v>
      </c>
      <c r="BM267" s="10">
        <v>62498</v>
      </c>
      <c r="BN267" s="45"/>
      <c r="BO267" s="45">
        <v>72654</v>
      </c>
      <c r="BP267" s="45">
        <v>110000</v>
      </c>
      <c r="BQ267" s="29">
        <f t="shared" si="419"/>
        <v>91327</v>
      </c>
      <c r="BR267" s="24">
        <f t="shared" si="420"/>
        <v>28829</v>
      </c>
      <c r="BS267" s="25">
        <f t="shared" si="421"/>
        <v>0.46127876092034947</v>
      </c>
      <c r="BT267" s="308">
        <f t="shared" si="394"/>
        <v>91327</v>
      </c>
    </row>
    <row r="268" spans="1:72" ht="45" customHeight="1">
      <c r="A268" s="91" t="s">
        <v>514</v>
      </c>
      <c r="B268" s="358" t="s">
        <v>2460</v>
      </c>
      <c r="C268" s="50" t="s">
        <v>188</v>
      </c>
      <c r="D268" s="99" t="s">
        <v>528</v>
      </c>
      <c r="E268" s="48" t="s">
        <v>14</v>
      </c>
      <c r="F268" s="10">
        <v>185729</v>
      </c>
      <c r="G268" s="31">
        <v>241556</v>
      </c>
      <c r="H268" s="31">
        <v>314022</v>
      </c>
      <c r="I268" s="35">
        <v>211137.4</v>
      </c>
      <c r="J268" s="29">
        <f t="shared" si="422"/>
        <v>255571.80000000002</v>
      </c>
      <c r="K268" s="24">
        <f t="shared" si="423"/>
        <v>69842.800000000017</v>
      </c>
      <c r="L268" s="25">
        <f t="shared" si="424"/>
        <v>0.37604682090572833</v>
      </c>
      <c r="M268" s="69" t="str">
        <f t="shared" si="425"/>
        <v>REVISAR PRECIO</v>
      </c>
      <c r="N268" s="77">
        <f t="shared" si="371"/>
        <v>255571.80000000002</v>
      </c>
      <c r="O268" s="73">
        <v>134802</v>
      </c>
      <c r="P268" s="74">
        <v>183379</v>
      </c>
      <c r="Q268" s="74">
        <v>300000</v>
      </c>
      <c r="R268" s="75">
        <v>211284.5</v>
      </c>
      <c r="S268" s="61">
        <v>183379</v>
      </c>
      <c r="T268" s="60">
        <v>750000</v>
      </c>
      <c r="U268" s="74">
        <v>210885.84999999998</v>
      </c>
      <c r="V268" s="76">
        <f t="shared" si="395"/>
        <v>306488.05833333335</v>
      </c>
      <c r="W268" s="24">
        <f t="shared" si="396"/>
        <v>171686.05833333335</v>
      </c>
      <c r="X268" s="25">
        <f t="shared" si="397"/>
        <v>1.273616551188657</v>
      </c>
      <c r="Y268" s="77" t="str">
        <f t="shared" si="398"/>
        <v>REVISAR PRECIO</v>
      </c>
      <c r="Z268" s="106">
        <f t="shared" si="399"/>
        <v>306488.05833333335</v>
      </c>
      <c r="AA268" s="73">
        <v>134802</v>
      </c>
      <c r="AB268" s="88">
        <v>167400</v>
      </c>
      <c r="AC268" s="116">
        <v>167400</v>
      </c>
      <c r="AD268" s="74">
        <v>175406</v>
      </c>
      <c r="AE268" s="76">
        <f t="shared" si="400"/>
        <v>170068.66666666666</v>
      </c>
      <c r="AF268" s="24">
        <f t="shared" si="401"/>
        <v>35266.666666666657</v>
      </c>
      <c r="AG268" s="25">
        <f t="shared" si="402"/>
        <v>0.2616182747041339</v>
      </c>
      <c r="AH268" s="77">
        <f t="shared" si="403"/>
        <v>170068.66666666666</v>
      </c>
      <c r="AI268" s="77">
        <f t="shared" si="404"/>
        <v>170068.66666666666</v>
      </c>
      <c r="AJ268" s="73">
        <v>134802</v>
      </c>
      <c r="AK268" s="79">
        <v>211284.5</v>
      </c>
      <c r="AL268" s="79">
        <f>113900*1.4</f>
        <v>159460</v>
      </c>
      <c r="AM268" s="127">
        <v>191352</v>
      </c>
      <c r="AN268" s="128">
        <v>163000</v>
      </c>
      <c r="AO268" s="128">
        <v>160000</v>
      </c>
      <c r="AP268" s="133">
        <f t="shared" si="405"/>
        <v>177019.3</v>
      </c>
      <c r="AQ268" s="127">
        <f t="shared" si="406"/>
        <v>42217.299999999988</v>
      </c>
      <c r="AR268" s="134">
        <f t="shared" si="407"/>
        <v>0.31318007151229199</v>
      </c>
      <c r="AS268" s="132">
        <f t="shared" si="408"/>
        <v>177019.3</v>
      </c>
      <c r="AT268" s="10">
        <v>132154</v>
      </c>
      <c r="AU268" s="10">
        <v>159460</v>
      </c>
      <c r="AV268" s="167">
        <v>318920</v>
      </c>
      <c r="AW268" s="168">
        <v>160000</v>
      </c>
      <c r="AX268" s="29">
        <f t="shared" si="409"/>
        <v>159730</v>
      </c>
      <c r="AY268" s="24">
        <f t="shared" si="410"/>
        <v>27576</v>
      </c>
      <c r="AZ268" s="25">
        <f t="shared" si="411"/>
        <v>0.20866564765349516</v>
      </c>
      <c r="BA268" s="24">
        <f t="shared" si="412"/>
        <v>186766</v>
      </c>
      <c r="BB268" s="169">
        <f t="shared" si="413"/>
        <v>1.4132451533816608</v>
      </c>
      <c r="BC268" s="170">
        <f t="shared" si="414"/>
        <v>159730</v>
      </c>
      <c r="BD268" s="10">
        <v>120117</v>
      </c>
      <c r="BE268" s="10">
        <v>250000</v>
      </c>
      <c r="BF268" s="10">
        <v>260000</v>
      </c>
      <c r="BG268" s="268">
        <v>265000</v>
      </c>
      <c r="BH268" s="10">
        <v>320000</v>
      </c>
      <c r="BI268" s="76">
        <f t="shared" si="430"/>
        <v>273750</v>
      </c>
      <c r="BJ268" s="24">
        <f t="shared" si="431"/>
        <v>153633</v>
      </c>
      <c r="BK268" s="25">
        <f t="shared" si="432"/>
        <v>1.2790279477509428</v>
      </c>
      <c r="BL268" s="259">
        <f t="shared" si="433"/>
        <v>273750</v>
      </c>
      <c r="BM268" s="10">
        <v>134127</v>
      </c>
      <c r="BN268" s="45"/>
      <c r="BO268" s="45">
        <v>155928</v>
      </c>
      <c r="BP268" s="45">
        <v>155000</v>
      </c>
      <c r="BQ268" s="29">
        <f t="shared" si="419"/>
        <v>155464</v>
      </c>
      <c r="BR268" s="24">
        <f t="shared" si="420"/>
        <v>21337</v>
      </c>
      <c r="BS268" s="25">
        <f t="shared" si="421"/>
        <v>0.15908057288987304</v>
      </c>
      <c r="BT268" s="308">
        <f t="shared" si="394"/>
        <v>155464</v>
      </c>
    </row>
    <row r="269" spans="1:72" ht="45" customHeight="1">
      <c r="A269" s="91" t="s">
        <v>514</v>
      </c>
      <c r="B269" s="358" t="s">
        <v>2461</v>
      </c>
      <c r="C269" s="50" t="s">
        <v>189</v>
      </c>
      <c r="D269" s="99" t="s">
        <v>529</v>
      </c>
      <c r="E269" s="48" t="s">
        <v>14</v>
      </c>
      <c r="F269" s="10">
        <v>252504</v>
      </c>
      <c r="G269" s="31">
        <v>328401</v>
      </c>
      <c r="H269" s="31">
        <v>426921</v>
      </c>
      <c r="I269" s="35">
        <v>287046.8</v>
      </c>
      <c r="J269" s="29">
        <f t="shared" si="422"/>
        <v>347456.26666666666</v>
      </c>
      <c r="K269" s="24">
        <f t="shared" si="423"/>
        <v>94952.266666666663</v>
      </c>
      <c r="L269" s="25">
        <f t="shared" si="424"/>
        <v>0.37604262374721453</v>
      </c>
      <c r="M269" s="69" t="str">
        <f t="shared" si="425"/>
        <v>REVISAR PRECIO</v>
      </c>
      <c r="N269" s="77">
        <f t="shared" si="371"/>
        <v>347456.26666666666</v>
      </c>
      <c r="O269" s="73">
        <v>183270</v>
      </c>
      <c r="P269" s="74">
        <v>184989</v>
      </c>
      <c r="Q269" s="74">
        <v>300000</v>
      </c>
      <c r="R269" s="75">
        <v>213139.5</v>
      </c>
      <c r="S269" s="61">
        <v>184989</v>
      </c>
      <c r="T269" s="60">
        <v>820000</v>
      </c>
      <c r="U269" s="74">
        <v>212737.34999999998</v>
      </c>
      <c r="V269" s="76">
        <f t="shared" si="395"/>
        <v>319309.14166666666</v>
      </c>
      <c r="W269" s="24">
        <f t="shared" si="396"/>
        <v>136039.14166666666</v>
      </c>
      <c r="X269" s="25">
        <f t="shared" si="397"/>
        <v>0.74228810861934125</v>
      </c>
      <c r="Y269" s="77" t="str">
        <f t="shared" si="398"/>
        <v>REVISAR PRECIO</v>
      </c>
      <c r="Z269" s="106">
        <f t="shared" si="399"/>
        <v>319309.14166666666</v>
      </c>
      <c r="AA269" s="73">
        <v>183270</v>
      </c>
      <c r="AB269" s="88">
        <v>170000</v>
      </c>
      <c r="AC269" s="116">
        <v>170000</v>
      </c>
      <c r="AD269" s="74">
        <v>176946</v>
      </c>
      <c r="AE269" s="76">
        <f t="shared" si="400"/>
        <v>172315.33333333334</v>
      </c>
      <c r="AF269" s="24">
        <f t="shared" si="401"/>
        <v>-10954.666666666657</v>
      </c>
      <c r="AG269" s="25">
        <f t="shared" si="402"/>
        <v>-5.9773376257252452E-2</v>
      </c>
      <c r="AH269" s="77">
        <f t="shared" si="403"/>
        <v>172315.33333333334</v>
      </c>
      <c r="AI269" s="77">
        <f t="shared" si="404"/>
        <v>172315.33333333334</v>
      </c>
      <c r="AJ269" s="73">
        <v>183270</v>
      </c>
      <c r="AK269" s="79">
        <v>213139.5</v>
      </c>
      <c r="AL269" s="79">
        <f>114900*1.4</f>
        <v>160860</v>
      </c>
      <c r="AM269" s="127">
        <v>193032</v>
      </c>
      <c r="AN269" s="128">
        <v>159800</v>
      </c>
      <c r="AO269" s="128">
        <v>160000</v>
      </c>
      <c r="AP269" s="133">
        <f t="shared" si="405"/>
        <v>177366.3</v>
      </c>
      <c r="AQ269" s="127">
        <f t="shared" si="406"/>
        <v>-5903.7000000000116</v>
      </c>
      <c r="AR269" s="134">
        <f t="shared" si="407"/>
        <v>-3.2213128171550233E-2</v>
      </c>
      <c r="AS269" s="132">
        <f t="shared" si="408"/>
        <v>177366.3</v>
      </c>
      <c r="AT269" s="10">
        <v>179673</v>
      </c>
      <c r="AU269" s="10">
        <v>160860</v>
      </c>
      <c r="AV269" s="167">
        <v>321720</v>
      </c>
      <c r="AW269" s="168">
        <v>160000</v>
      </c>
      <c r="AX269" s="29">
        <f t="shared" si="409"/>
        <v>160430</v>
      </c>
      <c r="AY269" s="24">
        <f t="shared" si="410"/>
        <v>-19243</v>
      </c>
      <c r="AZ269" s="25">
        <f t="shared" si="411"/>
        <v>-0.10710012077496341</v>
      </c>
      <c r="BA269" s="24">
        <f t="shared" si="412"/>
        <v>142047</v>
      </c>
      <c r="BB269" s="169">
        <f t="shared" si="413"/>
        <v>0.79058623165417174</v>
      </c>
      <c r="BC269" s="170">
        <f t="shared" si="414"/>
        <v>160430</v>
      </c>
      <c r="BD269" s="10">
        <v>163308</v>
      </c>
      <c r="BE269" s="10">
        <v>270000</v>
      </c>
      <c r="BF269" s="10">
        <v>280000</v>
      </c>
      <c r="BG269" s="268">
        <v>275000</v>
      </c>
      <c r="BH269" s="10">
        <v>320000</v>
      </c>
      <c r="BI269" s="76">
        <f t="shared" si="430"/>
        <v>286250</v>
      </c>
      <c r="BJ269" s="24">
        <f t="shared" si="431"/>
        <v>122942</v>
      </c>
      <c r="BK269" s="25">
        <f t="shared" si="432"/>
        <v>0.7528228868150979</v>
      </c>
      <c r="BL269" s="259">
        <f t="shared" si="433"/>
        <v>286250</v>
      </c>
      <c r="BM269" s="10">
        <v>182358</v>
      </c>
      <c r="BN269" s="45"/>
      <c r="BO269" s="45">
        <v>211995</v>
      </c>
      <c r="BP269" s="45">
        <v>157000</v>
      </c>
      <c r="BQ269" s="29">
        <f t="shared" si="419"/>
        <v>184497.5</v>
      </c>
      <c r="BR269" s="24">
        <f t="shared" si="420"/>
        <v>2139.5</v>
      </c>
      <c r="BS269" s="25">
        <f t="shared" si="421"/>
        <v>1.1732416455543491E-2</v>
      </c>
      <c r="BT269" s="308">
        <f t="shared" si="394"/>
        <v>184497.5</v>
      </c>
    </row>
    <row r="270" spans="1:72" ht="45" customHeight="1">
      <c r="A270" s="91" t="s">
        <v>514</v>
      </c>
      <c r="B270" s="358" t="s">
        <v>2462</v>
      </c>
      <c r="C270" s="50" t="s">
        <v>190</v>
      </c>
      <c r="D270" s="99" t="s">
        <v>530</v>
      </c>
      <c r="E270" s="48" t="s">
        <v>14</v>
      </c>
      <c r="F270" s="10">
        <v>352993</v>
      </c>
      <c r="G270" s="31">
        <v>459095</v>
      </c>
      <c r="H270" s="31">
        <v>596823</v>
      </c>
      <c r="I270" s="35">
        <v>401282.6</v>
      </c>
      <c r="J270" s="29">
        <f t="shared" si="422"/>
        <v>485733.53333333338</v>
      </c>
      <c r="K270" s="24">
        <f t="shared" si="423"/>
        <v>132740.53333333338</v>
      </c>
      <c r="L270" s="25">
        <f t="shared" si="424"/>
        <v>0.37604296213617094</v>
      </c>
      <c r="M270" s="69" t="str">
        <f t="shared" si="425"/>
        <v>REVISAR PRECIO</v>
      </c>
      <c r="N270" s="77">
        <f t="shared" si="371"/>
        <v>485733.53333333338</v>
      </c>
      <c r="O270" s="73">
        <v>256200</v>
      </c>
      <c r="P270" s="74">
        <v>365182.5</v>
      </c>
      <c r="Q270" s="74">
        <v>750000</v>
      </c>
      <c r="R270" s="75">
        <v>420753.75</v>
      </c>
      <c r="S270" s="61">
        <v>365182.5</v>
      </c>
      <c r="T270" s="60">
        <v>1200000</v>
      </c>
      <c r="U270" s="74">
        <v>419959.87499999994</v>
      </c>
      <c r="V270" s="76">
        <f t="shared" si="395"/>
        <v>586846.4375</v>
      </c>
      <c r="W270" s="24">
        <f t="shared" si="396"/>
        <v>330646.4375</v>
      </c>
      <c r="X270" s="25">
        <f t="shared" si="397"/>
        <v>1.2905793813427011</v>
      </c>
      <c r="Y270" s="77" t="str">
        <f t="shared" si="398"/>
        <v>REVISAR PRECIO</v>
      </c>
      <c r="Z270" s="106">
        <f t="shared" si="399"/>
        <v>586846.4375</v>
      </c>
      <c r="AA270" s="73">
        <v>256200</v>
      </c>
      <c r="AB270" s="88">
        <v>350000</v>
      </c>
      <c r="AC270" s="116">
        <v>350000</v>
      </c>
      <c r="AD270" s="74">
        <v>349305</v>
      </c>
      <c r="AE270" s="76">
        <f t="shared" si="400"/>
        <v>349768.33333333331</v>
      </c>
      <c r="AF270" s="24">
        <f t="shared" si="401"/>
        <v>93568.333333333314</v>
      </c>
      <c r="AG270" s="25">
        <f t="shared" si="402"/>
        <v>0.36521597710122294</v>
      </c>
      <c r="AH270" s="77" t="str">
        <f t="shared" si="403"/>
        <v>REVISAR PRECIO</v>
      </c>
      <c r="AI270" s="77">
        <f t="shared" si="404"/>
        <v>349768.33333333331</v>
      </c>
      <c r="AJ270" s="73">
        <v>256200</v>
      </c>
      <c r="AK270" s="79">
        <v>420753.75</v>
      </c>
      <c r="AL270" s="79">
        <f>219000*1.45</f>
        <v>317550</v>
      </c>
      <c r="AM270" s="127">
        <v>381060</v>
      </c>
      <c r="AN270" s="128">
        <v>386900</v>
      </c>
      <c r="AO270" s="128">
        <v>330000</v>
      </c>
      <c r="AP270" s="133">
        <f t="shared" si="405"/>
        <v>367252.75</v>
      </c>
      <c r="AQ270" s="127">
        <f t="shared" si="406"/>
        <v>111052.75</v>
      </c>
      <c r="AR270" s="134">
        <f t="shared" si="407"/>
        <v>0.43346116315378608</v>
      </c>
      <c r="AS270" s="132">
        <f t="shared" si="408"/>
        <v>367252.75</v>
      </c>
      <c r="AT270" s="10">
        <v>256201</v>
      </c>
      <c r="AU270" s="10">
        <v>317550</v>
      </c>
      <c r="AV270" s="167">
        <v>635100</v>
      </c>
      <c r="AW270" s="168">
        <v>315000</v>
      </c>
      <c r="AX270" s="29">
        <f t="shared" si="409"/>
        <v>316275</v>
      </c>
      <c r="AY270" s="24">
        <f t="shared" si="410"/>
        <v>60074</v>
      </c>
      <c r="AZ270" s="25">
        <f t="shared" si="411"/>
        <v>0.23447995909461711</v>
      </c>
      <c r="BA270" s="24">
        <f t="shared" si="412"/>
        <v>378899</v>
      </c>
      <c r="BB270" s="169">
        <f t="shared" si="413"/>
        <v>1.4789130409327051</v>
      </c>
      <c r="BC270" s="170">
        <f t="shared" si="414"/>
        <v>316275</v>
      </c>
      <c r="BD270" s="10">
        <v>230581</v>
      </c>
      <c r="BE270" s="10">
        <v>350000</v>
      </c>
      <c r="BF270" s="10">
        <v>380000</v>
      </c>
      <c r="BG270" s="268">
        <v>370000</v>
      </c>
      <c r="BH270" s="10">
        <v>420000</v>
      </c>
      <c r="BI270" s="76">
        <f t="shared" si="430"/>
        <v>380000</v>
      </c>
      <c r="BJ270" s="24">
        <f t="shared" si="431"/>
        <v>149419</v>
      </c>
      <c r="BK270" s="25">
        <f t="shared" si="432"/>
        <v>0.64801089421938496</v>
      </c>
      <c r="BL270" s="259">
        <f t="shared" si="433"/>
        <v>380000</v>
      </c>
      <c r="BM270" s="10">
        <v>256200</v>
      </c>
      <c r="BN270" s="45"/>
      <c r="BO270" s="45">
        <v>302285</v>
      </c>
      <c r="BP270" s="45">
        <v>310000</v>
      </c>
      <c r="BQ270" s="29">
        <f t="shared" si="419"/>
        <v>306142.5</v>
      </c>
      <c r="BR270" s="24">
        <f t="shared" si="420"/>
        <v>49942.5</v>
      </c>
      <c r="BS270" s="25">
        <f t="shared" si="421"/>
        <v>0.19493559718969555</v>
      </c>
      <c r="BT270" s="308">
        <f t="shared" si="394"/>
        <v>306142.5</v>
      </c>
    </row>
    <row r="271" spans="1:72" ht="45" customHeight="1">
      <c r="A271" s="91" t="s">
        <v>514</v>
      </c>
      <c r="B271" s="358" t="s">
        <v>2463</v>
      </c>
      <c r="C271" s="50" t="s">
        <v>191</v>
      </c>
      <c r="D271" s="99" t="s">
        <v>531</v>
      </c>
      <c r="E271" s="48" t="s">
        <v>14</v>
      </c>
      <c r="F271" s="10">
        <v>325693</v>
      </c>
      <c r="G271" s="31">
        <v>423590</v>
      </c>
      <c r="H271" s="31">
        <v>550666</v>
      </c>
      <c r="I271" s="35">
        <v>370248.6</v>
      </c>
      <c r="J271" s="29">
        <f t="shared" si="422"/>
        <v>448168.2</v>
      </c>
      <c r="K271" s="24">
        <f t="shared" si="423"/>
        <v>122475.20000000001</v>
      </c>
      <c r="L271" s="25">
        <f t="shared" si="424"/>
        <v>0.37604492574295428</v>
      </c>
      <c r="M271" s="69" t="str">
        <f t="shared" si="425"/>
        <v>REVISAR PRECIO</v>
      </c>
      <c r="N271" s="77">
        <f t="shared" si="371"/>
        <v>448168.2</v>
      </c>
      <c r="O271" s="73">
        <v>236379</v>
      </c>
      <c r="P271" s="74">
        <v>323316.29000000004</v>
      </c>
      <c r="Q271" s="74">
        <v>330000</v>
      </c>
      <c r="R271" s="75">
        <v>372516.59500000003</v>
      </c>
      <c r="S271" s="61">
        <v>323316.29000000004</v>
      </c>
      <c r="T271" s="60">
        <v>1400000</v>
      </c>
      <c r="U271" s="74">
        <v>371813.73350000003</v>
      </c>
      <c r="V271" s="76">
        <f t="shared" si="395"/>
        <v>520160.48475</v>
      </c>
      <c r="W271" s="24">
        <f t="shared" si="396"/>
        <v>283781.48475</v>
      </c>
      <c r="X271" s="25">
        <f t="shared" si="397"/>
        <v>1.2005359391062658</v>
      </c>
      <c r="Y271" s="77" t="str">
        <f t="shared" si="398"/>
        <v>REVISAR PRECIO</v>
      </c>
      <c r="Z271" s="106">
        <f t="shared" si="399"/>
        <v>520160.48475</v>
      </c>
      <c r="AA271" s="73">
        <v>236379</v>
      </c>
      <c r="AB271" s="88">
        <v>320000</v>
      </c>
      <c r="AC271" s="116">
        <v>320000</v>
      </c>
      <c r="AD271" s="74">
        <v>309259.06000000006</v>
      </c>
      <c r="AE271" s="76">
        <f t="shared" si="400"/>
        <v>316419.6866666667</v>
      </c>
      <c r="AF271" s="24">
        <f t="shared" si="401"/>
        <v>80040.686666666705</v>
      </c>
      <c r="AG271" s="25">
        <f t="shared" si="402"/>
        <v>0.33861166460077546</v>
      </c>
      <c r="AH271" s="77">
        <f t="shared" si="403"/>
        <v>316419.6866666667</v>
      </c>
      <c r="AI271" s="77">
        <f t="shared" si="404"/>
        <v>316419.6866666667</v>
      </c>
      <c r="AJ271" s="73">
        <v>236379</v>
      </c>
      <c r="AK271" s="79">
        <v>372516.59500000003</v>
      </c>
      <c r="AL271" s="79">
        <f>255586*1.1</f>
        <v>281144.60000000003</v>
      </c>
      <c r="AM271" s="127">
        <v>337373.52</v>
      </c>
      <c r="AN271" s="128">
        <v>341200</v>
      </c>
      <c r="AO271" s="128">
        <v>300000</v>
      </c>
      <c r="AP271" s="133">
        <f t="shared" si="405"/>
        <v>326446.94300000003</v>
      </c>
      <c r="AQ271" s="127">
        <f t="shared" si="406"/>
        <v>90067.943000000028</v>
      </c>
      <c r="AR271" s="134">
        <f t="shared" si="407"/>
        <v>0.38103191484861187</v>
      </c>
      <c r="AS271" s="132">
        <f t="shared" si="408"/>
        <v>326446.94300000003</v>
      </c>
      <c r="AT271" s="10">
        <v>231749</v>
      </c>
      <c r="AU271" s="10">
        <v>281145</v>
      </c>
      <c r="AV271" s="167">
        <v>281145</v>
      </c>
      <c r="AW271" s="168">
        <v>260000</v>
      </c>
      <c r="AX271" s="29">
        <f t="shared" si="409"/>
        <v>270572.5</v>
      </c>
      <c r="AY271" s="24">
        <f t="shared" si="410"/>
        <v>38823.5</v>
      </c>
      <c r="AZ271" s="25">
        <f t="shared" si="411"/>
        <v>0.16752391596080243</v>
      </c>
      <c r="BA271" s="24">
        <f t="shared" si="412"/>
        <v>49396</v>
      </c>
      <c r="BB271" s="169">
        <f t="shared" si="413"/>
        <v>0.21314439328756543</v>
      </c>
      <c r="BC271" s="170">
        <f t="shared" si="414"/>
        <v>270572.5</v>
      </c>
      <c r="BD271" s="10">
        <v>210637</v>
      </c>
      <c r="BE271" s="10">
        <v>120000</v>
      </c>
      <c r="BF271" s="10">
        <v>128000</v>
      </c>
      <c r="BG271" s="268">
        <v>125000</v>
      </c>
      <c r="BH271" s="10">
        <v>150000</v>
      </c>
      <c r="BI271" s="76">
        <f t="shared" si="430"/>
        <v>130750</v>
      </c>
      <c r="BJ271" s="24">
        <f t="shared" si="431"/>
        <v>-79887</v>
      </c>
      <c r="BK271" s="25">
        <f t="shared" si="432"/>
        <v>-0.37926385202979535</v>
      </c>
      <c r="BL271" s="259">
        <f t="shared" si="433"/>
        <v>130750</v>
      </c>
      <c r="BM271" s="10">
        <v>235203</v>
      </c>
      <c r="BN271" s="45"/>
      <c r="BO271" s="45">
        <v>273433</v>
      </c>
      <c r="BP271" s="45">
        <v>280000</v>
      </c>
      <c r="BQ271" s="29">
        <f t="shared" si="419"/>
        <v>276716.5</v>
      </c>
      <c r="BR271" s="24">
        <f t="shared" si="420"/>
        <v>41513.5</v>
      </c>
      <c r="BS271" s="25">
        <f t="shared" si="421"/>
        <v>0.17650072490571975</v>
      </c>
      <c r="BT271" s="308">
        <f t="shared" si="394"/>
        <v>276716.5</v>
      </c>
    </row>
    <row r="272" spans="1:72" ht="22.35" customHeight="1">
      <c r="A272" s="91" t="s">
        <v>514</v>
      </c>
      <c r="B272" s="358" t="s">
        <v>2464</v>
      </c>
      <c r="C272" s="50" t="s">
        <v>192</v>
      </c>
      <c r="D272" s="99" t="s">
        <v>532</v>
      </c>
      <c r="E272" s="48" t="s">
        <v>740</v>
      </c>
      <c r="F272" s="10">
        <v>67460</v>
      </c>
      <c r="G272" s="33">
        <v>87737</v>
      </c>
      <c r="H272" s="33">
        <v>114057</v>
      </c>
      <c r="I272" s="35">
        <v>76688.2</v>
      </c>
      <c r="J272" s="29">
        <f t="shared" si="422"/>
        <v>92827.400000000009</v>
      </c>
      <c r="K272" s="24">
        <f t="shared" si="423"/>
        <v>25367.400000000009</v>
      </c>
      <c r="L272" s="25">
        <f t="shared" si="424"/>
        <v>0.37603616958197461</v>
      </c>
      <c r="M272" s="69" t="str">
        <f t="shared" si="425"/>
        <v>REVISAR PRECIO</v>
      </c>
      <c r="N272" s="77">
        <f t="shared" si="371"/>
        <v>92827.400000000009</v>
      </c>
      <c r="O272" s="73">
        <v>44064</v>
      </c>
      <c r="P272" s="74">
        <v>234939.59500000003</v>
      </c>
      <c r="Q272" s="74">
        <v>280000</v>
      </c>
      <c r="R272" s="75">
        <v>270691.27250000002</v>
      </c>
      <c r="S272" s="61">
        <v>234939.595</v>
      </c>
      <c r="T272" s="60"/>
      <c r="U272" s="74">
        <v>270180.53424999997</v>
      </c>
      <c r="V272" s="76">
        <f t="shared" si="395"/>
        <v>258150.19934999998</v>
      </c>
      <c r="W272" s="24">
        <f t="shared" si="396"/>
        <v>214086.19934999998</v>
      </c>
      <c r="X272" s="25">
        <f t="shared" si="397"/>
        <v>4.8585284892429188</v>
      </c>
      <c r="Y272" s="77" t="str">
        <f t="shared" si="398"/>
        <v>REVISAR PRECIO</v>
      </c>
      <c r="Z272" s="106">
        <f t="shared" si="399"/>
        <v>258150.19934999998</v>
      </c>
      <c r="AA272" s="73">
        <v>44064</v>
      </c>
      <c r="AB272" s="88">
        <v>233000</v>
      </c>
      <c r="AC272" s="116">
        <v>233000</v>
      </c>
      <c r="AD272" s="74">
        <v>224724.83000000002</v>
      </c>
      <c r="AE272" s="76">
        <f t="shared" si="400"/>
        <v>230241.61000000002</v>
      </c>
      <c r="AF272" s="24">
        <f t="shared" si="401"/>
        <v>186177.61000000002</v>
      </c>
      <c r="AG272" s="25">
        <f t="shared" si="402"/>
        <v>4.2251636256354397</v>
      </c>
      <c r="AH272" s="77" t="str">
        <f t="shared" si="403"/>
        <v>REVISAR PRECIO</v>
      </c>
      <c r="AI272" s="77">
        <f t="shared" si="404"/>
        <v>230241.61000000002</v>
      </c>
      <c r="AJ272" s="73">
        <v>44064</v>
      </c>
      <c r="AK272" s="79">
        <v>270691.27250000002</v>
      </c>
      <c r="AL272" s="79">
        <f>185723*1.1</f>
        <v>204295.30000000002</v>
      </c>
      <c r="AM272" s="127">
        <v>245154.36000000002</v>
      </c>
      <c r="AN272" s="128">
        <v>201900</v>
      </c>
      <c r="AO272" s="128">
        <v>210000</v>
      </c>
      <c r="AP272" s="129">
        <f t="shared" si="405"/>
        <v>226408.18650000001</v>
      </c>
      <c r="AQ272" s="130">
        <f t="shared" si="406"/>
        <v>182344.18650000001</v>
      </c>
      <c r="AR272" s="131">
        <f t="shared" si="407"/>
        <v>4.1381669049564271</v>
      </c>
      <c r="AS272" s="132">
        <f t="shared" si="408"/>
        <v>226408.18650000001</v>
      </c>
      <c r="AT272" s="250"/>
      <c r="AU272" s="250"/>
      <c r="AV272" s="250"/>
      <c r="AW272" s="250"/>
      <c r="AX272" s="250"/>
      <c r="AY272" s="250"/>
      <c r="AZ272" s="250"/>
      <c r="BA272" s="250"/>
      <c r="BB272" s="250"/>
      <c r="BC272" s="251"/>
      <c r="BD272" s="150"/>
      <c r="BE272" s="150"/>
      <c r="BF272" s="150"/>
      <c r="BG272" s="150"/>
      <c r="BH272" s="150"/>
      <c r="BI272" s="150"/>
      <c r="BJ272" s="150"/>
      <c r="BK272" s="150"/>
      <c r="BL272" s="150"/>
      <c r="BM272" s="293"/>
      <c r="BN272" s="293"/>
      <c r="BO272" s="293"/>
      <c r="BP272" s="293"/>
      <c r="BQ272" s="293"/>
      <c r="BR272" s="293"/>
      <c r="BS272" s="293"/>
      <c r="BT272" s="293"/>
    </row>
    <row r="273" spans="1:72" ht="34.35" customHeight="1">
      <c r="A273" s="91" t="s">
        <v>514</v>
      </c>
      <c r="B273" s="358" t="s">
        <v>2465</v>
      </c>
      <c r="C273" s="50" t="s">
        <v>193</v>
      </c>
      <c r="D273" s="99" t="s">
        <v>533</v>
      </c>
      <c r="E273" s="48" t="s">
        <v>740</v>
      </c>
      <c r="F273" s="10">
        <v>314514</v>
      </c>
      <c r="G273" s="31">
        <v>409050</v>
      </c>
      <c r="H273" s="33">
        <v>531765</v>
      </c>
      <c r="I273" s="35">
        <v>357540</v>
      </c>
      <c r="J273" s="29">
        <f t="shared" si="422"/>
        <v>432785</v>
      </c>
      <c r="K273" s="24">
        <f t="shared" si="423"/>
        <v>118271</v>
      </c>
      <c r="L273" s="25">
        <f t="shared" si="424"/>
        <v>0.37604367373153502</v>
      </c>
      <c r="M273" s="69" t="str">
        <f t="shared" si="425"/>
        <v>REVISAR PRECIO</v>
      </c>
      <c r="N273" s="77">
        <f t="shared" si="371"/>
        <v>432785</v>
      </c>
      <c r="O273" s="73"/>
      <c r="P273" s="74">
        <v>249958.25</v>
      </c>
      <c r="Q273" s="74">
        <v>350000</v>
      </c>
      <c r="R273" s="75">
        <v>287995.375</v>
      </c>
      <c r="S273" s="61">
        <v>249958.24999999997</v>
      </c>
      <c r="T273" s="60"/>
      <c r="U273" s="74">
        <v>287451.98749999993</v>
      </c>
      <c r="V273" s="76">
        <f t="shared" si="395"/>
        <v>285072.77249999996</v>
      </c>
      <c r="W273" s="24">
        <f t="shared" si="396"/>
        <v>285072.77249999996</v>
      </c>
      <c r="X273" s="25"/>
      <c r="Y273" s="77">
        <f t="shared" si="398"/>
        <v>285072.77249999996</v>
      </c>
      <c r="Z273" s="106">
        <f t="shared" si="399"/>
        <v>285072.77249999996</v>
      </c>
      <c r="AA273" s="73"/>
      <c r="AB273" s="88">
        <v>220000</v>
      </c>
      <c r="AC273" s="116">
        <v>220000</v>
      </c>
      <c r="AD273" s="74">
        <v>239090.5</v>
      </c>
      <c r="AE273" s="76">
        <f t="shared" si="400"/>
        <v>226363.5</v>
      </c>
      <c r="AF273" s="24">
        <f t="shared" si="401"/>
        <v>226363.5</v>
      </c>
      <c r="AG273" s="25"/>
      <c r="AH273" s="77"/>
      <c r="AI273" s="77">
        <f t="shared" si="404"/>
        <v>226363.5</v>
      </c>
      <c r="AJ273" s="73"/>
      <c r="AK273" s="79">
        <v>287995.375</v>
      </c>
      <c r="AL273" s="79">
        <f>149900*1.45</f>
        <v>217355</v>
      </c>
      <c r="AM273" s="127">
        <v>217355</v>
      </c>
      <c r="AN273" s="128">
        <v>220900</v>
      </c>
      <c r="AO273" s="128">
        <v>220000</v>
      </c>
      <c r="AP273" s="133">
        <f t="shared" si="405"/>
        <v>232721.07500000001</v>
      </c>
      <c r="AQ273" s="127">
        <f t="shared" si="406"/>
        <v>232721.07500000001</v>
      </c>
      <c r="AR273" s="134"/>
      <c r="AS273" s="132">
        <f t="shared" si="408"/>
        <v>232721.07500000001</v>
      </c>
      <c r="AT273" s="250"/>
      <c r="AU273" s="250"/>
      <c r="AV273" s="250"/>
      <c r="AW273" s="250"/>
      <c r="AX273" s="250"/>
      <c r="AY273" s="250"/>
      <c r="AZ273" s="250"/>
      <c r="BA273" s="250"/>
      <c r="BB273" s="250"/>
      <c r="BC273" s="251"/>
      <c r="BD273" s="150"/>
      <c r="BE273" s="150"/>
      <c r="BF273" s="150"/>
      <c r="BG273" s="150"/>
      <c r="BH273" s="150"/>
      <c r="BI273" s="150"/>
      <c r="BJ273" s="150"/>
      <c r="BK273" s="150"/>
      <c r="BL273" s="150"/>
      <c r="BM273" s="293"/>
      <c r="BN273" s="293"/>
      <c r="BO273" s="293"/>
      <c r="BP273" s="293"/>
      <c r="BQ273" s="293"/>
      <c r="BR273" s="293"/>
      <c r="BS273" s="293"/>
      <c r="BT273" s="293"/>
    </row>
    <row r="274" spans="1:72" ht="34.35" customHeight="1">
      <c r="A274" s="91" t="s">
        <v>514</v>
      </c>
      <c r="B274" s="358" t="s">
        <v>2466</v>
      </c>
      <c r="C274" s="50" t="s">
        <v>194</v>
      </c>
      <c r="D274" s="99" t="s">
        <v>534</v>
      </c>
      <c r="E274" s="48" t="s">
        <v>742</v>
      </c>
      <c r="F274" s="10">
        <v>945961</v>
      </c>
      <c r="G274" s="42">
        <v>1230296</v>
      </c>
      <c r="H274" s="42">
        <v>1599384</v>
      </c>
      <c r="I274" s="35">
        <v>1075369.3999999999</v>
      </c>
      <c r="J274" s="29">
        <f t="shared" si="422"/>
        <v>1301683.1333333333</v>
      </c>
      <c r="K274" s="24">
        <f t="shared" si="423"/>
        <v>355722.1333333333</v>
      </c>
      <c r="L274" s="25">
        <f t="shared" si="424"/>
        <v>0.37604312792317368</v>
      </c>
      <c r="M274" s="69" t="str">
        <f t="shared" si="425"/>
        <v>REVISAR PRECIO</v>
      </c>
      <c r="N274" s="77">
        <f t="shared" si="371"/>
        <v>1301683.1333333333</v>
      </c>
      <c r="O274" s="73"/>
      <c r="P274" s="74"/>
      <c r="Q274" s="74"/>
      <c r="R274" s="75"/>
      <c r="S274" s="61"/>
      <c r="T274" s="60"/>
      <c r="U274" s="74"/>
      <c r="V274" s="76"/>
      <c r="W274" s="24"/>
      <c r="X274" s="25"/>
      <c r="Y274" s="77"/>
      <c r="Z274" s="106"/>
      <c r="AA274" s="120"/>
      <c r="AB274" s="120"/>
      <c r="AC274" s="120"/>
      <c r="AD274" s="120"/>
      <c r="AE274" s="120"/>
      <c r="AF274" s="120"/>
      <c r="AG274" s="120"/>
      <c r="AH274" s="120"/>
      <c r="AI274" s="120"/>
      <c r="AJ274" s="250"/>
      <c r="AK274" s="250"/>
      <c r="AL274" s="250"/>
      <c r="AM274" s="250"/>
      <c r="AN274" s="250"/>
      <c r="AO274" s="250"/>
      <c r="AP274" s="250"/>
      <c r="AQ274" s="250"/>
      <c r="AR274" s="250"/>
      <c r="AS274" s="250"/>
      <c r="AT274" s="250"/>
      <c r="AU274" s="250"/>
      <c r="AV274" s="250"/>
      <c r="AW274" s="250"/>
      <c r="AX274" s="250"/>
      <c r="AY274" s="250"/>
      <c r="AZ274" s="250"/>
      <c r="BA274" s="250"/>
      <c r="BB274" s="250"/>
      <c r="BC274" s="251"/>
      <c r="BD274" s="150"/>
      <c r="BE274" s="150"/>
      <c r="BF274" s="150"/>
      <c r="BG274" s="150"/>
      <c r="BH274" s="150"/>
      <c r="BI274" s="150"/>
      <c r="BJ274" s="150"/>
      <c r="BK274" s="150"/>
      <c r="BL274" s="150"/>
      <c r="BM274" s="293"/>
      <c r="BN274" s="293"/>
      <c r="BO274" s="293"/>
      <c r="BP274" s="293"/>
      <c r="BQ274" s="293"/>
      <c r="BR274" s="293"/>
      <c r="BS274" s="293"/>
      <c r="BT274" s="293"/>
    </row>
    <row r="275" spans="1:72" s="1" customFormat="1" ht="60" customHeight="1">
      <c r="A275" s="91"/>
      <c r="B275" s="358" t="s">
        <v>2467</v>
      </c>
      <c r="C275" s="50" t="s">
        <v>916</v>
      </c>
      <c r="D275" s="177" t="s">
        <v>882</v>
      </c>
      <c r="E275" s="62" t="s">
        <v>14</v>
      </c>
      <c r="F275" s="10"/>
      <c r="G275" s="42"/>
      <c r="H275" s="42"/>
      <c r="I275" s="183"/>
      <c r="J275" s="29"/>
      <c r="K275" s="24"/>
      <c r="L275" s="25"/>
      <c r="M275" s="69"/>
      <c r="N275" s="77"/>
      <c r="O275" s="73"/>
      <c r="P275" s="74"/>
      <c r="Q275" s="74"/>
      <c r="R275" s="75"/>
      <c r="S275" s="61"/>
      <c r="T275" s="60"/>
      <c r="U275" s="74"/>
      <c r="V275" s="76"/>
      <c r="W275" s="24"/>
      <c r="X275" s="25"/>
      <c r="Y275" s="77"/>
      <c r="Z275" s="184"/>
      <c r="AA275" s="185"/>
      <c r="AB275" s="185"/>
      <c r="AC275" s="185"/>
      <c r="AD275" s="185"/>
      <c r="AE275" s="185"/>
      <c r="AF275" s="185"/>
      <c r="AG275" s="185"/>
      <c r="AH275" s="185"/>
      <c r="AI275" s="185"/>
      <c r="AJ275" s="250"/>
      <c r="AK275" s="250"/>
      <c r="AL275" s="250"/>
      <c r="AM275" s="250"/>
      <c r="AN275" s="250"/>
      <c r="AO275" s="250"/>
      <c r="AP275" s="250"/>
      <c r="AQ275" s="250"/>
      <c r="AR275" s="250"/>
      <c r="AS275" s="117"/>
      <c r="AT275" s="10">
        <v>113027</v>
      </c>
      <c r="AU275" s="10">
        <v>137734</v>
      </c>
      <c r="AV275" s="167">
        <v>275468</v>
      </c>
      <c r="AW275" s="168">
        <v>115000</v>
      </c>
      <c r="AX275" s="29">
        <f t="shared" ref="AX275:AX285" si="434">AVERAGE(AU275,AW275)</f>
        <v>126367</v>
      </c>
      <c r="AY275" s="24">
        <f t="shared" ref="AY275:AY285" si="435">AX275-AT275</f>
        <v>13340</v>
      </c>
      <c r="AZ275" s="25">
        <f t="shared" ref="AZ275:AZ285" si="436">+AY275/AT275</f>
        <v>0.11802489670609677</v>
      </c>
      <c r="BA275" s="24">
        <f t="shared" ref="BA275:BA306" si="437">AV275-AT275</f>
        <v>162441</v>
      </c>
      <c r="BB275" s="169">
        <f t="shared" ref="BB275:BB306" si="438">+BA275/AT275</f>
        <v>1.4371875746503049</v>
      </c>
      <c r="BC275" s="170">
        <f t="shared" ref="BC275:BC285" si="439">AX275</f>
        <v>126367</v>
      </c>
      <c r="BD275" s="150"/>
      <c r="BE275" s="150"/>
      <c r="BF275" s="150"/>
      <c r="BG275" s="150"/>
      <c r="BH275" s="150"/>
      <c r="BI275" s="150"/>
      <c r="BJ275" s="150"/>
      <c r="BK275" s="150"/>
      <c r="BL275" s="150"/>
      <c r="BM275" s="10">
        <v>113026</v>
      </c>
      <c r="BN275" s="45"/>
      <c r="BO275" s="45">
        <v>133360</v>
      </c>
      <c r="BP275" s="45">
        <v>160000</v>
      </c>
      <c r="BQ275" s="29">
        <f t="shared" ref="BQ275" si="440">AVERAGE(BN275,BO275,BP275)</f>
        <v>146680</v>
      </c>
      <c r="BR275" s="24">
        <f t="shared" ref="BR275" si="441">BQ275-BM275</f>
        <v>33654</v>
      </c>
      <c r="BS275" s="25">
        <f t="shared" ref="BS275" si="442">+BR275/BM275</f>
        <v>0.29775449896483996</v>
      </c>
      <c r="BT275" s="308">
        <f t="shared" ref="BT275" si="443">BQ275</f>
        <v>146680</v>
      </c>
    </row>
    <row r="276" spans="1:72" s="1" customFormat="1" ht="60.95" customHeight="1">
      <c r="A276" s="91"/>
      <c r="B276" s="358" t="s">
        <v>2468</v>
      </c>
      <c r="C276" s="50" t="s">
        <v>917</v>
      </c>
      <c r="D276" s="177" t="s">
        <v>883</v>
      </c>
      <c r="E276" s="62" t="s">
        <v>14</v>
      </c>
      <c r="F276" s="10"/>
      <c r="G276" s="42"/>
      <c r="H276" s="42"/>
      <c r="I276" s="183"/>
      <c r="J276" s="29"/>
      <c r="K276" s="24"/>
      <c r="L276" s="25"/>
      <c r="M276" s="69"/>
      <c r="N276" s="77"/>
      <c r="O276" s="73"/>
      <c r="P276" s="74"/>
      <c r="Q276" s="74"/>
      <c r="R276" s="75"/>
      <c r="S276" s="61"/>
      <c r="T276" s="60"/>
      <c r="U276" s="74"/>
      <c r="V276" s="76"/>
      <c r="W276" s="24"/>
      <c r="X276" s="25"/>
      <c r="Y276" s="77"/>
      <c r="Z276" s="184"/>
      <c r="AA276" s="185"/>
      <c r="AB276" s="185"/>
      <c r="AC276" s="185"/>
      <c r="AD276" s="185"/>
      <c r="AE276" s="185"/>
      <c r="AF276" s="185"/>
      <c r="AG276" s="185"/>
      <c r="AH276" s="185"/>
      <c r="AI276" s="185"/>
      <c r="AJ276" s="250"/>
      <c r="AK276" s="250"/>
      <c r="AL276" s="250"/>
      <c r="AM276" s="250"/>
      <c r="AN276" s="250"/>
      <c r="AO276" s="250"/>
      <c r="AP276" s="250"/>
      <c r="AQ276" s="250"/>
      <c r="AR276" s="250"/>
      <c r="AS276" s="117"/>
      <c r="AT276" s="10">
        <v>115295</v>
      </c>
      <c r="AU276" s="10">
        <v>136000</v>
      </c>
      <c r="AV276" s="167">
        <v>13000</v>
      </c>
      <c r="AW276" s="168">
        <v>112000</v>
      </c>
      <c r="AX276" s="29">
        <f t="shared" si="434"/>
        <v>124000</v>
      </c>
      <c r="AY276" s="24">
        <f t="shared" si="435"/>
        <v>8705</v>
      </c>
      <c r="AZ276" s="25">
        <f t="shared" si="436"/>
        <v>7.5501973199184697E-2</v>
      </c>
      <c r="BA276" s="24">
        <f t="shared" si="437"/>
        <v>-102295</v>
      </c>
      <c r="BB276" s="169">
        <f t="shared" si="438"/>
        <v>-0.88724576087427898</v>
      </c>
      <c r="BC276" s="170">
        <f t="shared" si="439"/>
        <v>124000</v>
      </c>
      <c r="BD276" s="150"/>
      <c r="BE276" s="150"/>
      <c r="BF276" s="150"/>
      <c r="BG276" s="150"/>
      <c r="BH276" s="150"/>
      <c r="BI276" s="150"/>
      <c r="BJ276" s="150"/>
      <c r="BK276" s="150"/>
      <c r="BL276" s="150"/>
      <c r="BM276" s="293"/>
      <c r="BN276" s="293"/>
      <c r="BO276" s="293"/>
      <c r="BP276" s="293"/>
      <c r="BQ276" s="293"/>
      <c r="BR276" s="293"/>
      <c r="BS276" s="293"/>
      <c r="BT276" s="293"/>
    </row>
    <row r="277" spans="1:72" s="1" customFormat="1" ht="34.35" customHeight="1">
      <c r="A277" s="91"/>
      <c r="B277" s="358" t="s">
        <v>2469</v>
      </c>
      <c r="C277" s="50" t="s">
        <v>918</v>
      </c>
      <c r="D277" s="177" t="s">
        <v>884</v>
      </c>
      <c r="E277" s="62" t="s">
        <v>14</v>
      </c>
      <c r="F277" s="10"/>
      <c r="G277" s="42"/>
      <c r="H277" s="42"/>
      <c r="I277" s="183"/>
      <c r="J277" s="29"/>
      <c r="K277" s="24"/>
      <c r="L277" s="25"/>
      <c r="M277" s="69"/>
      <c r="N277" s="77"/>
      <c r="O277" s="73"/>
      <c r="P277" s="74"/>
      <c r="Q277" s="74"/>
      <c r="R277" s="75"/>
      <c r="S277" s="61"/>
      <c r="T277" s="60"/>
      <c r="U277" s="74"/>
      <c r="V277" s="76"/>
      <c r="W277" s="24"/>
      <c r="X277" s="25"/>
      <c r="Y277" s="77"/>
      <c r="Z277" s="184"/>
      <c r="AA277" s="185"/>
      <c r="AB277" s="185"/>
      <c r="AC277" s="185"/>
      <c r="AD277" s="185"/>
      <c r="AE277" s="185"/>
      <c r="AF277" s="185"/>
      <c r="AG277" s="185"/>
      <c r="AH277" s="185"/>
      <c r="AI277" s="185"/>
      <c r="AJ277" s="250"/>
      <c r="AK277" s="250"/>
      <c r="AL277" s="250"/>
      <c r="AM277" s="250"/>
      <c r="AN277" s="250"/>
      <c r="AO277" s="250"/>
      <c r="AP277" s="250"/>
      <c r="AQ277" s="250"/>
      <c r="AR277" s="250"/>
      <c r="AS277" s="117"/>
      <c r="AT277" s="10">
        <v>122102</v>
      </c>
      <c r="AU277" s="10">
        <v>102293.22</v>
      </c>
      <c r="AV277" s="167">
        <v>306879.66000000003</v>
      </c>
      <c r="AW277" s="168">
        <v>105600</v>
      </c>
      <c r="AX277" s="29">
        <f t="shared" si="434"/>
        <v>103946.61</v>
      </c>
      <c r="AY277" s="24">
        <f t="shared" si="435"/>
        <v>-18155.39</v>
      </c>
      <c r="AZ277" s="25">
        <f t="shared" si="436"/>
        <v>-0.14869035724230562</v>
      </c>
      <c r="BA277" s="24">
        <f t="shared" si="437"/>
        <v>184777.66000000003</v>
      </c>
      <c r="BB277" s="169">
        <f t="shared" si="438"/>
        <v>1.5133057607573999</v>
      </c>
      <c r="BC277" s="170">
        <f t="shared" si="439"/>
        <v>103946.61</v>
      </c>
      <c r="BD277" s="10">
        <v>112077</v>
      </c>
      <c r="BE277" s="10">
        <v>80000</v>
      </c>
      <c r="BF277" s="10">
        <v>87000</v>
      </c>
      <c r="BG277" s="268">
        <v>87000</v>
      </c>
      <c r="BH277" s="10">
        <v>85000</v>
      </c>
      <c r="BI277" s="76">
        <f t="shared" ref="BI277" si="444">AVERAGE(BE277,BF277,BG277,BH277)</f>
        <v>84750</v>
      </c>
      <c r="BJ277" s="24">
        <f t="shared" ref="BJ277" si="445">BI277-BD277</f>
        <v>-27327</v>
      </c>
      <c r="BK277" s="25">
        <f t="shared" ref="BK277" si="446">+BJ277/BD277</f>
        <v>-0.24382344281163842</v>
      </c>
      <c r="BL277" s="259">
        <f t="shared" ref="BL277" si="447">BI277</f>
        <v>84750</v>
      </c>
      <c r="BM277" s="10">
        <v>122205</v>
      </c>
      <c r="BN277" s="45"/>
      <c r="BO277" s="45">
        <v>144069</v>
      </c>
      <c r="BP277" s="45">
        <v>159000</v>
      </c>
      <c r="BQ277" s="29">
        <f t="shared" ref="BQ277:BQ292" si="448">AVERAGE(BN277,BO277,BP277)</f>
        <v>151534.5</v>
      </c>
      <c r="BR277" s="24">
        <f t="shared" ref="BR277:BR292" si="449">BQ277-BM277</f>
        <v>29329.5</v>
      </c>
      <c r="BS277" s="25">
        <f t="shared" ref="BS277:BS292" si="450">+BR277/BM277</f>
        <v>0.24000245489137106</v>
      </c>
      <c r="BT277" s="308">
        <f t="shared" ref="BT277:BT292" si="451">BQ277</f>
        <v>151534.5</v>
      </c>
    </row>
    <row r="278" spans="1:72" s="1" customFormat="1" ht="34.35" customHeight="1">
      <c r="A278" s="91"/>
      <c r="B278" s="358" t="s">
        <v>2470</v>
      </c>
      <c r="C278" s="50" t="s">
        <v>919</v>
      </c>
      <c r="D278" s="177" t="s">
        <v>885</v>
      </c>
      <c r="E278" s="62" t="s">
        <v>14</v>
      </c>
      <c r="F278" s="10"/>
      <c r="G278" s="42"/>
      <c r="H278" s="42"/>
      <c r="I278" s="183"/>
      <c r="J278" s="29"/>
      <c r="K278" s="24"/>
      <c r="L278" s="25"/>
      <c r="M278" s="69"/>
      <c r="N278" s="77"/>
      <c r="O278" s="73"/>
      <c r="P278" s="74"/>
      <c r="Q278" s="74"/>
      <c r="R278" s="75"/>
      <c r="S278" s="61"/>
      <c r="T278" s="60"/>
      <c r="U278" s="74"/>
      <c r="V278" s="76"/>
      <c r="W278" s="24"/>
      <c r="X278" s="25"/>
      <c r="Y278" s="77"/>
      <c r="Z278" s="184"/>
      <c r="AA278" s="185"/>
      <c r="AB278" s="185"/>
      <c r="AC278" s="185"/>
      <c r="AD278" s="185"/>
      <c r="AE278" s="185"/>
      <c r="AF278" s="185"/>
      <c r="AG278" s="185"/>
      <c r="AH278" s="185"/>
      <c r="AI278" s="185"/>
      <c r="AJ278" s="250"/>
      <c r="AK278" s="250"/>
      <c r="AL278" s="250"/>
      <c r="AM278" s="250"/>
      <c r="AN278" s="250"/>
      <c r="AO278" s="250"/>
      <c r="AP278" s="250"/>
      <c r="AQ278" s="250"/>
      <c r="AR278" s="250"/>
      <c r="AS278" s="117"/>
      <c r="AT278" s="10">
        <v>206166</v>
      </c>
      <c r="AU278" s="10">
        <v>156000</v>
      </c>
      <c r="AV278" s="167">
        <v>12000</v>
      </c>
      <c r="AW278" s="168">
        <v>139600</v>
      </c>
      <c r="AX278" s="29">
        <f t="shared" si="434"/>
        <v>147800</v>
      </c>
      <c r="AY278" s="24">
        <f t="shared" si="435"/>
        <v>-58366</v>
      </c>
      <c r="AZ278" s="25">
        <f t="shared" si="436"/>
        <v>-0.28310196637660912</v>
      </c>
      <c r="BA278" s="24">
        <f t="shared" si="437"/>
        <v>-194166</v>
      </c>
      <c r="BB278" s="169">
        <f t="shared" si="438"/>
        <v>-0.94179447629580049</v>
      </c>
      <c r="BC278" s="170">
        <f t="shared" si="439"/>
        <v>147800</v>
      </c>
      <c r="BD278" s="150"/>
      <c r="BE278" s="150"/>
      <c r="BF278" s="150"/>
      <c r="BG278" s="150"/>
      <c r="BH278" s="150"/>
      <c r="BI278" s="150"/>
      <c r="BJ278" s="150"/>
      <c r="BK278" s="150"/>
      <c r="BL278" s="150"/>
      <c r="BM278" s="10">
        <v>206279</v>
      </c>
      <c r="BN278" s="45"/>
      <c r="BO278" s="45">
        <v>243251</v>
      </c>
      <c r="BP278" s="45">
        <v>270000</v>
      </c>
      <c r="BQ278" s="29">
        <f t="shared" si="448"/>
        <v>256625.5</v>
      </c>
      <c r="BR278" s="24">
        <f t="shared" si="449"/>
        <v>50346.5</v>
      </c>
      <c r="BS278" s="25">
        <f t="shared" si="450"/>
        <v>0.24406992471361602</v>
      </c>
      <c r="BT278" s="308">
        <f t="shared" si="451"/>
        <v>256625.5</v>
      </c>
    </row>
    <row r="279" spans="1:72" s="1" customFormat="1" ht="34.35" customHeight="1">
      <c r="A279" s="91"/>
      <c r="B279" s="358" t="s">
        <v>2471</v>
      </c>
      <c r="C279" s="50" t="s">
        <v>920</v>
      </c>
      <c r="D279" s="177" t="s">
        <v>886</v>
      </c>
      <c r="E279" s="62" t="s">
        <v>14</v>
      </c>
      <c r="F279" s="10"/>
      <c r="G279" s="42"/>
      <c r="H279" s="42"/>
      <c r="I279" s="183"/>
      <c r="J279" s="29"/>
      <c r="K279" s="24"/>
      <c r="L279" s="25"/>
      <c r="M279" s="69"/>
      <c r="N279" s="77"/>
      <c r="O279" s="73"/>
      <c r="P279" s="74"/>
      <c r="Q279" s="74"/>
      <c r="R279" s="75"/>
      <c r="S279" s="61"/>
      <c r="T279" s="60"/>
      <c r="U279" s="74"/>
      <c r="V279" s="76"/>
      <c r="W279" s="24"/>
      <c r="X279" s="25"/>
      <c r="Y279" s="77"/>
      <c r="Z279" s="184"/>
      <c r="AA279" s="185"/>
      <c r="AB279" s="185"/>
      <c r="AC279" s="185"/>
      <c r="AD279" s="185"/>
      <c r="AE279" s="185"/>
      <c r="AF279" s="185"/>
      <c r="AG279" s="185"/>
      <c r="AH279" s="185"/>
      <c r="AI279" s="185"/>
      <c r="AJ279" s="250"/>
      <c r="AK279" s="250"/>
      <c r="AL279" s="250"/>
      <c r="AM279" s="250"/>
      <c r="AN279" s="250"/>
      <c r="AO279" s="250"/>
      <c r="AP279" s="250"/>
      <c r="AQ279" s="250"/>
      <c r="AR279" s="250"/>
      <c r="AS279" s="117"/>
      <c r="AT279" s="10">
        <v>78902</v>
      </c>
      <c r="AU279" s="10">
        <v>186000</v>
      </c>
      <c r="AV279" s="167">
        <v>12000</v>
      </c>
      <c r="AW279" s="168">
        <v>176000</v>
      </c>
      <c r="AX279" s="29">
        <f t="shared" si="434"/>
        <v>181000</v>
      </c>
      <c r="AY279" s="24">
        <f t="shared" si="435"/>
        <v>102098</v>
      </c>
      <c r="AZ279" s="25">
        <f t="shared" si="436"/>
        <v>1.2939849433474437</v>
      </c>
      <c r="BA279" s="24">
        <f t="shared" si="437"/>
        <v>-66902</v>
      </c>
      <c r="BB279" s="169">
        <f t="shared" si="438"/>
        <v>-0.84791260044105343</v>
      </c>
      <c r="BC279" s="170">
        <f t="shared" si="439"/>
        <v>181000</v>
      </c>
      <c r="BD279" s="150"/>
      <c r="BE279" s="150"/>
      <c r="BF279" s="150"/>
      <c r="BG279" s="150"/>
      <c r="BH279" s="150"/>
      <c r="BI279" s="150"/>
      <c r="BJ279" s="150"/>
      <c r="BK279" s="150"/>
      <c r="BL279" s="150"/>
      <c r="BM279" s="10">
        <v>80078</v>
      </c>
      <c r="BN279" s="45"/>
      <c r="BO279" s="45">
        <v>93090</v>
      </c>
      <c r="BP279" s="45">
        <v>95000</v>
      </c>
      <c r="BQ279" s="29">
        <f t="shared" si="448"/>
        <v>94045</v>
      </c>
      <c r="BR279" s="24">
        <f t="shared" si="449"/>
        <v>13967</v>
      </c>
      <c r="BS279" s="25">
        <f t="shared" si="450"/>
        <v>0.17441744299308173</v>
      </c>
      <c r="BT279" s="308">
        <f t="shared" si="451"/>
        <v>94045</v>
      </c>
    </row>
    <row r="280" spans="1:72" s="1" customFormat="1" ht="34.35" customHeight="1">
      <c r="A280" s="91"/>
      <c r="B280" s="358" t="s">
        <v>2472</v>
      </c>
      <c r="C280" s="50" t="s">
        <v>921</v>
      </c>
      <c r="D280" s="177" t="s">
        <v>887</v>
      </c>
      <c r="E280" s="62" t="s">
        <v>14</v>
      </c>
      <c r="F280" s="10"/>
      <c r="G280" s="42"/>
      <c r="H280" s="42"/>
      <c r="I280" s="183"/>
      <c r="J280" s="29"/>
      <c r="K280" s="24"/>
      <c r="L280" s="25"/>
      <c r="M280" s="69"/>
      <c r="N280" s="77"/>
      <c r="O280" s="73"/>
      <c r="P280" s="74"/>
      <c r="Q280" s="74"/>
      <c r="R280" s="75"/>
      <c r="S280" s="61"/>
      <c r="T280" s="60"/>
      <c r="U280" s="74"/>
      <c r="V280" s="76"/>
      <c r="W280" s="24"/>
      <c r="X280" s="25"/>
      <c r="Y280" s="77"/>
      <c r="Z280" s="184"/>
      <c r="AA280" s="185"/>
      <c r="AB280" s="185"/>
      <c r="AC280" s="185"/>
      <c r="AD280" s="185"/>
      <c r="AE280" s="185"/>
      <c r="AF280" s="185"/>
      <c r="AG280" s="185"/>
      <c r="AH280" s="185"/>
      <c r="AI280" s="185"/>
      <c r="AJ280" s="250"/>
      <c r="AK280" s="250"/>
      <c r="AL280" s="250"/>
      <c r="AM280" s="250"/>
      <c r="AN280" s="250"/>
      <c r="AO280" s="250"/>
      <c r="AP280" s="250"/>
      <c r="AQ280" s="250"/>
      <c r="AR280" s="250"/>
      <c r="AS280" s="117"/>
      <c r="AT280" s="10">
        <v>318671</v>
      </c>
      <c r="AU280" s="10">
        <v>185000</v>
      </c>
      <c r="AV280" s="167">
        <v>45000</v>
      </c>
      <c r="AW280" s="168">
        <v>205670</v>
      </c>
      <c r="AX280" s="29">
        <f t="shared" si="434"/>
        <v>195335</v>
      </c>
      <c r="AY280" s="24">
        <f t="shared" si="435"/>
        <v>-123336</v>
      </c>
      <c r="AZ280" s="25">
        <f t="shared" si="436"/>
        <v>-0.38703239391096145</v>
      </c>
      <c r="BA280" s="24">
        <f t="shared" si="437"/>
        <v>-273671</v>
      </c>
      <c r="BB280" s="169">
        <f t="shared" si="438"/>
        <v>-0.85878853111830067</v>
      </c>
      <c r="BC280" s="170">
        <f t="shared" si="439"/>
        <v>195335</v>
      </c>
      <c r="BD280" s="10">
        <v>145936</v>
      </c>
      <c r="BE280" s="10">
        <v>160000</v>
      </c>
      <c r="BF280" s="10">
        <v>160000</v>
      </c>
      <c r="BG280" s="268">
        <v>165000</v>
      </c>
      <c r="BH280" s="10">
        <v>550000</v>
      </c>
      <c r="BI280" s="76">
        <f t="shared" ref="BI280:BI292" si="452">AVERAGE(BE280,BF280,BG280,BH280)</f>
        <v>258750</v>
      </c>
      <c r="BJ280" s="24">
        <f t="shared" ref="BJ280:BJ292" si="453">BI280-BD280</f>
        <v>112814</v>
      </c>
      <c r="BK280" s="25">
        <f t="shared" ref="BK280:BK292" si="454">+BJ280/BD280</f>
        <v>0.77303749588860871</v>
      </c>
      <c r="BL280" s="259">
        <f t="shared" ref="BL280:BL292" si="455">BI280</f>
        <v>258750</v>
      </c>
      <c r="BM280" s="10">
        <v>318669</v>
      </c>
      <c r="BN280" s="45"/>
      <c r="BO280" s="45">
        <v>375997</v>
      </c>
      <c r="BP280" s="45">
        <v>170000</v>
      </c>
      <c r="BQ280" s="29">
        <f t="shared" si="448"/>
        <v>272998.5</v>
      </c>
      <c r="BR280" s="24">
        <f t="shared" si="449"/>
        <v>-45670.5</v>
      </c>
      <c r="BS280" s="25">
        <f t="shared" si="450"/>
        <v>-0.14331641923123994</v>
      </c>
      <c r="BT280" s="308">
        <f t="shared" si="451"/>
        <v>272998.5</v>
      </c>
    </row>
    <row r="281" spans="1:72" s="1" customFormat="1" ht="34.35" customHeight="1">
      <c r="A281" s="91"/>
      <c r="B281" s="358" t="s">
        <v>2473</v>
      </c>
      <c r="C281" s="50" t="s">
        <v>922</v>
      </c>
      <c r="D281" s="177" t="s">
        <v>888</v>
      </c>
      <c r="E281" s="62" t="s">
        <v>14</v>
      </c>
      <c r="F281" s="10"/>
      <c r="G281" s="42"/>
      <c r="H281" s="42"/>
      <c r="I281" s="183"/>
      <c r="J281" s="29"/>
      <c r="K281" s="24"/>
      <c r="L281" s="25"/>
      <c r="M281" s="69"/>
      <c r="N281" s="77"/>
      <c r="O281" s="73"/>
      <c r="P281" s="74"/>
      <c r="Q281" s="74"/>
      <c r="R281" s="75"/>
      <c r="S281" s="61"/>
      <c r="T281" s="60"/>
      <c r="U281" s="74"/>
      <c r="V281" s="76"/>
      <c r="W281" s="24"/>
      <c r="X281" s="25"/>
      <c r="Y281" s="77"/>
      <c r="Z281" s="184"/>
      <c r="AA281" s="185"/>
      <c r="AB281" s="185"/>
      <c r="AC281" s="185"/>
      <c r="AD281" s="185"/>
      <c r="AE281" s="185"/>
      <c r="AF281" s="185"/>
      <c r="AG281" s="185"/>
      <c r="AH281" s="185"/>
      <c r="AI281" s="185"/>
      <c r="AJ281" s="250"/>
      <c r="AK281" s="250"/>
      <c r="AL281" s="250"/>
      <c r="AM281" s="250"/>
      <c r="AN281" s="250"/>
      <c r="AO281" s="250"/>
      <c r="AP281" s="250"/>
      <c r="AQ281" s="250"/>
      <c r="AR281" s="250"/>
      <c r="AS281" s="117"/>
      <c r="AT281" s="10">
        <v>207106</v>
      </c>
      <c r="AU281" s="10">
        <v>165000</v>
      </c>
      <c r="AV281" s="167">
        <v>45000</v>
      </c>
      <c r="AW281" s="168">
        <v>205670</v>
      </c>
      <c r="AX281" s="29">
        <f t="shared" si="434"/>
        <v>185335</v>
      </c>
      <c r="AY281" s="24">
        <f t="shared" si="435"/>
        <v>-21771</v>
      </c>
      <c r="AZ281" s="25">
        <f t="shared" si="436"/>
        <v>-0.10512008343553543</v>
      </c>
      <c r="BA281" s="24">
        <f t="shared" si="437"/>
        <v>-162106</v>
      </c>
      <c r="BB281" s="169">
        <f t="shared" si="438"/>
        <v>-0.78271995982733478</v>
      </c>
      <c r="BC281" s="170">
        <f t="shared" si="439"/>
        <v>185335</v>
      </c>
      <c r="BD281" s="10">
        <v>125907</v>
      </c>
      <c r="BE281" s="10">
        <v>560000</v>
      </c>
      <c r="BF281" s="10">
        <v>610000</v>
      </c>
      <c r="BG281" s="268">
        <v>590000</v>
      </c>
      <c r="BH281" s="10">
        <v>600000</v>
      </c>
      <c r="BI281" s="76">
        <f t="shared" si="452"/>
        <v>590000</v>
      </c>
      <c r="BJ281" s="24">
        <f t="shared" si="453"/>
        <v>464093</v>
      </c>
      <c r="BK281" s="25">
        <f t="shared" si="454"/>
        <v>3.6859983956412274</v>
      </c>
      <c r="BL281" s="259">
        <f t="shared" si="455"/>
        <v>590000</v>
      </c>
      <c r="BM281" s="10">
        <v>210190</v>
      </c>
      <c r="BN281" s="45"/>
      <c r="BO281" s="45">
        <v>244356</v>
      </c>
      <c r="BP281" s="45">
        <v>175000</v>
      </c>
      <c r="BQ281" s="29">
        <f t="shared" si="448"/>
        <v>209678</v>
      </c>
      <c r="BR281" s="24">
        <f t="shared" si="449"/>
        <v>-512</v>
      </c>
      <c r="BS281" s="25">
        <f t="shared" si="450"/>
        <v>-2.435891336409915E-3</v>
      </c>
      <c r="BT281" s="308">
        <f t="shared" si="451"/>
        <v>209678</v>
      </c>
    </row>
    <row r="282" spans="1:72" s="1" customFormat="1" ht="44.1" customHeight="1">
      <c r="A282" s="91"/>
      <c r="B282" s="358" t="s">
        <v>2474</v>
      </c>
      <c r="C282" s="50" t="s">
        <v>923</v>
      </c>
      <c r="D282" s="177" t="s">
        <v>889</v>
      </c>
      <c r="E282" s="62" t="s">
        <v>14</v>
      </c>
      <c r="F282" s="10"/>
      <c r="G282" s="42"/>
      <c r="H282" s="42"/>
      <c r="I282" s="183"/>
      <c r="J282" s="29"/>
      <c r="K282" s="24"/>
      <c r="L282" s="25"/>
      <c r="M282" s="69"/>
      <c r="N282" s="77"/>
      <c r="O282" s="73"/>
      <c r="P282" s="74"/>
      <c r="Q282" s="74"/>
      <c r="R282" s="75"/>
      <c r="S282" s="61"/>
      <c r="T282" s="60"/>
      <c r="U282" s="74"/>
      <c r="V282" s="76"/>
      <c r="W282" s="24"/>
      <c r="X282" s="25"/>
      <c r="Y282" s="77"/>
      <c r="Z282" s="184"/>
      <c r="AA282" s="185"/>
      <c r="AB282" s="185"/>
      <c r="AC282" s="185"/>
      <c r="AD282" s="185"/>
      <c r="AE282" s="185"/>
      <c r="AF282" s="185"/>
      <c r="AG282" s="185"/>
      <c r="AH282" s="185"/>
      <c r="AI282" s="185"/>
      <c r="AJ282" s="250"/>
      <c r="AK282" s="250"/>
      <c r="AL282" s="250"/>
      <c r="AM282" s="250"/>
      <c r="AN282" s="250"/>
      <c r="AO282" s="250"/>
      <c r="AP282" s="250"/>
      <c r="AQ282" s="250"/>
      <c r="AR282" s="250"/>
      <c r="AS282" s="117"/>
      <c r="AT282" s="10">
        <v>1098130</v>
      </c>
      <c r="AU282" s="10">
        <v>185000</v>
      </c>
      <c r="AV282" s="167">
        <v>18000</v>
      </c>
      <c r="AW282" s="168">
        <v>190000</v>
      </c>
      <c r="AX282" s="29">
        <f t="shared" si="434"/>
        <v>187500</v>
      </c>
      <c r="AY282" s="24">
        <f t="shared" si="435"/>
        <v>-910630</v>
      </c>
      <c r="AZ282" s="25">
        <f t="shared" si="436"/>
        <v>-0.82925518836567624</v>
      </c>
      <c r="BA282" s="24">
        <f t="shared" si="437"/>
        <v>-1080130</v>
      </c>
      <c r="BB282" s="169">
        <f t="shared" si="438"/>
        <v>-0.98360849808310491</v>
      </c>
      <c r="BC282" s="170">
        <f t="shared" si="439"/>
        <v>187500</v>
      </c>
      <c r="BD282" s="10">
        <v>998098</v>
      </c>
      <c r="BE282" s="10">
        <v>1350000</v>
      </c>
      <c r="BF282" s="10">
        <v>1380000</v>
      </c>
      <c r="BG282" s="268">
        <v>1380000</v>
      </c>
      <c r="BH282" s="10">
        <v>1400000</v>
      </c>
      <c r="BI282" s="76">
        <f t="shared" si="452"/>
        <v>1377500</v>
      </c>
      <c r="BJ282" s="24">
        <f t="shared" si="453"/>
        <v>379402</v>
      </c>
      <c r="BK282" s="25">
        <f t="shared" si="454"/>
        <v>0.38012499774571235</v>
      </c>
      <c r="BL282" s="259">
        <f t="shared" si="455"/>
        <v>1377500</v>
      </c>
      <c r="BM282" s="10">
        <v>1114513</v>
      </c>
      <c r="BN282" s="45"/>
      <c r="BO282" s="45">
        <v>1295668</v>
      </c>
      <c r="BP282" s="45">
        <v>50000</v>
      </c>
      <c r="BQ282" s="29">
        <f t="shared" si="448"/>
        <v>672834</v>
      </c>
      <c r="BR282" s="24">
        <f t="shared" si="449"/>
        <v>-441679</v>
      </c>
      <c r="BS282" s="25">
        <f t="shared" si="450"/>
        <v>-0.39629775516301741</v>
      </c>
      <c r="BT282" s="308">
        <f t="shared" si="451"/>
        <v>672834</v>
      </c>
    </row>
    <row r="283" spans="1:72" s="1" customFormat="1" ht="39" customHeight="1">
      <c r="A283" s="91"/>
      <c r="B283" s="358" t="s">
        <v>2475</v>
      </c>
      <c r="C283" s="50" t="s">
        <v>924</v>
      </c>
      <c r="D283" s="177" t="s">
        <v>890</v>
      </c>
      <c r="E283" s="62" t="s">
        <v>14</v>
      </c>
      <c r="F283" s="10"/>
      <c r="G283" s="42"/>
      <c r="H283" s="42"/>
      <c r="I283" s="183"/>
      <c r="J283" s="29"/>
      <c r="K283" s="24"/>
      <c r="L283" s="25"/>
      <c r="M283" s="69"/>
      <c r="N283" s="77"/>
      <c r="O283" s="73"/>
      <c r="P283" s="74"/>
      <c r="Q283" s="74"/>
      <c r="R283" s="75"/>
      <c r="S283" s="61"/>
      <c r="T283" s="60"/>
      <c r="U283" s="74"/>
      <c r="V283" s="76"/>
      <c r="W283" s="24"/>
      <c r="X283" s="25"/>
      <c r="Y283" s="77"/>
      <c r="Z283" s="184"/>
      <c r="AA283" s="185"/>
      <c r="AB283" s="185"/>
      <c r="AC283" s="185"/>
      <c r="AD283" s="185"/>
      <c r="AE283" s="185"/>
      <c r="AF283" s="185"/>
      <c r="AG283" s="185"/>
      <c r="AH283" s="185"/>
      <c r="AI283" s="185"/>
      <c r="AJ283" s="250"/>
      <c r="AK283" s="250"/>
      <c r="AL283" s="250"/>
      <c r="AM283" s="250"/>
      <c r="AN283" s="250"/>
      <c r="AO283" s="250"/>
      <c r="AP283" s="250"/>
      <c r="AQ283" s="250"/>
      <c r="AR283" s="250"/>
      <c r="AS283" s="117"/>
      <c r="AT283" s="10">
        <v>1245481</v>
      </c>
      <c r="AU283" s="10">
        <v>258000</v>
      </c>
      <c r="AV283" s="167">
        <v>18000</v>
      </c>
      <c r="AW283" s="168">
        <v>255670</v>
      </c>
      <c r="AX283" s="29">
        <f t="shared" si="434"/>
        <v>256835</v>
      </c>
      <c r="AY283" s="24">
        <f t="shared" si="435"/>
        <v>-988646</v>
      </c>
      <c r="AZ283" s="25">
        <f t="shared" si="436"/>
        <v>-0.79378649694375103</v>
      </c>
      <c r="BA283" s="24">
        <f t="shared" si="437"/>
        <v>-1227481</v>
      </c>
      <c r="BB283" s="169">
        <f t="shared" si="438"/>
        <v>-0.98554775223387592</v>
      </c>
      <c r="BC283" s="170">
        <f t="shared" si="439"/>
        <v>256835</v>
      </c>
      <c r="BD283" s="10">
        <v>1132036</v>
      </c>
      <c r="BE283" s="10">
        <v>1400000</v>
      </c>
      <c r="BF283" s="10">
        <v>1450000</v>
      </c>
      <c r="BG283" s="268">
        <v>1450000</v>
      </c>
      <c r="BH283" s="10">
        <v>1500000</v>
      </c>
      <c r="BI283" s="76">
        <f t="shared" si="452"/>
        <v>1450000</v>
      </c>
      <c r="BJ283" s="24">
        <f t="shared" si="453"/>
        <v>317964</v>
      </c>
      <c r="BK283" s="25">
        <f t="shared" si="454"/>
        <v>0.28087799327936569</v>
      </c>
      <c r="BL283" s="259">
        <f t="shared" si="455"/>
        <v>1450000</v>
      </c>
      <c r="BM283" s="10">
        <v>1264075</v>
      </c>
      <c r="BN283" s="45"/>
      <c r="BO283" s="45">
        <v>1469532</v>
      </c>
      <c r="BP283" s="45">
        <v>50000</v>
      </c>
      <c r="BQ283" s="29">
        <f t="shared" si="448"/>
        <v>759766</v>
      </c>
      <c r="BR283" s="24">
        <f t="shared" si="449"/>
        <v>-504309</v>
      </c>
      <c r="BS283" s="25">
        <f t="shared" si="450"/>
        <v>-0.39895496707078298</v>
      </c>
      <c r="BT283" s="308">
        <f t="shared" si="451"/>
        <v>759766</v>
      </c>
    </row>
    <row r="284" spans="1:72" s="1" customFormat="1" ht="34.35" customHeight="1">
      <c r="A284" s="91"/>
      <c r="B284" s="358" t="s">
        <v>2476</v>
      </c>
      <c r="C284" s="50" t="s">
        <v>925</v>
      </c>
      <c r="D284" s="177" t="s">
        <v>891</v>
      </c>
      <c r="E284" s="62" t="s">
        <v>14</v>
      </c>
      <c r="F284" s="10"/>
      <c r="G284" s="42"/>
      <c r="H284" s="42"/>
      <c r="I284" s="183"/>
      <c r="J284" s="29"/>
      <c r="K284" s="24"/>
      <c r="L284" s="25"/>
      <c r="M284" s="69"/>
      <c r="N284" s="77"/>
      <c r="O284" s="73"/>
      <c r="P284" s="74"/>
      <c r="Q284" s="74"/>
      <c r="R284" s="75"/>
      <c r="S284" s="61"/>
      <c r="T284" s="60"/>
      <c r="U284" s="74"/>
      <c r="V284" s="76"/>
      <c r="W284" s="24"/>
      <c r="X284" s="25"/>
      <c r="Y284" s="77"/>
      <c r="Z284" s="184"/>
      <c r="AA284" s="185"/>
      <c r="AB284" s="185"/>
      <c r="AC284" s="185"/>
      <c r="AD284" s="185"/>
      <c r="AE284" s="185"/>
      <c r="AF284" s="185"/>
      <c r="AG284" s="185"/>
      <c r="AH284" s="185"/>
      <c r="AI284" s="185"/>
      <c r="AJ284" s="250"/>
      <c r="AK284" s="250"/>
      <c r="AL284" s="250"/>
      <c r="AM284" s="250"/>
      <c r="AN284" s="250"/>
      <c r="AO284" s="250"/>
      <c r="AP284" s="250"/>
      <c r="AQ284" s="250"/>
      <c r="AR284" s="250"/>
      <c r="AS284" s="117"/>
      <c r="AT284" s="10">
        <v>121827</v>
      </c>
      <c r="AU284" s="10"/>
      <c r="AV284" s="167">
        <v>18000</v>
      </c>
      <c r="AW284" s="168">
        <v>79000</v>
      </c>
      <c r="AX284" s="29">
        <f t="shared" si="434"/>
        <v>79000</v>
      </c>
      <c r="AY284" s="24">
        <f t="shared" si="435"/>
        <v>-42827</v>
      </c>
      <c r="AZ284" s="25">
        <f t="shared" si="436"/>
        <v>-0.35153947811240532</v>
      </c>
      <c r="BA284" s="24">
        <f t="shared" si="437"/>
        <v>-103827</v>
      </c>
      <c r="BB284" s="169">
        <f t="shared" si="438"/>
        <v>-0.85224950134206701</v>
      </c>
      <c r="BC284" s="170">
        <f t="shared" si="439"/>
        <v>79000</v>
      </c>
      <c r="BD284" s="10">
        <v>110728</v>
      </c>
      <c r="BE284" s="10">
        <v>65000</v>
      </c>
      <c r="BF284" s="10">
        <v>70000</v>
      </c>
      <c r="BG284" s="268">
        <v>70000</v>
      </c>
      <c r="BH284" s="10">
        <v>120000</v>
      </c>
      <c r="BI284" s="76">
        <f t="shared" si="452"/>
        <v>81250</v>
      </c>
      <c r="BJ284" s="24">
        <f t="shared" si="453"/>
        <v>-29478</v>
      </c>
      <c r="BK284" s="25">
        <f t="shared" si="454"/>
        <v>-0.26621992630590274</v>
      </c>
      <c r="BL284" s="259">
        <f t="shared" si="455"/>
        <v>81250</v>
      </c>
      <c r="BM284" s="10">
        <v>123639</v>
      </c>
      <c r="BN284" s="45"/>
      <c r="BO284" s="45">
        <v>143739</v>
      </c>
      <c r="BP284" s="45">
        <v>120000</v>
      </c>
      <c r="BQ284" s="29">
        <f t="shared" si="448"/>
        <v>131869.5</v>
      </c>
      <c r="BR284" s="24">
        <f t="shared" si="449"/>
        <v>8230.5</v>
      </c>
      <c r="BS284" s="25">
        <f t="shared" si="450"/>
        <v>6.6568801106447001E-2</v>
      </c>
      <c r="BT284" s="308">
        <f t="shared" si="451"/>
        <v>131869.5</v>
      </c>
    </row>
    <row r="285" spans="1:72" s="1" customFormat="1" ht="50.1" customHeight="1">
      <c r="A285" s="91"/>
      <c r="B285" s="358" t="s">
        <v>2477</v>
      </c>
      <c r="C285" s="50" t="s">
        <v>926</v>
      </c>
      <c r="D285" s="177" t="s">
        <v>892</v>
      </c>
      <c r="E285" s="62" t="s">
        <v>14</v>
      </c>
      <c r="F285" s="10"/>
      <c r="G285" s="42"/>
      <c r="H285" s="42"/>
      <c r="I285" s="183"/>
      <c r="J285" s="29"/>
      <c r="K285" s="24"/>
      <c r="L285" s="25"/>
      <c r="M285" s="69"/>
      <c r="N285" s="77"/>
      <c r="O285" s="73"/>
      <c r="P285" s="74"/>
      <c r="Q285" s="74"/>
      <c r="R285" s="75"/>
      <c r="S285" s="61"/>
      <c r="T285" s="60"/>
      <c r="U285" s="74"/>
      <c r="V285" s="76"/>
      <c r="W285" s="24"/>
      <c r="X285" s="25"/>
      <c r="Y285" s="77"/>
      <c r="Z285" s="184"/>
      <c r="AA285" s="185"/>
      <c r="AB285" s="185"/>
      <c r="AC285" s="185"/>
      <c r="AD285" s="185"/>
      <c r="AE285" s="185"/>
      <c r="AF285" s="185"/>
      <c r="AG285" s="185"/>
      <c r="AH285" s="185"/>
      <c r="AI285" s="185"/>
      <c r="AJ285" s="250"/>
      <c r="AK285" s="250"/>
      <c r="AL285" s="250"/>
      <c r="AM285" s="250"/>
      <c r="AN285" s="250"/>
      <c r="AO285" s="250"/>
      <c r="AP285" s="250"/>
      <c r="AQ285" s="250"/>
      <c r="AR285" s="250"/>
      <c r="AS285" s="117"/>
      <c r="AT285" s="10">
        <v>163498</v>
      </c>
      <c r="AU285" s="10"/>
      <c r="AV285" s="167">
        <v>18000</v>
      </c>
      <c r="AW285" s="168">
        <v>98000</v>
      </c>
      <c r="AX285" s="29">
        <f t="shared" si="434"/>
        <v>98000</v>
      </c>
      <c r="AY285" s="24">
        <f t="shared" si="435"/>
        <v>-65498</v>
      </c>
      <c r="AZ285" s="25">
        <f t="shared" si="436"/>
        <v>-0.40060428873747689</v>
      </c>
      <c r="BA285" s="24">
        <f t="shared" si="437"/>
        <v>-145498</v>
      </c>
      <c r="BB285" s="169">
        <f t="shared" si="438"/>
        <v>-0.88990691017627122</v>
      </c>
      <c r="BC285" s="170">
        <f t="shared" si="439"/>
        <v>98000</v>
      </c>
      <c r="BD285" s="10">
        <v>148604</v>
      </c>
      <c r="BE285" s="10">
        <v>120000</v>
      </c>
      <c r="BF285" s="10">
        <v>128000</v>
      </c>
      <c r="BG285" s="268">
        <v>125000</v>
      </c>
      <c r="BH285" s="10">
        <v>120000</v>
      </c>
      <c r="BI285" s="76">
        <f t="shared" si="452"/>
        <v>123250</v>
      </c>
      <c r="BJ285" s="24">
        <f t="shared" si="453"/>
        <v>-25354</v>
      </c>
      <c r="BK285" s="25">
        <f t="shared" si="454"/>
        <v>-0.17061451912465345</v>
      </c>
      <c r="BL285" s="259">
        <f t="shared" si="455"/>
        <v>123250</v>
      </c>
      <c r="BM285" s="10">
        <v>165937</v>
      </c>
      <c r="BN285" s="45"/>
      <c r="BO285" s="45">
        <v>192908</v>
      </c>
      <c r="BP285" s="45">
        <v>140000</v>
      </c>
      <c r="BQ285" s="29">
        <f t="shared" si="448"/>
        <v>166454</v>
      </c>
      <c r="BR285" s="24">
        <f t="shared" si="449"/>
        <v>517</v>
      </c>
      <c r="BS285" s="25">
        <f t="shared" si="450"/>
        <v>3.1156402731157004E-3</v>
      </c>
      <c r="BT285" s="308">
        <f t="shared" si="451"/>
        <v>166454</v>
      </c>
    </row>
    <row r="286" spans="1:72" s="1" customFormat="1" ht="34.35" customHeight="1">
      <c r="A286" s="91"/>
      <c r="B286" s="358" t="s">
        <v>2478</v>
      </c>
      <c r="C286" s="50" t="s">
        <v>927</v>
      </c>
      <c r="D286" s="177" t="s">
        <v>893</v>
      </c>
      <c r="E286" s="62" t="s">
        <v>14</v>
      </c>
      <c r="F286" s="10"/>
      <c r="G286" s="42"/>
      <c r="H286" s="42"/>
      <c r="I286" s="183"/>
      <c r="J286" s="29"/>
      <c r="K286" s="24"/>
      <c r="L286" s="25"/>
      <c r="M286" s="69"/>
      <c r="N286" s="77"/>
      <c r="O286" s="73"/>
      <c r="P286" s="74"/>
      <c r="Q286" s="74"/>
      <c r="R286" s="75"/>
      <c r="S286" s="61"/>
      <c r="T286" s="60"/>
      <c r="U286" s="74"/>
      <c r="V286" s="76"/>
      <c r="W286" s="24"/>
      <c r="X286" s="25"/>
      <c r="Y286" s="77"/>
      <c r="Z286" s="184"/>
      <c r="AA286" s="185"/>
      <c r="AB286" s="185"/>
      <c r="AC286" s="185"/>
      <c r="AD286" s="185"/>
      <c r="AE286" s="185"/>
      <c r="AF286" s="185"/>
      <c r="AG286" s="185"/>
      <c r="AH286" s="185"/>
      <c r="AI286" s="185"/>
      <c r="AJ286" s="250"/>
      <c r="AK286" s="250"/>
      <c r="AL286" s="250"/>
      <c r="AM286" s="250"/>
      <c r="AN286" s="250"/>
      <c r="AO286" s="250"/>
      <c r="AP286" s="250"/>
      <c r="AQ286" s="250"/>
      <c r="AR286" s="250"/>
      <c r="AS286" s="117"/>
      <c r="AT286" s="10">
        <v>92257</v>
      </c>
      <c r="AU286" s="10"/>
      <c r="AV286" s="167">
        <v>18000</v>
      </c>
      <c r="AW286" s="168"/>
      <c r="AX286" s="29"/>
      <c r="AY286" s="24"/>
      <c r="AZ286" s="25"/>
      <c r="BA286" s="24">
        <f t="shared" si="437"/>
        <v>-74257</v>
      </c>
      <c r="BB286" s="169">
        <f t="shared" si="438"/>
        <v>-0.80489285365880092</v>
      </c>
      <c r="BC286" s="170" t="s">
        <v>894</v>
      </c>
      <c r="BD286" s="10">
        <v>83856</v>
      </c>
      <c r="BE286" s="10">
        <v>128000</v>
      </c>
      <c r="BF286" s="10">
        <v>135000</v>
      </c>
      <c r="BG286" s="268">
        <v>135000</v>
      </c>
      <c r="BH286" s="10">
        <v>450000</v>
      </c>
      <c r="BI286" s="76">
        <f t="shared" si="452"/>
        <v>212000</v>
      </c>
      <c r="BJ286" s="24">
        <f t="shared" si="453"/>
        <v>128144</v>
      </c>
      <c r="BK286" s="25">
        <f t="shared" si="454"/>
        <v>1.528143484067926</v>
      </c>
      <c r="BL286" s="259">
        <f t="shared" si="455"/>
        <v>212000</v>
      </c>
      <c r="BM286" s="10">
        <v>93633</v>
      </c>
      <c r="BN286" s="45"/>
      <c r="BO286" s="45">
        <v>108854</v>
      </c>
      <c r="BP286" s="45">
        <v>135000</v>
      </c>
      <c r="BQ286" s="29">
        <f t="shared" si="448"/>
        <v>121927</v>
      </c>
      <c r="BR286" s="24">
        <f t="shared" si="449"/>
        <v>28294</v>
      </c>
      <c r="BS286" s="25">
        <f t="shared" si="450"/>
        <v>0.30217978704089371</v>
      </c>
      <c r="BT286" s="308">
        <f t="shared" si="451"/>
        <v>121927</v>
      </c>
    </row>
    <row r="287" spans="1:72" s="1" customFormat="1" ht="47.1" customHeight="1">
      <c r="A287" s="91"/>
      <c r="B287" s="358" t="s">
        <v>2479</v>
      </c>
      <c r="C287" s="50" t="s">
        <v>928</v>
      </c>
      <c r="D287" s="177" t="s">
        <v>895</v>
      </c>
      <c r="E287" s="62" t="s">
        <v>14</v>
      </c>
      <c r="F287" s="10"/>
      <c r="G287" s="42"/>
      <c r="H287" s="42"/>
      <c r="I287" s="183"/>
      <c r="J287" s="29"/>
      <c r="K287" s="24"/>
      <c r="L287" s="25"/>
      <c r="M287" s="69"/>
      <c r="N287" s="77"/>
      <c r="O287" s="73"/>
      <c r="P287" s="74"/>
      <c r="Q287" s="74"/>
      <c r="R287" s="75"/>
      <c r="S287" s="61"/>
      <c r="T287" s="60"/>
      <c r="U287" s="74"/>
      <c r="V287" s="76"/>
      <c r="W287" s="24"/>
      <c r="X287" s="25"/>
      <c r="Y287" s="77"/>
      <c r="Z287" s="184"/>
      <c r="AA287" s="185"/>
      <c r="AB287" s="185"/>
      <c r="AC287" s="185"/>
      <c r="AD287" s="185"/>
      <c r="AE287" s="185"/>
      <c r="AF287" s="185"/>
      <c r="AG287" s="185"/>
      <c r="AH287" s="185"/>
      <c r="AI287" s="185"/>
      <c r="AJ287" s="250"/>
      <c r="AK287" s="250"/>
      <c r="AL287" s="250"/>
      <c r="AM287" s="250"/>
      <c r="AN287" s="250"/>
      <c r="AO287" s="250"/>
      <c r="AP287" s="250"/>
      <c r="AQ287" s="250"/>
      <c r="AR287" s="250"/>
      <c r="AS287" s="117"/>
      <c r="AT287" s="10">
        <v>26514</v>
      </c>
      <c r="AU287" s="10"/>
      <c r="AV287" s="167">
        <v>22000</v>
      </c>
      <c r="AW287" s="168">
        <v>35000</v>
      </c>
      <c r="AX287" s="29">
        <f t="shared" ref="AX287:AX306" si="456">AVERAGE(AU287,AW287)</f>
        <v>35000</v>
      </c>
      <c r="AY287" s="24">
        <f t="shared" ref="AY287:AY306" si="457">AX287-AT287</f>
        <v>8486</v>
      </c>
      <c r="AZ287" s="25">
        <f t="shared" ref="AZ287:AZ306" si="458">+AY287/AT287</f>
        <v>0.32005732820396771</v>
      </c>
      <c r="BA287" s="24">
        <f t="shared" si="437"/>
        <v>-4514</v>
      </c>
      <c r="BB287" s="169">
        <f t="shared" si="438"/>
        <v>-0.17024967941464886</v>
      </c>
      <c r="BC287" s="170">
        <f t="shared" ref="BC287:BC306" si="459">AX287</f>
        <v>35000</v>
      </c>
      <c r="BD287" s="10">
        <v>23294</v>
      </c>
      <c r="BE287" s="10">
        <v>92000</v>
      </c>
      <c r="BF287" s="10">
        <v>99000</v>
      </c>
      <c r="BG287" s="268">
        <v>96000</v>
      </c>
      <c r="BH287" s="10">
        <v>95000</v>
      </c>
      <c r="BI287" s="76">
        <f t="shared" si="452"/>
        <v>95500</v>
      </c>
      <c r="BJ287" s="24">
        <f t="shared" si="453"/>
        <v>72206</v>
      </c>
      <c r="BK287" s="25">
        <f t="shared" si="454"/>
        <v>3.0997681806473771</v>
      </c>
      <c r="BL287" s="259">
        <f t="shared" si="455"/>
        <v>95500</v>
      </c>
      <c r="BM287" s="10">
        <v>26512</v>
      </c>
      <c r="BN287" s="45"/>
      <c r="BO287" s="45">
        <v>31279</v>
      </c>
      <c r="BP287" s="45">
        <v>35000</v>
      </c>
      <c r="BQ287" s="29">
        <f t="shared" si="448"/>
        <v>33139.5</v>
      </c>
      <c r="BR287" s="24">
        <f t="shared" si="449"/>
        <v>6627.5</v>
      </c>
      <c r="BS287" s="25">
        <f t="shared" si="450"/>
        <v>0.24998114061557031</v>
      </c>
      <c r="BT287" s="308">
        <f t="shared" si="451"/>
        <v>33139.5</v>
      </c>
    </row>
    <row r="288" spans="1:72" s="1" customFormat="1" ht="34.35" customHeight="1">
      <c r="A288" s="91"/>
      <c r="B288" s="358" t="s">
        <v>2480</v>
      </c>
      <c r="C288" s="50" t="s">
        <v>929</v>
      </c>
      <c r="D288" s="177" t="s">
        <v>896</v>
      </c>
      <c r="E288" s="62" t="s">
        <v>14</v>
      </c>
      <c r="F288" s="10"/>
      <c r="G288" s="42"/>
      <c r="H288" s="42"/>
      <c r="I288" s="183"/>
      <c r="J288" s="29"/>
      <c r="K288" s="24"/>
      <c r="L288" s="25"/>
      <c r="M288" s="69"/>
      <c r="N288" s="77"/>
      <c r="O288" s="73"/>
      <c r="P288" s="74"/>
      <c r="Q288" s="74"/>
      <c r="R288" s="75"/>
      <c r="S288" s="61"/>
      <c r="T288" s="60"/>
      <c r="U288" s="74"/>
      <c r="V288" s="76"/>
      <c r="W288" s="24"/>
      <c r="X288" s="25"/>
      <c r="Y288" s="77"/>
      <c r="Z288" s="184"/>
      <c r="AA288" s="185"/>
      <c r="AB288" s="185"/>
      <c r="AC288" s="185"/>
      <c r="AD288" s="185"/>
      <c r="AE288" s="185"/>
      <c r="AF288" s="185"/>
      <c r="AG288" s="185"/>
      <c r="AH288" s="185"/>
      <c r="AI288" s="185"/>
      <c r="AJ288" s="250"/>
      <c r="AK288" s="250"/>
      <c r="AL288" s="250"/>
      <c r="AM288" s="250"/>
      <c r="AN288" s="250"/>
      <c r="AO288" s="250"/>
      <c r="AP288" s="250"/>
      <c r="AQ288" s="250"/>
      <c r="AR288" s="250"/>
      <c r="AS288" s="117"/>
      <c r="AT288" s="10">
        <v>353773</v>
      </c>
      <c r="AU288" s="10"/>
      <c r="AV288" s="167">
        <v>22000</v>
      </c>
      <c r="AW288" s="168">
        <v>125000</v>
      </c>
      <c r="AX288" s="29">
        <f t="shared" si="456"/>
        <v>125000</v>
      </c>
      <c r="AY288" s="24">
        <f t="shared" si="457"/>
        <v>-228773</v>
      </c>
      <c r="AZ288" s="25">
        <f t="shared" si="458"/>
        <v>-0.64666608248792301</v>
      </c>
      <c r="BA288" s="24">
        <f t="shared" si="437"/>
        <v>-331773</v>
      </c>
      <c r="BB288" s="169">
        <f t="shared" si="438"/>
        <v>-0.93781323051787446</v>
      </c>
      <c r="BC288" s="170">
        <f t="shared" si="459"/>
        <v>125000</v>
      </c>
      <c r="BD288" s="10">
        <v>321546</v>
      </c>
      <c r="BE288" s="10">
        <v>250000</v>
      </c>
      <c r="BF288" s="10">
        <v>270000</v>
      </c>
      <c r="BG288" s="268">
        <v>260000</v>
      </c>
      <c r="BH288" s="10">
        <v>350000</v>
      </c>
      <c r="BI288" s="76">
        <f t="shared" si="452"/>
        <v>282500</v>
      </c>
      <c r="BJ288" s="24">
        <f t="shared" si="453"/>
        <v>-39046</v>
      </c>
      <c r="BK288" s="25">
        <f t="shared" si="454"/>
        <v>-0.12143208125742506</v>
      </c>
      <c r="BL288" s="259">
        <f t="shared" si="455"/>
        <v>282500</v>
      </c>
      <c r="BM288" s="10">
        <v>359050</v>
      </c>
      <c r="BN288" s="45"/>
      <c r="BO288" s="45">
        <v>417409</v>
      </c>
      <c r="BP288" s="45">
        <v>35000</v>
      </c>
      <c r="BQ288" s="29">
        <f t="shared" si="448"/>
        <v>226204.5</v>
      </c>
      <c r="BR288" s="24">
        <f t="shared" si="449"/>
        <v>-132845.5</v>
      </c>
      <c r="BS288" s="25">
        <f t="shared" si="450"/>
        <v>-0.36999164461774126</v>
      </c>
      <c r="BT288" s="308">
        <f t="shared" si="451"/>
        <v>226204.5</v>
      </c>
    </row>
    <row r="289" spans="1:72" s="1" customFormat="1" ht="34.35" customHeight="1">
      <c r="A289" s="91"/>
      <c r="B289" s="358" t="s">
        <v>2481</v>
      </c>
      <c r="C289" s="50" t="s">
        <v>930</v>
      </c>
      <c r="D289" s="177" t="s">
        <v>897</v>
      </c>
      <c r="E289" s="62" t="s">
        <v>14</v>
      </c>
      <c r="F289" s="10"/>
      <c r="G289" s="42"/>
      <c r="H289" s="42"/>
      <c r="I289" s="183"/>
      <c r="J289" s="29"/>
      <c r="K289" s="24"/>
      <c r="L289" s="25"/>
      <c r="M289" s="69"/>
      <c r="N289" s="77"/>
      <c r="O289" s="73"/>
      <c r="P289" s="74"/>
      <c r="Q289" s="74"/>
      <c r="R289" s="75"/>
      <c r="S289" s="61"/>
      <c r="T289" s="60"/>
      <c r="U289" s="74"/>
      <c r="V289" s="76"/>
      <c r="W289" s="24"/>
      <c r="X289" s="25"/>
      <c r="Y289" s="77"/>
      <c r="Z289" s="184"/>
      <c r="AA289" s="185"/>
      <c r="AB289" s="185"/>
      <c r="AC289" s="185"/>
      <c r="AD289" s="185"/>
      <c r="AE289" s="185"/>
      <c r="AF289" s="185"/>
      <c r="AG289" s="185"/>
      <c r="AH289" s="185"/>
      <c r="AI289" s="185"/>
      <c r="AJ289" s="250"/>
      <c r="AK289" s="250"/>
      <c r="AL289" s="250"/>
      <c r="AM289" s="250"/>
      <c r="AN289" s="250"/>
      <c r="AO289" s="250"/>
      <c r="AP289" s="250"/>
      <c r="AQ289" s="250"/>
      <c r="AR289" s="250"/>
      <c r="AS289" s="117"/>
      <c r="AT289" s="10">
        <v>849087</v>
      </c>
      <c r="AU289" s="10"/>
      <c r="AV289" s="167">
        <v>22000</v>
      </c>
      <c r="AW289" s="168">
        <v>160000</v>
      </c>
      <c r="AX289" s="29">
        <f t="shared" si="456"/>
        <v>160000</v>
      </c>
      <c r="AY289" s="24">
        <f t="shared" si="457"/>
        <v>-689087</v>
      </c>
      <c r="AZ289" s="25">
        <f t="shared" si="458"/>
        <v>-0.81156230162515741</v>
      </c>
      <c r="BA289" s="24">
        <f t="shared" si="437"/>
        <v>-827087</v>
      </c>
      <c r="BB289" s="169">
        <f t="shared" si="438"/>
        <v>-0.97408981647345916</v>
      </c>
      <c r="BC289" s="170">
        <f t="shared" si="459"/>
        <v>160000</v>
      </c>
      <c r="BD289" s="10">
        <v>771742</v>
      </c>
      <c r="BE289" s="10">
        <v>325000</v>
      </c>
      <c r="BF289" s="10">
        <v>332000</v>
      </c>
      <c r="BG289" s="268">
        <v>330000</v>
      </c>
      <c r="BH289" s="10">
        <v>350000</v>
      </c>
      <c r="BI289" s="76">
        <f t="shared" si="452"/>
        <v>334250</v>
      </c>
      <c r="BJ289" s="24">
        <f t="shared" si="453"/>
        <v>-437492</v>
      </c>
      <c r="BK289" s="25">
        <f t="shared" si="454"/>
        <v>-0.56688893438480736</v>
      </c>
      <c r="BL289" s="259">
        <f t="shared" si="455"/>
        <v>334250</v>
      </c>
      <c r="BM289" s="10">
        <v>861758</v>
      </c>
      <c r="BN289" s="45"/>
      <c r="BO289" s="45">
        <v>1001828</v>
      </c>
      <c r="BP289" s="45">
        <v>45000</v>
      </c>
      <c r="BQ289" s="29">
        <f t="shared" si="448"/>
        <v>523414</v>
      </c>
      <c r="BR289" s="24">
        <f t="shared" si="449"/>
        <v>-338344</v>
      </c>
      <c r="BS289" s="25">
        <f t="shared" si="450"/>
        <v>-0.39262066612668522</v>
      </c>
      <c r="BT289" s="308">
        <f t="shared" si="451"/>
        <v>523414</v>
      </c>
    </row>
    <row r="290" spans="1:72" s="1" customFormat="1" ht="47.1" customHeight="1">
      <c r="A290" s="91"/>
      <c r="B290" s="358" t="s">
        <v>2482</v>
      </c>
      <c r="C290" s="50" t="s">
        <v>931</v>
      </c>
      <c r="D290" s="177" t="s">
        <v>898</v>
      </c>
      <c r="E290" s="62" t="s">
        <v>14</v>
      </c>
      <c r="F290" s="10"/>
      <c r="G290" s="42"/>
      <c r="H290" s="42"/>
      <c r="I290" s="183"/>
      <c r="J290" s="29"/>
      <c r="K290" s="24"/>
      <c r="L290" s="25"/>
      <c r="M290" s="69"/>
      <c r="N290" s="77"/>
      <c r="O290" s="73"/>
      <c r="P290" s="74"/>
      <c r="Q290" s="74"/>
      <c r="R290" s="75"/>
      <c r="S290" s="61"/>
      <c r="T290" s="60"/>
      <c r="U290" s="74"/>
      <c r="V290" s="76"/>
      <c r="W290" s="24"/>
      <c r="X290" s="25"/>
      <c r="Y290" s="77"/>
      <c r="Z290" s="184"/>
      <c r="AA290" s="185"/>
      <c r="AB290" s="185"/>
      <c r="AC290" s="185"/>
      <c r="AD290" s="185"/>
      <c r="AE290" s="185"/>
      <c r="AF290" s="185"/>
      <c r="AG290" s="185"/>
      <c r="AH290" s="185"/>
      <c r="AI290" s="185"/>
      <c r="AJ290" s="250"/>
      <c r="AK290" s="250"/>
      <c r="AL290" s="250"/>
      <c r="AM290" s="250"/>
      <c r="AN290" s="250"/>
      <c r="AO290" s="250"/>
      <c r="AP290" s="250"/>
      <c r="AQ290" s="250"/>
      <c r="AR290" s="250"/>
      <c r="AS290" s="117"/>
      <c r="AT290" s="10">
        <v>13622</v>
      </c>
      <c r="AU290" s="10"/>
      <c r="AV290" s="167">
        <v>6000</v>
      </c>
      <c r="AW290" s="168">
        <v>78000</v>
      </c>
      <c r="AX290" s="29">
        <f t="shared" si="456"/>
        <v>78000</v>
      </c>
      <c r="AY290" s="24">
        <f t="shared" si="457"/>
        <v>64378</v>
      </c>
      <c r="AZ290" s="25">
        <f t="shared" si="458"/>
        <v>4.7260314197621494</v>
      </c>
      <c r="BA290" s="24">
        <f t="shared" si="437"/>
        <v>-7622</v>
      </c>
      <c r="BB290" s="169">
        <f t="shared" si="438"/>
        <v>-0.55953604463368078</v>
      </c>
      <c r="BC290" s="170">
        <f t="shared" si="459"/>
        <v>78000</v>
      </c>
      <c r="BD290" s="10">
        <v>12207</v>
      </c>
      <c r="BE290" s="10">
        <v>43000</v>
      </c>
      <c r="BF290" s="10">
        <v>48000</v>
      </c>
      <c r="BG290" s="268">
        <v>45000</v>
      </c>
      <c r="BH290" s="10">
        <v>150000</v>
      </c>
      <c r="BI290" s="76">
        <f t="shared" si="452"/>
        <v>71500</v>
      </c>
      <c r="BJ290" s="24">
        <f t="shared" si="453"/>
        <v>59293</v>
      </c>
      <c r="BK290" s="25">
        <f t="shared" si="454"/>
        <v>4.8572949946751862</v>
      </c>
      <c r="BL290" s="259">
        <f t="shared" si="455"/>
        <v>71500</v>
      </c>
      <c r="BM290" s="10">
        <v>13622</v>
      </c>
      <c r="BN290" s="45"/>
      <c r="BO290" s="45">
        <v>16068</v>
      </c>
      <c r="BP290" s="45">
        <v>45000</v>
      </c>
      <c r="BQ290" s="29">
        <f t="shared" si="448"/>
        <v>30534</v>
      </c>
      <c r="BR290" s="24">
        <f t="shared" si="449"/>
        <v>16912</v>
      </c>
      <c r="BS290" s="25">
        <f t="shared" si="450"/>
        <v>1.2415210688591984</v>
      </c>
      <c r="BT290" s="308">
        <f t="shared" si="451"/>
        <v>30534</v>
      </c>
    </row>
    <row r="291" spans="1:72" s="1" customFormat="1" ht="45" customHeight="1">
      <c r="A291" s="91"/>
      <c r="B291" s="358" t="s">
        <v>2483</v>
      </c>
      <c r="C291" s="50" t="s">
        <v>932</v>
      </c>
      <c r="D291" s="177" t="s">
        <v>899</v>
      </c>
      <c r="E291" s="62" t="s">
        <v>14</v>
      </c>
      <c r="F291" s="10"/>
      <c r="G291" s="42"/>
      <c r="H291" s="42"/>
      <c r="I291" s="183"/>
      <c r="J291" s="29"/>
      <c r="K291" s="24"/>
      <c r="L291" s="25"/>
      <c r="M291" s="69"/>
      <c r="N291" s="77"/>
      <c r="O291" s="73"/>
      <c r="P291" s="74"/>
      <c r="Q291" s="74"/>
      <c r="R291" s="75"/>
      <c r="S291" s="61"/>
      <c r="T291" s="60"/>
      <c r="U291" s="74"/>
      <c r="V291" s="76"/>
      <c r="W291" s="24"/>
      <c r="X291" s="25"/>
      <c r="Y291" s="77"/>
      <c r="Z291" s="184"/>
      <c r="AA291" s="185"/>
      <c r="AB291" s="185"/>
      <c r="AC291" s="185"/>
      <c r="AD291" s="185"/>
      <c r="AE291" s="185"/>
      <c r="AF291" s="185"/>
      <c r="AG291" s="185"/>
      <c r="AH291" s="185"/>
      <c r="AI291" s="185"/>
      <c r="AJ291" s="250"/>
      <c r="AK291" s="250"/>
      <c r="AL291" s="250"/>
      <c r="AM291" s="250"/>
      <c r="AN291" s="250"/>
      <c r="AO291" s="250"/>
      <c r="AP291" s="250"/>
      <c r="AQ291" s="250"/>
      <c r="AR291" s="250"/>
      <c r="AS291" s="117"/>
      <c r="AT291" s="10">
        <v>41559</v>
      </c>
      <c r="AU291" s="10"/>
      <c r="AV291" s="167">
        <v>6000</v>
      </c>
      <c r="AW291" s="168">
        <v>78000</v>
      </c>
      <c r="AX291" s="29">
        <f t="shared" si="456"/>
        <v>78000</v>
      </c>
      <c r="AY291" s="24">
        <f t="shared" si="457"/>
        <v>36441</v>
      </c>
      <c r="AZ291" s="25">
        <f t="shared" si="458"/>
        <v>0.87684977983108348</v>
      </c>
      <c r="BA291" s="24">
        <f t="shared" si="437"/>
        <v>-35559</v>
      </c>
      <c r="BB291" s="169">
        <f t="shared" si="438"/>
        <v>-0.85562694001299355</v>
      </c>
      <c r="BC291" s="170">
        <f t="shared" si="459"/>
        <v>78000</v>
      </c>
      <c r="BD291" s="10">
        <v>37353</v>
      </c>
      <c r="BE291" s="10">
        <v>57000</v>
      </c>
      <c r="BF291" s="10">
        <v>62000</v>
      </c>
      <c r="BG291" s="268">
        <v>60000</v>
      </c>
      <c r="BH291" s="10">
        <v>150000</v>
      </c>
      <c r="BI291" s="76">
        <f t="shared" si="452"/>
        <v>82250</v>
      </c>
      <c r="BJ291" s="24">
        <f t="shared" si="453"/>
        <v>44897</v>
      </c>
      <c r="BK291" s="25">
        <f t="shared" si="454"/>
        <v>1.2019650362755334</v>
      </c>
      <c r="BL291" s="259">
        <f t="shared" si="455"/>
        <v>82250</v>
      </c>
      <c r="BM291" s="10">
        <v>41557</v>
      </c>
      <c r="BN291" s="45"/>
      <c r="BO291" s="45">
        <v>49029</v>
      </c>
      <c r="BP291" s="45">
        <v>45000</v>
      </c>
      <c r="BQ291" s="29">
        <f t="shared" si="448"/>
        <v>47014.5</v>
      </c>
      <c r="BR291" s="24">
        <f t="shared" si="449"/>
        <v>5457.5</v>
      </c>
      <c r="BS291" s="25">
        <f t="shared" si="450"/>
        <v>0.13132564910845346</v>
      </c>
      <c r="BT291" s="308">
        <f t="shared" si="451"/>
        <v>47014.5</v>
      </c>
    </row>
    <row r="292" spans="1:72" s="1" customFormat="1" ht="34.35" customHeight="1">
      <c r="A292" s="91"/>
      <c r="B292" s="358" t="s">
        <v>2484</v>
      </c>
      <c r="C292" s="50" t="s">
        <v>933</v>
      </c>
      <c r="D292" s="177" t="s">
        <v>900</v>
      </c>
      <c r="E292" s="62" t="s">
        <v>14</v>
      </c>
      <c r="F292" s="10"/>
      <c r="G292" s="42"/>
      <c r="H292" s="42"/>
      <c r="I292" s="183"/>
      <c r="J292" s="29"/>
      <c r="K292" s="24"/>
      <c r="L292" s="25"/>
      <c r="M292" s="69"/>
      <c r="N292" s="77"/>
      <c r="O292" s="73"/>
      <c r="P292" s="74"/>
      <c r="Q292" s="74"/>
      <c r="R292" s="75"/>
      <c r="S292" s="61"/>
      <c r="T292" s="60"/>
      <c r="U292" s="74"/>
      <c r="V292" s="76"/>
      <c r="W292" s="24"/>
      <c r="X292" s="25"/>
      <c r="Y292" s="77"/>
      <c r="Z292" s="184"/>
      <c r="AA292" s="185"/>
      <c r="AB292" s="185"/>
      <c r="AC292" s="185"/>
      <c r="AD292" s="185"/>
      <c r="AE292" s="185"/>
      <c r="AF292" s="185"/>
      <c r="AG292" s="185"/>
      <c r="AH292" s="185"/>
      <c r="AI292" s="185"/>
      <c r="AJ292" s="250"/>
      <c r="AK292" s="250"/>
      <c r="AL292" s="250"/>
      <c r="AM292" s="250"/>
      <c r="AN292" s="250"/>
      <c r="AO292" s="250"/>
      <c r="AP292" s="250"/>
      <c r="AQ292" s="250"/>
      <c r="AR292" s="250"/>
      <c r="AS292" s="117"/>
      <c r="AT292" s="10">
        <v>31459</v>
      </c>
      <c r="AU292" s="10"/>
      <c r="AV292" s="167">
        <v>6000</v>
      </c>
      <c r="AW292" s="168">
        <v>101000</v>
      </c>
      <c r="AX292" s="29">
        <f t="shared" si="456"/>
        <v>101000</v>
      </c>
      <c r="AY292" s="24">
        <f t="shared" si="457"/>
        <v>69541</v>
      </c>
      <c r="AZ292" s="25">
        <f t="shared" si="458"/>
        <v>2.2105279888108331</v>
      </c>
      <c r="BA292" s="24">
        <f t="shared" si="437"/>
        <v>-25459</v>
      </c>
      <c r="BB292" s="169">
        <f t="shared" si="438"/>
        <v>-0.80927556502113862</v>
      </c>
      <c r="BC292" s="170">
        <f t="shared" si="459"/>
        <v>101000</v>
      </c>
      <c r="BD292" s="10">
        <v>28591</v>
      </c>
      <c r="BE292" s="10">
        <v>45000</v>
      </c>
      <c r="BF292" s="10">
        <v>50000</v>
      </c>
      <c r="BG292" s="268">
        <v>48000</v>
      </c>
      <c r="BH292" s="10">
        <v>320000</v>
      </c>
      <c r="BI292" s="76">
        <f t="shared" si="452"/>
        <v>115750</v>
      </c>
      <c r="BJ292" s="24">
        <f t="shared" si="453"/>
        <v>87159</v>
      </c>
      <c r="BK292" s="25">
        <f t="shared" si="454"/>
        <v>3.0484767933965236</v>
      </c>
      <c r="BL292" s="259">
        <f t="shared" si="455"/>
        <v>115750</v>
      </c>
      <c r="BM292" s="10">
        <v>31932</v>
      </c>
      <c r="BN292" s="45"/>
      <c r="BO292" s="45">
        <v>37119</v>
      </c>
      <c r="BP292" s="45">
        <v>60000</v>
      </c>
      <c r="BQ292" s="29">
        <f t="shared" si="448"/>
        <v>48559.5</v>
      </c>
      <c r="BR292" s="24">
        <f t="shared" si="449"/>
        <v>16627.5</v>
      </c>
      <c r="BS292" s="25">
        <f t="shared" si="450"/>
        <v>0.52071589627959414</v>
      </c>
      <c r="BT292" s="308">
        <f t="shared" si="451"/>
        <v>48559.5</v>
      </c>
    </row>
    <row r="293" spans="1:72" s="1" customFormat="1" ht="34.35" customHeight="1">
      <c r="A293" s="91"/>
      <c r="B293" s="358" t="s">
        <v>2485</v>
      </c>
      <c r="C293" s="50" t="s">
        <v>934</v>
      </c>
      <c r="D293" s="177" t="s">
        <v>901</v>
      </c>
      <c r="E293" s="62" t="s">
        <v>10</v>
      </c>
      <c r="F293" s="10"/>
      <c r="G293" s="42"/>
      <c r="H293" s="42"/>
      <c r="I293" s="183"/>
      <c r="J293" s="29"/>
      <c r="K293" s="24"/>
      <c r="L293" s="25"/>
      <c r="M293" s="69"/>
      <c r="N293" s="77"/>
      <c r="O293" s="73"/>
      <c r="P293" s="74"/>
      <c r="Q293" s="74"/>
      <c r="R293" s="75"/>
      <c r="S293" s="61"/>
      <c r="T293" s="60"/>
      <c r="U293" s="74"/>
      <c r="V293" s="76"/>
      <c r="W293" s="24"/>
      <c r="X293" s="25"/>
      <c r="Y293" s="77"/>
      <c r="Z293" s="184"/>
      <c r="AA293" s="185"/>
      <c r="AB293" s="185"/>
      <c r="AC293" s="185"/>
      <c r="AD293" s="185"/>
      <c r="AE293" s="185"/>
      <c r="AF293" s="185"/>
      <c r="AG293" s="185"/>
      <c r="AH293" s="185"/>
      <c r="AI293" s="185"/>
      <c r="AJ293" s="250"/>
      <c r="AK293" s="250"/>
      <c r="AL293" s="250"/>
      <c r="AM293" s="250"/>
      <c r="AN293" s="250"/>
      <c r="AO293" s="250"/>
      <c r="AP293" s="250"/>
      <c r="AQ293" s="250"/>
      <c r="AR293" s="250"/>
      <c r="AS293" s="117"/>
      <c r="AT293" s="10">
        <v>2156</v>
      </c>
      <c r="AU293" s="10">
        <v>4699.5200000000004</v>
      </c>
      <c r="AV293" s="167">
        <v>4699.5200000000004</v>
      </c>
      <c r="AW293" s="168">
        <v>4000</v>
      </c>
      <c r="AX293" s="29">
        <f t="shared" si="456"/>
        <v>4349.76</v>
      </c>
      <c r="AY293" s="24">
        <f t="shared" si="457"/>
        <v>2193.7600000000002</v>
      </c>
      <c r="AZ293" s="25">
        <f t="shared" si="458"/>
        <v>1.017513914656772</v>
      </c>
      <c r="BA293" s="24">
        <f t="shared" si="437"/>
        <v>2543.5200000000004</v>
      </c>
      <c r="BB293" s="169">
        <f t="shared" si="438"/>
        <v>1.17974025974026</v>
      </c>
      <c r="BC293" s="170">
        <f t="shared" si="459"/>
        <v>4349.76</v>
      </c>
      <c r="BD293" s="150"/>
      <c r="BE293" s="150"/>
      <c r="BF293" s="150"/>
      <c r="BG293" s="150"/>
      <c r="BH293" s="150"/>
      <c r="BI293" s="150"/>
      <c r="BJ293" s="150"/>
      <c r="BK293" s="150"/>
      <c r="BL293" s="150"/>
      <c r="BM293" s="293"/>
      <c r="BN293" s="293"/>
      <c r="BO293" s="293"/>
      <c r="BP293" s="293"/>
      <c r="BQ293" s="293"/>
      <c r="BR293" s="293"/>
      <c r="BS293" s="293"/>
      <c r="BT293" s="293"/>
    </row>
    <row r="294" spans="1:72" s="1" customFormat="1" ht="34.35" customHeight="1">
      <c r="A294" s="91"/>
      <c r="B294" s="358" t="s">
        <v>2486</v>
      </c>
      <c r="C294" s="50" t="s">
        <v>935</v>
      </c>
      <c r="D294" s="177" t="s">
        <v>902</v>
      </c>
      <c r="E294" s="62" t="s">
        <v>10</v>
      </c>
      <c r="F294" s="10"/>
      <c r="G294" s="42"/>
      <c r="H294" s="42"/>
      <c r="I294" s="183"/>
      <c r="J294" s="29"/>
      <c r="K294" s="24"/>
      <c r="L294" s="25"/>
      <c r="M294" s="69"/>
      <c r="N294" s="77"/>
      <c r="O294" s="73"/>
      <c r="P294" s="74"/>
      <c r="Q294" s="74"/>
      <c r="R294" s="75"/>
      <c r="S294" s="61"/>
      <c r="T294" s="60"/>
      <c r="U294" s="74"/>
      <c r="V294" s="76"/>
      <c r="W294" s="24"/>
      <c r="X294" s="25"/>
      <c r="Y294" s="77"/>
      <c r="Z294" s="184"/>
      <c r="AA294" s="185"/>
      <c r="AB294" s="185"/>
      <c r="AC294" s="185"/>
      <c r="AD294" s="185"/>
      <c r="AE294" s="185"/>
      <c r="AF294" s="185"/>
      <c r="AG294" s="185"/>
      <c r="AH294" s="185"/>
      <c r="AI294" s="185"/>
      <c r="AJ294" s="250"/>
      <c r="AK294" s="250"/>
      <c r="AL294" s="250"/>
      <c r="AM294" s="250"/>
      <c r="AN294" s="250"/>
      <c r="AO294" s="250"/>
      <c r="AP294" s="250"/>
      <c r="AQ294" s="250"/>
      <c r="AR294" s="250"/>
      <c r="AS294" s="117"/>
      <c r="AT294" s="10">
        <v>1814</v>
      </c>
      <c r="AU294" s="10">
        <v>3328.84</v>
      </c>
      <c r="AV294" s="167">
        <v>6657.68</v>
      </c>
      <c r="AW294" s="168">
        <v>3000</v>
      </c>
      <c r="AX294" s="29">
        <f t="shared" si="456"/>
        <v>3164.42</v>
      </c>
      <c r="AY294" s="24">
        <f t="shared" si="457"/>
        <v>1350.42</v>
      </c>
      <c r="AZ294" s="25">
        <f t="shared" si="458"/>
        <v>0.74444321940463065</v>
      </c>
      <c r="BA294" s="24">
        <f t="shared" si="437"/>
        <v>4843.68</v>
      </c>
      <c r="BB294" s="169">
        <f t="shared" si="438"/>
        <v>2.6701653803748622</v>
      </c>
      <c r="BC294" s="170">
        <f t="shared" si="459"/>
        <v>3164.42</v>
      </c>
      <c r="BD294" s="150"/>
      <c r="BE294" s="150"/>
      <c r="BF294" s="150"/>
      <c r="BG294" s="150"/>
      <c r="BH294" s="150"/>
      <c r="BI294" s="150"/>
      <c r="BJ294" s="150"/>
      <c r="BK294" s="150"/>
      <c r="BL294" s="150"/>
      <c r="BM294" s="293"/>
      <c r="BN294" s="293"/>
      <c r="BO294" s="293"/>
      <c r="BP294" s="293"/>
      <c r="BQ294" s="293"/>
      <c r="BR294" s="293"/>
      <c r="BS294" s="293"/>
      <c r="BT294" s="293"/>
    </row>
    <row r="295" spans="1:72" s="1" customFormat="1" ht="34.35" customHeight="1">
      <c r="A295" s="91"/>
      <c r="B295" s="358" t="s">
        <v>2487</v>
      </c>
      <c r="C295" s="50" t="s">
        <v>936</v>
      </c>
      <c r="D295" s="177" t="s">
        <v>903</v>
      </c>
      <c r="E295" s="62" t="s">
        <v>10</v>
      </c>
      <c r="F295" s="10"/>
      <c r="G295" s="42"/>
      <c r="H295" s="42"/>
      <c r="I295" s="183"/>
      <c r="J295" s="29"/>
      <c r="K295" s="24"/>
      <c r="L295" s="25"/>
      <c r="M295" s="69"/>
      <c r="N295" s="77"/>
      <c r="O295" s="73"/>
      <c r="P295" s="74"/>
      <c r="Q295" s="74"/>
      <c r="R295" s="75"/>
      <c r="S295" s="61"/>
      <c r="T295" s="60"/>
      <c r="U295" s="74"/>
      <c r="V295" s="76"/>
      <c r="W295" s="24"/>
      <c r="X295" s="25"/>
      <c r="Y295" s="77"/>
      <c r="Z295" s="184"/>
      <c r="AA295" s="185"/>
      <c r="AB295" s="185"/>
      <c r="AC295" s="185"/>
      <c r="AD295" s="185"/>
      <c r="AE295" s="185"/>
      <c r="AF295" s="185"/>
      <c r="AG295" s="185"/>
      <c r="AH295" s="185"/>
      <c r="AI295" s="185"/>
      <c r="AJ295" s="250"/>
      <c r="AK295" s="250"/>
      <c r="AL295" s="250"/>
      <c r="AM295" s="250"/>
      <c r="AN295" s="250"/>
      <c r="AO295" s="250"/>
      <c r="AP295" s="250"/>
      <c r="AQ295" s="250"/>
      <c r="AR295" s="250"/>
      <c r="AS295" s="117"/>
      <c r="AT295" s="10">
        <v>3522</v>
      </c>
      <c r="AU295" s="10">
        <v>91000</v>
      </c>
      <c r="AV295" s="167">
        <v>12000</v>
      </c>
      <c r="AW295" s="168">
        <v>23400</v>
      </c>
      <c r="AX295" s="29">
        <f t="shared" si="456"/>
        <v>57200</v>
      </c>
      <c r="AY295" s="24">
        <f t="shared" si="457"/>
        <v>53678</v>
      </c>
      <c r="AZ295" s="25">
        <f t="shared" si="458"/>
        <v>15.240772288472458</v>
      </c>
      <c r="BA295" s="24">
        <f t="shared" si="437"/>
        <v>8478</v>
      </c>
      <c r="BB295" s="169">
        <f t="shared" si="438"/>
        <v>2.4071550255536627</v>
      </c>
      <c r="BC295" s="170">
        <f t="shared" si="459"/>
        <v>57200</v>
      </c>
      <c r="BD295" s="150"/>
      <c r="BE295" s="150"/>
      <c r="BF295" s="150"/>
      <c r="BG295" s="150"/>
      <c r="BH295" s="150"/>
      <c r="BI295" s="150"/>
      <c r="BJ295" s="150"/>
      <c r="BK295" s="150"/>
      <c r="BL295" s="150"/>
      <c r="BM295" s="293"/>
      <c r="BN295" s="293"/>
      <c r="BO295" s="293"/>
      <c r="BP295" s="293"/>
      <c r="BQ295" s="293"/>
      <c r="BR295" s="293"/>
      <c r="BS295" s="293"/>
      <c r="BT295" s="293"/>
    </row>
    <row r="296" spans="1:72" s="1" customFormat="1" ht="34.35" customHeight="1">
      <c r="A296" s="91"/>
      <c r="B296" s="358" t="s">
        <v>2488</v>
      </c>
      <c r="C296" s="50" t="s">
        <v>937</v>
      </c>
      <c r="D296" s="177" t="s">
        <v>904</v>
      </c>
      <c r="E296" s="62" t="s">
        <v>905</v>
      </c>
      <c r="F296" s="10"/>
      <c r="G296" s="42"/>
      <c r="H296" s="42"/>
      <c r="I296" s="183"/>
      <c r="J296" s="29"/>
      <c r="K296" s="24"/>
      <c r="L296" s="25"/>
      <c r="M296" s="69"/>
      <c r="N296" s="77"/>
      <c r="O296" s="73"/>
      <c r="P296" s="74"/>
      <c r="Q296" s="74"/>
      <c r="R296" s="75"/>
      <c r="S296" s="61"/>
      <c r="T296" s="60"/>
      <c r="U296" s="74"/>
      <c r="V296" s="76"/>
      <c r="W296" s="24"/>
      <c r="X296" s="25"/>
      <c r="Y296" s="77"/>
      <c r="Z296" s="184"/>
      <c r="AA296" s="185"/>
      <c r="AB296" s="185"/>
      <c r="AC296" s="185"/>
      <c r="AD296" s="185"/>
      <c r="AE296" s="185"/>
      <c r="AF296" s="185"/>
      <c r="AG296" s="185"/>
      <c r="AH296" s="185"/>
      <c r="AI296" s="185"/>
      <c r="AJ296" s="250"/>
      <c r="AK296" s="250"/>
      <c r="AL296" s="250"/>
      <c r="AM296" s="250"/>
      <c r="AN296" s="250"/>
      <c r="AO296" s="250"/>
      <c r="AP296" s="250"/>
      <c r="AQ296" s="250"/>
      <c r="AR296" s="250"/>
      <c r="AS296" s="117"/>
      <c r="AT296" s="10">
        <v>440743</v>
      </c>
      <c r="AU296" s="10"/>
      <c r="AV296" s="167">
        <v>12000</v>
      </c>
      <c r="AW296" s="168">
        <v>300000</v>
      </c>
      <c r="AX296" s="29">
        <f t="shared" si="456"/>
        <v>300000</v>
      </c>
      <c r="AY296" s="24">
        <f t="shared" si="457"/>
        <v>-140743</v>
      </c>
      <c r="AZ296" s="25">
        <f t="shared" si="458"/>
        <v>-0.3193312202349215</v>
      </c>
      <c r="BA296" s="24">
        <f t="shared" si="437"/>
        <v>-428743</v>
      </c>
      <c r="BB296" s="169">
        <f t="shared" si="438"/>
        <v>-0.97277324880939686</v>
      </c>
      <c r="BC296" s="170" t="s">
        <v>807</v>
      </c>
      <c r="BD296" s="150"/>
      <c r="BE296" s="150"/>
      <c r="BF296" s="150"/>
      <c r="BG296" s="150"/>
      <c r="BH296" s="150"/>
      <c r="BI296" s="150"/>
      <c r="BJ296" s="150"/>
      <c r="BK296" s="150"/>
      <c r="BL296" s="150"/>
      <c r="BM296" s="293"/>
      <c r="BN296" s="293"/>
      <c r="BO296" s="293"/>
      <c r="BP296" s="293"/>
      <c r="BQ296" s="293"/>
      <c r="BR296" s="293"/>
      <c r="BS296" s="293"/>
      <c r="BT296" s="293"/>
    </row>
    <row r="297" spans="1:72" s="1" customFormat="1" ht="34.35" customHeight="1">
      <c r="A297" s="91"/>
      <c r="B297" s="358" t="s">
        <v>2489</v>
      </c>
      <c r="C297" s="50" t="s">
        <v>938</v>
      </c>
      <c r="D297" s="177" t="s">
        <v>906</v>
      </c>
      <c r="E297" s="62" t="s">
        <v>10</v>
      </c>
      <c r="F297" s="10"/>
      <c r="G297" s="42"/>
      <c r="H297" s="42"/>
      <c r="I297" s="183"/>
      <c r="J297" s="29"/>
      <c r="K297" s="24"/>
      <c r="L297" s="25"/>
      <c r="M297" s="69"/>
      <c r="N297" s="77"/>
      <c r="O297" s="73"/>
      <c r="P297" s="74"/>
      <c r="Q297" s="74"/>
      <c r="R297" s="75"/>
      <c r="S297" s="61"/>
      <c r="T297" s="60"/>
      <c r="U297" s="74"/>
      <c r="V297" s="76"/>
      <c r="W297" s="24"/>
      <c r="X297" s="25"/>
      <c r="Y297" s="77"/>
      <c r="Z297" s="184"/>
      <c r="AA297" s="185"/>
      <c r="AB297" s="185"/>
      <c r="AC297" s="185"/>
      <c r="AD297" s="185"/>
      <c r="AE297" s="185"/>
      <c r="AF297" s="185"/>
      <c r="AG297" s="185"/>
      <c r="AH297" s="185"/>
      <c r="AI297" s="185"/>
      <c r="AJ297" s="250"/>
      <c r="AK297" s="250"/>
      <c r="AL297" s="250"/>
      <c r="AM297" s="250"/>
      <c r="AN297" s="250"/>
      <c r="AO297" s="250"/>
      <c r="AP297" s="250"/>
      <c r="AQ297" s="250"/>
      <c r="AR297" s="250"/>
      <c r="AS297" s="117"/>
      <c r="AT297" s="10">
        <v>3542</v>
      </c>
      <c r="AU297" s="10">
        <v>7157</v>
      </c>
      <c r="AV297" s="167">
        <v>21471</v>
      </c>
      <c r="AW297" s="168">
        <v>6700</v>
      </c>
      <c r="AX297" s="29">
        <f t="shared" si="456"/>
        <v>6928.5</v>
      </c>
      <c r="AY297" s="24">
        <f t="shared" si="457"/>
        <v>3386.5</v>
      </c>
      <c r="AZ297" s="25">
        <f t="shared" si="458"/>
        <v>0.95609824957651046</v>
      </c>
      <c r="BA297" s="24">
        <f t="shared" si="437"/>
        <v>17929</v>
      </c>
      <c r="BB297" s="169">
        <f t="shared" si="438"/>
        <v>5.0618294748729529</v>
      </c>
      <c r="BC297" s="170">
        <f t="shared" si="459"/>
        <v>6928.5</v>
      </c>
      <c r="BD297" s="150"/>
      <c r="BE297" s="150"/>
      <c r="BF297" s="150"/>
      <c r="BG297" s="150"/>
      <c r="BH297" s="150"/>
      <c r="BI297" s="150"/>
      <c r="BJ297" s="150"/>
      <c r="BK297" s="150"/>
      <c r="BL297" s="150"/>
      <c r="BM297" s="293"/>
      <c r="BN297" s="293"/>
      <c r="BO297" s="293"/>
      <c r="BP297" s="293"/>
      <c r="BQ297" s="293"/>
      <c r="BR297" s="293"/>
      <c r="BS297" s="293"/>
      <c r="BT297" s="293"/>
    </row>
    <row r="298" spans="1:72" s="1" customFormat="1" ht="34.35" customHeight="1">
      <c r="A298" s="91"/>
      <c r="B298" s="358" t="s">
        <v>2490</v>
      </c>
      <c r="C298" s="50" t="s">
        <v>939</v>
      </c>
      <c r="D298" s="177" t="s">
        <v>907</v>
      </c>
      <c r="E298" s="62" t="s">
        <v>14</v>
      </c>
      <c r="F298" s="10"/>
      <c r="G298" s="42"/>
      <c r="H298" s="42"/>
      <c r="I298" s="183"/>
      <c r="J298" s="29"/>
      <c r="K298" s="24"/>
      <c r="L298" s="25"/>
      <c r="M298" s="69"/>
      <c r="N298" s="77"/>
      <c r="O298" s="73"/>
      <c r="P298" s="74"/>
      <c r="Q298" s="74"/>
      <c r="R298" s="75"/>
      <c r="S298" s="61"/>
      <c r="T298" s="60"/>
      <c r="U298" s="74"/>
      <c r="V298" s="76"/>
      <c r="W298" s="24"/>
      <c r="X298" s="25"/>
      <c r="Y298" s="77"/>
      <c r="Z298" s="184"/>
      <c r="AA298" s="185"/>
      <c r="AB298" s="185"/>
      <c r="AC298" s="185"/>
      <c r="AD298" s="185"/>
      <c r="AE298" s="185"/>
      <c r="AF298" s="185"/>
      <c r="AG298" s="185"/>
      <c r="AH298" s="185"/>
      <c r="AI298" s="185"/>
      <c r="AJ298" s="250"/>
      <c r="AK298" s="250"/>
      <c r="AL298" s="250"/>
      <c r="AM298" s="250"/>
      <c r="AN298" s="250"/>
      <c r="AO298" s="250"/>
      <c r="AP298" s="250"/>
      <c r="AQ298" s="250"/>
      <c r="AR298" s="250"/>
      <c r="AS298" s="117"/>
      <c r="AT298" s="10">
        <v>93881</v>
      </c>
      <c r="AU298" s="10">
        <v>783000</v>
      </c>
      <c r="AV298" s="167">
        <v>23000</v>
      </c>
      <c r="AW298" s="168">
        <v>680000</v>
      </c>
      <c r="AX298" s="29">
        <f t="shared" si="456"/>
        <v>731500</v>
      </c>
      <c r="AY298" s="24">
        <f t="shared" si="457"/>
        <v>637619</v>
      </c>
      <c r="AZ298" s="25">
        <f t="shared" si="458"/>
        <v>6.7917789542079863</v>
      </c>
      <c r="BA298" s="24">
        <f t="shared" si="437"/>
        <v>-70881</v>
      </c>
      <c r="BB298" s="169">
        <f t="shared" si="438"/>
        <v>-0.75500900075627653</v>
      </c>
      <c r="BC298" s="170">
        <f t="shared" si="459"/>
        <v>731500</v>
      </c>
      <c r="BD298" s="150"/>
      <c r="BE298" s="150"/>
      <c r="BF298" s="150"/>
      <c r="BG298" s="150"/>
      <c r="BH298" s="150"/>
      <c r="BI298" s="150"/>
      <c r="BJ298" s="150"/>
      <c r="BK298" s="150"/>
      <c r="BL298" s="150"/>
      <c r="BM298" s="293"/>
      <c r="BN298" s="293"/>
      <c r="BO298" s="293"/>
      <c r="BP298" s="293"/>
      <c r="BQ298" s="293"/>
      <c r="BR298" s="293"/>
      <c r="BS298" s="293"/>
      <c r="BT298" s="293"/>
    </row>
    <row r="299" spans="1:72" s="1" customFormat="1" ht="48" customHeight="1">
      <c r="A299" s="91"/>
      <c r="B299" s="358" t="s">
        <v>2491</v>
      </c>
      <c r="C299" s="50" t="s">
        <v>940</v>
      </c>
      <c r="D299" s="177" t="s">
        <v>908</v>
      </c>
      <c r="E299" s="62" t="s">
        <v>14</v>
      </c>
      <c r="F299" s="10"/>
      <c r="G299" s="42"/>
      <c r="H299" s="42"/>
      <c r="I299" s="183"/>
      <c r="J299" s="29"/>
      <c r="K299" s="24"/>
      <c r="L299" s="25"/>
      <c r="M299" s="69"/>
      <c r="N299" s="77"/>
      <c r="O299" s="73"/>
      <c r="P299" s="74"/>
      <c r="Q299" s="74"/>
      <c r="R299" s="75"/>
      <c r="S299" s="61"/>
      <c r="T299" s="60"/>
      <c r="U299" s="74"/>
      <c r="V299" s="76"/>
      <c r="W299" s="24"/>
      <c r="X299" s="25"/>
      <c r="Y299" s="77"/>
      <c r="Z299" s="184"/>
      <c r="AA299" s="185"/>
      <c r="AB299" s="185"/>
      <c r="AC299" s="185"/>
      <c r="AD299" s="185"/>
      <c r="AE299" s="185"/>
      <c r="AF299" s="185"/>
      <c r="AG299" s="185"/>
      <c r="AH299" s="185"/>
      <c r="AI299" s="185"/>
      <c r="AJ299" s="250"/>
      <c r="AK299" s="250"/>
      <c r="AL299" s="250"/>
      <c r="AM299" s="250"/>
      <c r="AN299" s="250"/>
      <c r="AO299" s="250"/>
      <c r="AP299" s="250"/>
      <c r="AQ299" s="250"/>
      <c r="AR299" s="250"/>
      <c r="AS299" s="117"/>
      <c r="AT299" s="10">
        <v>47766</v>
      </c>
      <c r="AU299" s="10"/>
      <c r="AV299" s="167">
        <v>25000</v>
      </c>
      <c r="AW299" s="168">
        <v>125000</v>
      </c>
      <c r="AX299" s="29">
        <f t="shared" si="456"/>
        <v>125000</v>
      </c>
      <c r="AY299" s="24">
        <f t="shared" si="457"/>
        <v>77234</v>
      </c>
      <c r="AZ299" s="25">
        <f t="shared" si="458"/>
        <v>1.6169241720051919</v>
      </c>
      <c r="BA299" s="24">
        <f t="shared" si="437"/>
        <v>-22766</v>
      </c>
      <c r="BB299" s="169">
        <f t="shared" si="438"/>
        <v>-0.47661516559896161</v>
      </c>
      <c r="BC299" s="170">
        <f t="shared" si="459"/>
        <v>125000</v>
      </c>
      <c r="BD299" s="150"/>
      <c r="BE299" s="150"/>
      <c r="BF299" s="150"/>
      <c r="BG299" s="150"/>
      <c r="BH299" s="150"/>
      <c r="BI299" s="150"/>
      <c r="BJ299" s="150"/>
      <c r="BK299" s="150"/>
      <c r="BL299" s="150"/>
      <c r="BM299" s="293"/>
      <c r="BN299" s="293"/>
      <c r="BO299" s="293"/>
      <c r="BP299" s="293"/>
      <c r="BQ299" s="293"/>
      <c r="BR299" s="293"/>
      <c r="BS299" s="293"/>
      <c r="BT299" s="293"/>
    </row>
    <row r="300" spans="1:72" s="1" customFormat="1" ht="48" customHeight="1">
      <c r="A300" s="91"/>
      <c r="B300" s="358" t="s">
        <v>2492</v>
      </c>
      <c r="C300" s="50" t="s">
        <v>941</v>
      </c>
      <c r="D300" s="177" t="s">
        <v>909</v>
      </c>
      <c r="E300" s="62" t="s">
        <v>14</v>
      </c>
      <c r="F300" s="10"/>
      <c r="G300" s="42"/>
      <c r="H300" s="42"/>
      <c r="I300" s="183"/>
      <c r="J300" s="29"/>
      <c r="K300" s="24"/>
      <c r="L300" s="25"/>
      <c r="M300" s="69"/>
      <c r="N300" s="77"/>
      <c r="O300" s="73"/>
      <c r="P300" s="74"/>
      <c r="Q300" s="74"/>
      <c r="R300" s="75"/>
      <c r="S300" s="61"/>
      <c r="T300" s="60"/>
      <c r="U300" s="74"/>
      <c r="V300" s="76"/>
      <c r="W300" s="24"/>
      <c r="X300" s="25"/>
      <c r="Y300" s="77"/>
      <c r="Z300" s="184"/>
      <c r="AA300" s="185"/>
      <c r="AB300" s="185"/>
      <c r="AC300" s="185"/>
      <c r="AD300" s="185"/>
      <c r="AE300" s="185"/>
      <c r="AF300" s="185"/>
      <c r="AG300" s="185"/>
      <c r="AH300" s="185"/>
      <c r="AI300" s="185"/>
      <c r="AJ300" s="250"/>
      <c r="AK300" s="250"/>
      <c r="AL300" s="250"/>
      <c r="AM300" s="250"/>
      <c r="AN300" s="250"/>
      <c r="AO300" s="250"/>
      <c r="AP300" s="250"/>
      <c r="AQ300" s="250"/>
      <c r="AR300" s="250"/>
      <c r="AS300" s="117"/>
      <c r="AT300" s="10">
        <v>281043</v>
      </c>
      <c r="AU300" s="10"/>
      <c r="AV300" s="167">
        <v>32000</v>
      </c>
      <c r="AW300" s="168">
        <v>350000</v>
      </c>
      <c r="AX300" s="29">
        <f t="shared" si="456"/>
        <v>350000</v>
      </c>
      <c r="AY300" s="24">
        <f t="shared" si="457"/>
        <v>68957</v>
      </c>
      <c r="AZ300" s="25">
        <f t="shared" si="458"/>
        <v>0.24536103016264416</v>
      </c>
      <c r="BA300" s="24">
        <f t="shared" si="437"/>
        <v>-249043</v>
      </c>
      <c r="BB300" s="169">
        <f t="shared" si="438"/>
        <v>-0.88613842009941535</v>
      </c>
      <c r="BC300" s="170">
        <f t="shared" si="459"/>
        <v>350000</v>
      </c>
      <c r="BD300" s="150"/>
      <c r="BE300" s="150"/>
      <c r="BF300" s="150"/>
      <c r="BG300" s="150"/>
      <c r="BH300" s="150"/>
      <c r="BI300" s="150"/>
      <c r="BJ300" s="150"/>
      <c r="BK300" s="150"/>
      <c r="BL300" s="150"/>
      <c r="BM300" s="293"/>
      <c r="BN300" s="293"/>
      <c r="BO300" s="293"/>
      <c r="BP300" s="293"/>
      <c r="BQ300" s="293"/>
      <c r="BR300" s="293"/>
      <c r="BS300" s="293"/>
      <c r="BT300" s="293"/>
    </row>
    <row r="301" spans="1:72" s="1" customFormat="1" ht="47.1" customHeight="1">
      <c r="A301" s="91"/>
      <c r="B301" s="358" t="s">
        <v>2493</v>
      </c>
      <c r="C301" s="50" t="s">
        <v>942</v>
      </c>
      <c r="D301" s="177" t="s">
        <v>910</v>
      </c>
      <c r="E301" s="62" t="s">
        <v>14</v>
      </c>
      <c r="F301" s="10"/>
      <c r="G301" s="42"/>
      <c r="H301" s="42"/>
      <c r="I301" s="183"/>
      <c r="J301" s="29"/>
      <c r="K301" s="24"/>
      <c r="L301" s="25"/>
      <c r="M301" s="69"/>
      <c r="N301" s="77"/>
      <c r="O301" s="73"/>
      <c r="P301" s="74"/>
      <c r="Q301" s="74"/>
      <c r="R301" s="75"/>
      <c r="S301" s="61"/>
      <c r="T301" s="60"/>
      <c r="U301" s="74"/>
      <c r="V301" s="76"/>
      <c r="W301" s="24"/>
      <c r="X301" s="25"/>
      <c r="Y301" s="77"/>
      <c r="Z301" s="184"/>
      <c r="AA301" s="185"/>
      <c r="AB301" s="185"/>
      <c r="AC301" s="185"/>
      <c r="AD301" s="185"/>
      <c r="AE301" s="185"/>
      <c r="AF301" s="185"/>
      <c r="AG301" s="185"/>
      <c r="AH301" s="185"/>
      <c r="AI301" s="185"/>
      <c r="AJ301" s="250"/>
      <c r="AK301" s="250"/>
      <c r="AL301" s="250"/>
      <c r="AM301" s="250"/>
      <c r="AN301" s="250"/>
      <c r="AO301" s="250"/>
      <c r="AP301" s="250"/>
      <c r="AQ301" s="250"/>
      <c r="AR301" s="250"/>
      <c r="AS301" s="117"/>
      <c r="AT301" s="10">
        <v>1347353</v>
      </c>
      <c r="AU301" s="10"/>
      <c r="AV301" s="167">
        <v>28000</v>
      </c>
      <c r="AW301" s="168"/>
      <c r="AX301" s="29"/>
      <c r="AY301" s="24"/>
      <c r="AZ301" s="25"/>
      <c r="BA301" s="24">
        <f t="shared" si="437"/>
        <v>-1319353</v>
      </c>
      <c r="BB301" s="169">
        <f t="shared" si="438"/>
        <v>-0.97921851214937738</v>
      </c>
      <c r="BC301" s="170" t="s">
        <v>894</v>
      </c>
      <c r="BD301" s="150"/>
      <c r="BE301" s="150"/>
      <c r="BF301" s="150"/>
      <c r="BG301" s="150"/>
      <c r="BH301" s="150"/>
      <c r="BI301" s="150"/>
      <c r="BJ301" s="150"/>
      <c r="BK301" s="150"/>
      <c r="BL301" s="150"/>
      <c r="BM301" s="293"/>
      <c r="BN301" s="293"/>
      <c r="BO301" s="293"/>
      <c r="BP301" s="293"/>
      <c r="BQ301" s="293"/>
      <c r="BR301" s="293"/>
      <c r="BS301" s="293"/>
      <c r="BT301" s="293"/>
    </row>
    <row r="302" spans="1:72" s="1" customFormat="1" ht="34.35" customHeight="1">
      <c r="A302" s="91"/>
      <c r="B302" s="358" t="s">
        <v>2494</v>
      </c>
      <c r="C302" s="50" t="s">
        <v>943</v>
      </c>
      <c r="D302" s="177" t="s">
        <v>911</v>
      </c>
      <c r="E302" s="62" t="s">
        <v>14</v>
      </c>
      <c r="F302" s="10"/>
      <c r="G302" s="42"/>
      <c r="H302" s="42"/>
      <c r="I302" s="183"/>
      <c r="J302" s="29"/>
      <c r="K302" s="24"/>
      <c r="L302" s="25"/>
      <c r="M302" s="69"/>
      <c r="N302" s="77"/>
      <c r="O302" s="73"/>
      <c r="P302" s="74"/>
      <c r="Q302" s="74"/>
      <c r="R302" s="75"/>
      <c r="S302" s="61"/>
      <c r="T302" s="60"/>
      <c r="U302" s="74"/>
      <c r="V302" s="76"/>
      <c r="W302" s="24"/>
      <c r="X302" s="25"/>
      <c r="Y302" s="77"/>
      <c r="Z302" s="184"/>
      <c r="AA302" s="185"/>
      <c r="AB302" s="185"/>
      <c r="AC302" s="185"/>
      <c r="AD302" s="185"/>
      <c r="AE302" s="185"/>
      <c r="AF302" s="185"/>
      <c r="AG302" s="185"/>
      <c r="AH302" s="185"/>
      <c r="AI302" s="185"/>
      <c r="AJ302" s="250"/>
      <c r="AK302" s="250"/>
      <c r="AL302" s="250"/>
      <c r="AM302" s="250"/>
      <c r="AN302" s="250"/>
      <c r="AO302" s="250"/>
      <c r="AP302" s="250"/>
      <c r="AQ302" s="250"/>
      <c r="AR302" s="250"/>
      <c r="AS302" s="117"/>
      <c r="AT302" s="10">
        <v>19992</v>
      </c>
      <c r="AU302" s="10">
        <v>98200</v>
      </c>
      <c r="AV302" s="167">
        <v>196400</v>
      </c>
      <c r="AW302" s="168">
        <v>78900</v>
      </c>
      <c r="AX302" s="29">
        <f t="shared" si="456"/>
        <v>88550</v>
      </c>
      <c r="AY302" s="24">
        <f t="shared" si="457"/>
        <v>68558</v>
      </c>
      <c r="AZ302" s="25">
        <f t="shared" si="458"/>
        <v>3.4292717086834732</v>
      </c>
      <c r="BA302" s="24">
        <f t="shared" si="437"/>
        <v>176408</v>
      </c>
      <c r="BB302" s="169">
        <f t="shared" si="438"/>
        <v>8.8239295718287316</v>
      </c>
      <c r="BC302" s="170">
        <f t="shared" si="459"/>
        <v>88550</v>
      </c>
      <c r="BD302" s="150"/>
      <c r="BE302" s="150"/>
      <c r="BF302" s="150"/>
      <c r="BG302" s="150"/>
      <c r="BH302" s="150"/>
      <c r="BI302" s="150"/>
      <c r="BJ302" s="150"/>
      <c r="BK302" s="150"/>
      <c r="BL302" s="150"/>
      <c r="BM302" s="293"/>
      <c r="BN302" s="293"/>
      <c r="BO302" s="293"/>
      <c r="BP302" s="293"/>
      <c r="BQ302" s="293"/>
      <c r="BR302" s="293"/>
      <c r="BS302" s="293"/>
      <c r="BT302" s="293"/>
    </row>
    <row r="303" spans="1:72" s="1" customFormat="1" ht="34.35" customHeight="1">
      <c r="A303" s="91"/>
      <c r="B303" s="358" t="s">
        <v>2495</v>
      </c>
      <c r="C303" s="50" t="s">
        <v>944</v>
      </c>
      <c r="D303" s="177" t="s">
        <v>912</v>
      </c>
      <c r="E303" s="62" t="s">
        <v>14</v>
      </c>
      <c r="F303" s="10"/>
      <c r="G303" s="42"/>
      <c r="H303" s="42"/>
      <c r="I303" s="183"/>
      <c r="J303" s="29"/>
      <c r="K303" s="24"/>
      <c r="L303" s="25"/>
      <c r="M303" s="69"/>
      <c r="N303" s="77"/>
      <c r="O303" s="73"/>
      <c r="P303" s="74"/>
      <c r="Q303" s="74"/>
      <c r="R303" s="75"/>
      <c r="S303" s="61"/>
      <c r="T303" s="60"/>
      <c r="U303" s="74"/>
      <c r="V303" s="76"/>
      <c r="W303" s="24"/>
      <c r="X303" s="25"/>
      <c r="Y303" s="77"/>
      <c r="Z303" s="184"/>
      <c r="AA303" s="185"/>
      <c r="AB303" s="185"/>
      <c r="AC303" s="185"/>
      <c r="AD303" s="185"/>
      <c r="AE303" s="185"/>
      <c r="AF303" s="185"/>
      <c r="AG303" s="185"/>
      <c r="AH303" s="185"/>
      <c r="AI303" s="185"/>
      <c r="AJ303" s="250"/>
      <c r="AK303" s="250"/>
      <c r="AL303" s="250"/>
      <c r="AM303" s="250"/>
      <c r="AN303" s="250"/>
      <c r="AO303" s="250"/>
      <c r="AP303" s="250"/>
      <c r="AQ303" s="250"/>
      <c r="AR303" s="250"/>
      <c r="AS303" s="117"/>
      <c r="AT303" s="10">
        <v>15104</v>
      </c>
      <c r="AU303" s="10">
        <v>69514.67</v>
      </c>
      <c r="AV303" s="167">
        <v>139029.34</v>
      </c>
      <c r="AW303" s="168">
        <v>90000</v>
      </c>
      <c r="AX303" s="29">
        <f t="shared" si="456"/>
        <v>79757.334999999992</v>
      </c>
      <c r="AY303" s="24">
        <f t="shared" si="457"/>
        <v>64653.334999999992</v>
      </c>
      <c r="AZ303" s="25">
        <f t="shared" si="458"/>
        <v>4.2805438956567787</v>
      </c>
      <c r="BA303" s="24">
        <f t="shared" si="437"/>
        <v>123925.34</v>
      </c>
      <c r="BB303" s="169">
        <f t="shared" si="438"/>
        <v>8.2048027012711859</v>
      </c>
      <c r="BC303" s="170">
        <f t="shared" si="459"/>
        <v>79757.334999999992</v>
      </c>
      <c r="BD303" s="150"/>
      <c r="BE303" s="150"/>
      <c r="BF303" s="150"/>
      <c r="BG303" s="150"/>
      <c r="BH303" s="150"/>
      <c r="BI303" s="150"/>
      <c r="BJ303" s="150"/>
      <c r="BK303" s="150"/>
      <c r="BL303" s="150"/>
      <c r="BM303" s="293"/>
      <c r="BN303" s="293"/>
      <c r="BO303" s="293"/>
      <c r="BP303" s="293"/>
      <c r="BQ303" s="293"/>
      <c r="BR303" s="293"/>
      <c r="BS303" s="293"/>
      <c r="BT303" s="293"/>
    </row>
    <row r="304" spans="1:72" s="1" customFormat="1" ht="34.35" customHeight="1">
      <c r="A304" s="91"/>
      <c r="B304" s="358" t="s">
        <v>2496</v>
      </c>
      <c r="C304" s="50" t="s">
        <v>945</v>
      </c>
      <c r="D304" s="177" t="s">
        <v>913</v>
      </c>
      <c r="E304" s="62" t="s">
        <v>14</v>
      </c>
      <c r="F304" s="10"/>
      <c r="G304" s="42"/>
      <c r="H304" s="42"/>
      <c r="I304" s="183"/>
      <c r="J304" s="29"/>
      <c r="K304" s="24"/>
      <c r="L304" s="25"/>
      <c r="M304" s="69"/>
      <c r="N304" s="77"/>
      <c r="O304" s="73"/>
      <c r="P304" s="74"/>
      <c r="Q304" s="74"/>
      <c r="R304" s="75"/>
      <c r="S304" s="61"/>
      <c r="T304" s="60"/>
      <c r="U304" s="74"/>
      <c r="V304" s="76"/>
      <c r="W304" s="24"/>
      <c r="X304" s="25"/>
      <c r="Y304" s="77"/>
      <c r="Z304" s="184"/>
      <c r="AA304" s="185"/>
      <c r="AB304" s="185"/>
      <c r="AC304" s="185"/>
      <c r="AD304" s="185"/>
      <c r="AE304" s="185"/>
      <c r="AF304" s="185"/>
      <c r="AG304" s="185"/>
      <c r="AH304" s="185"/>
      <c r="AI304" s="185"/>
      <c r="AJ304" s="250"/>
      <c r="AK304" s="250"/>
      <c r="AL304" s="250"/>
      <c r="AM304" s="250"/>
      <c r="AN304" s="250"/>
      <c r="AO304" s="250"/>
      <c r="AP304" s="250"/>
      <c r="AQ304" s="250"/>
      <c r="AR304" s="250"/>
      <c r="AS304" s="117"/>
      <c r="AT304" s="10">
        <v>16470</v>
      </c>
      <c r="AU304" s="10">
        <v>77524.570000000007</v>
      </c>
      <c r="AV304" s="167">
        <v>77524.570000000007</v>
      </c>
      <c r="AW304" s="168">
        <v>78000</v>
      </c>
      <c r="AX304" s="29">
        <f t="shared" si="456"/>
        <v>77762.285000000003</v>
      </c>
      <c r="AY304" s="24">
        <f t="shared" si="457"/>
        <v>61292.285000000003</v>
      </c>
      <c r="AZ304" s="25">
        <f t="shared" si="458"/>
        <v>3.7214502125075897</v>
      </c>
      <c r="BA304" s="24">
        <f t="shared" si="437"/>
        <v>61054.570000000007</v>
      </c>
      <c r="BB304" s="169">
        <f t="shared" si="438"/>
        <v>3.707017000607165</v>
      </c>
      <c r="BC304" s="170">
        <f t="shared" si="459"/>
        <v>77762.285000000003</v>
      </c>
      <c r="BD304" s="150"/>
      <c r="BE304" s="150"/>
      <c r="BF304" s="150"/>
      <c r="BG304" s="150"/>
      <c r="BH304" s="150"/>
      <c r="BI304" s="150"/>
      <c r="BJ304" s="150"/>
      <c r="BK304" s="150"/>
      <c r="BL304" s="150"/>
      <c r="BM304" s="293"/>
      <c r="BN304" s="293"/>
      <c r="BO304" s="293"/>
      <c r="BP304" s="293"/>
      <c r="BQ304" s="293"/>
      <c r="BR304" s="293"/>
      <c r="BS304" s="293"/>
      <c r="BT304" s="293"/>
    </row>
    <row r="305" spans="1:72" s="1" customFormat="1" ht="34.35" customHeight="1">
      <c r="A305" s="91"/>
      <c r="B305" s="358" t="s">
        <v>2497</v>
      </c>
      <c r="C305" s="50" t="s">
        <v>946</v>
      </c>
      <c r="D305" s="177" t="s">
        <v>914</v>
      </c>
      <c r="E305" s="62" t="s">
        <v>14</v>
      </c>
      <c r="F305" s="10"/>
      <c r="G305" s="42"/>
      <c r="H305" s="42"/>
      <c r="I305" s="183"/>
      <c r="J305" s="29"/>
      <c r="K305" s="24"/>
      <c r="L305" s="25"/>
      <c r="M305" s="69"/>
      <c r="N305" s="77"/>
      <c r="O305" s="73"/>
      <c r="P305" s="74"/>
      <c r="Q305" s="74"/>
      <c r="R305" s="75"/>
      <c r="S305" s="61"/>
      <c r="T305" s="60"/>
      <c r="U305" s="74"/>
      <c r="V305" s="76"/>
      <c r="W305" s="24"/>
      <c r="X305" s="25"/>
      <c r="Y305" s="77"/>
      <c r="Z305" s="184"/>
      <c r="AA305" s="185"/>
      <c r="AB305" s="185"/>
      <c r="AC305" s="185"/>
      <c r="AD305" s="185"/>
      <c r="AE305" s="185"/>
      <c r="AF305" s="185"/>
      <c r="AG305" s="185"/>
      <c r="AH305" s="185"/>
      <c r="AI305" s="185"/>
      <c r="AJ305" s="250"/>
      <c r="AK305" s="250"/>
      <c r="AL305" s="250"/>
      <c r="AM305" s="250"/>
      <c r="AN305" s="250"/>
      <c r="AO305" s="250"/>
      <c r="AP305" s="250"/>
      <c r="AQ305" s="250"/>
      <c r="AR305" s="250"/>
      <c r="AS305" s="117"/>
      <c r="AT305" s="10">
        <v>23504</v>
      </c>
      <c r="AU305" s="10">
        <v>84694.67</v>
      </c>
      <c r="AV305" s="167">
        <v>84694.67</v>
      </c>
      <c r="AW305" s="168">
        <v>81000</v>
      </c>
      <c r="AX305" s="29">
        <f t="shared" si="456"/>
        <v>82847.334999999992</v>
      </c>
      <c r="AY305" s="24">
        <f t="shared" si="457"/>
        <v>59343.334999999992</v>
      </c>
      <c r="AZ305" s="25">
        <f t="shared" si="458"/>
        <v>2.5248185415248465</v>
      </c>
      <c r="BA305" s="24">
        <f t="shared" si="437"/>
        <v>61190.67</v>
      </c>
      <c r="BB305" s="169">
        <f t="shared" si="438"/>
        <v>2.6034151633764466</v>
      </c>
      <c r="BC305" s="170">
        <f t="shared" si="459"/>
        <v>82847.334999999992</v>
      </c>
      <c r="BD305" s="150"/>
      <c r="BE305" s="150"/>
      <c r="BF305" s="150"/>
      <c r="BG305" s="150"/>
      <c r="BH305" s="150"/>
      <c r="BI305" s="150"/>
      <c r="BJ305" s="150"/>
      <c r="BK305" s="150"/>
      <c r="BL305" s="150"/>
      <c r="BM305" s="293"/>
      <c r="BN305" s="293"/>
      <c r="BO305" s="293"/>
      <c r="BP305" s="293"/>
      <c r="BQ305" s="293"/>
      <c r="BR305" s="293"/>
      <c r="BS305" s="293"/>
      <c r="BT305" s="293"/>
    </row>
    <row r="306" spans="1:72" s="1" customFormat="1" ht="34.35" customHeight="1">
      <c r="A306" s="91"/>
      <c r="B306" s="358" t="s">
        <v>2498</v>
      </c>
      <c r="C306" s="50" t="s">
        <v>947</v>
      </c>
      <c r="D306" s="177" t="s">
        <v>915</v>
      </c>
      <c r="E306" s="62" t="s">
        <v>14</v>
      </c>
      <c r="F306" s="10"/>
      <c r="G306" s="42"/>
      <c r="H306" s="42"/>
      <c r="I306" s="183"/>
      <c r="J306" s="29"/>
      <c r="K306" s="24"/>
      <c r="L306" s="25"/>
      <c r="M306" s="69"/>
      <c r="N306" s="77"/>
      <c r="O306" s="73"/>
      <c r="P306" s="74"/>
      <c r="Q306" s="74"/>
      <c r="R306" s="75"/>
      <c r="S306" s="61"/>
      <c r="T306" s="60"/>
      <c r="U306" s="74"/>
      <c r="V306" s="76"/>
      <c r="W306" s="24"/>
      <c r="X306" s="25"/>
      <c r="Y306" s="77"/>
      <c r="Z306" s="184"/>
      <c r="AA306" s="185"/>
      <c r="AB306" s="185"/>
      <c r="AC306" s="185"/>
      <c r="AD306" s="185"/>
      <c r="AE306" s="185"/>
      <c r="AF306" s="185"/>
      <c r="AG306" s="185"/>
      <c r="AH306" s="185"/>
      <c r="AI306" s="185"/>
      <c r="AJ306" s="250"/>
      <c r="AK306" s="250"/>
      <c r="AL306" s="250"/>
      <c r="AM306" s="250"/>
      <c r="AN306" s="250"/>
      <c r="AO306" s="250"/>
      <c r="AP306" s="250"/>
      <c r="AQ306" s="250"/>
      <c r="AR306" s="250"/>
      <c r="AS306" s="117"/>
      <c r="AT306" s="10">
        <v>31269</v>
      </c>
      <c r="AU306" s="10"/>
      <c r="AV306" s="167">
        <v>45000</v>
      </c>
      <c r="AW306" s="168">
        <v>135000</v>
      </c>
      <c r="AX306" s="29">
        <f t="shared" si="456"/>
        <v>135000</v>
      </c>
      <c r="AY306" s="24">
        <f t="shared" si="457"/>
        <v>103731</v>
      </c>
      <c r="AZ306" s="25">
        <f t="shared" si="458"/>
        <v>3.3173750359781251</v>
      </c>
      <c r="BA306" s="24">
        <f t="shared" si="437"/>
        <v>13731</v>
      </c>
      <c r="BB306" s="169">
        <f t="shared" si="438"/>
        <v>0.43912501199270843</v>
      </c>
      <c r="BC306" s="170">
        <f t="shared" si="459"/>
        <v>135000</v>
      </c>
      <c r="BD306" s="150"/>
      <c r="BE306" s="150"/>
      <c r="BF306" s="150"/>
      <c r="BG306" s="150"/>
      <c r="BH306" s="150"/>
      <c r="BI306" s="150"/>
      <c r="BJ306" s="150"/>
      <c r="BK306" s="150"/>
      <c r="BL306" s="150"/>
      <c r="BM306" s="293"/>
      <c r="BN306" s="293"/>
      <c r="BO306" s="293"/>
      <c r="BP306" s="293"/>
      <c r="BQ306" s="293"/>
      <c r="BR306" s="293"/>
      <c r="BS306" s="293"/>
      <c r="BT306" s="293"/>
    </row>
    <row r="307" spans="1:72" s="1" customFormat="1" ht="54.95" customHeight="1">
      <c r="A307" s="91"/>
      <c r="B307" s="358" t="s">
        <v>2499</v>
      </c>
      <c r="C307" s="50" t="s">
        <v>948</v>
      </c>
      <c r="D307" s="264" t="s">
        <v>883</v>
      </c>
      <c r="E307" s="262" t="s">
        <v>999</v>
      </c>
      <c r="F307" s="10"/>
      <c r="G307" s="42"/>
      <c r="H307" s="42"/>
      <c r="I307" s="183"/>
      <c r="J307" s="29"/>
      <c r="K307" s="24"/>
      <c r="L307" s="25"/>
      <c r="M307" s="69"/>
      <c r="N307" s="77"/>
      <c r="O307" s="73"/>
      <c r="P307" s="74"/>
      <c r="Q307" s="74"/>
      <c r="R307" s="75"/>
      <c r="S307" s="61"/>
      <c r="T307" s="60"/>
      <c r="U307" s="74"/>
      <c r="V307" s="76"/>
      <c r="W307" s="24"/>
      <c r="X307" s="25"/>
      <c r="Y307" s="77"/>
      <c r="Z307" s="184"/>
      <c r="AA307" s="185"/>
      <c r="AB307" s="185"/>
      <c r="AC307" s="185"/>
      <c r="AD307" s="185"/>
      <c r="AE307" s="185"/>
      <c r="AF307" s="185"/>
      <c r="AG307" s="185"/>
      <c r="AH307" s="185"/>
      <c r="AI307" s="185"/>
      <c r="AJ307" s="250"/>
      <c r="AK307" s="250"/>
      <c r="AL307" s="250"/>
      <c r="AM307" s="250"/>
      <c r="AN307" s="250"/>
      <c r="AO307" s="250"/>
      <c r="AP307" s="250"/>
      <c r="AQ307" s="250"/>
      <c r="AR307" s="250"/>
      <c r="AS307" s="117"/>
      <c r="AT307" s="10"/>
      <c r="AU307" s="10"/>
      <c r="AV307" s="167"/>
      <c r="AW307" s="168"/>
      <c r="AX307" s="29"/>
      <c r="AY307" s="24"/>
      <c r="AZ307" s="25"/>
      <c r="BA307" s="24"/>
      <c r="BB307" s="169"/>
      <c r="BC307" s="170"/>
      <c r="BD307" s="10">
        <v>103771</v>
      </c>
      <c r="BE307" s="10">
        <v>80000</v>
      </c>
      <c r="BF307" s="10">
        <v>87000</v>
      </c>
      <c r="BG307" s="268">
        <v>85000</v>
      </c>
      <c r="BH307" s="10" t="s">
        <v>1421</v>
      </c>
      <c r="BI307" s="76">
        <f t="shared" ref="BI307:BI332" si="460">AVERAGE(BE307,BF307,BG307,BH307)</f>
        <v>84000</v>
      </c>
      <c r="BJ307" s="24">
        <f t="shared" ref="BJ307:BJ332" si="461">BI307-BD307</f>
        <v>-19771</v>
      </c>
      <c r="BK307" s="25">
        <f t="shared" ref="BK307:BK332" si="462">+BJ307/BD307</f>
        <v>-0.1905252912663461</v>
      </c>
      <c r="BL307" s="259">
        <f t="shared" ref="BL307:BL332" si="463">BI307</f>
        <v>84000</v>
      </c>
      <c r="BM307" s="10">
        <v>115295</v>
      </c>
      <c r="BN307" s="45"/>
      <c r="BO307" s="45">
        <v>136036</v>
      </c>
      <c r="BP307" s="45">
        <v>180000</v>
      </c>
      <c r="BQ307" s="29">
        <f t="shared" ref="BQ307" si="464">AVERAGE(BN307,BO307,BP307)</f>
        <v>158018</v>
      </c>
      <c r="BR307" s="24">
        <f t="shared" ref="BR307" si="465">BQ307-BM307</f>
        <v>42723</v>
      </c>
      <c r="BS307" s="25">
        <f t="shared" ref="BS307" si="466">+BR307/BM307</f>
        <v>0.37055379678216749</v>
      </c>
      <c r="BT307" s="308">
        <f t="shared" ref="BT307" si="467">BQ307</f>
        <v>158018</v>
      </c>
    </row>
    <row r="308" spans="1:72" s="1" customFormat="1" ht="34.35" customHeight="1">
      <c r="A308" s="91"/>
      <c r="B308" s="358" t="s">
        <v>2500</v>
      </c>
      <c r="C308" s="50" t="s">
        <v>949</v>
      </c>
      <c r="D308" s="264" t="s">
        <v>885</v>
      </c>
      <c r="E308" s="262" t="s">
        <v>999</v>
      </c>
      <c r="F308" s="10"/>
      <c r="G308" s="42"/>
      <c r="H308" s="42"/>
      <c r="I308" s="183"/>
      <c r="J308" s="29"/>
      <c r="K308" s="24"/>
      <c r="L308" s="25"/>
      <c r="M308" s="69"/>
      <c r="N308" s="77"/>
      <c r="O308" s="73"/>
      <c r="P308" s="74"/>
      <c r="Q308" s="74"/>
      <c r="R308" s="75"/>
      <c r="S308" s="61"/>
      <c r="T308" s="60"/>
      <c r="U308" s="74"/>
      <c r="V308" s="76"/>
      <c r="W308" s="24"/>
      <c r="X308" s="25"/>
      <c r="Y308" s="77"/>
      <c r="Z308" s="184"/>
      <c r="AA308" s="185"/>
      <c r="AB308" s="185"/>
      <c r="AC308" s="185"/>
      <c r="AD308" s="185"/>
      <c r="AE308" s="185"/>
      <c r="AF308" s="185"/>
      <c r="AG308" s="185"/>
      <c r="AH308" s="185"/>
      <c r="AI308" s="185"/>
      <c r="AJ308" s="250"/>
      <c r="AK308" s="250"/>
      <c r="AL308" s="250"/>
      <c r="AM308" s="250"/>
      <c r="AN308" s="250"/>
      <c r="AO308" s="250"/>
      <c r="AP308" s="250"/>
      <c r="AQ308" s="250"/>
      <c r="AR308" s="250"/>
      <c r="AS308" s="117"/>
      <c r="AT308" s="10"/>
      <c r="AU308" s="10"/>
      <c r="AV308" s="167"/>
      <c r="AW308" s="168"/>
      <c r="AX308" s="29"/>
      <c r="AY308" s="24"/>
      <c r="AZ308" s="25"/>
      <c r="BA308" s="24"/>
      <c r="BB308" s="169"/>
      <c r="BC308" s="170"/>
      <c r="BD308" s="10">
        <v>172040</v>
      </c>
      <c r="BE308" s="10">
        <v>107000</v>
      </c>
      <c r="BF308" s="10">
        <v>115000</v>
      </c>
      <c r="BG308" s="268">
        <v>110000</v>
      </c>
      <c r="BH308" s="10">
        <v>145000</v>
      </c>
      <c r="BI308" s="76">
        <f t="shared" si="460"/>
        <v>119250</v>
      </c>
      <c r="BJ308" s="24">
        <f t="shared" si="461"/>
        <v>-52790</v>
      </c>
      <c r="BK308" s="25">
        <f t="shared" si="462"/>
        <v>-0.30684724482678449</v>
      </c>
      <c r="BL308" s="309">
        <f t="shared" si="463"/>
        <v>119250</v>
      </c>
      <c r="BM308" s="293"/>
      <c r="BN308" s="293"/>
      <c r="BO308" s="293"/>
      <c r="BP308" s="293"/>
      <c r="BQ308" s="293"/>
      <c r="BR308" s="293"/>
      <c r="BS308" s="293"/>
      <c r="BT308" s="293"/>
    </row>
    <row r="309" spans="1:72" s="1" customFormat="1" ht="34.35" customHeight="1">
      <c r="A309" s="91"/>
      <c r="B309" s="358" t="s">
        <v>2501</v>
      </c>
      <c r="C309" s="50" t="s">
        <v>950</v>
      </c>
      <c r="D309" s="264" t="s">
        <v>886</v>
      </c>
      <c r="E309" s="262" t="s">
        <v>999</v>
      </c>
      <c r="F309" s="10"/>
      <c r="G309" s="42"/>
      <c r="H309" s="42"/>
      <c r="I309" s="183"/>
      <c r="J309" s="29"/>
      <c r="K309" s="24"/>
      <c r="L309" s="25"/>
      <c r="M309" s="69"/>
      <c r="N309" s="77"/>
      <c r="O309" s="73"/>
      <c r="P309" s="74"/>
      <c r="Q309" s="74"/>
      <c r="R309" s="75"/>
      <c r="S309" s="61"/>
      <c r="T309" s="60"/>
      <c r="U309" s="74"/>
      <c r="V309" s="76"/>
      <c r="W309" s="24"/>
      <c r="X309" s="25"/>
      <c r="Y309" s="77"/>
      <c r="Z309" s="184"/>
      <c r="AA309" s="185"/>
      <c r="AB309" s="185"/>
      <c r="AC309" s="185"/>
      <c r="AD309" s="185"/>
      <c r="AE309" s="185"/>
      <c r="AF309" s="185"/>
      <c r="AG309" s="185"/>
      <c r="AH309" s="185"/>
      <c r="AI309" s="185"/>
      <c r="AJ309" s="250"/>
      <c r="AK309" s="250"/>
      <c r="AL309" s="250"/>
      <c r="AM309" s="250"/>
      <c r="AN309" s="250"/>
      <c r="AO309" s="250"/>
      <c r="AP309" s="250"/>
      <c r="AQ309" s="250"/>
      <c r="AR309" s="250"/>
      <c r="AS309" s="117"/>
      <c r="AT309" s="10"/>
      <c r="AU309" s="10"/>
      <c r="AV309" s="167"/>
      <c r="AW309" s="168"/>
      <c r="AX309" s="29"/>
      <c r="AY309" s="24"/>
      <c r="AZ309" s="25"/>
      <c r="BA309" s="24"/>
      <c r="BB309" s="169"/>
      <c r="BC309" s="170"/>
      <c r="BD309" s="10">
        <v>71715</v>
      </c>
      <c r="BE309" s="10">
        <v>80000</v>
      </c>
      <c r="BF309" s="10">
        <v>87000</v>
      </c>
      <c r="BG309" s="268">
        <v>85000</v>
      </c>
      <c r="BH309" s="10">
        <v>80000</v>
      </c>
      <c r="BI309" s="76">
        <f t="shared" si="460"/>
        <v>83000</v>
      </c>
      <c r="BJ309" s="24">
        <f t="shared" si="461"/>
        <v>11285</v>
      </c>
      <c r="BK309" s="25">
        <f t="shared" si="462"/>
        <v>0.15735899044830232</v>
      </c>
      <c r="BL309" s="309">
        <f t="shared" si="463"/>
        <v>83000</v>
      </c>
      <c r="BM309" s="293"/>
      <c r="BN309" s="293"/>
      <c r="BO309" s="293"/>
      <c r="BP309" s="293"/>
      <c r="BQ309" s="293"/>
      <c r="BR309" s="293"/>
      <c r="BS309" s="293"/>
      <c r="BT309" s="293"/>
    </row>
    <row r="310" spans="1:72" s="1" customFormat="1" ht="34.35" customHeight="1">
      <c r="A310" s="91"/>
      <c r="B310" s="358" t="s">
        <v>2502</v>
      </c>
      <c r="C310" s="50" t="s">
        <v>951</v>
      </c>
      <c r="D310" s="264" t="s">
        <v>1534</v>
      </c>
      <c r="E310" s="262" t="s">
        <v>999</v>
      </c>
      <c r="F310" s="10"/>
      <c r="G310" s="42"/>
      <c r="H310" s="42"/>
      <c r="I310" s="183"/>
      <c r="J310" s="29"/>
      <c r="K310" s="24"/>
      <c r="L310" s="25"/>
      <c r="M310" s="69"/>
      <c r="N310" s="77"/>
      <c r="O310" s="73"/>
      <c r="P310" s="74"/>
      <c r="Q310" s="74"/>
      <c r="R310" s="75"/>
      <c r="S310" s="61"/>
      <c r="T310" s="60"/>
      <c r="U310" s="74"/>
      <c r="V310" s="76"/>
      <c r="W310" s="24"/>
      <c r="X310" s="25"/>
      <c r="Y310" s="77"/>
      <c r="Z310" s="184"/>
      <c r="AA310" s="185"/>
      <c r="AB310" s="185"/>
      <c r="AC310" s="185"/>
      <c r="AD310" s="185"/>
      <c r="AE310" s="185"/>
      <c r="AF310" s="185"/>
      <c r="AG310" s="185"/>
      <c r="AH310" s="185"/>
      <c r="AI310" s="185"/>
      <c r="AJ310" s="250"/>
      <c r="AK310" s="250"/>
      <c r="AL310" s="250"/>
      <c r="AM310" s="250"/>
      <c r="AN310" s="250"/>
      <c r="AO310" s="250"/>
      <c r="AP310" s="250"/>
      <c r="AQ310" s="250"/>
      <c r="AR310" s="250"/>
      <c r="AS310" s="117"/>
      <c r="AT310" s="10"/>
      <c r="AU310" s="10"/>
      <c r="AV310" s="167"/>
      <c r="AW310" s="168"/>
      <c r="AX310" s="29"/>
      <c r="AY310" s="24"/>
      <c r="AZ310" s="25"/>
      <c r="BA310" s="24"/>
      <c r="BB310" s="169"/>
      <c r="BC310" s="170"/>
      <c r="BD310" s="10">
        <v>260890</v>
      </c>
      <c r="BE310" s="10">
        <v>60000</v>
      </c>
      <c r="BF310" s="10">
        <v>65000</v>
      </c>
      <c r="BG310" s="268">
        <v>65000</v>
      </c>
      <c r="BH310" s="10">
        <v>150000</v>
      </c>
      <c r="BI310" s="76">
        <f t="shared" si="460"/>
        <v>85000</v>
      </c>
      <c r="BJ310" s="24">
        <f t="shared" si="461"/>
        <v>-175890</v>
      </c>
      <c r="BK310" s="25">
        <f t="shared" si="462"/>
        <v>-0.67419218827858485</v>
      </c>
      <c r="BL310" s="309">
        <f t="shared" si="463"/>
        <v>85000</v>
      </c>
      <c r="BM310" s="293"/>
      <c r="BN310" s="293"/>
      <c r="BO310" s="293"/>
      <c r="BP310" s="293"/>
      <c r="BQ310" s="293"/>
      <c r="BR310" s="293"/>
      <c r="BS310" s="293"/>
      <c r="BT310" s="293"/>
    </row>
    <row r="311" spans="1:72" s="1" customFormat="1" ht="34.35" customHeight="1">
      <c r="A311" s="91"/>
      <c r="B311" s="358" t="s">
        <v>2503</v>
      </c>
      <c r="C311" s="50" t="s">
        <v>952</v>
      </c>
      <c r="D311" s="264" t="s">
        <v>1535</v>
      </c>
      <c r="E311" s="262" t="s">
        <v>999</v>
      </c>
      <c r="F311" s="10"/>
      <c r="G311" s="42"/>
      <c r="H311" s="42"/>
      <c r="I311" s="183"/>
      <c r="J311" s="29"/>
      <c r="K311" s="24"/>
      <c r="L311" s="25"/>
      <c r="M311" s="69"/>
      <c r="N311" s="77"/>
      <c r="O311" s="73"/>
      <c r="P311" s="74"/>
      <c r="Q311" s="74"/>
      <c r="R311" s="75"/>
      <c r="S311" s="61"/>
      <c r="T311" s="60"/>
      <c r="U311" s="74"/>
      <c r="V311" s="76"/>
      <c r="W311" s="24"/>
      <c r="X311" s="25"/>
      <c r="Y311" s="77"/>
      <c r="Z311" s="184"/>
      <c r="AA311" s="185"/>
      <c r="AB311" s="185"/>
      <c r="AC311" s="185"/>
      <c r="AD311" s="185"/>
      <c r="AE311" s="185"/>
      <c r="AF311" s="185"/>
      <c r="AG311" s="185"/>
      <c r="AH311" s="185"/>
      <c r="AI311" s="185"/>
      <c r="AJ311" s="250"/>
      <c r="AK311" s="250"/>
      <c r="AL311" s="250"/>
      <c r="AM311" s="250"/>
      <c r="AN311" s="250"/>
      <c r="AO311" s="250"/>
      <c r="AP311" s="250"/>
      <c r="AQ311" s="250"/>
      <c r="AR311" s="250"/>
      <c r="AS311" s="117"/>
      <c r="AT311" s="10"/>
      <c r="AU311" s="10"/>
      <c r="AV311" s="167"/>
      <c r="AW311" s="168"/>
      <c r="AX311" s="29"/>
      <c r="AY311" s="24"/>
      <c r="AZ311" s="25"/>
      <c r="BA311" s="24"/>
      <c r="BB311" s="169"/>
      <c r="BC311" s="170"/>
      <c r="BD311" s="10">
        <v>87662</v>
      </c>
      <c r="BE311" s="10">
        <v>40000</v>
      </c>
      <c r="BF311" s="10">
        <v>45000</v>
      </c>
      <c r="BG311" s="268">
        <v>45000</v>
      </c>
      <c r="BH311" s="10">
        <v>100000</v>
      </c>
      <c r="BI311" s="76">
        <f t="shared" si="460"/>
        <v>57500</v>
      </c>
      <c r="BJ311" s="24">
        <f t="shared" si="461"/>
        <v>-30162</v>
      </c>
      <c r="BK311" s="25">
        <f t="shared" si="462"/>
        <v>-0.34407154753484975</v>
      </c>
      <c r="BL311" s="309">
        <f t="shared" si="463"/>
        <v>57500</v>
      </c>
      <c r="BM311" s="293"/>
      <c r="BN311" s="293"/>
      <c r="BO311" s="293"/>
      <c r="BP311" s="293"/>
      <c r="BQ311" s="293"/>
      <c r="BR311" s="293"/>
      <c r="BS311" s="293"/>
      <c r="BT311" s="293"/>
    </row>
    <row r="312" spans="1:72" s="1" customFormat="1" ht="34.35" customHeight="1">
      <c r="A312" s="91"/>
      <c r="B312" s="358" t="s">
        <v>2504</v>
      </c>
      <c r="C312" s="50" t="s">
        <v>1557</v>
      </c>
      <c r="D312" s="264" t="s">
        <v>1536</v>
      </c>
      <c r="E312" s="262" t="s">
        <v>999</v>
      </c>
      <c r="F312" s="10"/>
      <c r="G312" s="42"/>
      <c r="H312" s="42"/>
      <c r="I312" s="183"/>
      <c r="J312" s="29"/>
      <c r="K312" s="24"/>
      <c r="L312" s="25"/>
      <c r="M312" s="69"/>
      <c r="N312" s="77"/>
      <c r="O312" s="73"/>
      <c r="P312" s="74"/>
      <c r="Q312" s="74"/>
      <c r="R312" s="75"/>
      <c r="S312" s="61"/>
      <c r="T312" s="60"/>
      <c r="U312" s="74"/>
      <c r="V312" s="76"/>
      <c r="W312" s="24"/>
      <c r="X312" s="25"/>
      <c r="Y312" s="77"/>
      <c r="Z312" s="184"/>
      <c r="AA312" s="185"/>
      <c r="AB312" s="185"/>
      <c r="AC312" s="185"/>
      <c r="AD312" s="185"/>
      <c r="AE312" s="185"/>
      <c r="AF312" s="185"/>
      <c r="AG312" s="185"/>
      <c r="AH312" s="185"/>
      <c r="AI312" s="185"/>
      <c r="AJ312" s="250"/>
      <c r="AK312" s="250"/>
      <c r="AL312" s="250"/>
      <c r="AM312" s="250"/>
      <c r="AN312" s="250"/>
      <c r="AO312" s="250"/>
      <c r="AP312" s="250"/>
      <c r="AQ312" s="250"/>
      <c r="AR312" s="250"/>
      <c r="AS312" s="117"/>
      <c r="AT312" s="10"/>
      <c r="AU312" s="10"/>
      <c r="AV312" s="167"/>
      <c r="AW312" s="168"/>
      <c r="AX312" s="29"/>
      <c r="AY312" s="24"/>
      <c r="AZ312" s="25"/>
      <c r="BA312" s="24"/>
      <c r="BB312" s="169"/>
      <c r="BC312" s="170"/>
      <c r="BD312" s="10">
        <v>13783</v>
      </c>
      <c r="BE312" s="10">
        <v>25000</v>
      </c>
      <c r="BF312" s="10">
        <v>28000</v>
      </c>
      <c r="BG312" s="268">
        <v>28000</v>
      </c>
      <c r="BH312" s="10">
        <v>60000</v>
      </c>
      <c r="BI312" s="76">
        <f t="shared" si="460"/>
        <v>35250</v>
      </c>
      <c r="BJ312" s="24">
        <f t="shared" si="461"/>
        <v>21467</v>
      </c>
      <c r="BK312" s="25">
        <f t="shared" si="462"/>
        <v>1.5574983675542335</v>
      </c>
      <c r="BL312" s="309">
        <f t="shared" si="463"/>
        <v>35250</v>
      </c>
      <c r="BM312" s="293"/>
      <c r="BN312" s="293"/>
      <c r="BO312" s="293"/>
      <c r="BP312" s="293"/>
      <c r="BQ312" s="293"/>
      <c r="BR312" s="293"/>
      <c r="BS312" s="293"/>
      <c r="BT312" s="293"/>
    </row>
    <row r="313" spans="1:72" s="1" customFormat="1" ht="34.35" customHeight="1">
      <c r="A313" s="91"/>
      <c r="B313" s="358" t="s">
        <v>2505</v>
      </c>
      <c r="C313" s="50" t="s">
        <v>1558</v>
      </c>
      <c r="D313" s="264" t="s">
        <v>1537</v>
      </c>
      <c r="E313" s="262" t="s">
        <v>999</v>
      </c>
      <c r="F313" s="10"/>
      <c r="G313" s="42"/>
      <c r="H313" s="42"/>
      <c r="I313" s="183"/>
      <c r="J313" s="29"/>
      <c r="K313" s="24"/>
      <c r="L313" s="25"/>
      <c r="M313" s="69"/>
      <c r="N313" s="77"/>
      <c r="O313" s="73"/>
      <c r="P313" s="74"/>
      <c r="Q313" s="74"/>
      <c r="R313" s="75"/>
      <c r="S313" s="61"/>
      <c r="T313" s="60"/>
      <c r="U313" s="74"/>
      <c r="V313" s="76"/>
      <c r="W313" s="24"/>
      <c r="X313" s="25"/>
      <c r="Y313" s="77"/>
      <c r="Z313" s="184"/>
      <c r="AA313" s="185"/>
      <c r="AB313" s="185"/>
      <c r="AC313" s="185"/>
      <c r="AD313" s="185"/>
      <c r="AE313" s="185"/>
      <c r="AF313" s="185"/>
      <c r="AG313" s="185"/>
      <c r="AH313" s="185"/>
      <c r="AI313" s="185"/>
      <c r="AJ313" s="250"/>
      <c r="AK313" s="250"/>
      <c r="AL313" s="250"/>
      <c r="AM313" s="250"/>
      <c r="AN313" s="250"/>
      <c r="AO313" s="250"/>
      <c r="AP313" s="250"/>
      <c r="AQ313" s="250"/>
      <c r="AR313" s="250"/>
      <c r="AS313" s="117"/>
      <c r="AT313" s="10"/>
      <c r="AU313" s="10"/>
      <c r="AV313" s="167"/>
      <c r="AW313" s="168"/>
      <c r="AX313" s="29"/>
      <c r="AY313" s="24"/>
      <c r="AZ313" s="25"/>
      <c r="BA313" s="24"/>
      <c r="BB313" s="169"/>
      <c r="BC313" s="170"/>
      <c r="BD313" s="10">
        <v>10233</v>
      </c>
      <c r="BE313" s="10">
        <v>25000</v>
      </c>
      <c r="BF313" s="10">
        <v>28000</v>
      </c>
      <c r="BG313" s="268">
        <v>28000</v>
      </c>
      <c r="BH313" s="10">
        <v>120000</v>
      </c>
      <c r="BI313" s="76">
        <f t="shared" si="460"/>
        <v>50250</v>
      </c>
      <c r="BJ313" s="24">
        <f t="shared" si="461"/>
        <v>40017</v>
      </c>
      <c r="BK313" s="25">
        <f t="shared" si="462"/>
        <v>3.9105834066256229</v>
      </c>
      <c r="BL313" s="309">
        <f t="shared" si="463"/>
        <v>50250</v>
      </c>
      <c r="BM313" s="293"/>
      <c r="BN313" s="293"/>
      <c r="BO313" s="293"/>
      <c r="BP313" s="293"/>
      <c r="BQ313" s="293"/>
      <c r="BR313" s="293"/>
      <c r="BS313" s="293"/>
      <c r="BT313" s="293"/>
    </row>
    <row r="314" spans="1:72" s="1" customFormat="1" ht="34.35" customHeight="1">
      <c r="A314" s="91"/>
      <c r="B314" s="358" t="s">
        <v>2506</v>
      </c>
      <c r="C314" s="50" t="s">
        <v>1559</v>
      </c>
      <c r="D314" s="264" t="s">
        <v>1538</v>
      </c>
      <c r="E314" s="262" t="s">
        <v>999</v>
      </c>
      <c r="F314" s="10"/>
      <c r="G314" s="42"/>
      <c r="H314" s="42"/>
      <c r="I314" s="183"/>
      <c r="J314" s="29"/>
      <c r="K314" s="24"/>
      <c r="L314" s="25"/>
      <c r="M314" s="69"/>
      <c r="N314" s="77"/>
      <c r="O314" s="73"/>
      <c r="P314" s="74"/>
      <c r="Q314" s="74"/>
      <c r="R314" s="75"/>
      <c r="S314" s="61"/>
      <c r="T314" s="60"/>
      <c r="U314" s="74"/>
      <c r="V314" s="76"/>
      <c r="W314" s="24"/>
      <c r="X314" s="25"/>
      <c r="Y314" s="77"/>
      <c r="Z314" s="184"/>
      <c r="AA314" s="185"/>
      <c r="AB314" s="185"/>
      <c r="AC314" s="185"/>
      <c r="AD314" s="185"/>
      <c r="AE314" s="185"/>
      <c r="AF314" s="185"/>
      <c r="AG314" s="185"/>
      <c r="AH314" s="185"/>
      <c r="AI314" s="185"/>
      <c r="AJ314" s="250"/>
      <c r="AK314" s="250"/>
      <c r="AL314" s="250"/>
      <c r="AM314" s="250"/>
      <c r="AN314" s="250"/>
      <c r="AO314" s="250"/>
      <c r="AP314" s="250"/>
      <c r="AQ314" s="250"/>
      <c r="AR314" s="250"/>
      <c r="AS314" s="117"/>
      <c r="AT314" s="10"/>
      <c r="AU314" s="10"/>
      <c r="AV314" s="167"/>
      <c r="AW314" s="168"/>
      <c r="AX314" s="29"/>
      <c r="AY314" s="24"/>
      <c r="AZ314" s="25"/>
      <c r="BA314" s="24"/>
      <c r="BB314" s="169"/>
      <c r="BC314" s="170"/>
      <c r="BD314" s="10">
        <v>9995</v>
      </c>
      <c r="BE314" s="10">
        <v>3000</v>
      </c>
      <c r="BF314" s="10">
        <v>4500</v>
      </c>
      <c r="BG314" s="268">
        <v>4000</v>
      </c>
      <c r="BH314" s="10">
        <v>5000</v>
      </c>
      <c r="BI314" s="76">
        <f t="shared" si="460"/>
        <v>4125</v>
      </c>
      <c r="BJ314" s="24">
        <f t="shared" si="461"/>
        <v>-5870</v>
      </c>
      <c r="BK314" s="25">
        <f t="shared" si="462"/>
        <v>-0.58729364682341167</v>
      </c>
      <c r="BL314" s="309">
        <f t="shared" si="463"/>
        <v>4125</v>
      </c>
      <c r="BM314" s="293"/>
      <c r="BN314" s="293"/>
      <c r="BO314" s="293"/>
      <c r="BP314" s="293"/>
      <c r="BQ314" s="293"/>
      <c r="BR314" s="293"/>
      <c r="BS314" s="293"/>
      <c r="BT314" s="293"/>
    </row>
    <row r="315" spans="1:72" s="1" customFormat="1" ht="34.35" customHeight="1">
      <c r="A315" s="91"/>
      <c r="B315" s="358" t="s">
        <v>2507</v>
      </c>
      <c r="C315" s="50" t="s">
        <v>1560</v>
      </c>
      <c r="D315" s="264" t="s">
        <v>1539</v>
      </c>
      <c r="E315" s="262" t="s">
        <v>999</v>
      </c>
      <c r="F315" s="10"/>
      <c r="G315" s="42"/>
      <c r="H315" s="42"/>
      <c r="I315" s="183"/>
      <c r="J315" s="29"/>
      <c r="K315" s="24"/>
      <c r="L315" s="25"/>
      <c r="M315" s="69"/>
      <c r="N315" s="77"/>
      <c r="O315" s="73"/>
      <c r="P315" s="74"/>
      <c r="Q315" s="74"/>
      <c r="R315" s="75"/>
      <c r="S315" s="61"/>
      <c r="T315" s="60"/>
      <c r="U315" s="74"/>
      <c r="V315" s="76"/>
      <c r="W315" s="24"/>
      <c r="X315" s="25"/>
      <c r="Y315" s="77"/>
      <c r="Z315" s="184"/>
      <c r="AA315" s="185"/>
      <c r="AB315" s="185"/>
      <c r="AC315" s="185"/>
      <c r="AD315" s="185"/>
      <c r="AE315" s="185"/>
      <c r="AF315" s="185"/>
      <c r="AG315" s="185"/>
      <c r="AH315" s="185"/>
      <c r="AI315" s="185"/>
      <c r="AJ315" s="250"/>
      <c r="AK315" s="250"/>
      <c r="AL315" s="250"/>
      <c r="AM315" s="250"/>
      <c r="AN315" s="250"/>
      <c r="AO315" s="250"/>
      <c r="AP315" s="250"/>
      <c r="AQ315" s="250"/>
      <c r="AR315" s="250"/>
      <c r="AS315" s="117"/>
      <c r="AT315" s="10"/>
      <c r="AU315" s="10"/>
      <c r="AV315" s="167"/>
      <c r="AW315" s="168"/>
      <c r="AX315" s="29"/>
      <c r="AY315" s="24"/>
      <c r="AZ315" s="25"/>
      <c r="BA315" s="24"/>
      <c r="BB315" s="169"/>
      <c r="BC315" s="170"/>
      <c r="BD315" s="10">
        <v>7774</v>
      </c>
      <c r="BE315" s="10">
        <v>15000</v>
      </c>
      <c r="BF315" s="10">
        <v>18000</v>
      </c>
      <c r="BG315" s="268">
        <v>16000</v>
      </c>
      <c r="BH315" s="10">
        <v>20000</v>
      </c>
      <c r="BI315" s="76">
        <f t="shared" si="460"/>
        <v>17250</v>
      </c>
      <c r="BJ315" s="24">
        <f t="shared" si="461"/>
        <v>9476</v>
      </c>
      <c r="BK315" s="25">
        <f t="shared" si="462"/>
        <v>1.2189349112426036</v>
      </c>
      <c r="BL315" s="309">
        <f t="shared" si="463"/>
        <v>17250</v>
      </c>
      <c r="BM315" s="293"/>
      <c r="BN315" s="293"/>
      <c r="BO315" s="293"/>
      <c r="BP315" s="293"/>
      <c r="BQ315" s="293"/>
      <c r="BR315" s="293"/>
      <c r="BS315" s="293"/>
      <c r="BT315" s="293"/>
    </row>
    <row r="316" spans="1:72" s="1" customFormat="1" ht="34.35" customHeight="1">
      <c r="A316" s="91"/>
      <c r="B316" s="358" t="s">
        <v>2508</v>
      </c>
      <c r="C316" s="50" t="s">
        <v>1561</v>
      </c>
      <c r="D316" s="264" t="s">
        <v>1540</v>
      </c>
      <c r="E316" s="262" t="s">
        <v>999</v>
      </c>
      <c r="F316" s="10"/>
      <c r="G316" s="42"/>
      <c r="H316" s="42"/>
      <c r="I316" s="183"/>
      <c r="J316" s="29"/>
      <c r="K316" s="24"/>
      <c r="L316" s="25"/>
      <c r="M316" s="69"/>
      <c r="N316" s="77"/>
      <c r="O316" s="73"/>
      <c r="P316" s="74"/>
      <c r="Q316" s="74"/>
      <c r="R316" s="75"/>
      <c r="S316" s="61"/>
      <c r="T316" s="60"/>
      <c r="U316" s="74"/>
      <c r="V316" s="76"/>
      <c r="W316" s="24"/>
      <c r="X316" s="25"/>
      <c r="Y316" s="77"/>
      <c r="Z316" s="184"/>
      <c r="AA316" s="185"/>
      <c r="AB316" s="185"/>
      <c r="AC316" s="185"/>
      <c r="AD316" s="185"/>
      <c r="AE316" s="185"/>
      <c r="AF316" s="185"/>
      <c r="AG316" s="185"/>
      <c r="AH316" s="185"/>
      <c r="AI316" s="185"/>
      <c r="AJ316" s="250"/>
      <c r="AK316" s="250"/>
      <c r="AL316" s="250"/>
      <c r="AM316" s="250"/>
      <c r="AN316" s="250"/>
      <c r="AO316" s="250"/>
      <c r="AP316" s="250"/>
      <c r="AQ316" s="250"/>
      <c r="AR316" s="250"/>
      <c r="AS316" s="117"/>
      <c r="AT316" s="10"/>
      <c r="AU316" s="10"/>
      <c r="AV316" s="167"/>
      <c r="AW316" s="168"/>
      <c r="AX316" s="29"/>
      <c r="AY316" s="24"/>
      <c r="AZ316" s="25"/>
      <c r="BA316" s="24"/>
      <c r="BB316" s="169"/>
      <c r="BC316" s="170"/>
      <c r="BD316" s="10">
        <v>782677</v>
      </c>
      <c r="BE316" s="10">
        <v>180000</v>
      </c>
      <c r="BF316" s="10">
        <v>205000</v>
      </c>
      <c r="BG316" s="268">
        <v>195000</v>
      </c>
      <c r="BH316" s="10">
        <v>250000</v>
      </c>
      <c r="BI316" s="76">
        <f t="shared" si="460"/>
        <v>207500</v>
      </c>
      <c r="BJ316" s="24">
        <f t="shared" si="461"/>
        <v>-575177</v>
      </c>
      <c r="BK316" s="25">
        <f t="shared" si="462"/>
        <v>-0.73488424982464029</v>
      </c>
      <c r="BL316" s="309">
        <f t="shared" si="463"/>
        <v>207500</v>
      </c>
      <c r="BM316" s="293"/>
      <c r="BN316" s="293"/>
      <c r="BO316" s="293"/>
      <c r="BP316" s="293"/>
      <c r="BQ316" s="293"/>
      <c r="BR316" s="293"/>
      <c r="BS316" s="293"/>
      <c r="BT316" s="293"/>
    </row>
    <row r="317" spans="1:72" s="1" customFormat="1" ht="34.35" customHeight="1">
      <c r="A317" s="91"/>
      <c r="B317" s="358" t="s">
        <v>2509</v>
      </c>
      <c r="C317" s="50" t="s">
        <v>1562</v>
      </c>
      <c r="D317" s="264" t="s">
        <v>1541</v>
      </c>
      <c r="E317" s="262" t="s">
        <v>999</v>
      </c>
      <c r="F317" s="10"/>
      <c r="G317" s="42"/>
      <c r="H317" s="42"/>
      <c r="I317" s="183"/>
      <c r="J317" s="29"/>
      <c r="K317" s="24"/>
      <c r="L317" s="25"/>
      <c r="M317" s="69"/>
      <c r="N317" s="77"/>
      <c r="O317" s="73"/>
      <c r="P317" s="74"/>
      <c r="Q317" s="74"/>
      <c r="R317" s="75"/>
      <c r="S317" s="61"/>
      <c r="T317" s="60"/>
      <c r="U317" s="74"/>
      <c r="V317" s="76"/>
      <c r="W317" s="24"/>
      <c r="X317" s="25"/>
      <c r="Y317" s="77"/>
      <c r="Z317" s="184"/>
      <c r="AA317" s="185"/>
      <c r="AB317" s="185"/>
      <c r="AC317" s="185"/>
      <c r="AD317" s="185"/>
      <c r="AE317" s="185"/>
      <c r="AF317" s="185"/>
      <c r="AG317" s="185"/>
      <c r="AH317" s="185"/>
      <c r="AI317" s="185"/>
      <c r="AJ317" s="250"/>
      <c r="AK317" s="250"/>
      <c r="AL317" s="250"/>
      <c r="AM317" s="250"/>
      <c r="AN317" s="250"/>
      <c r="AO317" s="250"/>
      <c r="AP317" s="250"/>
      <c r="AQ317" s="250"/>
      <c r="AR317" s="250"/>
      <c r="AS317" s="117"/>
      <c r="AT317" s="10"/>
      <c r="AU317" s="10"/>
      <c r="AV317" s="167"/>
      <c r="AW317" s="168"/>
      <c r="AX317" s="29"/>
      <c r="AY317" s="24"/>
      <c r="AZ317" s="25"/>
      <c r="BA317" s="24"/>
      <c r="BB317" s="169"/>
      <c r="BC317" s="170"/>
      <c r="BD317" s="10">
        <v>48743</v>
      </c>
      <c r="BE317" s="10">
        <v>15000</v>
      </c>
      <c r="BF317" s="10">
        <v>18000</v>
      </c>
      <c r="BG317" s="268">
        <v>18000</v>
      </c>
      <c r="BH317" s="10">
        <v>20000</v>
      </c>
      <c r="BI317" s="76">
        <f t="shared" si="460"/>
        <v>17750</v>
      </c>
      <c r="BJ317" s="24">
        <f t="shared" si="461"/>
        <v>-30993</v>
      </c>
      <c r="BK317" s="25">
        <f t="shared" si="462"/>
        <v>-0.63584514699546602</v>
      </c>
      <c r="BL317" s="309">
        <f t="shared" si="463"/>
        <v>17750</v>
      </c>
      <c r="BM317" s="293"/>
      <c r="BN317" s="293"/>
      <c r="BO317" s="293"/>
      <c r="BP317" s="293"/>
      <c r="BQ317" s="293"/>
      <c r="BR317" s="293"/>
      <c r="BS317" s="293"/>
      <c r="BT317" s="293"/>
    </row>
    <row r="318" spans="1:72" s="1" customFormat="1" ht="34.35" customHeight="1">
      <c r="A318" s="91"/>
      <c r="B318" s="358" t="s">
        <v>2510</v>
      </c>
      <c r="C318" s="50" t="s">
        <v>1563</v>
      </c>
      <c r="D318" s="264" t="s">
        <v>1542</v>
      </c>
      <c r="E318" s="262" t="s">
        <v>999</v>
      </c>
      <c r="F318" s="10"/>
      <c r="G318" s="42"/>
      <c r="H318" s="42"/>
      <c r="I318" s="183"/>
      <c r="J318" s="29"/>
      <c r="K318" s="24"/>
      <c r="L318" s="25"/>
      <c r="M318" s="69"/>
      <c r="N318" s="77"/>
      <c r="O318" s="73"/>
      <c r="P318" s="74"/>
      <c r="Q318" s="74"/>
      <c r="R318" s="75"/>
      <c r="S318" s="61"/>
      <c r="T318" s="60"/>
      <c r="U318" s="74"/>
      <c r="V318" s="76"/>
      <c r="W318" s="24"/>
      <c r="X318" s="25"/>
      <c r="Y318" s="77"/>
      <c r="Z318" s="184"/>
      <c r="AA318" s="185"/>
      <c r="AB318" s="185"/>
      <c r="AC318" s="185"/>
      <c r="AD318" s="185"/>
      <c r="AE318" s="185"/>
      <c r="AF318" s="185"/>
      <c r="AG318" s="185"/>
      <c r="AH318" s="185"/>
      <c r="AI318" s="185"/>
      <c r="AJ318" s="250"/>
      <c r="AK318" s="250"/>
      <c r="AL318" s="250"/>
      <c r="AM318" s="250"/>
      <c r="AN318" s="250"/>
      <c r="AO318" s="250"/>
      <c r="AP318" s="250"/>
      <c r="AQ318" s="250"/>
      <c r="AR318" s="250"/>
      <c r="AS318" s="117"/>
      <c r="AT318" s="10"/>
      <c r="AU318" s="10"/>
      <c r="AV318" s="167"/>
      <c r="AW318" s="168"/>
      <c r="AX318" s="29"/>
      <c r="AY318" s="24"/>
      <c r="AZ318" s="25"/>
      <c r="BA318" s="24"/>
      <c r="BB318" s="169"/>
      <c r="BC318" s="170"/>
      <c r="BD318" s="10">
        <v>39014</v>
      </c>
      <c r="BE318" s="10">
        <v>25000</v>
      </c>
      <c r="BF318" s="10">
        <v>25000</v>
      </c>
      <c r="BG318" s="268">
        <v>25000</v>
      </c>
      <c r="BH318" s="10">
        <v>40000</v>
      </c>
      <c r="BI318" s="76">
        <f t="shared" si="460"/>
        <v>28750</v>
      </c>
      <c r="BJ318" s="24">
        <f t="shared" si="461"/>
        <v>-10264</v>
      </c>
      <c r="BK318" s="25">
        <f t="shared" si="462"/>
        <v>-0.26308504639360231</v>
      </c>
      <c r="BL318" s="309">
        <f t="shared" si="463"/>
        <v>28750</v>
      </c>
      <c r="BM318" s="293"/>
      <c r="BN318" s="293"/>
      <c r="BO318" s="293"/>
      <c r="BP318" s="293"/>
      <c r="BQ318" s="293"/>
      <c r="BR318" s="293"/>
      <c r="BS318" s="293"/>
      <c r="BT318" s="293"/>
    </row>
    <row r="319" spans="1:72" s="1" customFormat="1" ht="34.35" customHeight="1">
      <c r="A319" s="91"/>
      <c r="B319" s="358" t="s">
        <v>2511</v>
      </c>
      <c r="C319" s="50" t="s">
        <v>1564</v>
      </c>
      <c r="D319" s="264" t="s">
        <v>1543</v>
      </c>
      <c r="E319" s="262" t="s">
        <v>999</v>
      </c>
      <c r="F319" s="10"/>
      <c r="G319" s="42"/>
      <c r="H319" s="42"/>
      <c r="I319" s="183"/>
      <c r="J319" s="29"/>
      <c r="K319" s="24"/>
      <c r="L319" s="25"/>
      <c r="M319" s="69"/>
      <c r="N319" s="77"/>
      <c r="O319" s="73"/>
      <c r="P319" s="74"/>
      <c r="Q319" s="74"/>
      <c r="R319" s="75"/>
      <c r="S319" s="61"/>
      <c r="T319" s="60"/>
      <c r="U319" s="74"/>
      <c r="V319" s="76"/>
      <c r="W319" s="24"/>
      <c r="X319" s="25"/>
      <c r="Y319" s="77"/>
      <c r="Z319" s="184"/>
      <c r="AA319" s="185"/>
      <c r="AB319" s="185"/>
      <c r="AC319" s="185"/>
      <c r="AD319" s="185"/>
      <c r="AE319" s="185"/>
      <c r="AF319" s="185"/>
      <c r="AG319" s="185"/>
      <c r="AH319" s="185"/>
      <c r="AI319" s="185"/>
      <c r="AJ319" s="250"/>
      <c r="AK319" s="250"/>
      <c r="AL319" s="250"/>
      <c r="AM319" s="250"/>
      <c r="AN319" s="250"/>
      <c r="AO319" s="250"/>
      <c r="AP319" s="250"/>
      <c r="AQ319" s="250"/>
      <c r="AR319" s="250"/>
      <c r="AS319" s="117"/>
      <c r="AT319" s="10"/>
      <c r="AU319" s="10"/>
      <c r="AV319" s="167"/>
      <c r="AW319" s="168"/>
      <c r="AX319" s="29"/>
      <c r="AY319" s="24"/>
      <c r="AZ319" s="25"/>
      <c r="BA319" s="24"/>
      <c r="BB319" s="169"/>
      <c r="BC319" s="170"/>
      <c r="BD319" s="10">
        <v>63010</v>
      </c>
      <c r="BE319" s="10">
        <v>55000</v>
      </c>
      <c r="BF319" s="10">
        <v>60000</v>
      </c>
      <c r="BG319" s="268">
        <v>60000</v>
      </c>
      <c r="BH319" s="10">
        <v>75000</v>
      </c>
      <c r="BI319" s="76">
        <f t="shared" si="460"/>
        <v>62500</v>
      </c>
      <c r="BJ319" s="24">
        <f t="shared" si="461"/>
        <v>-510</v>
      </c>
      <c r="BK319" s="25">
        <f t="shared" si="462"/>
        <v>-8.093953340739566E-3</v>
      </c>
      <c r="BL319" s="309">
        <f t="shared" si="463"/>
        <v>62500</v>
      </c>
      <c r="BM319" s="293"/>
      <c r="BN319" s="293"/>
      <c r="BO319" s="293"/>
      <c r="BP319" s="293"/>
      <c r="BQ319" s="293"/>
      <c r="BR319" s="293"/>
      <c r="BS319" s="293"/>
      <c r="BT319" s="293"/>
    </row>
    <row r="320" spans="1:72" s="1" customFormat="1" ht="34.35" customHeight="1">
      <c r="A320" s="91"/>
      <c r="B320" s="358" t="s">
        <v>2512</v>
      </c>
      <c r="C320" s="50" t="s">
        <v>1565</v>
      </c>
      <c r="D320" s="264" t="s">
        <v>1544</v>
      </c>
      <c r="E320" s="262" t="s">
        <v>999</v>
      </c>
      <c r="F320" s="10"/>
      <c r="G320" s="42"/>
      <c r="H320" s="42"/>
      <c r="I320" s="183"/>
      <c r="J320" s="29"/>
      <c r="K320" s="24"/>
      <c r="L320" s="25"/>
      <c r="M320" s="69"/>
      <c r="N320" s="77"/>
      <c r="O320" s="73"/>
      <c r="P320" s="74"/>
      <c r="Q320" s="74"/>
      <c r="R320" s="75"/>
      <c r="S320" s="61"/>
      <c r="T320" s="60"/>
      <c r="U320" s="74"/>
      <c r="V320" s="76"/>
      <c r="W320" s="24"/>
      <c r="X320" s="25"/>
      <c r="Y320" s="77"/>
      <c r="Z320" s="184"/>
      <c r="AA320" s="185"/>
      <c r="AB320" s="185"/>
      <c r="AC320" s="185"/>
      <c r="AD320" s="185"/>
      <c r="AE320" s="185"/>
      <c r="AF320" s="185"/>
      <c r="AG320" s="185"/>
      <c r="AH320" s="185"/>
      <c r="AI320" s="185"/>
      <c r="AJ320" s="250"/>
      <c r="AK320" s="250"/>
      <c r="AL320" s="250"/>
      <c r="AM320" s="250"/>
      <c r="AN320" s="250"/>
      <c r="AO320" s="250"/>
      <c r="AP320" s="250"/>
      <c r="AQ320" s="250"/>
      <c r="AR320" s="250"/>
      <c r="AS320" s="117"/>
      <c r="AT320" s="10"/>
      <c r="AU320" s="10"/>
      <c r="AV320" s="167"/>
      <c r="AW320" s="168"/>
      <c r="AX320" s="29"/>
      <c r="AY320" s="24"/>
      <c r="AZ320" s="25"/>
      <c r="BA320" s="24"/>
      <c r="BB320" s="169"/>
      <c r="BC320" s="170"/>
      <c r="BD320" s="10">
        <v>103400</v>
      </c>
      <c r="BE320" s="10">
        <v>50000</v>
      </c>
      <c r="BF320" s="10">
        <v>55000</v>
      </c>
      <c r="BG320" s="268">
        <v>55000</v>
      </c>
      <c r="BH320" s="10">
        <v>60000</v>
      </c>
      <c r="BI320" s="76">
        <f t="shared" si="460"/>
        <v>55000</v>
      </c>
      <c r="BJ320" s="24">
        <f t="shared" si="461"/>
        <v>-48400</v>
      </c>
      <c r="BK320" s="25">
        <f t="shared" si="462"/>
        <v>-0.46808510638297873</v>
      </c>
      <c r="BL320" s="309">
        <f t="shared" si="463"/>
        <v>55000</v>
      </c>
      <c r="BM320" s="293"/>
      <c r="BN320" s="293"/>
      <c r="BO320" s="293"/>
      <c r="BP320" s="293"/>
      <c r="BQ320" s="293"/>
      <c r="BR320" s="293"/>
      <c r="BS320" s="293"/>
      <c r="BT320" s="293"/>
    </row>
    <row r="321" spans="1:72" s="1" customFormat="1" ht="34.35" customHeight="1">
      <c r="A321" s="91"/>
      <c r="B321" s="358" t="s">
        <v>2513</v>
      </c>
      <c r="C321" s="50" t="s">
        <v>1566</v>
      </c>
      <c r="D321" s="264" t="s">
        <v>1545</v>
      </c>
      <c r="E321" s="262" t="s">
        <v>999</v>
      </c>
      <c r="F321" s="10"/>
      <c r="G321" s="42"/>
      <c r="H321" s="42"/>
      <c r="I321" s="183"/>
      <c r="J321" s="29"/>
      <c r="K321" s="24"/>
      <c r="L321" s="25"/>
      <c r="M321" s="69"/>
      <c r="N321" s="77"/>
      <c r="O321" s="73"/>
      <c r="P321" s="74"/>
      <c r="Q321" s="74"/>
      <c r="R321" s="75"/>
      <c r="S321" s="61"/>
      <c r="T321" s="60"/>
      <c r="U321" s="74"/>
      <c r="V321" s="76"/>
      <c r="W321" s="24"/>
      <c r="X321" s="25"/>
      <c r="Y321" s="77"/>
      <c r="Z321" s="184"/>
      <c r="AA321" s="185"/>
      <c r="AB321" s="185"/>
      <c r="AC321" s="185"/>
      <c r="AD321" s="185"/>
      <c r="AE321" s="185"/>
      <c r="AF321" s="185"/>
      <c r="AG321" s="185"/>
      <c r="AH321" s="185"/>
      <c r="AI321" s="185"/>
      <c r="AJ321" s="250"/>
      <c r="AK321" s="250"/>
      <c r="AL321" s="250"/>
      <c r="AM321" s="250"/>
      <c r="AN321" s="250"/>
      <c r="AO321" s="250"/>
      <c r="AP321" s="250"/>
      <c r="AQ321" s="250"/>
      <c r="AR321" s="250"/>
      <c r="AS321" s="117"/>
      <c r="AT321" s="10"/>
      <c r="AU321" s="10"/>
      <c r="AV321" s="167"/>
      <c r="AW321" s="168"/>
      <c r="AX321" s="29"/>
      <c r="AY321" s="24"/>
      <c r="AZ321" s="25"/>
      <c r="BA321" s="24"/>
      <c r="BB321" s="169"/>
      <c r="BC321" s="170"/>
      <c r="BD321" s="10">
        <v>45848</v>
      </c>
      <c r="BE321" s="10">
        <v>27000</v>
      </c>
      <c r="BF321" s="10">
        <v>30000</v>
      </c>
      <c r="BG321" s="268">
        <v>30000</v>
      </c>
      <c r="BH321" s="10">
        <v>45000</v>
      </c>
      <c r="BI321" s="76">
        <f t="shared" si="460"/>
        <v>33000</v>
      </c>
      <c r="BJ321" s="24">
        <f t="shared" si="461"/>
        <v>-12848</v>
      </c>
      <c r="BK321" s="25">
        <f t="shared" si="462"/>
        <v>-0.28023032629558542</v>
      </c>
      <c r="BL321" s="309">
        <f t="shared" si="463"/>
        <v>33000</v>
      </c>
      <c r="BM321" s="293"/>
      <c r="BN321" s="293"/>
      <c r="BO321" s="293"/>
      <c r="BP321" s="293"/>
      <c r="BQ321" s="293"/>
      <c r="BR321" s="293"/>
      <c r="BS321" s="293"/>
      <c r="BT321" s="293"/>
    </row>
    <row r="322" spans="1:72" s="1" customFormat="1" ht="34.35" customHeight="1">
      <c r="A322" s="91"/>
      <c r="B322" s="358" t="s">
        <v>2514</v>
      </c>
      <c r="C322" s="50" t="s">
        <v>1567</v>
      </c>
      <c r="D322" s="264" t="s">
        <v>1546</v>
      </c>
      <c r="E322" s="262" t="s">
        <v>999</v>
      </c>
      <c r="F322" s="10"/>
      <c r="G322" s="42"/>
      <c r="H322" s="42"/>
      <c r="I322" s="183"/>
      <c r="J322" s="29"/>
      <c r="K322" s="24"/>
      <c r="L322" s="25"/>
      <c r="M322" s="69"/>
      <c r="N322" s="77"/>
      <c r="O322" s="73"/>
      <c r="P322" s="74"/>
      <c r="Q322" s="74"/>
      <c r="R322" s="75"/>
      <c r="S322" s="61"/>
      <c r="T322" s="60"/>
      <c r="U322" s="74"/>
      <c r="V322" s="76"/>
      <c r="W322" s="24"/>
      <c r="X322" s="25"/>
      <c r="Y322" s="77"/>
      <c r="Z322" s="184"/>
      <c r="AA322" s="185"/>
      <c r="AB322" s="185"/>
      <c r="AC322" s="185"/>
      <c r="AD322" s="185"/>
      <c r="AE322" s="185"/>
      <c r="AF322" s="185"/>
      <c r="AG322" s="185"/>
      <c r="AH322" s="185"/>
      <c r="AI322" s="185"/>
      <c r="AJ322" s="250"/>
      <c r="AK322" s="250"/>
      <c r="AL322" s="250"/>
      <c r="AM322" s="250"/>
      <c r="AN322" s="250"/>
      <c r="AO322" s="250"/>
      <c r="AP322" s="250"/>
      <c r="AQ322" s="250"/>
      <c r="AR322" s="250"/>
      <c r="AS322" s="117"/>
      <c r="AT322" s="10"/>
      <c r="AU322" s="10"/>
      <c r="AV322" s="167"/>
      <c r="AW322" s="168"/>
      <c r="AX322" s="29"/>
      <c r="AY322" s="24"/>
      <c r="AZ322" s="25"/>
      <c r="BA322" s="24"/>
      <c r="BB322" s="169"/>
      <c r="BC322" s="170"/>
      <c r="BD322" s="10">
        <v>22050</v>
      </c>
      <c r="BE322" s="10">
        <v>15000</v>
      </c>
      <c r="BF322" s="10">
        <v>18000</v>
      </c>
      <c r="BG322" s="268">
        <v>18000</v>
      </c>
      <c r="BH322" s="10"/>
      <c r="BI322" s="76">
        <f t="shared" si="460"/>
        <v>17000</v>
      </c>
      <c r="BJ322" s="24">
        <f t="shared" si="461"/>
        <v>-5050</v>
      </c>
      <c r="BK322" s="25">
        <f t="shared" si="462"/>
        <v>-0.22902494331065759</v>
      </c>
      <c r="BL322" s="309">
        <f t="shared" si="463"/>
        <v>17000</v>
      </c>
      <c r="BM322" s="293"/>
      <c r="BN322" s="293"/>
      <c r="BO322" s="293"/>
      <c r="BP322" s="293"/>
      <c r="BQ322" s="293"/>
      <c r="BR322" s="293"/>
      <c r="BS322" s="293"/>
      <c r="BT322" s="293"/>
    </row>
    <row r="323" spans="1:72" s="1" customFormat="1" ht="34.35" customHeight="1">
      <c r="A323" s="91"/>
      <c r="B323" s="358" t="s">
        <v>2515</v>
      </c>
      <c r="C323" s="50" t="s">
        <v>1568</v>
      </c>
      <c r="D323" s="264" t="s">
        <v>1547</v>
      </c>
      <c r="E323" s="262" t="s">
        <v>999</v>
      </c>
      <c r="F323" s="10"/>
      <c r="G323" s="42"/>
      <c r="H323" s="42"/>
      <c r="I323" s="183"/>
      <c r="J323" s="29"/>
      <c r="K323" s="24"/>
      <c r="L323" s="25"/>
      <c r="M323" s="69"/>
      <c r="N323" s="77"/>
      <c r="O323" s="73"/>
      <c r="P323" s="74"/>
      <c r="Q323" s="74"/>
      <c r="R323" s="75"/>
      <c r="S323" s="61"/>
      <c r="T323" s="60"/>
      <c r="U323" s="74"/>
      <c r="V323" s="76"/>
      <c r="W323" s="24"/>
      <c r="X323" s="25"/>
      <c r="Y323" s="77"/>
      <c r="Z323" s="184"/>
      <c r="AA323" s="185"/>
      <c r="AB323" s="185"/>
      <c r="AC323" s="185"/>
      <c r="AD323" s="185"/>
      <c r="AE323" s="185"/>
      <c r="AF323" s="185"/>
      <c r="AG323" s="185"/>
      <c r="AH323" s="185"/>
      <c r="AI323" s="185"/>
      <c r="AJ323" s="250"/>
      <c r="AK323" s="250"/>
      <c r="AL323" s="250"/>
      <c r="AM323" s="250"/>
      <c r="AN323" s="250"/>
      <c r="AO323" s="250"/>
      <c r="AP323" s="250"/>
      <c r="AQ323" s="250"/>
      <c r="AR323" s="250"/>
      <c r="AS323" s="117"/>
      <c r="AT323" s="10"/>
      <c r="AU323" s="10"/>
      <c r="AV323" s="167"/>
      <c r="AW323" s="168"/>
      <c r="AX323" s="29"/>
      <c r="AY323" s="24"/>
      <c r="AZ323" s="25"/>
      <c r="BA323" s="24"/>
      <c r="BB323" s="169"/>
      <c r="BC323" s="170"/>
      <c r="BD323" s="10">
        <v>18653</v>
      </c>
      <c r="BE323" s="10">
        <v>60000</v>
      </c>
      <c r="BF323" s="10">
        <v>60000</v>
      </c>
      <c r="BG323" s="268">
        <v>60000</v>
      </c>
      <c r="BH323" s="10">
        <v>55000</v>
      </c>
      <c r="BI323" s="76">
        <f t="shared" si="460"/>
        <v>58750</v>
      </c>
      <c r="BJ323" s="24">
        <f t="shared" si="461"/>
        <v>40097</v>
      </c>
      <c r="BK323" s="25">
        <f t="shared" si="462"/>
        <v>2.1496274057792313</v>
      </c>
      <c r="BL323" s="309">
        <f t="shared" si="463"/>
        <v>58750</v>
      </c>
      <c r="BM323" s="293"/>
      <c r="BN323" s="293"/>
      <c r="BO323" s="293"/>
      <c r="BP323" s="293"/>
      <c r="BQ323" s="293"/>
      <c r="BR323" s="293"/>
      <c r="BS323" s="293"/>
      <c r="BT323" s="293"/>
    </row>
    <row r="324" spans="1:72" s="1" customFormat="1" ht="34.35" customHeight="1">
      <c r="A324" s="91"/>
      <c r="B324" s="358" t="s">
        <v>2516</v>
      </c>
      <c r="C324" s="50" t="s">
        <v>1569</v>
      </c>
      <c r="D324" s="264" t="s">
        <v>1548</v>
      </c>
      <c r="E324" s="262" t="s">
        <v>827</v>
      </c>
      <c r="F324" s="10"/>
      <c r="G324" s="42"/>
      <c r="H324" s="42"/>
      <c r="I324" s="183"/>
      <c r="J324" s="29"/>
      <c r="K324" s="24"/>
      <c r="L324" s="25"/>
      <c r="M324" s="69"/>
      <c r="N324" s="77"/>
      <c r="O324" s="73"/>
      <c r="P324" s="74"/>
      <c r="Q324" s="74"/>
      <c r="R324" s="75"/>
      <c r="S324" s="61"/>
      <c r="T324" s="60"/>
      <c r="U324" s="74"/>
      <c r="V324" s="76"/>
      <c r="W324" s="24"/>
      <c r="X324" s="25"/>
      <c r="Y324" s="77"/>
      <c r="Z324" s="184"/>
      <c r="AA324" s="185"/>
      <c r="AB324" s="185"/>
      <c r="AC324" s="185"/>
      <c r="AD324" s="185"/>
      <c r="AE324" s="185"/>
      <c r="AF324" s="185"/>
      <c r="AG324" s="185"/>
      <c r="AH324" s="185"/>
      <c r="AI324" s="185"/>
      <c r="AJ324" s="250"/>
      <c r="AK324" s="250"/>
      <c r="AL324" s="250"/>
      <c r="AM324" s="250"/>
      <c r="AN324" s="250"/>
      <c r="AO324" s="250"/>
      <c r="AP324" s="250"/>
      <c r="AQ324" s="250"/>
      <c r="AR324" s="250"/>
      <c r="AS324" s="117"/>
      <c r="AT324" s="10"/>
      <c r="AU324" s="10"/>
      <c r="AV324" s="167"/>
      <c r="AW324" s="168"/>
      <c r="AX324" s="29"/>
      <c r="AY324" s="24"/>
      <c r="AZ324" s="25"/>
      <c r="BA324" s="24"/>
      <c r="BB324" s="169"/>
      <c r="BC324" s="170"/>
      <c r="BD324" s="10">
        <v>40021</v>
      </c>
      <c r="BE324" s="10">
        <v>80000</v>
      </c>
      <c r="BF324" s="10">
        <v>85000</v>
      </c>
      <c r="BG324" s="268">
        <v>85000</v>
      </c>
      <c r="BH324" s="10">
        <v>85000</v>
      </c>
      <c r="BI324" s="76">
        <f t="shared" si="460"/>
        <v>83750</v>
      </c>
      <c r="BJ324" s="24">
        <f t="shared" si="461"/>
        <v>43729</v>
      </c>
      <c r="BK324" s="25">
        <f t="shared" si="462"/>
        <v>1.0926513580370305</v>
      </c>
      <c r="BL324" s="309">
        <f t="shared" si="463"/>
        <v>83750</v>
      </c>
      <c r="BM324" s="293"/>
      <c r="BN324" s="293"/>
      <c r="BO324" s="293"/>
      <c r="BP324" s="293"/>
      <c r="BQ324" s="293"/>
      <c r="BR324" s="293"/>
      <c r="BS324" s="293"/>
      <c r="BT324" s="293"/>
    </row>
    <row r="325" spans="1:72" s="1" customFormat="1" ht="34.35" customHeight="1">
      <c r="A325" s="91"/>
      <c r="B325" s="358" t="s">
        <v>2517</v>
      </c>
      <c r="C325" s="50" t="s">
        <v>1570</v>
      </c>
      <c r="D325" s="264" t="s">
        <v>1549</v>
      </c>
      <c r="E325" s="262" t="s">
        <v>999</v>
      </c>
      <c r="F325" s="10"/>
      <c r="G325" s="42"/>
      <c r="H325" s="42"/>
      <c r="I325" s="183"/>
      <c r="J325" s="29"/>
      <c r="K325" s="24"/>
      <c r="L325" s="25"/>
      <c r="M325" s="69"/>
      <c r="N325" s="77"/>
      <c r="O325" s="73"/>
      <c r="P325" s="74"/>
      <c r="Q325" s="74"/>
      <c r="R325" s="75"/>
      <c r="S325" s="61"/>
      <c r="T325" s="60"/>
      <c r="U325" s="74"/>
      <c r="V325" s="76"/>
      <c r="W325" s="24"/>
      <c r="X325" s="25"/>
      <c r="Y325" s="77"/>
      <c r="Z325" s="184"/>
      <c r="AA325" s="185"/>
      <c r="AB325" s="185"/>
      <c r="AC325" s="185"/>
      <c r="AD325" s="185"/>
      <c r="AE325" s="185"/>
      <c r="AF325" s="185"/>
      <c r="AG325" s="185"/>
      <c r="AH325" s="185"/>
      <c r="AI325" s="185"/>
      <c r="AJ325" s="250"/>
      <c r="AK325" s="250"/>
      <c r="AL325" s="250"/>
      <c r="AM325" s="250"/>
      <c r="AN325" s="250"/>
      <c r="AO325" s="250"/>
      <c r="AP325" s="250"/>
      <c r="AQ325" s="250"/>
      <c r="AR325" s="250"/>
      <c r="AS325" s="117"/>
      <c r="AT325" s="10"/>
      <c r="AU325" s="10"/>
      <c r="AV325" s="167"/>
      <c r="AW325" s="168"/>
      <c r="AX325" s="29"/>
      <c r="AY325" s="24"/>
      <c r="AZ325" s="25"/>
      <c r="BA325" s="24"/>
      <c r="BB325" s="169"/>
      <c r="BC325" s="170"/>
      <c r="BD325" s="10">
        <v>98925</v>
      </c>
      <c r="BE325" s="10">
        <v>77000</v>
      </c>
      <c r="BF325" s="10">
        <v>82000</v>
      </c>
      <c r="BG325" s="268">
        <v>82000</v>
      </c>
      <c r="BH325" s="10">
        <v>120000</v>
      </c>
      <c r="BI325" s="76">
        <f t="shared" si="460"/>
        <v>90250</v>
      </c>
      <c r="BJ325" s="24">
        <f t="shared" si="461"/>
        <v>-8675</v>
      </c>
      <c r="BK325" s="25">
        <f t="shared" si="462"/>
        <v>-8.7692696487237806E-2</v>
      </c>
      <c r="BL325" s="309">
        <f t="shared" si="463"/>
        <v>90250</v>
      </c>
      <c r="BM325" s="293"/>
      <c r="BN325" s="293"/>
      <c r="BO325" s="293"/>
      <c r="BP325" s="293"/>
      <c r="BQ325" s="293"/>
      <c r="BR325" s="293"/>
      <c r="BS325" s="293"/>
      <c r="BT325" s="293"/>
    </row>
    <row r="326" spans="1:72" s="1" customFormat="1" ht="34.35" customHeight="1">
      <c r="A326" s="91"/>
      <c r="B326" s="358" t="s">
        <v>2518</v>
      </c>
      <c r="C326" s="50" t="s">
        <v>1571</v>
      </c>
      <c r="D326" s="264" t="s">
        <v>1550</v>
      </c>
      <c r="E326" s="262" t="s">
        <v>827</v>
      </c>
      <c r="F326" s="10"/>
      <c r="G326" s="42"/>
      <c r="H326" s="42"/>
      <c r="I326" s="183"/>
      <c r="J326" s="29"/>
      <c r="K326" s="24"/>
      <c r="L326" s="25"/>
      <c r="M326" s="69"/>
      <c r="N326" s="77"/>
      <c r="O326" s="73"/>
      <c r="P326" s="74"/>
      <c r="Q326" s="74"/>
      <c r="R326" s="75"/>
      <c r="S326" s="61"/>
      <c r="T326" s="60"/>
      <c r="U326" s="74"/>
      <c r="V326" s="76"/>
      <c r="W326" s="24"/>
      <c r="X326" s="25"/>
      <c r="Y326" s="77"/>
      <c r="Z326" s="184"/>
      <c r="AA326" s="185"/>
      <c r="AB326" s="185"/>
      <c r="AC326" s="185"/>
      <c r="AD326" s="185"/>
      <c r="AE326" s="185"/>
      <c r="AF326" s="185"/>
      <c r="AG326" s="185"/>
      <c r="AH326" s="185"/>
      <c r="AI326" s="185"/>
      <c r="AJ326" s="250"/>
      <c r="AK326" s="250"/>
      <c r="AL326" s="250"/>
      <c r="AM326" s="250"/>
      <c r="AN326" s="250"/>
      <c r="AO326" s="250"/>
      <c r="AP326" s="250"/>
      <c r="AQ326" s="250"/>
      <c r="AR326" s="250"/>
      <c r="AS326" s="117"/>
      <c r="AT326" s="10"/>
      <c r="AU326" s="10"/>
      <c r="AV326" s="167"/>
      <c r="AW326" s="168"/>
      <c r="AX326" s="29"/>
      <c r="AY326" s="24"/>
      <c r="AZ326" s="25"/>
      <c r="BA326" s="24"/>
      <c r="BB326" s="169"/>
      <c r="BC326" s="170"/>
      <c r="BD326" s="10">
        <v>7462</v>
      </c>
      <c r="BE326" s="10">
        <v>8000</v>
      </c>
      <c r="BF326" s="10">
        <v>12000</v>
      </c>
      <c r="BG326" s="268">
        <v>10000</v>
      </c>
      <c r="BH326" s="10">
        <v>10000</v>
      </c>
      <c r="BI326" s="76">
        <f t="shared" si="460"/>
        <v>10000</v>
      </c>
      <c r="BJ326" s="24">
        <f t="shared" si="461"/>
        <v>2538</v>
      </c>
      <c r="BK326" s="25">
        <f t="shared" si="462"/>
        <v>0.34012329134280356</v>
      </c>
      <c r="BL326" s="309">
        <f t="shared" si="463"/>
        <v>10000</v>
      </c>
      <c r="BM326" s="293"/>
      <c r="BN326" s="293"/>
      <c r="BO326" s="293"/>
      <c r="BP326" s="293"/>
      <c r="BQ326" s="293"/>
      <c r="BR326" s="293"/>
      <c r="BS326" s="293"/>
      <c r="BT326" s="293"/>
    </row>
    <row r="327" spans="1:72" s="1" customFormat="1" ht="34.35" customHeight="1">
      <c r="A327" s="91"/>
      <c r="B327" s="358" t="s">
        <v>2519</v>
      </c>
      <c r="C327" s="50" t="s">
        <v>1572</v>
      </c>
      <c r="D327" s="264" t="s">
        <v>1551</v>
      </c>
      <c r="E327" s="262" t="s">
        <v>999</v>
      </c>
      <c r="F327" s="10"/>
      <c r="G327" s="42"/>
      <c r="H327" s="42"/>
      <c r="I327" s="183"/>
      <c r="J327" s="29"/>
      <c r="K327" s="24"/>
      <c r="L327" s="25"/>
      <c r="M327" s="69"/>
      <c r="N327" s="77"/>
      <c r="O327" s="73"/>
      <c r="P327" s="74"/>
      <c r="Q327" s="74"/>
      <c r="R327" s="75"/>
      <c r="S327" s="61"/>
      <c r="T327" s="60"/>
      <c r="U327" s="74"/>
      <c r="V327" s="76"/>
      <c r="W327" s="24"/>
      <c r="X327" s="25"/>
      <c r="Y327" s="77"/>
      <c r="Z327" s="184"/>
      <c r="AA327" s="185"/>
      <c r="AB327" s="185"/>
      <c r="AC327" s="185"/>
      <c r="AD327" s="185"/>
      <c r="AE327" s="185"/>
      <c r="AF327" s="185"/>
      <c r="AG327" s="185"/>
      <c r="AH327" s="185"/>
      <c r="AI327" s="185"/>
      <c r="AJ327" s="250"/>
      <c r="AK327" s="250"/>
      <c r="AL327" s="250"/>
      <c r="AM327" s="250"/>
      <c r="AN327" s="250"/>
      <c r="AO327" s="250"/>
      <c r="AP327" s="250"/>
      <c r="AQ327" s="250"/>
      <c r="AR327" s="250"/>
      <c r="AS327" s="117"/>
      <c r="AT327" s="10"/>
      <c r="AU327" s="10"/>
      <c r="AV327" s="167"/>
      <c r="AW327" s="168"/>
      <c r="AX327" s="29"/>
      <c r="AY327" s="24"/>
      <c r="AZ327" s="25"/>
      <c r="BA327" s="24"/>
      <c r="BB327" s="169"/>
      <c r="BC327" s="170"/>
      <c r="BD327" s="10">
        <v>72620</v>
      </c>
      <c r="BE327" s="10">
        <v>87500</v>
      </c>
      <c r="BF327" s="10">
        <v>90000</v>
      </c>
      <c r="BG327" s="268">
        <v>90000</v>
      </c>
      <c r="BH327" s="10">
        <v>100000</v>
      </c>
      <c r="BI327" s="76">
        <f t="shared" si="460"/>
        <v>91875</v>
      </c>
      <c r="BJ327" s="24">
        <f t="shared" si="461"/>
        <v>19255</v>
      </c>
      <c r="BK327" s="25">
        <f t="shared" si="462"/>
        <v>0.26514734232993664</v>
      </c>
      <c r="BL327" s="309">
        <f t="shared" si="463"/>
        <v>91875</v>
      </c>
      <c r="BM327" s="293"/>
      <c r="BN327" s="293"/>
      <c r="BO327" s="293"/>
      <c r="BP327" s="293"/>
      <c r="BQ327" s="293"/>
      <c r="BR327" s="293"/>
      <c r="BS327" s="293"/>
      <c r="BT327" s="293"/>
    </row>
    <row r="328" spans="1:72" s="1" customFormat="1" ht="54" customHeight="1">
      <c r="A328" s="91"/>
      <c r="B328" s="358" t="s">
        <v>2520</v>
      </c>
      <c r="C328" s="50" t="s">
        <v>1573</v>
      </c>
      <c r="D328" s="264" t="s">
        <v>1552</v>
      </c>
      <c r="E328" s="262" t="s">
        <v>999</v>
      </c>
      <c r="F328" s="10"/>
      <c r="G328" s="42"/>
      <c r="H328" s="42"/>
      <c r="I328" s="183"/>
      <c r="J328" s="29"/>
      <c r="K328" s="24"/>
      <c r="L328" s="25"/>
      <c r="M328" s="69"/>
      <c r="N328" s="77"/>
      <c r="O328" s="73"/>
      <c r="P328" s="74"/>
      <c r="Q328" s="74"/>
      <c r="R328" s="75"/>
      <c r="S328" s="61"/>
      <c r="T328" s="60"/>
      <c r="U328" s="74"/>
      <c r="V328" s="76"/>
      <c r="W328" s="24"/>
      <c r="X328" s="25"/>
      <c r="Y328" s="77"/>
      <c r="Z328" s="184"/>
      <c r="AA328" s="185"/>
      <c r="AB328" s="185"/>
      <c r="AC328" s="185"/>
      <c r="AD328" s="185"/>
      <c r="AE328" s="185"/>
      <c r="AF328" s="185"/>
      <c r="AG328" s="185"/>
      <c r="AH328" s="185"/>
      <c r="AI328" s="185"/>
      <c r="AJ328" s="250"/>
      <c r="AK328" s="250"/>
      <c r="AL328" s="250"/>
      <c r="AM328" s="250"/>
      <c r="AN328" s="250"/>
      <c r="AO328" s="250"/>
      <c r="AP328" s="250"/>
      <c r="AQ328" s="250"/>
      <c r="AR328" s="250"/>
      <c r="AS328" s="117"/>
      <c r="AT328" s="10"/>
      <c r="AU328" s="10"/>
      <c r="AV328" s="167"/>
      <c r="AW328" s="168"/>
      <c r="AX328" s="29"/>
      <c r="AY328" s="24"/>
      <c r="AZ328" s="25"/>
      <c r="BA328" s="24"/>
      <c r="BB328" s="169"/>
      <c r="BC328" s="170"/>
      <c r="BD328" s="10">
        <v>587746</v>
      </c>
      <c r="BE328" s="10">
        <v>330000</v>
      </c>
      <c r="BF328" s="10">
        <v>350000</v>
      </c>
      <c r="BG328" s="268">
        <v>340000</v>
      </c>
      <c r="BH328" s="10">
        <v>350000</v>
      </c>
      <c r="BI328" s="76">
        <f t="shared" si="460"/>
        <v>342500</v>
      </c>
      <c r="BJ328" s="24">
        <f t="shared" si="461"/>
        <v>-245246</v>
      </c>
      <c r="BK328" s="25">
        <f t="shared" si="462"/>
        <v>-0.41726528126095286</v>
      </c>
      <c r="BL328" s="309">
        <f t="shared" si="463"/>
        <v>342500</v>
      </c>
      <c r="BM328" s="293"/>
      <c r="BN328" s="293"/>
      <c r="BO328" s="293"/>
      <c r="BP328" s="293"/>
      <c r="BQ328" s="293"/>
      <c r="BR328" s="293"/>
      <c r="BS328" s="293"/>
      <c r="BT328" s="293"/>
    </row>
    <row r="329" spans="1:72" s="1" customFormat="1" ht="34.35" customHeight="1">
      <c r="A329" s="91"/>
      <c r="B329" s="358" t="s">
        <v>2521</v>
      </c>
      <c r="C329" s="50" t="s">
        <v>1574</v>
      </c>
      <c r="D329" s="264" t="s">
        <v>1553</v>
      </c>
      <c r="E329" s="262" t="s">
        <v>827</v>
      </c>
      <c r="F329" s="10"/>
      <c r="G329" s="42"/>
      <c r="H329" s="42"/>
      <c r="I329" s="183"/>
      <c r="J329" s="29"/>
      <c r="K329" s="24"/>
      <c r="L329" s="25"/>
      <c r="M329" s="69"/>
      <c r="N329" s="77"/>
      <c r="O329" s="73"/>
      <c r="P329" s="74"/>
      <c r="Q329" s="74"/>
      <c r="R329" s="75"/>
      <c r="S329" s="61"/>
      <c r="T329" s="60"/>
      <c r="U329" s="74"/>
      <c r="V329" s="76"/>
      <c r="W329" s="24"/>
      <c r="X329" s="25"/>
      <c r="Y329" s="77"/>
      <c r="Z329" s="184"/>
      <c r="AA329" s="185"/>
      <c r="AB329" s="185"/>
      <c r="AC329" s="185"/>
      <c r="AD329" s="185"/>
      <c r="AE329" s="185"/>
      <c r="AF329" s="185"/>
      <c r="AG329" s="185"/>
      <c r="AH329" s="185"/>
      <c r="AI329" s="185"/>
      <c r="AJ329" s="250"/>
      <c r="AK329" s="250"/>
      <c r="AL329" s="250"/>
      <c r="AM329" s="250"/>
      <c r="AN329" s="250"/>
      <c r="AO329" s="250"/>
      <c r="AP329" s="250"/>
      <c r="AQ329" s="250"/>
      <c r="AR329" s="250"/>
      <c r="AS329" s="117"/>
      <c r="AT329" s="10"/>
      <c r="AU329" s="10"/>
      <c r="AV329" s="167"/>
      <c r="AW329" s="168"/>
      <c r="AX329" s="29"/>
      <c r="AY329" s="24"/>
      <c r="AZ329" s="25"/>
      <c r="BA329" s="24"/>
      <c r="BB329" s="169"/>
      <c r="BC329" s="170"/>
      <c r="BD329" s="10">
        <v>21093</v>
      </c>
      <c r="BE329" s="10">
        <v>36000</v>
      </c>
      <c r="BF329" s="10">
        <v>42000</v>
      </c>
      <c r="BG329" s="268">
        <v>40000</v>
      </c>
      <c r="BH329" s="10">
        <v>45000</v>
      </c>
      <c r="BI329" s="76">
        <f t="shared" si="460"/>
        <v>40750</v>
      </c>
      <c r="BJ329" s="24">
        <f t="shared" si="461"/>
        <v>19657</v>
      </c>
      <c r="BK329" s="25">
        <f t="shared" si="462"/>
        <v>0.93192054236002464</v>
      </c>
      <c r="BL329" s="309">
        <f t="shared" si="463"/>
        <v>40750</v>
      </c>
      <c r="BM329" s="293"/>
      <c r="BN329" s="293"/>
      <c r="BO329" s="293"/>
      <c r="BP329" s="293"/>
      <c r="BQ329" s="293"/>
      <c r="BR329" s="293"/>
      <c r="BS329" s="293"/>
      <c r="BT329" s="293"/>
    </row>
    <row r="330" spans="1:72" s="1" customFormat="1" ht="34.35" customHeight="1">
      <c r="A330" s="91"/>
      <c r="B330" s="358" t="s">
        <v>2522</v>
      </c>
      <c r="C330" s="50" t="s">
        <v>1575</v>
      </c>
      <c r="D330" s="264" t="s">
        <v>1554</v>
      </c>
      <c r="E330" s="262" t="s">
        <v>999</v>
      </c>
      <c r="F330" s="10"/>
      <c r="G330" s="42"/>
      <c r="H330" s="42"/>
      <c r="I330" s="183"/>
      <c r="J330" s="29"/>
      <c r="K330" s="24"/>
      <c r="L330" s="25"/>
      <c r="M330" s="69"/>
      <c r="N330" s="77"/>
      <c r="O330" s="73"/>
      <c r="P330" s="74"/>
      <c r="Q330" s="74"/>
      <c r="R330" s="75"/>
      <c r="S330" s="61"/>
      <c r="T330" s="60"/>
      <c r="U330" s="74"/>
      <c r="V330" s="76"/>
      <c r="W330" s="24"/>
      <c r="X330" s="25"/>
      <c r="Y330" s="77"/>
      <c r="Z330" s="184"/>
      <c r="AA330" s="185"/>
      <c r="AB330" s="185"/>
      <c r="AC330" s="185"/>
      <c r="AD330" s="185"/>
      <c r="AE330" s="185"/>
      <c r="AF330" s="185"/>
      <c r="AG330" s="185"/>
      <c r="AH330" s="185"/>
      <c r="AI330" s="185"/>
      <c r="AJ330" s="250"/>
      <c r="AK330" s="250"/>
      <c r="AL330" s="250"/>
      <c r="AM330" s="250"/>
      <c r="AN330" s="250"/>
      <c r="AO330" s="250"/>
      <c r="AP330" s="250"/>
      <c r="AQ330" s="250"/>
      <c r="AR330" s="250"/>
      <c r="AS330" s="117"/>
      <c r="AT330" s="10"/>
      <c r="AU330" s="10"/>
      <c r="AV330" s="167"/>
      <c r="AW330" s="168"/>
      <c r="AX330" s="29"/>
      <c r="AY330" s="24"/>
      <c r="AZ330" s="25"/>
      <c r="BA330" s="24"/>
      <c r="BB330" s="169"/>
      <c r="BC330" s="170"/>
      <c r="BD330" s="10">
        <v>35956</v>
      </c>
      <c r="BE330" s="10">
        <v>43000</v>
      </c>
      <c r="BF330" s="10">
        <v>45000</v>
      </c>
      <c r="BG330" s="268">
        <v>45000</v>
      </c>
      <c r="BH330" s="10">
        <v>110000</v>
      </c>
      <c r="BI330" s="76">
        <f t="shared" si="460"/>
        <v>60750</v>
      </c>
      <c r="BJ330" s="24">
        <f t="shared" si="461"/>
        <v>24794</v>
      </c>
      <c r="BK330" s="25">
        <f t="shared" si="462"/>
        <v>0.68956502391812213</v>
      </c>
      <c r="BL330" s="309">
        <f t="shared" si="463"/>
        <v>60750</v>
      </c>
      <c r="BM330" s="293"/>
      <c r="BN330" s="293"/>
      <c r="BO330" s="293"/>
      <c r="BP330" s="293"/>
      <c r="BQ330" s="293"/>
      <c r="BR330" s="293"/>
      <c r="BS330" s="293"/>
      <c r="BT330" s="293"/>
    </row>
    <row r="331" spans="1:72" s="1" customFormat="1" ht="34.35" customHeight="1">
      <c r="A331" s="91"/>
      <c r="B331" s="358" t="s">
        <v>2523</v>
      </c>
      <c r="C331" s="50" t="s">
        <v>1576</v>
      </c>
      <c r="D331" s="264" t="s">
        <v>1555</v>
      </c>
      <c r="E331" s="262" t="s">
        <v>1426</v>
      </c>
      <c r="F331" s="10"/>
      <c r="G331" s="42"/>
      <c r="H331" s="42"/>
      <c r="I331" s="183"/>
      <c r="J331" s="29"/>
      <c r="K331" s="24"/>
      <c r="L331" s="25"/>
      <c r="M331" s="69"/>
      <c r="N331" s="77"/>
      <c r="O331" s="73"/>
      <c r="P331" s="74"/>
      <c r="Q331" s="74"/>
      <c r="R331" s="75"/>
      <c r="S331" s="61"/>
      <c r="T331" s="60"/>
      <c r="U331" s="74"/>
      <c r="V331" s="76"/>
      <c r="W331" s="24"/>
      <c r="X331" s="25"/>
      <c r="Y331" s="77"/>
      <c r="Z331" s="184"/>
      <c r="AA331" s="185"/>
      <c r="AB331" s="185"/>
      <c r="AC331" s="185"/>
      <c r="AD331" s="185"/>
      <c r="AE331" s="185"/>
      <c r="AF331" s="185"/>
      <c r="AG331" s="185"/>
      <c r="AH331" s="185"/>
      <c r="AI331" s="185"/>
      <c r="AJ331" s="250"/>
      <c r="AK331" s="250"/>
      <c r="AL331" s="250"/>
      <c r="AM331" s="250"/>
      <c r="AN331" s="250"/>
      <c r="AO331" s="250"/>
      <c r="AP331" s="250"/>
      <c r="AQ331" s="250"/>
      <c r="AR331" s="250"/>
      <c r="AS331" s="117"/>
      <c r="AT331" s="10"/>
      <c r="AU331" s="10"/>
      <c r="AV331" s="167"/>
      <c r="AW331" s="168"/>
      <c r="AX331" s="29"/>
      <c r="AY331" s="24"/>
      <c r="AZ331" s="25"/>
      <c r="BA331" s="24"/>
      <c r="BB331" s="169"/>
      <c r="BC331" s="170"/>
      <c r="BD331" s="10">
        <v>980968</v>
      </c>
      <c r="BE331" s="10">
        <v>150000</v>
      </c>
      <c r="BF331" s="10">
        <v>165000</v>
      </c>
      <c r="BG331" s="268">
        <v>160000</v>
      </c>
      <c r="BH331" s="10" t="s">
        <v>1421</v>
      </c>
      <c r="BI331" s="76">
        <f t="shared" si="460"/>
        <v>158333.33333333334</v>
      </c>
      <c r="BJ331" s="24">
        <f t="shared" si="461"/>
        <v>-822634.66666666663</v>
      </c>
      <c r="BK331" s="25">
        <f t="shared" si="462"/>
        <v>-0.83859480295653543</v>
      </c>
      <c r="BL331" s="309">
        <f t="shared" si="463"/>
        <v>158333.33333333334</v>
      </c>
      <c r="BM331" s="293"/>
      <c r="BN331" s="293"/>
      <c r="BO331" s="293"/>
      <c r="BP331" s="293"/>
      <c r="BQ331" s="293"/>
      <c r="BR331" s="293"/>
      <c r="BS331" s="293"/>
      <c r="BT331" s="293"/>
    </row>
    <row r="332" spans="1:72" s="1" customFormat="1" ht="34.35" customHeight="1">
      <c r="A332" s="91"/>
      <c r="B332" s="358" t="s">
        <v>2524</v>
      </c>
      <c r="C332" s="50" t="s">
        <v>1577</v>
      </c>
      <c r="D332" s="264" t="s">
        <v>1556</v>
      </c>
      <c r="E332" s="262" t="s">
        <v>999</v>
      </c>
      <c r="F332" s="10"/>
      <c r="G332" s="42"/>
      <c r="H332" s="42"/>
      <c r="I332" s="183"/>
      <c r="J332" s="29"/>
      <c r="K332" s="24"/>
      <c r="L332" s="25"/>
      <c r="M332" s="69"/>
      <c r="N332" s="77"/>
      <c r="O332" s="73"/>
      <c r="P332" s="74"/>
      <c r="Q332" s="74"/>
      <c r="R332" s="75"/>
      <c r="S332" s="61"/>
      <c r="T332" s="60"/>
      <c r="U332" s="74"/>
      <c r="V332" s="76"/>
      <c r="W332" s="24"/>
      <c r="X332" s="25"/>
      <c r="Y332" s="77"/>
      <c r="Z332" s="184"/>
      <c r="AA332" s="185"/>
      <c r="AB332" s="185"/>
      <c r="AC332" s="185"/>
      <c r="AD332" s="185"/>
      <c r="AE332" s="185"/>
      <c r="AF332" s="185"/>
      <c r="AG332" s="185"/>
      <c r="AH332" s="185"/>
      <c r="AI332" s="185"/>
      <c r="AJ332" s="250"/>
      <c r="AK332" s="250"/>
      <c r="AL332" s="250"/>
      <c r="AM332" s="250"/>
      <c r="AN332" s="250"/>
      <c r="AO332" s="250"/>
      <c r="AP332" s="250"/>
      <c r="AQ332" s="250"/>
      <c r="AR332" s="250"/>
      <c r="AS332" s="117"/>
      <c r="AT332" s="10"/>
      <c r="AU332" s="10"/>
      <c r="AV332" s="167"/>
      <c r="AW332" s="168"/>
      <c r="AX332" s="29"/>
      <c r="AY332" s="24"/>
      <c r="AZ332" s="25"/>
      <c r="BA332" s="24"/>
      <c r="BB332" s="169"/>
      <c r="BC332" s="170"/>
      <c r="BD332" s="10">
        <v>93928</v>
      </c>
      <c r="BE332" s="10">
        <v>150000</v>
      </c>
      <c r="BF332" s="10">
        <v>165000</v>
      </c>
      <c r="BG332" s="268">
        <v>160000</v>
      </c>
      <c r="BH332" s="10" t="s">
        <v>1421</v>
      </c>
      <c r="BI332" s="76">
        <f t="shared" si="460"/>
        <v>158333.33333333334</v>
      </c>
      <c r="BJ332" s="24">
        <f t="shared" si="461"/>
        <v>64405.333333333343</v>
      </c>
      <c r="BK332" s="25">
        <f t="shared" si="462"/>
        <v>0.68568832864889429</v>
      </c>
      <c r="BL332" s="309">
        <f t="shared" si="463"/>
        <v>158333.33333333334</v>
      </c>
      <c r="BM332" s="293"/>
      <c r="BN332" s="293"/>
      <c r="BO332" s="293"/>
      <c r="BP332" s="293"/>
      <c r="BQ332" s="293"/>
      <c r="BR332" s="293"/>
      <c r="BS332" s="293"/>
      <c r="BT332" s="293"/>
    </row>
    <row r="333" spans="1:72" s="1" customFormat="1" ht="34.35" customHeight="1">
      <c r="A333" s="91" t="s">
        <v>23</v>
      </c>
      <c r="B333" s="358" t="s">
        <v>2525</v>
      </c>
      <c r="C333" s="252" t="s">
        <v>754</v>
      </c>
      <c r="D333" s="100" t="s">
        <v>811</v>
      </c>
      <c r="E333" s="47"/>
      <c r="F333" s="47"/>
      <c r="G333" s="47"/>
      <c r="H333" s="47"/>
      <c r="I333" s="47"/>
      <c r="J333" s="47"/>
      <c r="K333" s="47"/>
      <c r="L333" s="47"/>
      <c r="M333" s="91"/>
      <c r="N333" s="47"/>
      <c r="O333" s="47"/>
      <c r="P333" s="47"/>
      <c r="Q333" s="47"/>
      <c r="R333" s="47"/>
      <c r="S333" s="47"/>
      <c r="T333" s="47"/>
      <c r="U333" s="47"/>
      <c r="V333" s="47"/>
      <c r="W333" s="47"/>
      <c r="X333" s="47"/>
      <c r="Y333" s="47"/>
      <c r="Z333" s="118"/>
      <c r="AA333" s="118"/>
      <c r="AB333" s="118"/>
      <c r="AC333" s="118"/>
      <c r="AD333" s="118"/>
      <c r="AE333" s="118"/>
      <c r="AF333" s="118"/>
      <c r="AG333" s="118"/>
      <c r="AH333" s="118"/>
      <c r="AI333" s="118"/>
      <c r="AJ333" s="147"/>
      <c r="AK333" s="148"/>
      <c r="AL333" s="148"/>
      <c r="AM333" s="149"/>
      <c r="AN333" s="148"/>
      <c r="AO333" s="148"/>
      <c r="AP333" s="133"/>
      <c r="AQ333" s="127"/>
      <c r="AR333" s="189"/>
      <c r="AS333" s="132"/>
      <c r="AT333" s="173"/>
      <c r="AU333" s="173"/>
      <c r="AV333" s="174"/>
      <c r="AW333" s="175"/>
      <c r="AX333" s="29"/>
      <c r="AY333" s="24"/>
      <c r="AZ333" s="25"/>
      <c r="BA333" s="24"/>
      <c r="BB333" s="169"/>
      <c r="BC333" s="170"/>
      <c r="BD333" s="173"/>
      <c r="BE333" s="173"/>
      <c r="BF333" s="173"/>
      <c r="BG333" s="274"/>
      <c r="BH333" s="266"/>
      <c r="BI333" s="76"/>
      <c r="BJ333" s="24"/>
      <c r="BK333" s="25"/>
      <c r="BL333" s="259"/>
      <c r="BM333" s="323"/>
      <c r="BN333" s="324"/>
      <c r="BO333" s="324"/>
      <c r="BP333" s="323"/>
      <c r="BQ333" s="29"/>
      <c r="BR333" s="24"/>
      <c r="BS333" s="25"/>
      <c r="BT333" s="308"/>
    </row>
    <row r="334" spans="1:72" ht="47.1" customHeight="1">
      <c r="A334" s="91" t="s">
        <v>23</v>
      </c>
      <c r="B334" s="358" t="s">
        <v>2526</v>
      </c>
      <c r="C334" s="50" t="s">
        <v>195</v>
      </c>
      <c r="D334" s="99" t="s">
        <v>535</v>
      </c>
      <c r="E334" s="48" t="s">
        <v>24</v>
      </c>
      <c r="F334" s="10">
        <v>265178</v>
      </c>
      <c r="G334" s="31">
        <v>344885</v>
      </c>
      <c r="H334" s="31">
        <v>448350</v>
      </c>
      <c r="I334" s="35">
        <v>301454.59999999998</v>
      </c>
      <c r="J334" s="29">
        <f t="shared" si="422"/>
        <v>364896.53333333338</v>
      </c>
      <c r="K334" s="24">
        <f t="shared" si="423"/>
        <v>99718.533333333384</v>
      </c>
      <c r="L334" s="25">
        <f t="shared" si="424"/>
        <v>0.37604376431428466</v>
      </c>
      <c r="M334" s="69" t="str">
        <f t="shared" si="425"/>
        <v>REVISAR PRECIO</v>
      </c>
      <c r="N334" s="77">
        <f t="shared" si="371"/>
        <v>364896.53333333338</v>
      </c>
      <c r="O334" s="59">
        <v>235773</v>
      </c>
      <c r="P334" s="57">
        <v>899225.25</v>
      </c>
      <c r="Q334" s="57">
        <v>830000</v>
      </c>
      <c r="R334" s="56">
        <v>1036063.875</v>
      </c>
      <c r="S334" s="58">
        <v>899225.24999999988</v>
      </c>
      <c r="T334" s="60">
        <v>540000</v>
      </c>
      <c r="U334" s="57">
        <v>1034109.0374999997</v>
      </c>
      <c r="V334" s="29">
        <f t="shared" ref="V334:V360" si="468">AVERAGE(P334,Q334,R334,S334,T334,U334)</f>
        <v>873103.90208333323</v>
      </c>
      <c r="W334" s="24">
        <f t="shared" ref="W334:W360" si="469">V334-O334</f>
        <v>637330.90208333323</v>
      </c>
      <c r="X334" s="25">
        <f t="shared" ref="X334:X360" si="470">+W334/O334</f>
        <v>2.703154738173299</v>
      </c>
      <c r="Y334" s="69" t="str">
        <f t="shared" ref="Y334:Y360" si="471">+IF(X334&lt;35%,V334,"REVISAR PRECIO")</f>
        <v>REVISAR PRECIO</v>
      </c>
      <c r="Z334" s="106">
        <f t="shared" ref="Z334:Z360" si="472">V334</f>
        <v>873103.90208333323</v>
      </c>
      <c r="AA334" s="73">
        <v>235773</v>
      </c>
      <c r="AB334" s="88">
        <v>870000</v>
      </c>
      <c r="AC334" s="116">
        <v>950000</v>
      </c>
      <c r="AD334" s="74">
        <v>860128.5</v>
      </c>
      <c r="AE334" s="76">
        <f t="shared" ref="AE334:AE360" si="473">AVERAGE(AB334,AC334,AD334)</f>
        <v>893376.16666666663</v>
      </c>
      <c r="AF334" s="24">
        <f t="shared" ref="AF334:AF360" si="474">AE334-AA334</f>
        <v>657603.16666666663</v>
      </c>
      <c r="AG334" s="25">
        <f t="shared" ref="AG334:AG360" si="475">+AF334/AA334</f>
        <v>2.7891368675237054</v>
      </c>
      <c r="AH334" s="77" t="str">
        <f t="shared" ref="AH334:AH360" si="476">+IF(AG334&lt;35%,AE334,"REVISAR PRECIO")</f>
        <v>REVISAR PRECIO</v>
      </c>
      <c r="AI334" s="77">
        <f t="shared" ref="AI334:AI360" si="477">AE334</f>
        <v>893376.16666666663</v>
      </c>
      <c r="AJ334" s="73">
        <v>235773</v>
      </c>
      <c r="AK334" s="79">
        <v>1036063.875</v>
      </c>
      <c r="AL334" s="79">
        <v>781935</v>
      </c>
      <c r="AM334" s="127">
        <v>938322</v>
      </c>
      <c r="AN334" s="128">
        <v>945000</v>
      </c>
      <c r="AO334" s="128">
        <v>800000</v>
      </c>
      <c r="AP334" s="133">
        <f t="shared" ref="AP334:AP360" si="478">AVERAGE(AK334,AL334,AM334,AN334,AO334)</f>
        <v>900264.17500000005</v>
      </c>
      <c r="AQ334" s="127">
        <f t="shared" ref="AQ334:AQ360" si="479">AP334-AJ334</f>
        <v>664491.17500000005</v>
      </c>
      <c r="AR334" s="134">
        <f t="shared" ref="AR334:AR360" si="480">+AQ334/AJ334</f>
        <v>2.8183514439736528</v>
      </c>
      <c r="AS334" s="132">
        <f t="shared" ref="AS334:AS360" si="481">AP334</f>
        <v>900264.17500000005</v>
      </c>
      <c r="AT334" s="10">
        <v>237140</v>
      </c>
      <c r="AU334" s="10">
        <v>781935</v>
      </c>
      <c r="AV334" s="167">
        <v>1563870</v>
      </c>
      <c r="AW334" s="168">
        <v>650556</v>
      </c>
      <c r="AX334" s="29">
        <f t="shared" ref="AX334:AX359" si="482">AVERAGE(AU334,AW334)</f>
        <v>716245.5</v>
      </c>
      <c r="AY334" s="24">
        <f t="shared" ref="AY334:AY359" si="483">AX334-AT334</f>
        <v>479105.5</v>
      </c>
      <c r="AZ334" s="25">
        <f t="shared" ref="AZ334:AZ359" si="484">+AY334/AT334</f>
        <v>2.0203487391414354</v>
      </c>
      <c r="BA334" s="24">
        <f t="shared" ref="BA334:BA359" si="485">AV334-AT334</f>
        <v>1326730</v>
      </c>
      <c r="BB334" s="169">
        <f t="shared" ref="BB334:BB359" si="486">+BA334/AT334</f>
        <v>5.5947119844817408</v>
      </c>
      <c r="BC334" s="170">
        <f t="shared" ref="BC334:BC359" si="487">AX334</f>
        <v>716245.5</v>
      </c>
      <c r="BD334" s="150"/>
      <c r="BE334" s="150"/>
      <c r="BF334" s="150"/>
      <c r="BG334" s="150"/>
      <c r="BH334" s="150"/>
      <c r="BI334" s="150"/>
      <c r="BJ334" s="150"/>
      <c r="BK334" s="150"/>
      <c r="BL334" s="150"/>
      <c r="BM334" s="10">
        <v>250040</v>
      </c>
      <c r="BN334" s="317">
        <v>780000</v>
      </c>
      <c r="BO334" s="45">
        <v>781935</v>
      </c>
      <c r="BP334" s="317">
        <v>600000</v>
      </c>
      <c r="BQ334" s="29">
        <f t="shared" ref="BQ334:BQ359" si="488">AVERAGE(BN334,BO334,BP334)</f>
        <v>720645</v>
      </c>
      <c r="BR334" s="24">
        <f t="shared" ref="BR334:BR359" si="489">BQ334-BM334</f>
        <v>470605</v>
      </c>
      <c r="BS334" s="25">
        <f t="shared" ref="BS334:BS359" si="490">+BR334/BM334</f>
        <v>1.8821188609822428</v>
      </c>
      <c r="BT334" s="308">
        <f t="shared" ref="BT334:BT359" si="491">BQ334</f>
        <v>720645</v>
      </c>
    </row>
    <row r="335" spans="1:72" ht="47.1" customHeight="1">
      <c r="A335" s="91" t="s">
        <v>23</v>
      </c>
      <c r="B335" s="358" t="s">
        <v>2527</v>
      </c>
      <c r="C335" s="50" t="s">
        <v>196</v>
      </c>
      <c r="D335" s="99" t="s">
        <v>536</v>
      </c>
      <c r="E335" s="48" t="s">
        <v>24</v>
      </c>
      <c r="F335" s="10">
        <v>294470</v>
      </c>
      <c r="G335" s="31">
        <v>382982</v>
      </c>
      <c r="H335" s="31">
        <v>497876</v>
      </c>
      <c r="I335" s="35">
        <v>334754.2</v>
      </c>
      <c r="J335" s="29">
        <f t="shared" si="422"/>
        <v>405204.06666666665</v>
      </c>
      <c r="K335" s="24">
        <f t="shared" si="423"/>
        <v>110734.06666666665</v>
      </c>
      <c r="L335" s="25">
        <f t="shared" si="424"/>
        <v>0.37604532436807364</v>
      </c>
      <c r="M335" s="69" t="str">
        <f t="shared" si="425"/>
        <v>REVISAR PRECIO</v>
      </c>
      <c r="N335" s="77">
        <f t="shared" si="371"/>
        <v>405204.06666666665</v>
      </c>
      <c r="O335" s="59">
        <v>261820</v>
      </c>
      <c r="P335" s="57">
        <v>931465.5</v>
      </c>
      <c r="Q335" s="57">
        <v>890000</v>
      </c>
      <c r="R335" s="56">
        <v>1073210.25</v>
      </c>
      <c r="S335" s="58">
        <v>931465.49999999988</v>
      </c>
      <c r="T335" s="60">
        <v>580000</v>
      </c>
      <c r="U335" s="57">
        <v>1071185.3249999997</v>
      </c>
      <c r="V335" s="29">
        <f t="shared" si="468"/>
        <v>912887.76249999984</v>
      </c>
      <c r="W335" s="24">
        <f t="shared" si="469"/>
        <v>651067.76249999984</v>
      </c>
      <c r="X335" s="25">
        <f t="shared" si="470"/>
        <v>2.4866998796883348</v>
      </c>
      <c r="Y335" s="69" t="str">
        <f t="shared" si="471"/>
        <v>REVISAR PRECIO</v>
      </c>
      <c r="Z335" s="106">
        <f t="shared" si="472"/>
        <v>912887.76249999984</v>
      </c>
      <c r="AA335" s="73">
        <v>261820</v>
      </c>
      <c r="AB335" s="88">
        <v>900000</v>
      </c>
      <c r="AC335" s="116">
        <v>960000</v>
      </c>
      <c r="AD335" s="74">
        <v>890967</v>
      </c>
      <c r="AE335" s="76">
        <f t="shared" si="473"/>
        <v>916989</v>
      </c>
      <c r="AF335" s="24">
        <f t="shared" si="474"/>
        <v>655169</v>
      </c>
      <c r="AG335" s="25">
        <f t="shared" si="475"/>
        <v>2.502364219692919</v>
      </c>
      <c r="AH335" s="77" t="str">
        <f t="shared" si="476"/>
        <v>REVISAR PRECIO</v>
      </c>
      <c r="AI335" s="77">
        <f t="shared" si="477"/>
        <v>916989</v>
      </c>
      <c r="AJ335" s="73">
        <v>261820</v>
      </c>
      <c r="AK335" s="79">
        <v>1073210.25</v>
      </c>
      <c r="AL335" s="79">
        <v>809970</v>
      </c>
      <c r="AM335" s="127">
        <v>971964</v>
      </c>
      <c r="AN335" s="128">
        <v>820000</v>
      </c>
      <c r="AO335" s="128">
        <v>810000</v>
      </c>
      <c r="AP335" s="133">
        <f t="shared" si="478"/>
        <v>897028.85</v>
      </c>
      <c r="AQ335" s="127">
        <f t="shared" si="479"/>
        <v>635208.85</v>
      </c>
      <c r="AR335" s="134">
        <f t="shared" si="480"/>
        <v>2.4261280650828811</v>
      </c>
      <c r="AS335" s="132">
        <f t="shared" si="481"/>
        <v>897028.85</v>
      </c>
      <c r="AT335" s="10">
        <v>260776</v>
      </c>
      <c r="AU335" s="10">
        <v>809970</v>
      </c>
      <c r="AV335" s="167">
        <v>1619940</v>
      </c>
      <c r="AW335" s="168">
        <v>705000</v>
      </c>
      <c r="AX335" s="29">
        <f t="shared" si="482"/>
        <v>757485</v>
      </c>
      <c r="AY335" s="24">
        <f t="shared" si="483"/>
        <v>496709</v>
      </c>
      <c r="AZ335" s="25">
        <f t="shared" si="484"/>
        <v>1.9047343313801883</v>
      </c>
      <c r="BA335" s="24">
        <f t="shared" si="485"/>
        <v>1359164</v>
      </c>
      <c r="BB335" s="169">
        <f t="shared" si="486"/>
        <v>5.2119980366291374</v>
      </c>
      <c r="BC335" s="170">
        <f t="shared" si="487"/>
        <v>757485</v>
      </c>
      <c r="BD335" s="150"/>
      <c r="BE335" s="150"/>
      <c r="BF335" s="150"/>
      <c r="BG335" s="150"/>
      <c r="BH335" s="150"/>
      <c r="BI335" s="150"/>
      <c r="BJ335" s="150"/>
      <c r="BK335" s="150"/>
      <c r="BL335" s="150"/>
      <c r="BM335" s="10">
        <v>353753</v>
      </c>
      <c r="BN335" s="317">
        <v>780000</v>
      </c>
      <c r="BO335" s="45">
        <v>809970</v>
      </c>
      <c r="BP335" s="317">
        <v>756000</v>
      </c>
      <c r="BQ335" s="29">
        <f t="shared" si="488"/>
        <v>781990</v>
      </c>
      <c r="BR335" s="24">
        <f t="shared" si="489"/>
        <v>428237</v>
      </c>
      <c r="BS335" s="25">
        <f t="shared" si="490"/>
        <v>1.2105536914174579</v>
      </c>
      <c r="BT335" s="308">
        <f t="shared" si="491"/>
        <v>781990</v>
      </c>
    </row>
    <row r="336" spans="1:72" ht="47.1" customHeight="1">
      <c r="A336" s="91" t="s">
        <v>23</v>
      </c>
      <c r="B336" s="358" t="s">
        <v>2528</v>
      </c>
      <c r="C336" s="50" t="s">
        <v>197</v>
      </c>
      <c r="D336" s="99" t="s">
        <v>537</v>
      </c>
      <c r="E336" s="48" t="s">
        <v>24</v>
      </c>
      <c r="F336" s="10">
        <v>316362</v>
      </c>
      <c r="G336" s="31">
        <v>411453</v>
      </c>
      <c r="H336" s="31">
        <v>534889</v>
      </c>
      <c r="I336" s="35">
        <v>359640.4</v>
      </c>
      <c r="J336" s="29">
        <f t="shared" si="422"/>
        <v>435327.46666666662</v>
      </c>
      <c r="K336" s="24">
        <f t="shared" si="423"/>
        <v>118965.46666666662</v>
      </c>
      <c r="L336" s="25">
        <f t="shared" si="424"/>
        <v>0.37604221324516413</v>
      </c>
      <c r="M336" s="69" t="str">
        <f t="shared" si="425"/>
        <v>REVISAR PRECIO</v>
      </c>
      <c r="N336" s="77">
        <f t="shared" si="371"/>
        <v>435327.46666666662</v>
      </c>
      <c r="O336" s="59">
        <v>276941</v>
      </c>
      <c r="P336" s="57">
        <v>937250</v>
      </c>
      <c r="Q336" s="57">
        <v>915000</v>
      </c>
      <c r="R336" s="56">
        <v>1079875</v>
      </c>
      <c r="S336" s="58">
        <v>937249.99999999988</v>
      </c>
      <c r="T336" s="60">
        <v>620000</v>
      </c>
      <c r="U336" s="57">
        <v>1077837.4999999998</v>
      </c>
      <c r="V336" s="29">
        <f t="shared" si="468"/>
        <v>927868.75</v>
      </c>
      <c r="W336" s="24">
        <f t="shared" si="469"/>
        <v>650927.75</v>
      </c>
      <c r="X336" s="25">
        <f t="shared" si="470"/>
        <v>2.3504203061301867</v>
      </c>
      <c r="Y336" s="69" t="str">
        <f t="shared" si="471"/>
        <v>REVISAR PRECIO</v>
      </c>
      <c r="Z336" s="106">
        <f t="shared" si="472"/>
        <v>927868.75</v>
      </c>
      <c r="AA336" s="73">
        <v>276941</v>
      </c>
      <c r="AB336" s="88">
        <v>895000</v>
      </c>
      <c r="AC336" s="116">
        <v>945000</v>
      </c>
      <c r="AD336" s="74">
        <v>896500</v>
      </c>
      <c r="AE336" s="76">
        <f t="shared" si="473"/>
        <v>912166.66666666663</v>
      </c>
      <c r="AF336" s="24">
        <f t="shared" si="474"/>
        <v>635225.66666666663</v>
      </c>
      <c r="AG336" s="25">
        <f t="shared" si="475"/>
        <v>2.2937220081774337</v>
      </c>
      <c r="AH336" s="77" t="str">
        <f t="shared" si="476"/>
        <v>REVISAR PRECIO</v>
      </c>
      <c r="AI336" s="77">
        <f t="shared" si="477"/>
        <v>912166.66666666663</v>
      </c>
      <c r="AJ336" s="73">
        <v>276941</v>
      </c>
      <c r="AK336" s="79">
        <v>1079875</v>
      </c>
      <c r="AL336" s="79">
        <v>815000</v>
      </c>
      <c r="AM336" s="127">
        <v>978000</v>
      </c>
      <c r="AN336" s="128">
        <v>860000</v>
      </c>
      <c r="AO336" s="128">
        <v>850000</v>
      </c>
      <c r="AP336" s="133">
        <f t="shared" si="478"/>
        <v>916575</v>
      </c>
      <c r="AQ336" s="127">
        <f t="shared" si="479"/>
        <v>639634</v>
      </c>
      <c r="AR336" s="134">
        <f t="shared" si="480"/>
        <v>2.309639959413738</v>
      </c>
      <c r="AS336" s="132">
        <f t="shared" si="481"/>
        <v>916575</v>
      </c>
      <c r="AT336" s="10">
        <v>278764</v>
      </c>
      <c r="AU336" s="10">
        <v>815000</v>
      </c>
      <c r="AV336" s="167">
        <v>1630000</v>
      </c>
      <c r="AW336" s="168">
        <v>725650</v>
      </c>
      <c r="AX336" s="29">
        <f t="shared" si="482"/>
        <v>770325</v>
      </c>
      <c r="AY336" s="24">
        <f t="shared" si="483"/>
        <v>491561</v>
      </c>
      <c r="AZ336" s="25">
        <f t="shared" si="484"/>
        <v>1.7633589703118049</v>
      </c>
      <c r="BA336" s="24">
        <f t="shared" si="485"/>
        <v>1351236</v>
      </c>
      <c r="BB336" s="169">
        <f t="shared" si="486"/>
        <v>4.8472399592486832</v>
      </c>
      <c r="BC336" s="170">
        <f t="shared" si="487"/>
        <v>770325</v>
      </c>
      <c r="BD336" s="150"/>
      <c r="BE336" s="150"/>
      <c r="BF336" s="150"/>
      <c r="BG336" s="150"/>
      <c r="BH336" s="150"/>
      <c r="BI336" s="150"/>
      <c r="BJ336" s="150"/>
      <c r="BK336" s="150"/>
      <c r="BL336" s="150"/>
      <c r="BM336" s="10">
        <v>281574</v>
      </c>
      <c r="BN336" s="317">
        <v>780000</v>
      </c>
      <c r="BO336" s="45">
        <v>815000</v>
      </c>
      <c r="BP336" s="317">
        <v>800000</v>
      </c>
      <c r="BQ336" s="29">
        <f t="shared" si="488"/>
        <v>798333.33333333337</v>
      </c>
      <c r="BR336" s="24">
        <f t="shared" si="489"/>
        <v>516759.33333333337</v>
      </c>
      <c r="BS336" s="25">
        <f t="shared" si="490"/>
        <v>1.8352523078598642</v>
      </c>
      <c r="BT336" s="308">
        <f t="shared" si="491"/>
        <v>798333.33333333337</v>
      </c>
    </row>
    <row r="337" spans="1:72" ht="45" customHeight="1">
      <c r="A337" s="91" t="s">
        <v>23</v>
      </c>
      <c r="B337" s="358" t="s">
        <v>2529</v>
      </c>
      <c r="C337" s="50" t="s">
        <v>198</v>
      </c>
      <c r="D337" s="99" t="s">
        <v>538</v>
      </c>
      <c r="E337" s="48" t="s">
        <v>24</v>
      </c>
      <c r="F337" s="10">
        <v>345073</v>
      </c>
      <c r="G337" s="31">
        <v>448794</v>
      </c>
      <c r="H337" s="31">
        <v>583432</v>
      </c>
      <c r="I337" s="35">
        <v>392279.2</v>
      </c>
      <c r="J337" s="29">
        <f t="shared" si="422"/>
        <v>474835.06666666665</v>
      </c>
      <c r="K337" s="24">
        <f t="shared" si="423"/>
        <v>129762.06666666665</v>
      </c>
      <c r="L337" s="25">
        <f t="shared" si="424"/>
        <v>0.37604236398288665</v>
      </c>
      <c r="M337" s="69" t="str">
        <f t="shared" si="425"/>
        <v>REVISAR PRECIO</v>
      </c>
      <c r="N337" s="77">
        <f t="shared" si="371"/>
        <v>474835.06666666665</v>
      </c>
      <c r="O337" s="59">
        <v>302076</v>
      </c>
      <c r="P337" s="57">
        <v>946105</v>
      </c>
      <c r="Q337" s="57">
        <v>980000</v>
      </c>
      <c r="R337" s="56">
        <v>1090077.5</v>
      </c>
      <c r="S337" s="58">
        <v>946104.99999999988</v>
      </c>
      <c r="T337" s="60">
        <v>700000</v>
      </c>
      <c r="U337" s="57">
        <v>1088020.7499999998</v>
      </c>
      <c r="V337" s="29">
        <f t="shared" si="468"/>
        <v>958384.70833333337</v>
      </c>
      <c r="W337" s="24">
        <f t="shared" si="469"/>
        <v>656308.70833333337</v>
      </c>
      <c r="X337" s="25">
        <f t="shared" si="470"/>
        <v>2.1726608811469079</v>
      </c>
      <c r="Y337" s="69" t="str">
        <f t="shared" si="471"/>
        <v>REVISAR PRECIO</v>
      </c>
      <c r="Z337" s="106">
        <f t="shared" si="472"/>
        <v>958384.70833333337</v>
      </c>
      <c r="AA337" s="73">
        <v>302076</v>
      </c>
      <c r="AB337" s="88">
        <v>900000</v>
      </c>
      <c r="AC337" s="116">
        <v>900000</v>
      </c>
      <c r="AD337" s="74">
        <v>904970</v>
      </c>
      <c r="AE337" s="76">
        <f t="shared" si="473"/>
        <v>901656.66666666663</v>
      </c>
      <c r="AF337" s="24">
        <f t="shared" si="474"/>
        <v>599580.66666666663</v>
      </c>
      <c r="AG337" s="25">
        <f t="shared" si="475"/>
        <v>1.9848669429768224</v>
      </c>
      <c r="AH337" s="77" t="str">
        <f t="shared" si="476"/>
        <v>REVISAR PRECIO</v>
      </c>
      <c r="AI337" s="77">
        <f t="shared" si="477"/>
        <v>901656.66666666663</v>
      </c>
      <c r="AJ337" s="73">
        <v>302076</v>
      </c>
      <c r="AK337" s="79">
        <v>1090077.5</v>
      </c>
      <c r="AL337" s="79">
        <v>822700</v>
      </c>
      <c r="AM337" s="127">
        <v>987240</v>
      </c>
      <c r="AN337" s="128">
        <v>1010000</v>
      </c>
      <c r="AO337" s="128">
        <v>880000</v>
      </c>
      <c r="AP337" s="133">
        <f t="shared" si="478"/>
        <v>958003.5</v>
      </c>
      <c r="AQ337" s="127">
        <f t="shared" si="479"/>
        <v>655927.5</v>
      </c>
      <c r="AR337" s="134">
        <f t="shared" si="480"/>
        <v>2.1713989194772179</v>
      </c>
      <c r="AS337" s="132">
        <f t="shared" si="481"/>
        <v>958003.5</v>
      </c>
      <c r="AT337" s="10">
        <v>302448</v>
      </c>
      <c r="AU337" s="10">
        <v>822700</v>
      </c>
      <c r="AV337" s="167">
        <v>1645400</v>
      </c>
      <c r="AW337" s="168">
        <v>755250</v>
      </c>
      <c r="AX337" s="29">
        <f t="shared" si="482"/>
        <v>788975</v>
      </c>
      <c r="AY337" s="24">
        <f t="shared" si="483"/>
        <v>486527</v>
      </c>
      <c r="AZ337" s="25">
        <f t="shared" si="484"/>
        <v>1.6086302438766333</v>
      </c>
      <c r="BA337" s="24">
        <f t="shared" si="485"/>
        <v>1342952</v>
      </c>
      <c r="BB337" s="169">
        <f t="shared" si="486"/>
        <v>4.4402740305771573</v>
      </c>
      <c r="BC337" s="170">
        <f t="shared" si="487"/>
        <v>788975</v>
      </c>
      <c r="BD337" s="150"/>
      <c r="BE337" s="150"/>
      <c r="BF337" s="150"/>
      <c r="BG337" s="150"/>
      <c r="BH337" s="150"/>
      <c r="BI337" s="150"/>
      <c r="BJ337" s="150"/>
      <c r="BK337" s="150"/>
      <c r="BL337" s="150"/>
      <c r="BM337" s="10">
        <v>377504</v>
      </c>
      <c r="BN337" s="317">
        <v>780000</v>
      </c>
      <c r="BO337" s="45">
        <v>822700</v>
      </c>
      <c r="BP337" s="317">
        <v>830000</v>
      </c>
      <c r="BQ337" s="29">
        <f t="shared" si="488"/>
        <v>810900</v>
      </c>
      <c r="BR337" s="24">
        <f t="shared" si="489"/>
        <v>433396</v>
      </c>
      <c r="BS337" s="25">
        <f t="shared" si="490"/>
        <v>1.1480567093328813</v>
      </c>
      <c r="BT337" s="308">
        <f t="shared" si="491"/>
        <v>810900</v>
      </c>
    </row>
    <row r="338" spans="1:72" ht="45" customHeight="1">
      <c r="A338" s="91" t="s">
        <v>23</v>
      </c>
      <c r="B338" s="358" t="s">
        <v>2530</v>
      </c>
      <c r="C338" s="50" t="s">
        <v>199</v>
      </c>
      <c r="D338" s="99" t="s">
        <v>539</v>
      </c>
      <c r="E338" s="48" t="s">
        <v>24</v>
      </c>
      <c r="F338" s="10">
        <v>385264</v>
      </c>
      <c r="G338" s="31">
        <v>501066</v>
      </c>
      <c r="H338" s="31">
        <v>651386</v>
      </c>
      <c r="I338" s="35">
        <v>437968.8</v>
      </c>
      <c r="J338" s="29">
        <f t="shared" si="422"/>
        <v>530140.26666666672</v>
      </c>
      <c r="K338" s="24">
        <f t="shared" si="423"/>
        <v>144876.26666666672</v>
      </c>
      <c r="L338" s="25">
        <f t="shared" si="424"/>
        <v>0.37604413250827151</v>
      </c>
      <c r="M338" s="69" t="str">
        <f t="shared" si="425"/>
        <v>REVISAR PRECIO</v>
      </c>
      <c r="N338" s="77">
        <f t="shared" si="371"/>
        <v>530140.26666666672</v>
      </c>
      <c r="O338" s="59">
        <v>337265</v>
      </c>
      <c r="P338" s="57">
        <v>967610</v>
      </c>
      <c r="Q338" s="57">
        <v>1150000</v>
      </c>
      <c r="R338" s="56">
        <v>1114855</v>
      </c>
      <c r="S338" s="58">
        <v>967609.99999999988</v>
      </c>
      <c r="T338" s="60">
        <v>780000</v>
      </c>
      <c r="U338" s="57">
        <v>1112751.4999999998</v>
      </c>
      <c r="V338" s="29">
        <f t="shared" si="468"/>
        <v>1015471.0833333334</v>
      </c>
      <c r="W338" s="24">
        <f t="shared" si="469"/>
        <v>678206.08333333337</v>
      </c>
      <c r="X338" s="25">
        <f t="shared" si="470"/>
        <v>2.0108996881779415</v>
      </c>
      <c r="Y338" s="69" t="str">
        <f t="shared" si="471"/>
        <v>REVISAR PRECIO</v>
      </c>
      <c r="Z338" s="106">
        <f t="shared" si="472"/>
        <v>1015471.0833333334</v>
      </c>
      <c r="AA338" s="73">
        <v>337265</v>
      </c>
      <c r="AB338" s="88">
        <v>885000</v>
      </c>
      <c r="AC338" s="116">
        <v>935000</v>
      </c>
      <c r="AD338" s="74">
        <v>925540</v>
      </c>
      <c r="AE338" s="76">
        <f t="shared" si="473"/>
        <v>915180</v>
      </c>
      <c r="AF338" s="24">
        <f t="shared" si="474"/>
        <v>577915</v>
      </c>
      <c r="AG338" s="25">
        <f t="shared" si="475"/>
        <v>1.7135338680266259</v>
      </c>
      <c r="AH338" s="77" t="str">
        <f t="shared" si="476"/>
        <v>REVISAR PRECIO</v>
      </c>
      <c r="AI338" s="77">
        <f t="shared" si="477"/>
        <v>915180</v>
      </c>
      <c r="AJ338" s="73">
        <v>337265</v>
      </c>
      <c r="AK338" s="79">
        <v>1114855</v>
      </c>
      <c r="AL338" s="79">
        <v>841400</v>
      </c>
      <c r="AM338" s="127">
        <v>1009680</v>
      </c>
      <c r="AN338" s="128">
        <v>810000</v>
      </c>
      <c r="AO338" s="128">
        <v>900000</v>
      </c>
      <c r="AP338" s="133">
        <f t="shared" si="478"/>
        <v>935187</v>
      </c>
      <c r="AQ338" s="127">
        <f t="shared" si="479"/>
        <v>597922</v>
      </c>
      <c r="AR338" s="134">
        <f t="shared" si="480"/>
        <v>1.7728551732317317</v>
      </c>
      <c r="AS338" s="132">
        <f t="shared" si="481"/>
        <v>935187</v>
      </c>
      <c r="AT338" s="10">
        <v>335614</v>
      </c>
      <c r="AU338" s="10">
        <v>841400</v>
      </c>
      <c r="AV338" s="167">
        <v>1682800</v>
      </c>
      <c r="AW338" s="168">
        <v>768450</v>
      </c>
      <c r="AX338" s="29">
        <f t="shared" si="482"/>
        <v>804925</v>
      </c>
      <c r="AY338" s="24">
        <f t="shared" si="483"/>
        <v>469311</v>
      </c>
      <c r="AZ338" s="25">
        <f t="shared" si="484"/>
        <v>1.398365384042382</v>
      </c>
      <c r="BA338" s="24">
        <f t="shared" si="485"/>
        <v>1347186</v>
      </c>
      <c r="BB338" s="169">
        <f t="shared" si="486"/>
        <v>4.0140935717818689</v>
      </c>
      <c r="BC338" s="170">
        <f t="shared" si="487"/>
        <v>804925</v>
      </c>
      <c r="BD338" s="150"/>
      <c r="BE338" s="150"/>
      <c r="BF338" s="150"/>
      <c r="BG338" s="150"/>
      <c r="BH338" s="150"/>
      <c r="BI338" s="150"/>
      <c r="BJ338" s="150"/>
      <c r="BK338" s="150"/>
      <c r="BL338" s="150"/>
      <c r="BM338" s="10">
        <v>313363</v>
      </c>
      <c r="BN338" s="317">
        <v>780000</v>
      </c>
      <c r="BO338" s="45">
        <v>841400</v>
      </c>
      <c r="BP338" s="317">
        <v>840000</v>
      </c>
      <c r="BQ338" s="29">
        <f t="shared" si="488"/>
        <v>820466.66666666663</v>
      </c>
      <c r="BR338" s="24">
        <f t="shared" si="489"/>
        <v>507103.66666666663</v>
      </c>
      <c r="BS338" s="25">
        <f t="shared" si="490"/>
        <v>1.6182627389534394</v>
      </c>
      <c r="BT338" s="308">
        <f t="shared" si="491"/>
        <v>820466.66666666663</v>
      </c>
    </row>
    <row r="339" spans="1:72" ht="45" customHeight="1">
      <c r="A339" s="91" t="s">
        <v>23</v>
      </c>
      <c r="B339" s="358" t="s">
        <v>2531</v>
      </c>
      <c r="C339" s="50" t="s">
        <v>200</v>
      </c>
      <c r="D339" s="99" t="s">
        <v>540</v>
      </c>
      <c r="E339" s="48" t="s">
        <v>24</v>
      </c>
      <c r="F339" s="10">
        <v>300947</v>
      </c>
      <c r="G339" s="31">
        <v>391406</v>
      </c>
      <c r="H339" s="31">
        <v>508827</v>
      </c>
      <c r="I339" s="35">
        <v>342117.4</v>
      </c>
      <c r="J339" s="29">
        <f t="shared" si="422"/>
        <v>414116.8</v>
      </c>
      <c r="K339" s="24">
        <f t="shared" si="423"/>
        <v>113169.79999999999</v>
      </c>
      <c r="L339" s="25">
        <f t="shared" si="424"/>
        <v>0.37604561600547604</v>
      </c>
      <c r="M339" s="69" t="str">
        <f t="shared" si="425"/>
        <v>REVISAR PRECIO</v>
      </c>
      <c r="N339" s="77">
        <f t="shared" si="371"/>
        <v>414116.8</v>
      </c>
      <c r="O339" s="59">
        <v>263452</v>
      </c>
      <c r="P339" s="57">
        <v>927130</v>
      </c>
      <c r="Q339" s="57">
        <v>900000</v>
      </c>
      <c r="R339" s="56">
        <v>1068215</v>
      </c>
      <c r="S339" s="58">
        <v>927129.99999999988</v>
      </c>
      <c r="T339" s="60">
        <v>650000</v>
      </c>
      <c r="U339" s="57">
        <v>1066199.4999999998</v>
      </c>
      <c r="V339" s="29">
        <f t="shared" si="468"/>
        <v>923112.41666666663</v>
      </c>
      <c r="W339" s="24">
        <f t="shared" si="469"/>
        <v>659660.41666666663</v>
      </c>
      <c r="X339" s="25">
        <f t="shared" si="470"/>
        <v>2.5039112121626204</v>
      </c>
      <c r="Y339" s="69" t="str">
        <f t="shared" si="471"/>
        <v>REVISAR PRECIO</v>
      </c>
      <c r="Z339" s="106">
        <f t="shared" si="472"/>
        <v>923112.41666666663</v>
      </c>
      <c r="AA339" s="73">
        <v>263452</v>
      </c>
      <c r="AB339" s="88">
        <v>850000</v>
      </c>
      <c r="AC339" s="116">
        <v>875000</v>
      </c>
      <c r="AD339" s="74">
        <v>886820</v>
      </c>
      <c r="AE339" s="76">
        <f t="shared" si="473"/>
        <v>870606.66666666663</v>
      </c>
      <c r="AF339" s="24">
        <f t="shared" si="474"/>
        <v>607154.66666666663</v>
      </c>
      <c r="AG339" s="25">
        <f t="shared" si="475"/>
        <v>2.3046120988516567</v>
      </c>
      <c r="AH339" s="77" t="str">
        <f t="shared" si="476"/>
        <v>REVISAR PRECIO</v>
      </c>
      <c r="AI339" s="77">
        <f t="shared" si="477"/>
        <v>870606.66666666663</v>
      </c>
      <c r="AJ339" s="73">
        <v>263452</v>
      </c>
      <c r="AK339" s="79">
        <v>1068215</v>
      </c>
      <c r="AL339" s="79">
        <v>806200</v>
      </c>
      <c r="AM339" s="127">
        <v>967440</v>
      </c>
      <c r="AN339" s="128">
        <v>948000</v>
      </c>
      <c r="AO339" s="128">
        <v>820000</v>
      </c>
      <c r="AP339" s="133">
        <f t="shared" si="478"/>
        <v>921971</v>
      </c>
      <c r="AQ339" s="127">
        <f t="shared" si="479"/>
        <v>658519</v>
      </c>
      <c r="AR339" s="134">
        <f t="shared" si="480"/>
        <v>2.4995786708774275</v>
      </c>
      <c r="AS339" s="132">
        <f t="shared" si="481"/>
        <v>921971</v>
      </c>
      <c r="AT339" s="10">
        <v>269946</v>
      </c>
      <c r="AU339" s="10">
        <v>806200</v>
      </c>
      <c r="AV339" s="167">
        <v>1612400</v>
      </c>
      <c r="AW339" s="168">
        <v>735500</v>
      </c>
      <c r="AX339" s="29">
        <f t="shared" si="482"/>
        <v>770850</v>
      </c>
      <c r="AY339" s="24">
        <f t="shared" si="483"/>
        <v>500904</v>
      </c>
      <c r="AZ339" s="25">
        <f t="shared" si="484"/>
        <v>1.8555711142228446</v>
      </c>
      <c r="BA339" s="24">
        <f t="shared" si="485"/>
        <v>1342454</v>
      </c>
      <c r="BB339" s="169">
        <f t="shared" si="486"/>
        <v>4.9730464611440803</v>
      </c>
      <c r="BC339" s="170">
        <f t="shared" si="487"/>
        <v>770850</v>
      </c>
      <c r="BD339" s="150"/>
      <c r="BE339" s="150"/>
      <c r="BF339" s="150"/>
      <c r="BG339" s="150"/>
      <c r="BH339" s="150"/>
      <c r="BI339" s="150"/>
      <c r="BJ339" s="150"/>
      <c r="BK339" s="150"/>
      <c r="BL339" s="150"/>
      <c r="BM339" s="10">
        <v>289822</v>
      </c>
      <c r="BN339" s="317">
        <v>780000</v>
      </c>
      <c r="BO339" s="45">
        <v>806200</v>
      </c>
      <c r="BP339" s="317">
        <v>756000</v>
      </c>
      <c r="BQ339" s="29">
        <f t="shared" si="488"/>
        <v>780733.33333333337</v>
      </c>
      <c r="BR339" s="24">
        <f t="shared" si="489"/>
        <v>490911.33333333337</v>
      </c>
      <c r="BS339" s="25">
        <f t="shared" si="490"/>
        <v>1.6938373668435569</v>
      </c>
      <c r="BT339" s="308">
        <f t="shared" si="491"/>
        <v>780733.33333333337</v>
      </c>
    </row>
    <row r="340" spans="1:72" ht="45" customHeight="1">
      <c r="A340" s="91" t="s">
        <v>23</v>
      </c>
      <c r="B340" s="358" t="s">
        <v>2532</v>
      </c>
      <c r="C340" s="50" t="s">
        <v>201</v>
      </c>
      <c r="D340" s="99" t="s">
        <v>541</v>
      </c>
      <c r="E340" s="48" t="s">
        <v>24</v>
      </c>
      <c r="F340" s="10">
        <v>348405</v>
      </c>
      <c r="G340" s="31">
        <v>453128</v>
      </c>
      <c r="H340" s="31">
        <v>589066</v>
      </c>
      <c r="I340" s="35">
        <v>396067</v>
      </c>
      <c r="J340" s="29">
        <f t="shared" si="422"/>
        <v>479420.33333333331</v>
      </c>
      <c r="K340" s="24">
        <f t="shared" si="423"/>
        <v>131015.33333333331</v>
      </c>
      <c r="L340" s="25">
        <f t="shared" si="424"/>
        <v>0.37604320642164524</v>
      </c>
      <c r="M340" s="69" t="str">
        <f t="shared" si="425"/>
        <v>REVISAR PRECIO</v>
      </c>
      <c r="N340" s="77">
        <f t="shared" si="371"/>
        <v>479420.33333333331</v>
      </c>
      <c r="O340" s="59">
        <v>305001</v>
      </c>
      <c r="P340" s="57">
        <v>962665</v>
      </c>
      <c r="Q340" s="57">
        <v>980000</v>
      </c>
      <c r="R340" s="56">
        <v>1109157.5</v>
      </c>
      <c r="S340" s="58">
        <v>1000499.9999999999</v>
      </c>
      <c r="T340" s="60">
        <v>800000</v>
      </c>
      <c r="U340" s="57">
        <v>1150574.9999999998</v>
      </c>
      <c r="V340" s="29">
        <f t="shared" si="468"/>
        <v>1000482.9166666666</v>
      </c>
      <c r="W340" s="24">
        <f t="shared" si="469"/>
        <v>695481.91666666663</v>
      </c>
      <c r="X340" s="25">
        <f t="shared" si="470"/>
        <v>2.2802611029690611</v>
      </c>
      <c r="Y340" s="69" t="str">
        <f t="shared" si="471"/>
        <v>REVISAR PRECIO</v>
      </c>
      <c r="Z340" s="106">
        <f t="shared" si="472"/>
        <v>1000482.9166666666</v>
      </c>
      <c r="AA340" s="73">
        <v>305001</v>
      </c>
      <c r="AB340" s="88">
        <v>950000</v>
      </c>
      <c r="AC340" s="116">
        <v>980000</v>
      </c>
      <c r="AD340" s="74">
        <v>920810</v>
      </c>
      <c r="AE340" s="76">
        <f t="shared" si="473"/>
        <v>950270</v>
      </c>
      <c r="AF340" s="24">
        <f t="shared" si="474"/>
        <v>645269</v>
      </c>
      <c r="AG340" s="25">
        <f t="shared" si="475"/>
        <v>2.1156291290848226</v>
      </c>
      <c r="AH340" s="77" t="str">
        <f t="shared" si="476"/>
        <v>REVISAR PRECIO</v>
      </c>
      <c r="AI340" s="77">
        <f t="shared" si="477"/>
        <v>950270</v>
      </c>
      <c r="AJ340" s="73">
        <v>305001</v>
      </c>
      <c r="AK340" s="79">
        <v>1109157.5</v>
      </c>
      <c r="AL340" s="79">
        <v>837100</v>
      </c>
      <c r="AM340" s="127">
        <v>1004520</v>
      </c>
      <c r="AN340" s="128">
        <v>811000</v>
      </c>
      <c r="AO340" s="128">
        <v>850000</v>
      </c>
      <c r="AP340" s="133">
        <f t="shared" si="478"/>
        <v>922355.5</v>
      </c>
      <c r="AQ340" s="127">
        <f t="shared" si="479"/>
        <v>617354.5</v>
      </c>
      <c r="AR340" s="134">
        <f t="shared" si="480"/>
        <v>2.0241064783394154</v>
      </c>
      <c r="AS340" s="132">
        <f t="shared" si="481"/>
        <v>922355.5</v>
      </c>
      <c r="AT340" s="10">
        <v>311931</v>
      </c>
      <c r="AU340" s="10">
        <v>837100</v>
      </c>
      <c r="AV340" s="167">
        <v>1674200</v>
      </c>
      <c r="AW340" s="168">
        <v>795000</v>
      </c>
      <c r="AX340" s="29">
        <f t="shared" si="482"/>
        <v>816050</v>
      </c>
      <c r="AY340" s="24">
        <f t="shared" si="483"/>
        <v>504119</v>
      </c>
      <c r="AZ340" s="25">
        <f t="shared" si="484"/>
        <v>1.6161234375551004</v>
      </c>
      <c r="BA340" s="24">
        <f t="shared" si="485"/>
        <v>1362269</v>
      </c>
      <c r="BB340" s="169">
        <f t="shared" si="486"/>
        <v>4.367212620739843</v>
      </c>
      <c r="BC340" s="170">
        <f t="shared" si="487"/>
        <v>816050</v>
      </c>
      <c r="BD340" s="150"/>
      <c r="BE340" s="150"/>
      <c r="BF340" s="150"/>
      <c r="BG340" s="150"/>
      <c r="BH340" s="150"/>
      <c r="BI340" s="150"/>
      <c r="BJ340" s="150"/>
      <c r="BK340" s="150"/>
      <c r="BL340" s="150"/>
      <c r="BM340" s="10">
        <v>303937</v>
      </c>
      <c r="BN340" s="317">
        <v>780000</v>
      </c>
      <c r="BO340" s="45">
        <v>837100</v>
      </c>
      <c r="BP340" s="317">
        <v>830000</v>
      </c>
      <c r="BQ340" s="29">
        <f t="shared" si="488"/>
        <v>815700</v>
      </c>
      <c r="BR340" s="24">
        <f t="shared" si="489"/>
        <v>511763</v>
      </c>
      <c r="BS340" s="25">
        <f t="shared" si="490"/>
        <v>1.6837798622740896</v>
      </c>
      <c r="BT340" s="308">
        <f t="shared" si="491"/>
        <v>815700</v>
      </c>
    </row>
    <row r="341" spans="1:72" ht="48" customHeight="1">
      <c r="A341" s="91" t="s">
        <v>23</v>
      </c>
      <c r="B341" s="358" t="s">
        <v>2533</v>
      </c>
      <c r="C341" s="50" t="s">
        <v>202</v>
      </c>
      <c r="D341" s="99" t="s">
        <v>542</v>
      </c>
      <c r="E341" s="48" t="s">
        <v>10</v>
      </c>
      <c r="F341" s="10">
        <v>44530</v>
      </c>
      <c r="G341" s="33">
        <v>57915</v>
      </c>
      <c r="H341" s="31">
        <v>57915</v>
      </c>
      <c r="I341" s="35">
        <v>50622</v>
      </c>
      <c r="J341" s="29">
        <f t="shared" si="422"/>
        <v>55484</v>
      </c>
      <c r="K341" s="24">
        <f t="shared" si="423"/>
        <v>10954</v>
      </c>
      <c r="L341" s="25">
        <f t="shared" si="424"/>
        <v>0.24599146642712777</v>
      </c>
      <c r="M341" s="69">
        <f t="shared" si="425"/>
        <v>55484</v>
      </c>
      <c r="N341" s="77">
        <f t="shared" si="371"/>
        <v>55484</v>
      </c>
      <c r="O341" s="59">
        <v>23427</v>
      </c>
      <c r="P341" s="57">
        <v>58650</v>
      </c>
      <c r="Q341" s="57">
        <v>80000</v>
      </c>
      <c r="R341" s="56">
        <v>67575</v>
      </c>
      <c r="S341" s="58">
        <v>58649.999999999993</v>
      </c>
      <c r="T341" s="60">
        <v>35000</v>
      </c>
      <c r="U341" s="57">
        <v>67447.499999999985</v>
      </c>
      <c r="V341" s="29">
        <f t="shared" si="468"/>
        <v>61220.416666666664</v>
      </c>
      <c r="W341" s="24">
        <f t="shared" si="469"/>
        <v>37793.416666666664</v>
      </c>
      <c r="X341" s="25">
        <f t="shared" si="470"/>
        <v>1.6132418434569797</v>
      </c>
      <c r="Y341" s="69" t="str">
        <f t="shared" si="471"/>
        <v>REVISAR PRECIO</v>
      </c>
      <c r="Z341" s="106">
        <f t="shared" si="472"/>
        <v>61220.416666666664</v>
      </c>
      <c r="AA341" s="73">
        <v>23427</v>
      </c>
      <c r="AB341" s="88">
        <v>55000</v>
      </c>
      <c r="AC341" s="116">
        <v>75000</v>
      </c>
      <c r="AD341" s="74">
        <v>56100</v>
      </c>
      <c r="AE341" s="76">
        <f t="shared" si="473"/>
        <v>62033.333333333336</v>
      </c>
      <c r="AF341" s="24">
        <f t="shared" si="474"/>
        <v>38606.333333333336</v>
      </c>
      <c r="AG341" s="25">
        <f t="shared" si="475"/>
        <v>1.6479418334969622</v>
      </c>
      <c r="AH341" s="77" t="str">
        <f t="shared" si="476"/>
        <v>REVISAR PRECIO</v>
      </c>
      <c r="AI341" s="77">
        <f t="shared" si="477"/>
        <v>62033.333333333336</v>
      </c>
      <c r="AJ341" s="73">
        <v>23427</v>
      </c>
      <c r="AK341" s="79">
        <v>67575</v>
      </c>
      <c r="AL341" s="79">
        <v>51000</v>
      </c>
      <c r="AM341" s="127">
        <v>61200</v>
      </c>
      <c r="AN341" s="128">
        <v>65000</v>
      </c>
      <c r="AO341" s="128">
        <v>50000</v>
      </c>
      <c r="AP341" s="133">
        <f t="shared" si="478"/>
        <v>58955</v>
      </c>
      <c r="AQ341" s="127">
        <f t="shared" si="479"/>
        <v>35528</v>
      </c>
      <c r="AR341" s="134">
        <f t="shared" si="480"/>
        <v>1.51654074358646</v>
      </c>
      <c r="AS341" s="132">
        <f t="shared" si="481"/>
        <v>58955</v>
      </c>
      <c r="AT341" s="10">
        <v>28213</v>
      </c>
      <c r="AU341" s="10">
        <v>51000</v>
      </c>
      <c r="AV341" s="167">
        <v>153000</v>
      </c>
      <c r="AW341" s="168">
        <v>39650</v>
      </c>
      <c r="AX341" s="29">
        <f t="shared" si="482"/>
        <v>45325</v>
      </c>
      <c r="AY341" s="24">
        <f t="shared" si="483"/>
        <v>17112</v>
      </c>
      <c r="AZ341" s="25">
        <f t="shared" si="484"/>
        <v>0.60652890511466351</v>
      </c>
      <c r="BA341" s="24">
        <f t="shared" si="485"/>
        <v>124787</v>
      </c>
      <c r="BB341" s="169">
        <f t="shared" si="486"/>
        <v>4.4230319356325101</v>
      </c>
      <c r="BC341" s="170">
        <f t="shared" si="487"/>
        <v>45325</v>
      </c>
      <c r="BD341" s="150"/>
      <c r="BE341" s="150"/>
      <c r="BF341" s="150"/>
      <c r="BG341" s="150"/>
      <c r="BH341" s="150"/>
      <c r="BI341" s="150"/>
      <c r="BJ341" s="150"/>
      <c r="BK341" s="150"/>
      <c r="BL341" s="150"/>
      <c r="BM341" s="10">
        <v>23313</v>
      </c>
      <c r="BN341" s="45">
        <v>65000</v>
      </c>
      <c r="BO341" s="45">
        <v>51000</v>
      </c>
      <c r="BP341" s="45">
        <v>48500</v>
      </c>
      <c r="BQ341" s="29">
        <f t="shared" si="488"/>
        <v>54833.333333333336</v>
      </c>
      <c r="BR341" s="24">
        <f t="shared" si="489"/>
        <v>31520.333333333336</v>
      </c>
      <c r="BS341" s="25">
        <f t="shared" si="490"/>
        <v>1.3520496432605558</v>
      </c>
      <c r="BT341" s="308">
        <f t="shared" si="491"/>
        <v>54833.333333333336</v>
      </c>
    </row>
    <row r="342" spans="1:72" ht="41.45" customHeight="1">
      <c r="A342" s="91" t="s">
        <v>23</v>
      </c>
      <c r="B342" s="358" t="s">
        <v>2534</v>
      </c>
      <c r="C342" s="50" t="s">
        <v>203</v>
      </c>
      <c r="D342" s="99" t="s">
        <v>543</v>
      </c>
      <c r="E342" s="48" t="s">
        <v>10</v>
      </c>
      <c r="F342" s="10">
        <v>69702</v>
      </c>
      <c r="G342" s="31">
        <v>90653</v>
      </c>
      <c r="H342" s="31">
        <v>117848</v>
      </c>
      <c r="I342" s="35">
        <v>79237</v>
      </c>
      <c r="J342" s="29">
        <f t="shared" si="422"/>
        <v>95912.666666666672</v>
      </c>
      <c r="K342" s="24">
        <f t="shared" si="423"/>
        <v>26210.666666666672</v>
      </c>
      <c r="L342" s="25">
        <f t="shared" si="424"/>
        <v>0.37603894675427779</v>
      </c>
      <c r="M342" s="69" t="str">
        <f t="shared" si="425"/>
        <v>REVISAR PRECIO</v>
      </c>
      <c r="N342" s="77">
        <f t="shared" si="371"/>
        <v>95912.666666666672</v>
      </c>
      <c r="O342" s="59">
        <v>37277</v>
      </c>
      <c r="P342" s="57">
        <v>156400</v>
      </c>
      <c r="Q342" s="57">
        <v>140000</v>
      </c>
      <c r="R342" s="56">
        <v>180200</v>
      </c>
      <c r="S342" s="58">
        <v>156400</v>
      </c>
      <c r="T342" s="60">
        <v>49000</v>
      </c>
      <c r="U342" s="57">
        <v>179860</v>
      </c>
      <c r="V342" s="29">
        <f t="shared" si="468"/>
        <v>143643.33333333334</v>
      </c>
      <c r="W342" s="24">
        <f t="shared" si="469"/>
        <v>106366.33333333334</v>
      </c>
      <c r="X342" s="25">
        <f t="shared" si="470"/>
        <v>2.8534037968005297</v>
      </c>
      <c r="Y342" s="69" t="str">
        <f t="shared" si="471"/>
        <v>REVISAR PRECIO</v>
      </c>
      <c r="Z342" s="106">
        <f t="shared" si="472"/>
        <v>143643.33333333334</v>
      </c>
      <c r="AA342" s="73">
        <v>37277</v>
      </c>
      <c r="AB342" s="88">
        <v>150000</v>
      </c>
      <c r="AC342" s="116">
        <v>150000</v>
      </c>
      <c r="AD342" s="74">
        <v>149600</v>
      </c>
      <c r="AE342" s="76">
        <f t="shared" si="473"/>
        <v>149866.66666666666</v>
      </c>
      <c r="AF342" s="24">
        <f t="shared" si="474"/>
        <v>112589.66666666666</v>
      </c>
      <c r="AG342" s="25">
        <f t="shared" si="475"/>
        <v>3.0203521384946925</v>
      </c>
      <c r="AH342" s="77" t="str">
        <f t="shared" si="476"/>
        <v>REVISAR PRECIO</v>
      </c>
      <c r="AI342" s="77">
        <f t="shared" si="477"/>
        <v>149866.66666666666</v>
      </c>
      <c r="AJ342" s="73">
        <v>37277</v>
      </c>
      <c r="AK342" s="79">
        <v>180200</v>
      </c>
      <c r="AL342" s="79">
        <v>136000</v>
      </c>
      <c r="AM342" s="127">
        <v>163200</v>
      </c>
      <c r="AN342" s="128">
        <v>132500</v>
      </c>
      <c r="AO342" s="128">
        <v>140000</v>
      </c>
      <c r="AP342" s="133">
        <f t="shared" si="478"/>
        <v>150380</v>
      </c>
      <c r="AQ342" s="127">
        <f t="shared" si="479"/>
        <v>113103</v>
      </c>
      <c r="AR342" s="134">
        <f t="shared" si="480"/>
        <v>3.0341229176167608</v>
      </c>
      <c r="AS342" s="132">
        <f t="shared" si="481"/>
        <v>150380</v>
      </c>
      <c r="AT342" s="10">
        <v>44862</v>
      </c>
      <c r="AU342" s="10">
        <v>136000</v>
      </c>
      <c r="AV342" s="167">
        <v>408000</v>
      </c>
      <c r="AW342" s="168">
        <v>58650</v>
      </c>
      <c r="AX342" s="29">
        <f t="shared" si="482"/>
        <v>97325</v>
      </c>
      <c r="AY342" s="24">
        <f t="shared" si="483"/>
        <v>52463</v>
      </c>
      <c r="AZ342" s="25">
        <f t="shared" si="484"/>
        <v>1.1694306985867773</v>
      </c>
      <c r="BA342" s="24">
        <f t="shared" si="485"/>
        <v>363138</v>
      </c>
      <c r="BB342" s="169">
        <f t="shared" si="486"/>
        <v>8.0945566403637823</v>
      </c>
      <c r="BC342" s="170">
        <f t="shared" si="487"/>
        <v>97325</v>
      </c>
      <c r="BD342" s="10">
        <v>40637</v>
      </c>
      <c r="BE342" s="10">
        <v>35000</v>
      </c>
      <c r="BF342" s="10">
        <v>39000</v>
      </c>
      <c r="BG342" s="268">
        <v>39000</v>
      </c>
      <c r="BH342" s="10">
        <v>45000</v>
      </c>
      <c r="BI342" s="76">
        <f t="shared" ref="BI342:BI343" si="492">AVERAGE(BE342,BF342,BG342,BH342)</f>
        <v>39500</v>
      </c>
      <c r="BJ342" s="24">
        <f t="shared" ref="BJ342:BJ343" si="493">BI342-BD342</f>
        <v>-1137</v>
      </c>
      <c r="BK342" s="25">
        <f t="shared" ref="BK342:BK343" si="494">+BJ342/BD342</f>
        <v>-2.7979427615227502E-2</v>
      </c>
      <c r="BL342" s="259">
        <f t="shared" ref="BL342:BL343" si="495">BI342</f>
        <v>39500</v>
      </c>
      <c r="BM342" s="10">
        <v>37087</v>
      </c>
      <c r="BN342" s="45">
        <v>170000</v>
      </c>
      <c r="BO342" s="45">
        <v>136000</v>
      </c>
      <c r="BP342" s="45">
        <v>160000</v>
      </c>
      <c r="BQ342" s="29">
        <f t="shared" si="488"/>
        <v>155333.33333333334</v>
      </c>
      <c r="BR342" s="24">
        <f t="shared" si="489"/>
        <v>118246.33333333334</v>
      </c>
      <c r="BS342" s="25">
        <f t="shared" si="490"/>
        <v>3.1883499159633657</v>
      </c>
      <c r="BT342" s="308">
        <f t="shared" si="491"/>
        <v>155333.33333333334</v>
      </c>
    </row>
    <row r="343" spans="1:72" ht="47.45" customHeight="1">
      <c r="A343" s="91" t="s">
        <v>23</v>
      </c>
      <c r="B343" s="358" t="s">
        <v>2535</v>
      </c>
      <c r="C343" s="50" t="s">
        <v>204</v>
      </c>
      <c r="D343" s="99" t="s">
        <v>544</v>
      </c>
      <c r="E343" s="48" t="s">
        <v>10</v>
      </c>
      <c r="F343" s="10">
        <v>68757</v>
      </c>
      <c r="G343" s="31">
        <v>89424</v>
      </c>
      <c r="H343" s="31">
        <v>116251</v>
      </c>
      <c r="I343" s="35">
        <v>78163.199999999997</v>
      </c>
      <c r="J343" s="29">
        <f t="shared" si="422"/>
        <v>94612.733333333337</v>
      </c>
      <c r="K343" s="24">
        <f t="shared" si="423"/>
        <v>25855.733333333337</v>
      </c>
      <c r="L343" s="25">
        <f t="shared" si="424"/>
        <v>0.37604510571044891</v>
      </c>
      <c r="M343" s="69" t="str">
        <f t="shared" si="425"/>
        <v>REVISAR PRECIO</v>
      </c>
      <c r="N343" s="77">
        <f t="shared" si="371"/>
        <v>94612.733333333337</v>
      </c>
      <c r="O343" s="59">
        <v>38814</v>
      </c>
      <c r="P343" s="57">
        <v>251390</v>
      </c>
      <c r="Q343" s="57">
        <v>420000</v>
      </c>
      <c r="R343" s="56">
        <v>289645</v>
      </c>
      <c r="S343" s="58">
        <v>251390</v>
      </c>
      <c r="T343" s="60">
        <v>90000</v>
      </c>
      <c r="U343" s="57">
        <v>289098.49999999994</v>
      </c>
      <c r="V343" s="29">
        <f t="shared" si="468"/>
        <v>265253.91666666669</v>
      </c>
      <c r="W343" s="24">
        <f t="shared" si="469"/>
        <v>226439.91666666669</v>
      </c>
      <c r="X343" s="25">
        <f t="shared" si="470"/>
        <v>5.8339752838322951</v>
      </c>
      <c r="Y343" s="69" t="str">
        <f t="shared" si="471"/>
        <v>REVISAR PRECIO</v>
      </c>
      <c r="Z343" s="106">
        <f t="shared" si="472"/>
        <v>265253.91666666669</v>
      </c>
      <c r="AA343" s="73">
        <v>38814</v>
      </c>
      <c r="AB343" s="88">
        <v>240000</v>
      </c>
      <c r="AC343" s="116">
        <v>240000</v>
      </c>
      <c r="AD343" s="74">
        <v>240460</v>
      </c>
      <c r="AE343" s="76">
        <f t="shared" si="473"/>
        <v>240153.33333333334</v>
      </c>
      <c r="AF343" s="24">
        <f t="shared" si="474"/>
        <v>201339.33333333334</v>
      </c>
      <c r="AG343" s="25">
        <f t="shared" si="475"/>
        <v>5.1872863743322855</v>
      </c>
      <c r="AH343" s="77" t="str">
        <f t="shared" si="476"/>
        <v>REVISAR PRECIO</v>
      </c>
      <c r="AI343" s="77">
        <f t="shared" si="477"/>
        <v>240153.33333333334</v>
      </c>
      <c r="AJ343" s="73">
        <v>38814</v>
      </c>
      <c r="AK343" s="79">
        <v>289645</v>
      </c>
      <c r="AL343" s="79">
        <v>218600</v>
      </c>
      <c r="AM343" s="127">
        <v>262320</v>
      </c>
      <c r="AN343" s="128">
        <v>250000</v>
      </c>
      <c r="AO343" s="128">
        <v>230000</v>
      </c>
      <c r="AP343" s="133">
        <f t="shared" si="478"/>
        <v>250113</v>
      </c>
      <c r="AQ343" s="127">
        <f t="shared" si="479"/>
        <v>211299</v>
      </c>
      <c r="AR343" s="134">
        <f t="shared" si="480"/>
        <v>5.4438862266192611</v>
      </c>
      <c r="AS343" s="132">
        <f t="shared" si="481"/>
        <v>250113</v>
      </c>
      <c r="AT343" s="10">
        <v>46713</v>
      </c>
      <c r="AU343" s="10">
        <v>218600</v>
      </c>
      <c r="AV343" s="167">
        <v>655800</v>
      </c>
      <c r="AW343" s="168">
        <v>205650</v>
      </c>
      <c r="AX343" s="29">
        <f t="shared" si="482"/>
        <v>212125</v>
      </c>
      <c r="AY343" s="24">
        <f t="shared" si="483"/>
        <v>165412</v>
      </c>
      <c r="AZ343" s="25">
        <f t="shared" si="484"/>
        <v>3.5410271230706654</v>
      </c>
      <c r="BA343" s="24">
        <f t="shared" si="485"/>
        <v>609087</v>
      </c>
      <c r="BB343" s="169">
        <f t="shared" si="486"/>
        <v>13.038918502344101</v>
      </c>
      <c r="BC343" s="170">
        <f t="shared" si="487"/>
        <v>212125</v>
      </c>
      <c r="BD343" s="10">
        <v>34581</v>
      </c>
      <c r="BE343" s="10">
        <v>65000</v>
      </c>
      <c r="BF343" s="10">
        <v>68000</v>
      </c>
      <c r="BG343" s="268">
        <v>68000</v>
      </c>
      <c r="BH343" s="10">
        <v>70000</v>
      </c>
      <c r="BI343" s="76">
        <f t="shared" si="492"/>
        <v>67750</v>
      </c>
      <c r="BJ343" s="24">
        <f t="shared" si="493"/>
        <v>33169</v>
      </c>
      <c r="BK343" s="25">
        <f t="shared" si="494"/>
        <v>0.95916832942945551</v>
      </c>
      <c r="BL343" s="259">
        <f t="shared" si="495"/>
        <v>67750</v>
      </c>
      <c r="BM343" s="10">
        <v>38615</v>
      </c>
      <c r="BN343" s="45">
        <v>250000</v>
      </c>
      <c r="BO343" s="45">
        <v>218600</v>
      </c>
      <c r="BP343" s="45">
        <v>230000</v>
      </c>
      <c r="BQ343" s="29">
        <f t="shared" si="488"/>
        <v>232866.66666666666</v>
      </c>
      <c r="BR343" s="24">
        <f t="shared" si="489"/>
        <v>194251.66666666666</v>
      </c>
      <c r="BS343" s="25">
        <f t="shared" si="490"/>
        <v>5.0304717510466572</v>
      </c>
      <c r="BT343" s="308">
        <f t="shared" si="491"/>
        <v>232866.66666666666</v>
      </c>
    </row>
    <row r="344" spans="1:72" ht="45.6" customHeight="1">
      <c r="A344" s="91" t="s">
        <v>23</v>
      </c>
      <c r="B344" s="358" t="s">
        <v>2536</v>
      </c>
      <c r="C344" s="50" t="s">
        <v>205</v>
      </c>
      <c r="D344" s="99" t="s">
        <v>545</v>
      </c>
      <c r="E344" s="48" t="s">
        <v>13</v>
      </c>
      <c r="F344" s="10">
        <v>146908</v>
      </c>
      <c r="G344" s="31">
        <v>191066</v>
      </c>
      <c r="H344" s="31">
        <v>248385</v>
      </c>
      <c r="I344" s="35">
        <v>167005.4</v>
      </c>
      <c r="J344" s="29">
        <f t="shared" si="422"/>
        <v>202152.13333333333</v>
      </c>
      <c r="K344" s="24">
        <f t="shared" si="423"/>
        <v>55244.133333333331</v>
      </c>
      <c r="L344" s="25">
        <f t="shared" si="424"/>
        <v>0.37604577921783244</v>
      </c>
      <c r="M344" s="69" t="str">
        <f t="shared" si="425"/>
        <v>REVISAR PRECIO</v>
      </c>
      <c r="N344" s="77">
        <f t="shared" si="371"/>
        <v>202152.13333333333</v>
      </c>
      <c r="O344" s="59">
        <v>82926</v>
      </c>
      <c r="P344" s="57">
        <v>109250</v>
      </c>
      <c r="Q344" s="57">
        <v>160000</v>
      </c>
      <c r="R344" s="56">
        <v>125875</v>
      </c>
      <c r="S344" s="58">
        <v>109249.99999999999</v>
      </c>
      <c r="T344" s="60">
        <v>138000</v>
      </c>
      <c r="U344" s="57">
        <v>125637.49999999997</v>
      </c>
      <c r="V344" s="29">
        <f t="shared" si="468"/>
        <v>128002.08333333333</v>
      </c>
      <c r="W344" s="24">
        <f t="shared" si="469"/>
        <v>45076.083333333328</v>
      </c>
      <c r="X344" s="25">
        <f t="shared" si="470"/>
        <v>0.54356997001342555</v>
      </c>
      <c r="Y344" s="69" t="str">
        <f t="shared" si="471"/>
        <v>REVISAR PRECIO</v>
      </c>
      <c r="Z344" s="106">
        <f t="shared" si="472"/>
        <v>128002.08333333333</v>
      </c>
      <c r="AA344" s="73">
        <v>82926</v>
      </c>
      <c r="AB344" s="88">
        <v>100000</v>
      </c>
      <c r="AC344" s="116">
        <v>100000</v>
      </c>
      <c r="AD344" s="74">
        <v>104500</v>
      </c>
      <c r="AE344" s="76">
        <f t="shared" si="473"/>
        <v>101500</v>
      </c>
      <c r="AF344" s="24">
        <f t="shared" si="474"/>
        <v>18574</v>
      </c>
      <c r="AG344" s="25">
        <f t="shared" si="475"/>
        <v>0.22398282806357475</v>
      </c>
      <c r="AH344" s="77">
        <f t="shared" si="476"/>
        <v>101500</v>
      </c>
      <c r="AI344" s="77">
        <f t="shared" si="477"/>
        <v>101500</v>
      </c>
      <c r="AJ344" s="73">
        <v>82926</v>
      </c>
      <c r="AK344" s="79">
        <v>125875</v>
      </c>
      <c r="AL344" s="79">
        <v>95000</v>
      </c>
      <c r="AM344" s="127">
        <v>114000</v>
      </c>
      <c r="AN344" s="128">
        <v>100000</v>
      </c>
      <c r="AO344" s="128">
        <v>100000</v>
      </c>
      <c r="AP344" s="133">
        <f t="shared" si="478"/>
        <v>106975</v>
      </c>
      <c r="AQ344" s="127">
        <f t="shared" si="479"/>
        <v>24049</v>
      </c>
      <c r="AR344" s="134">
        <f t="shared" si="480"/>
        <v>0.29000554711429466</v>
      </c>
      <c r="AS344" s="132">
        <f t="shared" si="481"/>
        <v>106975</v>
      </c>
      <c r="AT344" s="10">
        <v>84588</v>
      </c>
      <c r="AU344" s="10">
        <v>95000</v>
      </c>
      <c r="AV344" s="167">
        <v>285000</v>
      </c>
      <c r="AW344" s="168">
        <v>78680</v>
      </c>
      <c r="AX344" s="29">
        <f t="shared" si="482"/>
        <v>86840</v>
      </c>
      <c r="AY344" s="24">
        <f t="shared" si="483"/>
        <v>2252</v>
      </c>
      <c r="AZ344" s="25">
        <f t="shared" si="484"/>
        <v>2.6623161677779353E-2</v>
      </c>
      <c r="BA344" s="24">
        <f t="shared" si="485"/>
        <v>200412</v>
      </c>
      <c r="BB344" s="169">
        <f t="shared" si="486"/>
        <v>2.3692722371967654</v>
      </c>
      <c r="BC344" s="170">
        <f t="shared" si="487"/>
        <v>86840</v>
      </c>
      <c r="BD344" s="150"/>
      <c r="BE344" s="150"/>
      <c r="BF344" s="150"/>
      <c r="BG344" s="150"/>
      <c r="BH344" s="150"/>
      <c r="BI344" s="150"/>
      <c r="BJ344" s="150"/>
      <c r="BK344" s="150"/>
      <c r="BL344" s="150"/>
      <c r="BM344" s="10">
        <v>82517</v>
      </c>
      <c r="BN344" s="45">
        <v>95000</v>
      </c>
      <c r="BO344" s="45">
        <v>95000</v>
      </c>
      <c r="BP344" s="45">
        <v>95000</v>
      </c>
      <c r="BQ344" s="29">
        <f t="shared" si="488"/>
        <v>95000</v>
      </c>
      <c r="BR344" s="24">
        <f t="shared" si="489"/>
        <v>12483</v>
      </c>
      <c r="BS344" s="25">
        <f t="shared" si="490"/>
        <v>0.15127791848952338</v>
      </c>
      <c r="BT344" s="308">
        <f t="shared" si="491"/>
        <v>95000</v>
      </c>
    </row>
    <row r="345" spans="1:72" ht="45.6" customHeight="1">
      <c r="A345" s="91" t="s">
        <v>23</v>
      </c>
      <c r="B345" s="358" t="s">
        <v>2537</v>
      </c>
      <c r="C345" s="50" t="s">
        <v>206</v>
      </c>
      <c r="D345" s="99" t="s">
        <v>546</v>
      </c>
      <c r="E345" s="48" t="s">
        <v>10</v>
      </c>
      <c r="F345" s="10">
        <v>340236</v>
      </c>
      <c r="G345" s="31">
        <v>442503</v>
      </c>
      <c r="H345" s="31">
        <v>575254</v>
      </c>
      <c r="I345" s="35">
        <v>386780.4</v>
      </c>
      <c r="J345" s="29">
        <f t="shared" si="422"/>
        <v>468179.1333333333</v>
      </c>
      <c r="K345" s="24">
        <f t="shared" si="423"/>
        <v>127943.1333333333</v>
      </c>
      <c r="L345" s="25">
        <f t="shared" si="424"/>
        <v>0.37604231572594699</v>
      </c>
      <c r="M345" s="69" t="str">
        <f t="shared" si="425"/>
        <v>REVISAR PRECIO</v>
      </c>
      <c r="N345" s="77">
        <f t="shared" si="371"/>
        <v>468179.1333333333</v>
      </c>
      <c r="O345" s="59">
        <v>192060</v>
      </c>
      <c r="P345" s="57">
        <v>51750</v>
      </c>
      <c r="Q345" s="57">
        <v>70000</v>
      </c>
      <c r="R345" s="56">
        <v>59625</v>
      </c>
      <c r="S345" s="58">
        <v>51749.999999999993</v>
      </c>
      <c r="T345" s="60"/>
      <c r="U345" s="57">
        <v>59512.499999999985</v>
      </c>
      <c r="V345" s="29">
        <f t="shared" si="468"/>
        <v>58527.5</v>
      </c>
      <c r="W345" s="24">
        <f t="shared" si="469"/>
        <v>-133532.5</v>
      </c>
      <c r="X345" s="25">
        <f t="shared" si="470"/>
        <v>-0.69526450067687184</v>
      </c>
      <c r="Y345" s="69">
        <f t="shared" si="471"/>
        <v>58527.5</v>
      </c>
      <c r="Z345" s="106">
        <f t="shared" si="472"/>
        <v>58527.5</v>
      </c>
      <c r="AA345" s="73">
        <v>192060</v>
      </c>
      <c r="AB345" s="88">
        <v>50000</v>
      </c>
      <c r="AC345" s="116">
        <v>50000</v>
      </c>
      <c r="AD345" s="74">
        <v>49500</v>
      </c>
      <c r="AE345" s="76">
        <f t="shared" si="473"/>
        <v>49833.333333333336</v>
      </c>
      <c r="AF345" s="24">
        <f t="shared" si="474"/>
        <v>-142226.66666666666</v>
      </c>
      <c r="AG345" s="25">
        <f t="shared" si="475"/>
        <v>-0.74053247249123533</v>
      </c>
      <c r="AH345" s="77">
        <f t="shared" si="476"/>
        <v>49833.333333333336</v>
      </c>
      <c r="AI345" s="77">
        <f t="shared" si="477"/>
        <v>49833.333333333336</v>
      </c>
      <c r="AJ345" s="73">
        <v>192060</v>
      </c>
      <c r="AK345" s="79">
        <v>59625</v>
      </c>
      <c r="AL345" s="79">
        <v>45000</v>
      </c>
      <c r="AM345" s="127">
        <v>54000</v>
      </c>
      <c r="AN345" s="128">
        <v>54300</v>
      </c>
      <c r="AO345" s="128">
        <v>50000</v>
      </c>
      <c r="AP345" s="133">
        <f t="shared" si="478"/>
        <v>52585</v>
      </c>
      <c r="AQ345" s="127">
        <f t="shared" si="479"/>
        <v>-139475</v>
      </c>
      <c r="AR345" s="134">
        <f t="shared" si="480"/>
        <v>-0.7262053524940123</v>
      </c>
      <c r="AS345" s="132">
        <f t="shared" si="481"/>
        <v>52585</v>
      </c>
      <c r="AT345" s="10">
        <v>195906</v>
      </c>
      <c r="AU345" s="10">
        <v>45000</v>
      </c>
      <c r="AV345" s="167">
        <v>135000</v>
      </c>
      <c r="AW345" s="168">
        <v>45000</v>
      </c>
      <c r="AX345" s="29">
        <f t="shared" si="482"/>
        <v>45000</v>
      </c>
      <c r="AY345" s="24">
        <f t="shared" si="483"/>
        <v>-150906</v>
      </c>
      <c r="AZ345" s="25">
        <f t="shared" si="484"/>
        <v>-0.77029800006125382</v>
      </c>
      <c r="BA345" s="24">
        <f t="shared" si="485"/>
        <v>-60906</v>
      </c>
      <c r="BB345" s="169">
        <f t="shared" si="486"/>
        <v>-0.31089400018376162</v>
      </c>
      <c r="BC345" s="170">
        <f t="shared" si="487"/>
        <v>45000</v>
      </c>
      <c r="BD345" s="10">
        <v>171148</v>
      </c>
      <c r="BE345" s="10"/>
      <c r="BF345" s="10"/>
      <c r="BG345" s="268"/>
      <c r="BH345" s="10">
        <v>800000</v>
      </c>
      <c r="BI345" s="76">
        <f t="shared" ref="BI345" si="496">AVERAGE(BE345,BF345,BG345,BH345)</f>
        <v>800000</v>
      </c>
      <c r="BJ345" s="24">
        <f t="shared" ref="BJ345" si="497">BI345-BD345</f>
        <v>628852</v>
      </c>
      <c r="BK345" s="25">
        <f t="shared" ref="BK345" si="498">+BJ345/BD345</f>
        <v>3.6743169654334262</v>
      </c>
      <c r="BL345" s="259">
        <f t="shared" ref="BL345" si="499">BI345</f>
        <v>800000</v>
      </c>
      <c r="BM345" s="10">
        <v>191110</v>
      </c>
      <c r="BN345" s="45"/>
      <c r="BO345" s="45">
        <v>45000</v>
      </c>
      <c r="BP345" s="45">
        <v>55000</v>
      </c>
      <c r="BQ345" s="29">
        <f t="shared" si="488"/>
        <v>50000</v>
      </c>
      <c r="BR345" s="24">
        <f t="shared" si="489"/>
        <v>-141110</v>
      </c>
      <c r="BS345" s="25">
        <f t="shared" si="490"/>
        <v>-0.73837057192192979</v>
      </c>
      <c r="BT345" s="308">
        <f t="shared" si="491"/>
        <v>50000</v>
      </c>
    </row>
    <row r="346" spans="1:72" ht="45.6" customHeight="1">
      <c r="A346" s="91" t="s">
        <v>23</v>
      </c>
      <c r="B346" s="358" t="s">
        <v>2538</v>
      </c>
      <c r="C346" s="50" t="s">
        <v>207</v>
      </c>
      <c r="D346" s="99" t="s">
        <v>547</v>
      </c>
      <c r="E346" s="48" t="s">
        <v>13</v>
      </c>
      <c r="F346" s="10">
        <v>455682</v>
      </c>
      <c r="G346" s="31">
        <v>592650</v>
      </c>
      <c r="H346" s="31">
        <v>770445</v>
      </c>
      <c r="I346" s="35">
        <v>518020</v>
      </c>
      <c r="J346" s="29">
        <f t="shared" si="422"/>
        <v>627038.33333333337</v>
      </c>
      <c r="K346" s="24">
        <f t="shared" si="423"/>
        <v>171356.33333333337</v>
      </c>
      <c r="L346" s="25">
        <f t="shared" si="424"/>
        <v>0.37604367373153508</v>
      </c>
      <c r="M346" s="69" t="str">
        <f t="shared" si="425"/>
        <v>REVISAR PRECIO</v>
      </c>
      <c r="N346" s="77">
        <f t="shared" si="371"/>
        <v>627038.33333333337</v>
      </c>
      <c r="O346" s="59">
        <v>265750</v>
      </c>
      <c r="P346" s="57">
        <v>341260.31500000006</v>
      </c>
      <c r="Q346" s="57">
        <v>380000</v>
      </c>
      <c r="R346" s="56">
        <v>393191.23250000004</v>
      </c>
      <c r="S346" s="58">
        <v>436999.99999999994</v>
      </c>
      <c r="T346" s="60">
        <v>270000</v>
      </c>
      <c r="U346" s="57">
        <v>502549.99999999988</v>
      </c>
      <c r="V346" s="29">
        <f t="shared" si="468"/>
        <v>387333.59125</v>
      </c>
      <c r="W346" s="24">
        <f t="shared" si="469"/>
        <v>121583.59125</v>
      </c>
      <c r="X346" s="25">
        <f t="shared" si="470"/>
        <v>0.45751116180620882</v>
      </c>
      <c r="Y346" s="69" t="str">
        <f t="shared" si="471"/>
        <v>REVISAR PRECIO</v>
      </c>
      <c r="Z346" s="106">
        <f t="shared" si="472"/>
        <v>387333.59125</v>
      </c>
      <c r="AA346" s="73">
        <v>265750</v>
      </c>
      <c r="AB346" s="88">
        <v>325000</v>
      </c>
      <c r="AC346" s="116">
        <v>325000</v>
      </c>
      <c r="AD346" s="74">
        <v>326422.91000000003</v>
      </c>
      <c r="AE346" s="76">
        <f t="shared" si="473"/>
        <v>325474.30333333334</v>
      </c>
      <c r="AF346" s="24">
        <f t="shared" si="474"/>
        <v>59724.303333333344</v>
      </c>
      <c r="AG346" s="25">
        <f t="shared" si="475"/>
        <v>0.22473867670116027</v>
      </c>
      <c r="AH346" s="77">
        <f t="shared" si="476"/>
        <v>325474.30333333334</v>
      </c>
      <c r="AI346" s="77">
        <f t="shared" si="477"/>
        <v>325474.30333333334</v>
      </c>
      <c r="AJ346" s="73">
        <v>265750</v>
      </c>
      <c r="AK346" s="79">
        <v>393191.23250000004</v>
      </c>
      <c r="AL346" s="79">
        <f>269771*1.1</f>
        <v>296748.10000000003</v>
      </c>
      <c r="AM346" s="127">
        <v>356097.72000000003</v>
      </c>
      <c r="AN346" s="128">
        <v>330000</v>
      </c>
      <c r="AO346" s="128">
        <v>300000</v>
      </c>
      <c r="AP346" s="133">
        <f t="shared" si="478"/>
        <v>335207.4105</v>
      </c>
      <c r="AQ346" s="127">
        <f t="shared" si="479"/>
        <v>69457.410499999998</v>
      </c>
      <c r="AR346" s="134">
        <f t="shared" si="480"/>
        <v>0.26136372718720602</v>
      </c>
      <c r="AS346" s="132">
        <f t="shared" si="481"/>
        <v>335207.4105</v>
      </c>
      <c r="AT346" s="10">
        <v>263985</v>
      </c>
      <c r="AU346" s="10">
        <v>296748</v>
      </c>
      <c r="AV346" s="167">
        <v>890244</v>
      </c>
      <c r="AW346" s="168">
        <v>295680</v>
      </c>
      <c r="AX346" s="29">
        <f t="shared" si="482"/>
        <v>296214</v>
      </c>
      <c r="AY346" s="24">
        <f t="shared" si="483"/>
        <v>32229</v>
      </c>
      <c r="AZ346" s="25">
        <f t="shared" si="484"/>
        <v>0.12208648218648786</v>
      </c>
      <c r="BA346" s="24">
        <f t="shared" si="485"/>
        <v>626259</v>
      </c>
      <c r="BB346" s="169">
        <f t="shared" si="486"/>
        <v>2.3723279731802944</v>
      </c>
      <c r="BC346" s="170">
        <f t="shared" si="487"/>
        <v>296214</v>
      </c>
      <c r="BD346" s="150"/>
      <c r="BE346" s="150"/>
      <c r="BF346" s="150"/>
      <c r="BG346" s="150"/>
      <c r="BH346" s="150"/>
      <c r="BI346" s="150"/>
      <c r="BJ346" s="150"/>
      <c r="BK346" s="150"/>
      <c r="BL346" s="150"/>
      <c r="BM346" s="10">
        <v>252640</v>
      </c>
      <c r="BN346" s="45"/>
      <c r="BO346" s="45">
        <v>296748</v>
      </c>
      <c r="BP346" s="45">
        <v>293000</v>
      </c>
      <c r="BQ346" s="29">
        <f t="shared" si="488"/>
        <v>294874</v>
      </c>
      <c r="BR346" s="24">
        <f t="shared" si="489"/>
        <v>42234</v>
      </c>
      <c r="BS346" s="25">
        <f t="shared" si="490"/>
        <v>0.16717067764407853</v>
      </c>
      <c r="BT346" s="308">
        <f t="shared" si="491"/>
        <v>294874</v>
      </c>
    </row>
    <row r="347" spans="1:72" ht="44.45" customHeight="1">
      <c r="A347" s="91" t="s">
        <v>23</v>
      </c>
      <c r="B347" s="358" t="s">
        <v>2539</v>
      </c>
      <c r="C347" s="50" t="s">
        <v>208</v>
      </c>
      <c r="D347" s="102" t="s">
        <v>548</v>
      </c>
      <c r="E347" s="48" t="s">
        <v>13</v>
      </c>
      <c r="F347" s="10">
        <v>231370</v>
      </c>
      <c r="G347" s="31">
        <v>300915</v>
      </c>
      <c r="H347" s="31">
        <v>391190</v>
      </c>
      <c r="I347" s="35">
        <v>263022</v>
      </c>
      <c r="J347" s="29">
        <f t="shared" si="422"/>
        <v>318375.66666666669</v>
      </c>
      <c r="K347" s="24">
        <f t="shared" si="423"/>
        <v>87005.666666666686</v>
      </c>
      <c r="L347" s="25">
        <f t="shared" si="424"/>
        <v>0.37604558355303924</v>
      </c>
      <c r="M347" s="69" t="str">
        <f t="shared" si="425"/>
        <v>REVISAR PRECIO</v>
      </c>
      <c r="N347" s="77">
        <f t="shared" si="371"/>
        <v>318375.66666666669</v>
      </c>
      <c r="O347" s="59">
        <v>156729</v>
      </c>
      <c r="P347" s="57">
        <v>179170</v>
      </c>
      <c r="Q347" s="57">
        <v>420000</v>
      </c>
      <c r="R347" s="56">
        <v>206435</v>
      </c>
      <c r="S347" s="58">
        <v>310500</v>
      </c>
      <c r="T347" s="60">
        <v>230000</v>
      </c>
      <c r="U347" s="57">
        <v>357075</v>
      </c>
      <c r="V347" s="29">
        <f t="shared" si="468"/>
        <v>283863.33333333331</v>
      </c>
      <c r="W347" s="24">
        <f t="shared" si="469"/>
        <v>127134.33333333331</v>
      </c>
      <c r="X347" s="25">
        <f t="shared" si="470"/>
        <v>0.81117300138030179</v>
      </c>
      <c r="Y347" s="69" t="str">
        <f t="shared" si="471"/>
        <v>REVISAR PRECIO</v>
      </c>
      <c r="Z347" s="106">
        <f t="shared" si="472"/>
        <v>283863.33333333331</v>
      </c>
      <c r="AA347" s="73">
        <v>156729</v>
      </c>
      <c r="AB347" s="88">
        <v>163000</v>
      </c>
      <c r="AC347" s="116">
        <v>180000</v>
      </c>
      <c r="AD347" s="74">
        <v>171380</v>
      </c>
      <c r="AE347" s="76">
        <f t="shared" si="473"/>
        <v>171460</v>
      </c>
      <c r="AF347" s="24">
        <f t="shared" si="474"/>
        <v>14731</v>
      </c>
      <c r="AG347" s="25">
        <f t="shared" si="475"/>
        <v>9.3990263448372663E-2</v>
      </c>
      <c r="AH347" s="77">
        <f t="shared" si="476"/>
        <v>171460</v>
      </c>
      <c r="AI347" s="77">
        <f t="shared" si="477"/>
        <v>171460</v>
      </c>
      <c r="AJ347" s="73">
        <v>156729</v>
      </c>
      <c r="AK347" s="79">
        <v>206435</v>
      </c>
      <c r="AL347" s="79">
        <v>155800</v>
      </c>
      <c r="AM347" s="127">
        <v>186960</v>
      </c>
      <c r="AN347" s="128">
        <v>165000</v>
      </c>
      <c r="AO347" s="128">
        <v>160000</v>
      </c>
      <c r="AP347" s="133">
        <f t="shared" si="478"/>
        <v>174839</v>
      </c>
      <c r="AQ347" s="127">
        <f t="shared" si="479"/>
        <v>18110</v>
      </c>
      <c r="AR347" s="134">
        <f t="shared" si="480"/>
        <v>0.11554977062317759</v>
      </c>
      <c r="AS347" s="132">
        <f t="shared" si="481"/>
        <v>174839</v>
      </c>
      <c r="AT347" s="10">
        <v>154955</v>
      </c>
      <c r="AU347" s="10">
        <v>155800</v>
      </c>
      <c r="AV347" s="167">
        <v>467400</v>
      </c>
      <c r="AW347" s="168">
        <v>285000</v>
      </c>
      <c r="AX347" s="29">
        <f t="shared" si="482"/>
        <v>220400</v>
      </c>
      <c r="AY347" s="24">
        <f t="shared" si="483"/>
        <v>65445</v>
      </c>
      <c r="AZ347" s="25">
        <f t="shared" si="484"/>
        <v>0.42234842373592335</v>
      </c>
      <c r="BA347" s="24">
        <f t="shared" si="485"/>
        <v>312445</v>
      </c>
      <c r="BB347" s="169">
        <f t="shared" si="486"/>
        <v>2.0163595882675613</v>
      </c>
      <c r="BC347" s="170">
        <f t="shared" si="487"/>
        <v>220400</v>
      </c>
      <c r="BD347" s="150"/>
      <c r="BE347" s="150"/>
      <c r="BF347" s="150"/>
      <c r="BG347" s="150"/>
      <c r="BH347" s="150"/>
      <c r="BI347" s="150"/>
      <c r="BJ347" s="150"/>
      <c r="BK347" s="150"/>
      <c r="BL347" s="150"/>
      <c r="BM347" s="10">
        <v>145206</v>
      </c>
      <c r="BN347" s="45"/>
      <c r="BO347" s="45">
        <v>155800</v>
      </c>
      <c r="BP347" s="45">
        <v>180000</v>
      </c>
      <c r="BQ347" s="29">
        <f t="shared" si="488"/>
        <v>167900</v>
      </c>
      <c r="BR347" s="24">
        <f t="shared" si="489"/>
        <v>22694</v>
      </c>
      <c r="BS347" s="25">
        <f t="shared" si="490"/>
        <v>0.15628830764568957</v>
      </c>
      <c r="BT347" s="308">
        <f t="shared" si="491"/>
        <v>167900</v>
      </c>
    </row>
    <row r="348" spans="1:72" ht="44.45" customHeight="1">
      <c r="A348" s="91" t="s">
        <v>23</v>
      </c>
      <c r="B348" s="358" t="s">
        <v>2540</v>
      </c>
      <c r="C348" s="50" t="s">
        <v>209</v>
      </c>
      <c r="D348" s="99" t="s">
        <v>549</v>
      </c>
      <c r="E348" s="48" t="s">
        <v>13</v>
      </c>
      <c r="F348" s="10">
        <v>176138</v>
      </c>
      <c r="G348" s="31">
        <v>229082</v>
      </c>
      <c r="H348" s="31">
        <v>297806</v>
      </c>
      <c r="I348" s="35">
        <v>200234.2</v>
      </c>
      <c r="J348" s="29">
        <f t="shared" si="422"/>
        <v>242374.06666666665</v>
      </c>
      <c r="K348" s="24">
        <f t="shared" si="423"/>
        <v>66236.066666666651</v>
      </c>
      <c r="L348" s="25">
        <f t="shared" si="424"/>
        <v>0.3760464332890498</v>
      </c>
      <c r="M348" s="69" t="str">
        <f t="shared" si="425"/>
        <v>REVISAR PRECIO</v>
      </c>
      <c r="N348" s="77">
        <f t="shared" si="371"/>
        <v>242374.06666666665</v>
      </c>
      <c r="O348" s="59">
        <v>119320</v>
      </c>
      <c r="P348" s="57">
        <v>154456.5</v>
      </c>
      <c r="Q348" s="57">
        <v>270000</v>
      </c>
      <c r="R348" s="56">
        <v>177960.75</v>
      </c>
      <c r="S348" s="58">
        <v>188599.99999999997</v>
      </c>
      <c r="T348" s="60">
        <v>255000</v>
      </c>
      <c r="U348" s="57">
        <v>216889.99999999994</v>
      </c>
      <c r="V348" s="29">
        <f t="shared" si="468"/>
        <v>210484.54166666666</v>
      </c>
      <c r="W348" s="24">
        <f t="shared" si="469"/>
        <v>91164.541666666657</v>
      </c>
      <c r="X348" s="25">
        <f t="shared" si="470"/>
        <v>0.76403404011621401</v>
      </c>
      <c r="Y348" s="69" t="str">
        <f t="shared" si="471"/>
        <v>REVISAR PRECIO</v>
      </c>
      <c r="Z348" s="106">
        <f t="shared" si="472"/>
        <v>210484.54166666666</v>
      </c>
      <c r="AA348" s="73">
        <v>119320</v>
      </c>
      <c r="AB348" s="88">
        <v>141000</v>
      </c>
      <c r="AC348" s="116">
        <v>157000</v>
      </c>
      <c r="AD348" s="74">
        <v>147741</v>
      </c>
      <c r="AE348" s="76">
        <f t="shared" si="473"/>
        <v>148580.33333333334</v>
      </c>
      <c r="AF348" s="24">
        <f t="shared" si="474"/>
        <v>29260.333333333343</v>
      </c>
      <c r="AG348" s="25">
        <f t="shared" si="475"/>
        <v>0.24522572354453021</v>
      </c>
      <c r="AH348" s="77">
        <f t="shared" si="476"/>
        <v>148580.33333333334</v>
      </c>
      <c r="AI348" s="77">
        <f t="shared" si="477"/>
        <v>148580.33333333334</v>
      </c>
      <c r="AJ348" s="73">
        <v>119320</v>
      </c>
      <c r="AK348" s="79">
        <v>177960.75</v>
      </c>
      <c r="AL348" s="79">
        <f>122100*1.1</f>
        <v>134310</v>
      </c>
      <c r="AM348" s="127">
        <v>161172</v>
      </c>
      <c r="AN348" s="128">
        <v>150000</v>
      </c>
      <c r="AO348" s="128">
        <v>150000</v>
      </c>
      <c r="AP348" s="133">
        <f t="shared" si="478"/>
        <v>154688.54999999999</v>
      </c>
      <c r="AQ348" s="127">
        <f t="shared" si="479"/>
        <v>35368.549999999988</v>
      </c>
      <c r="AR348" s="134">
        <f t="shared" si="480"/>
        <v>0.29641761649346288</v>
      </c>
      <c r="AS348" s="132">
        <f t="shared" si="481"/>
        <v>154688.54999999999</v>
      </c>
      <c r="AT348" s="10">
        <v>119824</v>
      </c>
      <c r="AU348" s="10">
        <v>134310</v>
      </c>
      <c r="AV348" s="167">
        <v>537240</v>
      </c>
      <c r="AW348" s="168">
        <v>138500</v>
      </c>
      <c r="AX348" s="29">
        <f t="shared" si="482"/>
        <v>136405</v>
      </c>
      <c r="AY348" s="24">
        <f t="shared" si="483"/>
        <v>16581</v>
      </c>
      <c r="AZ348" s="25">
        <f t="shared" si="484"/>
        <v>0.13837795433302177</v>
      </c>
      <c r="BA348" s="24">
        <f t="shared" si="485"/>
        <v>417416</v>
      </c>
      <c r="BB348" s="169">
        <f t="shared" si="486"/>
        <v>3.4835759113366271</v>
      </c>
      <c r="BC348" s="170">
        <f t="shared" si="487"/>
        <v>136405</v>
      </c>
      <c r="BD348" s="10">
        <v>103885</v>
      </c>
      <c r="BE348" s="10">
        <v>184000</v>
      </c>
      <c r="BF348" s="10">
        <v>190000</v>
      </c>
      <c r="BG348" s="268">
        <v>190000</v>
      </c>
      <c r="BH348" s="10">
        <v>250000</v>
      </c>
      <c r="BI348" s="76">
        <f t="shared" ref="BI348:BI354" si="500">AVERAGE(BE348,BF348,BG348,BH348)</f>
        <v>203500</v>
      </c>
      <c r="BJ348" s="24">
        <f t="shared" ref="BJ348:BJ354" si="501">BI348-BD348</f>
        <v>99615</v>
      </c>
      <c r="BK348" s="25">
        <f t="shared" ref="BK348:BK354" si="502">+BJ348/BD348</f>
        <v>0.95889685710160277</v>
      </c>
      <c r="BL348" s="259">
        <f t="shared" ref="BL348:BL354" si="503">BI348</f>
        <v>203500</v>
      </c>
      <c r="BM348" s="10">
        <v>116405</v>
      </c>
      <c r="BN348" s="45"/>
      <c r="BO348" s="45">
        <v>134310</v>
      </c>
      <c r="BP348" s="45">
        <v>150000</v>
      </c>
      <c r="BQ348" s="29">
        <f t="shared" si="488"/>
        <v>142155</v>
      </c>
      <c r="BR348" s="24">
        <f t="shared" si="489"/>
        <v>25750</v>
      </c>
      <c r="BS348" s="25">
        <f t="shared" si="490"/>
        <v>0.22121042910527899</v>
      </c>
      <c r="BT348" s="308">
        <f t="shared" si="491"/>
        <v>142155</v>
      </c>
    </row>
    <row r="349" spans="1:72" ht="44.45" customHeight="1">
      <c r="A349" s="91" t="s">
        <v>23</v>
      </c>
      <c r="B349" s="358" t="s">
        <v>2541</v>
      </c>
      <c r="C349" s="50" t="s">
        <v>210</v>
      </c>
      <c r="D349" s="99" t="s">
        <v>550</v>
      </c>
      <c r="E349" s="48" t="s">
        <v>13</v>
      </c>
      <c r="F349" s="10">
        <v>193161</v>
      </c>
      <c r="G349" s="31">
        <v>251222</v>
      </c>
      <c r="H349" s="31">
        <v>326588</v>
      </c>
      <c r="I349" s="35">
        <v>219586.2</v>
      </c>
      <c r="J349" s="29">
        <f t="shared" si="422"/>
        <v>265798.73333333334</v>
      </c>
      <c r="K349" s="24">
        <f t="shared" si="423"/>
        <v>72637.733333333337</v>
      </c>
      <c r="L349" s="25">
        <f t="shared" si="424"/>
        <v>0.37604761485669125</v>
      </c>
      <c r="M349" s="69" t="str">
        <f t="shared" si="425"/>
        <v>REVISAR PRECIO</v>
      </c>
      <c r="N349" s="77">
        <f t="shared" si="371"/>
        <v>265798.73333333334</v>
      </c>
      <c r="O349" s="59">
        <v>130843</v>
      </c>
      <c r="P349" s="57">
        <v>162710.625</v>
      </c>
      <c r="Q349" s="57">
        <v>320000</v>
      </c>
      <c r="R349" s="56">
        <v>187470.9375</v>
      </c>
      <c r="S349" s="58">
        <v>285000</v>
      </c>
      <c r="T349" s="60">
        <v>278000</v>
      </c>
      <c r="U349" s="57">
        <v>232759.99999999994</v>
      </c>
      <c r="V349" s="29">
        <f t="shared" si="468"/>
        <v>244323.59375</v>
      </c>
      <c r="W349" s="24">
        <f t="shared" si="469"/>
        <v>113480.59375</v>
      </c>
      <c r="X349" s="25">
        <f t="shared" si="470"/>
        <v>0.86730351451739873</v>
      </c>
      <c r="Y349" s="69" t="str">
        <f t="shared" si="471"/>
        <v>REVISAR PRECIO</v>
      </c>
      <c r="Z349" s="106">
        <f t="shared" si="472"/>
        <v>244323.59375</v>
      </c>
      <c r="AA349" s="73">
        <v>130843</v>
      </c>
      <c r="AB349" s="88">
        <v>150000</v>
      </c>
      <c r="AC349" s="116">
        <v>150000</v>
      </c>
      <c r="AD349" s="74">
        <v>155636.25</v>
      </c>
      <c r="AE349" s="76">
        <f t="shared" si="473"/>
        <v>151878.75</v>
      </c>
      <c r="AF349" s="24">
        <f t="shared" si="474"/>
        <v>21035.75</v>
      </c>
      <c r="AG349" s="25">
        <f t="shared" si="475"/>
        <v>0.16077092393173498</v>
      </c>
      <c r="AH349" s="77">
        <f t="shared" si="476"/>
        <v>151878.75</v>
      </c>
      <c r="AI349" s="77">
        <f t="shared" si="477"/>
        <v>151878.75</v>
      </c>
      <c r="AJ349" s="73">
        <v>130843</v>
      </c>
      <c r="AK349" s="79">
        <v>187470.9375</v>
      </c>
      <c r="AL349" s="79">
        <f>128625*1.1</f>
        <v>141487.5</v>
      </c>
      <c r="AM349" s="127">
        <v>169785</v>
      </c>
      <c r="AN349" s="128">
        <v>140000</v>
      </c>
      <c r="AO349" s="128">
        <v>145000</v>
      </c>
      <c r="AP349" s="133">
        <f t="shared" si="478"/>
        <v>156748.6875</v>
      </c>
      <c r="AQ349" s="127">
        <f t="shared" si="479"/>
        <v>25905.6875</v>
      </c>
      <c r="AR349" s="134">
        <f t="shared" si="480"/>
        <v>0.1979906261702957</v>
      </c>
      <c r="AS349" s="132">
        <f t="shared" si="481"/>
        <v>156748.6875</v>
      </c>
      <c r="AT349" s="10">
        <v>130854</v>
      </c>
      <c r="AU349" s="10">
        <v>141488</v>
      </c>
      <c r="AV349" s="167">
        <v>565952</v>
      </c>
      <c r="AW349" s="168">
        <v>141000</v>
      </c>
      <c r="AX349" s="29">
        <f t="shared" si="482"/>
        <v>141244</v>
      </c>
      <c r="AY349" s="24">
        <f t="shared" si="483"/>
        <v>10390</v>
      </c>
      <c r="AZ349" s="25">
        <f t="shared" si="484"/>
        <v>7.9401470340990724E-2</v>
      </c>
      <c r="BA349" s="24">
        <f t="shared" si="485"/>
        <v>435098</v>
      </c>
      <c r="BB349" s="169">
        <f t="shared" si="486"/>
        <v>3.3250645757867545</v>
      </c>
      <c r="BC349" s="170">
        <f t="shared" si="487"/>
        <v>141244</v>
      </c>
      <c r="BD349" s="10">
        <v>112931</v>
      </c>
      <c r="BE349" s="10">
        <v>265000</v>
      </c>
      <c r="BF349" s="10">
        <v>270000</v>
      </c>
      <c r="BG349" s="268">
        <v>270000</v>
      </c>
      <c r="BH349" s="10">
        <v>280000</v>
      </c>
      <c r="BI349" s="76">
        <f t="shared" si="500"/>
        <v>271250</v>
      </c>
      <c r="BJ349" s="24">
        <f t="shared" si="501"/>
        <v>158319</v>
      </c>
      <c r="BK349" s="25">
        <f t="shared" si="502"/>
        <v>1.4019091303539328</v>
      </c>
      <c r="BL349" s="259">
        <f t="shared" si="503"/>
        <v>271250</v>
      </c>
      <c r="BM349" s="10">
        <v>126477</v>
      </c>
      <c r="BN349" s="45"/>
      <c r="BO349" s="45">
        <v>141488</v>
      </c>
      <c r="BP349" s="45">
        <v>155000</v>
      </c>
      <c r="BQ349" s="29">
        <f t="shared" si="488"/>
        <v>148244</v>
      </c>
      <c r="BR349" s="24">
        <f t="shared" si="489"/>
        <v>21767</v>
      </c>
      <c r="BS349" s="25">
        <f t="shared" si="490"/>
        <v>0.17210243759734972</v>
      </c>
      <c r="BT349" s="308">
        <f t="shared" si="491"/>
        <v>148244</v>
      </c>
    </row>
    <row r="350" spans="1:72" ht="44.45" customHeight="1">
      <c r="A350" s="91" t="s">
        <v>23</v>
      </c>
      <c r="B350" s="358" t="s">
        <v>2542</v>
      </c>
      <c r="C350" s="50" t="s">
        <v>211</v>
      </c>
      <c r="D350" s="99" t="s">
        <v>551</v>
      </c>
      <c r="E350" s="48" t="s">
        <v>13</v>
      </c>
      <c r="F350" s="10">
        <v>206687</v>
      </c>
      <c r="G350" s="31">
        <v>268812</v>
      </c>
      <c r="H350" s="31">
        <v>268812</v>
      </c>
      <c r="I350" s="35">
        <v>234961.6</v>
      </c>
      <c r="J350" s="29">
        <f t="shared" si="422"/>
        <v>257528.53333333333</v>
      </c>
      <c r="K350" s="24">
        <f t="shared" si="423"/>
        <v>50841.533333333326</v>
      </c>
      <c r="L350" s="25">
        <f t="shared" si="424"/>
        <v>0.24598321778018611</v>
      </c>
      <c r="M350" s="69">
        <f t="shared" si="425"/>
        <v>257528.53333333333</v>
      </c>
      <c r="N350" s="77">
        <f t="shared" si="371"/>
        <v>257528.53333333333</v>
      </c>
      <c r="O350" s="59">
        <v>140003</v>
      </c>
      <c r="P350" s="57">
        <v>187262.03249999997</v>
      </c>
      <c r="Q350" s="57">
        <v>370000</v>
      </c>
      <c r="R350" s="56">
        <v>215758.42874999999</v>
      </c>
      <c r="S350" s="58">
        <v>225000</v>
      </c>
      <c r="T350" s="60">
        <v>290000</v>
      </c>
      <c r="U350" s="57">
        <v>257887.49999999994</v>
      </c>
      <c r="V350" s="29">
        <f t="shared" si="468"/>
        <v>257651.326875</v>
      </c>
      <c r="W350" s="24">
        <f t="shared" si="469"/>
        <v>117648.326875</v>
      </c>
      <c r="X350" s="25">
        <f t="shared" si="470"/>
        <v>0.8403271849531796</v>
      </c>
      <c r="Y350" s="69" t="str">
        <f t="shared" si="471"/>
        <v>REVISAR PRECIO</v>
      </c>
      <c r="Z350" s="106">
        <f t="shared" si="472"/>
        <v>257651.326875</v>
      </c>
      <c r="AA350" s="73">
        <v>140003</v>
      </c>
      <c r="AB350" s="88">
        <v>170000</v>
      </c>
      <c r="AC350" s="116">
        <v>170000</v>
      </c>
      <c r="AD350" s="74">
        <v>179120.20499999999</v>
      </c>
      <c r="AE350" s="76">
        <f t="shared" si="473"/>
        <v>173040.06833333333</v>
      </c>
      <c r="AF350" s="24">
        <f t="shared" si="474"/>
        <v>33037.068333333329</v>
      </c>
      <c r="AG350" s="25">
        <f t="shared" si="475"/>
        <v>0.23597400293803225</v>
      </c>
      <c r="AH350" s="77">
        <f t="shared" si="476"/>
        <v>173040.06833333333</v>
      </c>
      <c r="AI350" s="77">
        <f t="shared" si="477"/>
        <v>173040.06833333333</v>
      </c>
      <c r="AJ350" s="73">
        <v>140003</v>
      </c>
      <c r="AK350" s="79">
        <v>215758.42874999999</v>
      </c>
      <c r="AL350" s="79">
        <f>141597*1.15</f>
        <v>162836.54999999999</v>
      </c>
      <c r="AM350" s="127">
        <v>195403.86</v>
      </c>
      <c r="AN350" s="128">
        <v>170000</v>
      </c>
      <c r="AO350" s="128">
        <v>165000</v>
      </c>
      <c r="AP350" s="133">
        <f t="shared" si="478"/>
        <v>181799.76775</v>
      </c>
      <c r="AQ350" s="127">
        <f t="shared" si="479"/>
        <v>41796.767749999999</v>
      </c>
      <c r="AR350" s="134">
        <f t="shared" si="480"/>
        <v>0.29854194374406262</v>
      </c>
      <c r="AS350" s="132">
        <f t="shared" si="481"/>
        <v>181799.76775</v>
      </c>
      <c r="AT350" s="10">
        <v>139264</v>
      </c>
      <c r="AU350" s="10">
        <v>162837</v>
      </c>
      <c r="AV350" s="167">
        <v>651348</v>
      </c>
      <c r="AW350" s="168">
        <v>163520</v>
      </c>
      <c r="AX350" s="29">
        <f t="shared" si="482"/>
        <v>163178.5</v>
      </c>
      <c r="AY350" s="24">
        <f t="shared" si="483"/>
        <v>23914.5</v>
      </c>
      <c r="AZ350" s="25">
        <f t="shared" si="484"/>
        <v>0.17172061695772059</v>
      </c>
      <c r="BA350" s="24">
        <f t="shared" si="485"/>
        <v>512084</v>
      </c>
      <c r="BB350" s="169">
        <f t="shared" si="486"/>
        <v>3.6770737591911766</v>
      </c>
      <c r="BC350" s="170">
        <f t="shared" si="487"/>
        <v>163178.5</v>
      </c>
      <c r="BD350" s="10">
        <v>119196</v>
      </c>
      <c r="BE350" s="10">
        <v>225000</v>
      </c>
      <c r="BF350" s="10">
        <v>230000</v>
      </c>
      <c r="BG350" s="268">
        <v>230000</v>
      </c>
      <c r="BH350" s="10">
        <v>300000</v>
      </c>
      <c r="BI350" s="76">
        <f t="shared" si="500"/>
        <v>246250</v>
      </c>
      <c r="BJ350" s="24">
        <f t="shared" si="501"/>
        <v>127054</v>
      </c>
      <c r="BK350" s="25">
        <f t="shared" si="502"/>
        <v>1.0659250310413102</v>
      </c>
      <c r="BL350" s="259">
        <f t="shared" si="503"/>
        <v>246250</v>
      </c>
      <c r="BM350" s="10">
        <v>133416</v>
      </c>
      <c r="BN350" s="45"/>
      <c r="BO350" s="45">
        <v>162837</v>
      </c>
      <c r="BP350" s="45">
        <v>160000</v>
      </c>
      <c r="BQ350" s="29">
        <f t="shared" si="488"/>
        <v>161418.5</v>
      </c>
      <c r="BR350" s="24">
        <f t="shared" si="489"/>
        <v>28002.5</v>
      </c>
      <c r="BS350" s="25">
        <f t="shared" si="490"/>
        <v>0.20988861905618517</v>
      </c>
      <c r="BT350" s="308">
        <f t="shared" si="491"/>
        <v>161418.5</v>
      </c>
    </row>
    <row r="351" spans="1:72" ht="44.45" customHeight="1">
      <c r="A351" s="91" t="s">
        <v>23</v>
      </c>
      <c r="B351" s="358" t="s">
        <v>2543</v>
      </c>
      <c r="C351" s="50" t="s">
        <v>212</v>
      </c>
      <c r="D351" s="99" t="s">
        <v>552</v>
      </c>
      <c r="E351" s="48" t="s">
        <v>13</v>
      </c>
      <c r="F351" s="10">
        <v>205379</v>
      </c>
      <c r="G351" s="31">
        <v>267111</v>
      </c>
      <c r="H351" s="31">
        <v>347244</v>
      </c>
      <c r="I351" s="35">
        <v>233474.8</v>
      </c>
      <c r="J351" s="29">
        <f t="shared" si="422"/>
        <v>282609.93333333335</v>
      </c>
      <c r="K351" s="24">
        <f t="shared" si="423"/>
        <v>77230.933333333349</v>
      </c>
      <c r="L351" s="25">
        <f t="shared" si="424"/>
        <v>0.37604104282002226</v>
      </c>
      <c r="M351" s="69" t="str">
        <f t="shared" si="425"/>
        <v>REVISAR PRECIO</v>
      </c>
      <c r="N351" s="77">
        <f t="shared" si="371"/>
        <v>282609.93333333335</v>
      </c>
      <c r="O351" s="59">
        <v>139120</v>
      </c>
      <c r="P351" s="57">
        <v>184751.47899999999</v>
      </c>
      <c r="Q351" s="57">
        <v>370000</v>
      </c>
      <c r="R351" s="56">
        <v>212865.8345</v>
      </c>
      <c r="S351" s="58">
        <v>305000</v>
      </c>
      <c r="T351" s="60">
        <v>290000</v>
      </c>
      <c r="U351" s="57">
        <v>271905.99999999994</v>
      </c>
      <c r="V351" s="29">
        <f t="shared" si="468"/>
        <v>272420.55225000001</v>
      </c>
      <c r="W351" s="24">
        <f t="shared" si="469"/>
        <v>133300.55225000001</v>
      </c>
      <c r="X351" s="25">
        <f t="shared" si="470"/>
        <v>0.95816958201552627</v>
      </c>
      <c r="Y351" s="69" t="str">
        <f t="shared" si="471"/>
        <v>REVISAR PRECIO</v>
      </c>
      <c r="Z351" s="106">
        <f t="shared" si="472"/>
        <v>272420.55225000001</v>
      </c>
      <c r="AA351" s="73">
        <v>139120</v>
      </c>
      <c r="AB351" s="88">
        <v>168500</v>
      </c>
      <c r="AC351" s="116">
        <v>180000</v>
      </c>
      <c r="AD351" s="74">
        <v>176718.80599999998</v>
      </c>
      <c r="AE351" s="76">
        <f t="shared" si="473"/>
        <v>175072.93533333333</v>
      </c>
      <c r="AF351" s="24">
        <f t="shared" si="474"/>
        <v>35952.935333333327</v>
      </c>
      <c r="AG351" s="25">
        <f t="shared" si="475"/>
        <v>0.25843110504121136</v>
      </c>
      <c r="AH351" s="77">
        <f t="shared" si="476"/>
        <v>175072.93533333333</v>
      </c>
      <c r="AI351" s="77">
        <f t="shared" si="477"/>
        <v>175072.93533333333</v>
      </c>
      <c r="AJ351" s="73">
        <v>139120</v>
      </c>
      <c r="AK351" s="79">
        <v>212865.8345</v>
      </c>
      <c r="AL351" s="79">
        <f>136147*1.18</f>
        <v>160653.46</v>
      </c>
      <c r="AM351" s="127">
        <v>192784.152</v>
      </c>
      <c r="AN351" s="128">
        <v>200000</v>
      </c>
      <c r="AO351" s="128">
        <v>210000</v>
      </c>
      <c r="AP351" s="133">
        <f t="shared" si="478"/>
        <v>195260.6893</v>
      </c>
      <c r="AQ351" s="127">
        <f t="shared" si="479"/>
        <v>56140.689299999998</v>
      </c>
      <c r="AR351" s="134">
        <f t="shared" si="480"/>
        <v>0.40354146995399653</v>
      </c>
      <c r="AS351" s="132">
        <f t="shared" si="481"/>
        <v>195260.6893</v>
      </c>
      <c r="AT351" s="10">
        <v>138628</v>
      </c>
      <c r="AU351" s="10">
        <v>160653</v>
      </c>
      <c r="AV351" s="167">
        <v>642612</v>
      </c>
      <c r="AW351" s="168">
        <v>163520</v>
      </c>
      <c r="AX351" s="29">
        <f t="shared" si="482"/>
        <v>162086.5</v>
      </c>
      <c r="AY351" s="24">
        <f t="shared" si="483"/>
        <v>23458.5</v>
      </c>
      <c r="AZ351" s="25">
        <f t="shared" si="484"/>
        <v>0.16921906108434082</v>
      </c>
      <c r="BA351" s="24">
        <f t="shared" si="485"/>
        <v>503984</v>
      </c>
      <c r="BB351" s="169">
        <f t="shared" si="486"/>
        <v>3.6355137490261709</v>
      </c>
      <c r="BC351" s="170">
        <f t="shared" si="487"/>
        <v>162086.5</v>
      </c>
      <c r="BD351" s="10">
        <v>119547</v>
      </c>
      <c r="BE351" s="10">
        <v>305000</v>
      </c>
      <c r="BF351" s="10">
        <v>315000</v>
      </c>
      <c r="BG351" s="268">
        <v>310000</v>
      </c>
      <c r="BH351" s="10">
        <v>380000</v>
      </c>
      <c r="BI351" s="76">
        <f t="shared" si="500"/>
        <v>327500</v>
      </c>
      <c r="BJ351" s="24">
        <f t="shared" si="501"/>
        <v>207953</v>
      </c>
      <c r="BK351" s="25">
        <f t="shared" si="502"/>
        <v>1.7395083105389513</v>
      </c>
      <c r="BL351" s="259">
        <f t="shared" si="503"/>
        <v>327500</v>
      </c>
      <c r="BM351" s="10">
        <v>133264</v>
      </c>
      <c r="BN351" s="45"/>
      <c r="BO351" s="45">
        <v>160653</v>
      </c>
      <c r="BP351" s="45">
        <v>160000</v>
      </c>
      <c r="BQ351" s="29">
        <f t="shared" si="488"/>
        <v>160326.5</v>
      </c>
      <c r="BR351" s="24">
        <f t="shared" si="489"/>
        <v>27062.5</v>
      </c>
      <c r="BS351" s="25">
        <f t="shared" si="490"/>
        <v>0.20307434866130389</v>
      </c>
      <c r="BT351" s="308">
        <f t="shared" si="491"/>
        <v>160326.5</v>
      </c>
    </row>
    <row r="352" spans="1:72" ht="44.45" customHeight="1">
      <c r="A352" s="91" t="s">
        <v>23</v>
      </c>
      <c r="B352" s="358" t="s">
        <v>2544</v>
      </c>
      <c r="C352" s="50" t="s">
        <v>213</v>
      </c>
      <c r="D352" s="99" t="s">
        <v>553</v>
      </c>
      <c r="E352" s="48" t="s">
        <v>25</v>
      </c>
      <c r="F352" s="10">
        <v>37212</v>
      </c>
      <c r="G352" s="31">
        <v>48398</v>
      </c>
      <c r="H352" s="31">
        <v>62917</v>
      </c>
      <c r="I352" s="35">
        <v>42303</v>
      </c>
      <c r="J352" s="29">
        <f t="shared" si="422"/>
        <v>51206</v>
      </c>
      <c r="K352" s="24">
        <f t="shared" si="423"/>
        <v>13994</v>
      </c>
      <c r="L352" s="25">
        <f t="shared" si="424"/>
        <v>0.37606148554229818</v>
      </c>
      <c r="M352" s="69" t="str">
        <f t="shared" si="425"/>
        <v>REVISAR PRECIO</v>
      </c>
      <c r="N352" s="77">
        <f t="shared" si="371"/>
        <v>51206</v>
      </c>
      <c r="O352" s="59">
        <v>25202</v>
      </c>
      <c r="P352" s="57">
        <v>34080.365000000005</v>
      </c>
      <c r="Q352" s="57">
        <v>40000</v>
      </c>
      <c r="R352" s="56">
        <v>39266.5075</v>
      </c>
      <c r="S352" s="58">
        <v>35880</v>
      </c>
      <c r="T352" s="60">
        <v>78000</v>
      </c>
      <c r="U352" s="57">
        <v>41262</v>
      </c>
      <c r="V352" s="29">
        <f t="shared" si="468"/>
        <v>44748.145416666666</v>
      </c>
      <c r="W352" s="24">
        <f t="shared" si="469"/>
        <v>19546.145416666666</v>
      </c>
      <c r="X352" s="25">
        <f t="shared" si="470"/>
        <v>0.77557913723778538</v>
      </c>
      <c r="Y352" s="69" t="str">
        <f t="shared" si="471"/>
        <v>REVISAR PRECIO</v>
      </c>
      <c r="Z352" s="106">
        <f t="shared" si="472"/>
        <v>44748.145416666666</v>
      </c>
      <c r="AA352" s="73">
        <v>25202</v>
      </c>
      <c r="AB352" s="88">
        <v>31000</v>
      </c>
      <c r="AC352" s="116">
        <v>31000</v>
      </c>
      <c r="AD352" s="74">
        <v>32598.61</v>
      </c>
      <c r="AE352" s="76">
        <f t="shared" si="473"/>
        <v>31532.87</v>
      </c>
      <c r="AF352" s="24">
        <f t="shared" si="474"/>
        <v>6330.869999999999</v>
      </c>
      <c r="AG352" s="25">
        <f t="shared" si="475"/>
        <v>0.25120506309023088</v>
      </c>
      <c r="AH352" s="77">
        <f t="shared" si="476"/>
        <v>31532.87</v>
      </c>
      <c r="AI352" s="77">
        <f t="shared" si="477"/>
        <v>31532.87</v>
      </c>
      <c r="AJ352" s="73">
        <v>25202</v>
      </c>
      <c r="AK352" s="79">
        <v>39266.5075</v>
      </c>
      <c r="AL352" s="79">
        <f>26941*1.1</f>
        <v>29635.100000000002</v>
      </c>
      <c r="AM352" s="127">
        <v>35562.120000000003</v>
      </c>
      <c r="AN352" s="128">
        <v>26000</v>
      </c>
      <c r="AO352" s="128">
        <v>30000</v>
      </c>
      <c r="AP352" s="133">
        <f t="shared" si="478"/>
        <v>32092.745500000001</v>
      </c>
      <c r="AQ352" s="127">
        <f t="shared" si="479"/>
        <v>6890.7455000000009</v>
      </c>
      <c r="AR352" s="134">
        <f t="shared" si="480"/>
        <v>0.27342058169986511</v>
      </c>
      <c r="AS352" s="132">
        <f t="shared" si="481"/>
        <v>32092.745500000001</v>
      </c>
      <c r="AT352" s="10">
        <v>24643</v>
      </c>
      <c r="AU352" s="10">
        <v>29635</v>
      </c>
      <c r="AV352" s="167">
        <v>118540</v>
      </c>
      <c r="AW352" s="168">
        <v>45600</v>
      </c>
      <c r="AX352" s="29">
        <f t="shared" si="482"/>
        <v>37617.5</v>
      </c>
      <c r="AY352" s="24">
        <f t="shared" si="483"/>
        <v>12974.5</v>
      </c>
      <c r="AZ352" s="25">
        <f t="shared" si="484"/>
        <v>0.52649839711074142</v>
      </c>
      <c r="BA352" s="24">
        <f t="shared" si="485"/>
        <v>93897</v>
      </c>
      <c r="BB352" s="169">
        <f t="shared" si="486"/>
        <v>3.8102909548350445</v>
      </c>
      <c r="BC352" s="170">
        <f t="shared" si="487"/>
        <v>37617.5</v>
      </c>
      <c r="BD352" s="10">
        <v>21187</v>
      </c>
      <c r="BE352" s="10">
        <v>22500</v>
      </c>
      <c r="BF352" s="10">
        <v>25000</v>
      </c>
      <c r="BG352" s="268">
        <v>25000</v>
      </c>
      <c r="BH352" s="10">
        <v>40000</v>
      </c>
      <c r="BI352" s="76">
        <f t="shared" si="500"/>
        <v>28125</v>
      </c>
      <c r="BJ352" s="24">
        <f t="shared" si="501"/>
        <v>6938</v>
      </c>
      <c r="BK352" s="25">
        <f t="shared" si="502"/>
        <v>0.32746495492518995</v>
      </c>
      <c r="BL352" s="259">
        <f t="shared" si="503"/>
        <v>28125</v>
      </c>
      <c r="BM352" s="10">
        <v>23475</v>
      </c>
      <c r="BN352" s="45">
        <v>40000</v>
      </c>
      <c r="BO352" s="45">
        <v>29635</v>
      </c>
      <c r="BP352" s="45">
        <v>40000</v>
      </c>
      <c r="BQ352" s="29">
        <f t="shared" si="488"/>
        <v>36545</v>
      </c>
      <c r="BR352" s="24">
        <f t="shared" si="489"/>
        <v>13070</v>
      </c>
      <c r="BS352" s="25">
        <f t="shared" si="490"/>
        <v>0.55676251331203408</v>
      </c>
      <c r="BT352" s="308">
        <f t="shared" si="491"/>
        <v>36545</v>
      </c>
    </row>
    <row r="353" spans="1:72" ht="44.45" customHeight="1">
      <c r="A353" s="91" t="s">
        <v>23</v>
      </c>
      <c r="B353" s="358" t="s">
        <v>2545</v>
      </c>
      <c r="C353" s="50" t="s">
        <v>214</v>
      </c>
      <c r="D353" s="99" t="s">
        <v>554</v>
      </c>
      <c r="E353" s="48" t="s">
        <v>25</v>
      </c>
      <c r="F353" s="10">
        <v>63245</v>
      </c>
      <c r="G353" s="31">
        <v>82256</v>
      </c>
      <c r="H353" s="31">
        <v>106932</v>
      </c>
      <c r="I353" s="35">
        <v>71897.399999999994</v>
      </c>
      <c r="J353" s="29">
        <f t="shared" si="422"/>
        <v>87028.46666666666</v>
      </c>
      <c r="K353" s="24">
        <f t="shared" si="423"/>
        <v>23783.46666666666</v>
      </c>
      <c r="L353" s="25">
        <f t="shared" si="424"/>
        <v>0.37605291590903089</v>
      </c>
      <c r="M353" s="69" t="str">
        <f t="shared" si="425"/>
        <v>REVISAR PRECIO</v>
      </c>
      <c r="N353" s="77">
        <f t="shared" si="371"/>
        <v>87028.46666666666</v>
      </c>
      <c r="O353" s="59">
        <v>42839</v>
      </c>
      <c r="P353" s="57">
        <v>58597.33</v>
      </c>
      <c r="Q353" s="57">
        <v>48000</v>
      </c>
      <c r="R353" s="56">
        <v>67514.315000000002</v>
      </c>
      <c r="S353" s="58">
        <v>63939.999999999993</v>
      </c>
      <c r="T353" s="60">
        <v>92000</v>
      </c>
      <c r="U353" s="57">
        <v>73530.999999999985</v>
      </c>
      <c r="V353" s="29">
        <f t="shared" si="468"/>
        <v>67263.77416666667</v>
      </c>
      <c r="W353" s="24">
        <f t="shared" si="469"/>
        <v>24424.77416666667</v>
      </c>
      <c r="X353" s="25">
        <f t="shared" si="470"/>
        <v>0.57015276189142294</v>
      </c>
      <c r="Y353" s="69" t="str">
        <f t="shared" si="471"/>
        <v>REVISAR PRECIO</v>
      </c>
      <c r="Z353" s="106">
        <f t="shared" si="472"/>
        <v>67263.77416666667</v>
      </c>
      <c r="AA353" s="73">
        <v>42839</v>
      </c>
      <c r="AB353" s="88">
        <v>53500</v>
      </c>
      <c r="AC353" s="116">
        <v>65000</v>
      </c>
      <c r="AD353" s="74">
        <v>56049.62</v>
      </c>
      <c r="AE353" s="76">
        <f t="shared" si="473"/>
        <v>58183.206666666665</v>
      </c>
      <c r="AF353" s="24">
        <f t="shared" si="474"/>
        <v>15344.206666666665</v>
      </c>
      <c r="AG353" s="25">
        <f t="shared" si="475"/>
        <v>0.35818311974291334</v>
      </c>
      <c r="AH353" s="77" t="str">
        <f t="shared" si="476"/>
        <v>REVISAR PRECIO</v>
      </c>
      <c r="AI353" s="77">
        <f t="shared" si="477"/>
        <v>58183.206666666665</v>
      </c>
      <c r="AJ353" s="73">
        <v>42839</v>
      </c>
      <c r="AK353" s="79">
        <v>67514.315000000002</v>
      </c>
      <c r="AL353" s="79">
        <f>46322*1.1</f>
        <v>50954.200000000004</v>
      </c>
      <c r="AM353" s="127">
        <v>61145.040000000008</v>
      </c>
      <c r="AN353" s="128">
        <v>52000</v>
      </c>
      <c r="AO353" s="128">
        <v>55000</v>
      </c>
      <c r="AP353" s="133">
        <f t="shared" si="478"/>
        <v>57322.71100000001</v>
      </c>
      <c r="AQ353" s="127">
        <f t="shared" si="479"/>
        <v>14483.71100000001</v>
      </c>
      <c r="AR353" s="134">
        <f t="shared" si="480"/>
        <v>0.33809638413595111</v>
      </c>
      <c r="AS353" s="132">
        <f t="shared" si="481"/>
        <v>57322.71100000001</v>
      </c>
      <c r="AT353" s="10">
        <v>42280</v>
      </c>
      <c r="AU353" s="10">
        <v>50954</v>
      </c>
      <c r="AV353" s="167">
        <v>203816</v>
      </c>
      <c r="AW353" s="168">
        <v>52550</v>
      </c>
      <c r="AX353" s="29">
        <f t="shared" si="482"/>
        <v>51752</v>
      </c>
      <c r="AY353" s="24">
        <f t="shared" si="483"/>
        <v>9472</v>
      </c>
      <c r="AZ353" s="25">
        <f t="shared" si="484"/>
        <v>0.22403027436140019</v>
      </c>
      <c r="BA353" s="24">
        <f t="shared" si="485"/>
        <v>161536</v>
      </c>
      <c r="BB353" s="169">
        <f t="shared" si="486"/>
        <v>3.8206244087038788</v>
      </c>
      <c r="BC353" s="170">
        <f t="shared" si="487"/>
        <v>51752</v>
      </c>
      <c r="BD353" s="10">
        <v>37058</v>
      </c>
      <c r="BE353" s="10">
        <v>32500</v>
      </c>
      <c r="BF353" s="10">
        <v>35000</v>
      </c>
      <c r="BG353" s="268">
        <v>35000</v>
      </c>
      <c r="BH353" s="10">
        <v>40000</v>
      </c>
      <c r="BI353" s="76">
        <f t="shared" si="500"/>
        <v>35625</v>
      </c>
      <c r="BJ353" s="24">
        <f t="shared" si="501"/>
        <v>-1433</v>
      </c>
      <c r="BK353" s="25">
        <f t="shared" si="502"/>
        <v>-3.8669113281882453E-2</v>
      </c>
      <c r="BL353" s="259">
        <f t="shared" si="503"/>
        <v>35625</v>
      </c>
      <c r="BM353" s="10">
        <v>41102</v>
      </c>
      <c r="BN353" s="45">
        <v>60000</v>
      </c>
      <c r="BO353" s="45">
        <v>50954</v>
      </c>
      <c r="BP353" s="45">
        <v>50000</v>
      </c>
      <c r="BQ353" s="29">
        <f t="shared" si="488"/>
        <v>53651.333333333336</v>
      </c>
      <c r="BR353" s="24">
        <f t="shared" si="489"/>
        <v>12549.333333333336</v>
      </c>
      <c r="BS353" s="25">
        <f t="shared" si="490"/>
        <v>0.30532171994874546</v>
      </c>
      <c r="BT353" s="308">
        <f t="shared" si="491"/>
        <v>53651.333333333336</v>
      </c>
    </row>
    <row r="354" spans="1:72" ht="53.45" customHeight="1">
      <c r="A354" s="91" t="s">
        <v>23</v>
      </c>
      <c r="B354" s="358" t="s">
        <v>2546</v>
      </c>
      <c r="C354" s="50" t="s">
        <v>215</v>
      </c>
      <c r="D354" s="99" t="s">
        <v>555</v>
      </c>
      <c r="E354" s="48" t="s">
        <v>10</v>
      </c>
      <c r="F354" s="10">
        <v>196732</v>
      </c>
      <c r="G354" s="31">
        <v>255866</v>
      </c>
      <c r="H354" s="31">
        <v>332625</v>
      </c>
      <c r="I354" s="35">
        <v>223645.4</v>
      </c>
      <c r="J354" s="29">
        <f t="shared" si="422"/>
        <v>270712.13333333336</v>
      </c>
      <c r="K354" s="24">
        <f t="shared" si="423"/>
        <v>73980.13333333336</v>
      </c>
      <c r="L354" s="25">
        <f t="shared" si="424"/>
        <v>0.37604524598607936</v>
      </c>
      <c r="M354" s="69" t="str">
        <f t="shared" si="425"/>
        <v>REVISAR PRECIO</v>
      </c>
      <c r="N354" s="77">
        <f t="shared" si="371"/>
        <v>270712.13333333336</v>
      </c>
      <c r="O354" s="59">
        <v>133264</v>
      </c>
      <c r="P354" s="57">
        <v>67012.397499999992</v>
      </c>
      <c r="Q354" s="57">
        <v>60000</v>
      </c>
      <c r="R354" s="56">
        <v>77209.936249999999</v>
      </c>
      <c r="S354" s="58">
        <v>67012.397499999992</v>
      </c>
      <c r="T354" s="60">
        <v>45000</v>
      </c>
      <c r="U354" s="57">
        <v>77064.257124999989</v>
      </c>
      <c r="V354" s="29">
        <f t="shared" si="468"/>
        <v>65549.831395833331</v>
      </c>
      <c r="W354" s="24">
        <f t="shared" si="469"/>
        <v>-67714.168604166669</v>
      </c>
      <c r="X354" s="25">
        <f t="shared" si="470"/>
        <v>-0.50812048718458602</v>
      </c>
      <c r="Y354" s="69">
        <f t="shared" si="471"/>
        <v>65549.831395833331</v>
      </c>
      <c r="Z354" s="106">
        <f t="shared" si="472"/>
        <v>65549.831395833331</v>
      </c>
      <c r="AA354" s="73">
        <v>133264</v>
      </c>
      <c r="AB354" s="88">
        <v>61000</v>
      </c>
      <c r="AC354" s="116">
        <v>61000</v>
      </c>
      <c r="AD354" s="74">
        <v>64098.814999999995</v>
      </c>
      <c r="AE354" s="76">
        <f t="shared" si="473"/>
        <v>62032.938333333332</v>
      </c>
      <c r="AF354" s="24">
        <f t="shared" si="474"/>
        <v>-71231.061666666676</v>
      </c>
      <c r="AG354" s="25">
        <f t="shared" si="475"/>
        <v>-0.53451090817224967</v>
      </c>
      <c r="AH354" s="77">
        <f t="shared" si="476"/>
        <v>62032.938333333332</v>
      </c>
      <c r="AI354" s="77">
        <f t="shared" si="477"/>
        <v>62032.938333333332</v>
      </c>
      <c r="AJ354" s="73">
        <v>133264</v>
      </c>
      <c r="AK354" s="79">
        <v>77209.936249999999</v>
      </c>
      <c r="AL354" s="79">
        <f>50671*1.15</f>
        <v>58271.649999999994</v>
      </c>
      <c r="AM354" s="127">
        <v>69925.98</v>
      </c>
      <c r="AN354" s="128">
        <v>68900</v>
      </c>
      <c r="AO354" s="128">
        <v>65000</v>
      </c>
      <c r="AP354" s="133">
        <f t="shared" si="478"/>
        <v>67861.513249999989</v>
      </c>
      <c r="AQ354" s="127">
        <f t="shared" si="479"/>
        <v>-65402.486750000011</v>
      </c>
      <c r="AR354" s="134">
        <f t="shared" si="480"/>
        <v>-0.49077385302857496</v>
      </c>
      <c r="AS354" s="132">
        <f t="shared" si="481"/>
        <v>67861.513249999989</v>
      </c>
      <c r="AT354" s="10">
        <v>135932</v>
      </c>
      <c r="AU354" s="10">
        <v>58272</v>
      </c>
      <c r="AV354" s="167">
        <v>233088</v>
      </c>
      <c r="AW354" s="168"/>
      <c r="AX354" s="29">
        <f t="shared" si="482"/>
        <v>58272</v>
      </c>
      <c r="AY354" s="24">
        <f t="shared" si="483"/>
        <v>-77660</v>
      </c>
      <c r="AZ354" s="25">
        <f t="shared" si="484"/>
        <v>-0.5713150692993556</v>
      </c>
      <c r="BA354" s="24">
        <f t="shared" si="485"/>
        <v>97156</v>
      </c>
      <c r="BB354" s="169">
        <f t="shared" si="486"/>
        <v>0.7147397228025778</v>
      </c>
      <c r="BC354" s="170">
        <f t="shared" si="487"/>
        <v>58272</v>
      </c>
      <c r="BD354" s="10">
        <v>118750</v>
      </c>
      <c r="BE354" s="10">
        <v>18000</v>
      </c>
      <c r="BF354" s="10">
        <v>21000</v>
      </c>
      <c r="BG354" s="268">
        <v>21000</v>
      </c>
      <c r="BH354" s="10">
        <v>20000</v>
      </c>
      <c r="BI354" s="76">
        <f t="shared" si="500"/>
        <v>20000</v>
      </c>
      <c r="BJ354" s="24">
        <f t="shared" si="501"/>
        <v>-98750</v>
      </c>
      <c r="BK354" s="25">
        <f t="shared" si="502"/>
        <v>-0.83157894736842108</v>
      </c>
      <c r="BL354" s="259">
        <f t="shared" si="503"/>
        <v>20000</v>
      </c>
      <c r="BM354" s="10">
        <v>132599</v>
      </c>
      <c r="BN354" s="45">
        <v>50000</v>
      </c>
      <c r="BO354" s="45">
        <v>58272</v>
      </c>
      <c r="BP354" s="45">
        <v>55000</v>
      </c>
      <c r="BQ354" s="29">
        <f t="shared" si="488"/>
        <v>54424</v>
      </c>
      <c r="BR354" s="24">
        <f t="shared" si="489"/>
        <v>-78175</v>
      </c>
      <c r="BS354" s="25">
        <f t="shared" si="490"/>
        <v>-0.58955949894041437</v>
      </c>
      <c r="BT354" s="308">
        <f t="shared" si="491"/>
        <v>54424</v>
      </c>
    </row>
    <row r="355" spans="1:72" ht="53.45" customHeight="1">
      <c r="A355" s="91" t="s">
        <v>23</v>
      </c>
      <c r="B355" s="358" t="s">
        <v>2547</v>
      </c>
      <c r="C355" s="50" t="s">
        <v>216</v>
      </c>
      <c r="D355" s="99" t="s">
        <v>556</v>
      </c>
      <c r="E355" s="48" t="s">
        <v>13</v>
      </c>
      <c r="F355" s="10">
        <v>133456</v>
      </c>
      <c r="G355" s="31">
        <v>173570</v>
      </c>
      <c r="H355" s="31">
        <v>225640</v>
      </c>
      <c r="I355" s="35">
        <v>151712.6</v>
      </c>
      <c r="J355" s="29">
        <f t="shared" si="422"/>
        <v>183640.86666666667</v>
      </c>
      <c r="K355" s="24">
        <f t="shared" si="423"/>
        <v>50184.866666666669</v>
      </c>
      <c r="L355" s="25">
        <f t="shared" si="424"/>
        <v>0.37604054270071535</v>
      </c>
      <c r="M355" s="69" t="str">
        <f t="shared" si="425"/>
        <v>REVISAR PRECIO</v>
      </c>
      <c r="N355" s="77">
        <f t="shared" si="371"/>
        <v>183640.86666666667</v>
      </c>
      <c r="O355" s="59">
        <v>90405</v>
      </c>
      <c r="P355" s="57">
        <v>112347.18000000001</v>
      </c>
      <c r="Q355" s="57">
        <v>130000</v>
      </c>
      <c r="R355" s="56">
        <v>129443.49</v>
      </c>
      <c r="S355" s="58">
        <v>15500</v>
      </c>
      <c r="T355" s="60">
        <v>95000</v>
      </c>
      <c r="U355" s="57">
        <v>154732.5</v>
      </c>
      <c r="V355" s="29">
        <f t="shared" si="468"/>
        <v>106170.52833333332</v>
      </c>
      <c r="W355" s="24">
        <f t="shared" si="469"/>
        <v>15765.528333333321</v>
      </c>
      <c r="X355" s="25">
        <f t="shared" si="470"/>
        <v>0.17438779197315768</v>
      </c>
      <c r="Y355" s="69">
        <f t="shared" si="471"/>
        <v>106170.52833333332</v>
      </c>
      <c r="Z355" s="106">
        <f t="shared" si="472"/>
        <v>106170.52833333332</v>
      </c>
      <c r="AA355" s="73">
        <v>90405</v>
      </c>
      <c r="AB355" s="88">
        <v>102500</v>
      </c>
      <c r="AC355" s="116">
        <v>105000</v>
      </c>
      <c r="AD355" s="74">
        <v>107462.52000000002</v>
      </c>
      <c r="AE355" s="76">
        <f t="shared" si="473"/>
        <v>104987.50666666667</v>
      </c>
      <c r="AF355" s="24">
        <f t="shared" si="474"/>
        <v>14582.506666666668</v>
      </c>
      <c r="AG355" s="25">
        <f t="shared" si="475"/>
        <v>0.16130199288387442</v>
      </c>
      <c r="AH355" s="77">
        <f t="shared" si="476"/>
        <v>104987.50666666667</v>
      </c>
      <c r="AI355" s="77">
        <f t="shared" si="477"/>
        <v>104987.50666666667</v>
      </c>
      <c r="AJ355" s="73">
        <v>90405</v>
      </c>
      <c r="AK355" s="79">
        <v>129443.49</v>
      </c>
      <c r="AL355" s="79">
        <f>88812*1.1</f>
        <v>97693.200000000012</v>
      </c>
      <c r="AM355" s="127">
        <v>117231.84000000001</v>
      </c>
      <c r="AN355" s="128">
        <v>91900</v>
      </c>
      <c r="AO355" s="128">
        <v>100000</v>
      </c>
      <c r="AP355" s="133">
        <f t="shared" si="478"/>
        <v>107253.70600000001</v>
      </c>
      <c r="AQ355" s="127">
        <f t="shared" si="479"/>
        <v>16848.706000000006</v>
      </c>
      <c r="AR355" s="134">
        <f t="shared" si="480"/>
        <v>0.18636918312040268</v>
      </c>
      <c r="AS355" s="132">
        <f t="shared" si="481"/>
        <v>107253.70600000001</v>
      </c>
      <c r="AT355" s="10">
        <v>89913</v>
      </c>
      <c r="AU355" s="10">
        <v>97693</v>
      </c>
      <c r="AV355" s="167">
        <v>488465</v>
      </c>
      <c r="AW355" s="168">
        <v>96666</v>
      </c>
      <c r="AX355" s="29">
        <f t="shared" si="482"/>
        <v>97179.5</v>
      </c>
      <c r="AY355" s="24">
        <f t="shared" si="483"/>
        <v>7266.5</v>
      </c>
      <c r="AZ355" s="25">
        <f t="shared" si="484"/>
        <v>8.0817012000489366E-2</v>
      </c>
      <c r="BA355" s="24">
        <f t="shared" si="485"/>
        <v>398552</v>
      </c>
      <c r="BB355" s="169">
        <f t="shared" si="486"/>
        <v>4.4326404413154936</v>
      </c>
      <c r="BC355" s="170">
        <f t="shared" si="487"/>
        <v>97179.5</v>
      </c>
      <c r="BD355" s="150"/>
      <c r="BE355" s="150"/>
      <c r="BF355" s="150"/>
      <c r="BG355" s="150"/>
      <c r="BH355" s="150"/>
      <c r="BI355" s="150"/>
      <c r="BJ355" s="150"/>
      <c r="BK355" s="150"/>
      <c r="BL355" s="150"/>
      <c r="BM355" s="319">
        <v>84549</v>
      </c>
      <c r="BN355" s="317">
        <v>120000</v>
      </c>
      <c r="BO355" s="317">
        <v>97693</v>
      </c>
      <c r="BP355" s="45">
        <v>98000</v>
      </c>
      <c r="BQ355" s="29">
        <f t="shared" si="488"/>
        <v>105231</v>
      </c>
      <c r="BR355" s="24">
        <f t="shared" si="489"/>
        <v>20682</v>
      </c>
      <c r="BS355" s="25">
        <f t="shared" si="490"/>
        <v>0.24461554838022923</v>
      </c>
      <c r="BT355" s="308">
        <f t="shared" si="491"/>
        <v>105231</v>
      </c>
    </row>
    <row r="356" spans="1:72" ht="53.45" customHeight="1">
      <c r="A356" s="91" t="s">
        <v>23</v>
      </c>
      <c r="B356" s="358" t="s">
        <v>2548</v>
      </c>
      <c r="C356" s="50" t="s">
        <v>217</v>
      </c>
      <c r="D356" s="99" t="s">
        <v>557</v>
      </c>
      <c r="E356" s="48" t="s">
        <v>10</v>
      </c>
      <c r="F356" s="10">
        <v>186425</v>
      </c>
      <c r="G356" s="31">
        <v>242460</v>
      </c>
      <c r="H356" s="31">
        <v>315198</v>
      </c>
      <c r="I356" s="35">
        <v>211928</v>
      </c>
      <c r="J356" s="29">
        <f t="shared" si="422"/>
        <v>256528.66666666666</v>
      </c>
      <c r="K356" s="24">
        <f t="shared" si="423"/>
        <v>70103.666666666657</v>
      </c>
      <c r="L356" s="25">
        <f t="shared" si="424"/>
        <v>0.37604219748781897</v>
      </c>
      <c r="M356" s="69" t="str">
        <f t="shared" si="425"/>
        <v>REVISAR PRECIO</v>
      </c>
      <c r="N356" s="77">
        <f t="shared" si="371"/>
        <v>256528.66666666666</v>
      </c>
      <c r="O356" s="59">
        <v>126278</v>
      </c>
      <c r="P356" s="57">
        <v>171066.69749999998</v>
      </c>
      <c r="Q356" s="57">
        <v>170000</v>
      </c>
      <c r="R356" s="56">
        <v>197098.58624999999</v>
      </c>
      <c r="S356" s="58">
        <v>171066.69749999998</v>
      </c>
      <c r="T356" s="60">
        <v>320000</v>
      </c>
      <c r="U356" s="57">
        <v>196726.70212499995</v>
      </c>
      <c r="V356" s="29">
        <f t="shared" si="468"/>
        <v>204326.44722916666</v>
      </c>
      <c r="W356" s="24">
        <f t="shared" si="469"/>
        <v>78048.447229166661</v>
      </c>
      <c r="X356" s="25">
        <f t="shared" si="470"/>
        <v>0.61806844604100997</v>
      </c>
      <c r="Y356" s="69" t="str">
        <f t="shared" si="471"/>
        <v>REVISAR PRECIO</v>
      </c>
      <c r="Z356" s="106">
        <f t="shared" si="472"/>
        <v>204326.44722916666</v>
      </c>
      <c r="AA356" s="73">
        <v>126278</v>
      </c>
      <c r="AB356" s="88">
        <v>156200</v>
      </c>
      <c r="AC356" s="116">
        <v>176000</v>
      </c>
      <c r="AD356" s="74">
        <v>163629.01499999998</v>
      </c>
      <c r="AE356" s="76">
        <f t="shared" si="473"/>
        <v>165276.33833333335</v>
      </c>
      <c r="AF356" s="24">
        <f t="shared" si="474"/>
        <v>38998.338333333348</v>
      </c>
      <c r="AG356" s="25">
        <f t="shared" si="475"/>
        <v>0.30882923655215755</v>
      </c>
      <c r="AH356" s="77">
        <f t="shared" si="476"/>
        <v>165276.33833333335</v>
      </c>
      <c r="AI356" s="77">
        <f t="shared" si="477"/>
        <v>165276.33833333335</v>
      </c>
      <c r="AJ356" s="73">
        <v>126278</v>
      </c>
      <c r="AK356" s="79">
        <v>197098.58624999999</v>
      </c>
      <c r="AL356" s="79">
        <f>129351*1.15</f>
        <v>148753.65</v>
      </c>
      <c r="AM356" s="127">
        <v>178504.38</v>
      </c>
      <c r="AN356" s="128">
        <v>169900</v>
      </c>
      <c r="AO356" s="128">
        <v>150000</v>
      </c>
      <c r="AP356" s="133">
        <f t="shared" si="478"/>
        <v>168851.32324999999</v>
      </c>
      <c r="AQ356" s="127">
        <f t="shared" si="479"/>
        <v>42573.323249999987</v>
      </c>
      <c r="AR356" s="134">
        <f t="shared" si="480"/>
        <v>0.33713967001377904</v>
      </c>
      <c r="AS356" s="132">
        <f t="shared" si="481"/>
        <v>168851.32324999999</v>
      </c>
      <c r="AT356" s="10">
        <v>128044</v>
      </c>
      <c r="AU356" s="10">
        <v>148754</v>
      </c>
      <c r="AV356" s="167">
        <v>743770</v>
      </c>
      <c r="AW356" s="168">
        <v>145622</v>
      </c>
      <c r="AX356" s="29">
        <f t="shared" si="482"/>
        <v>147188</v>
      </c>
      <c r="AY356" s="24">
        <f t="shared" si="483"/>
        <v>19144</v>
      </c>
      <c r="AZ356" s="25">
        <f t="shared" si="484"/>
        <v>0.14951110555746464</v>
      </c>
      <c r="BA356" s="24">
        <f t="shared" si="485"/>
        <v>615726</v>
      </c>
      <c r="BB356" s="169">
        <f t="shared" si="486"/>
        <v>4.8087063821811249</v>
      </c>
      <c r="BC356" s="170">
        <f t="shared" si="487"/>
        <v>147188</v>
      </c>
      <c r="BD356" s="150"/>
      <c r="BE356" s="150"/>
      <c r="BF356" s="150"/>
      <c r="BG356" s="150"/>
      <c r="BH356" s="150"/>
      <c r="BI356" s="150"/>
      <c r="BJ356" s="150"/>
      <c r="BK356" s="150"/>
      <c r="BL356" s="150"/>
      <c r="BM356" s="10">
        <v>122680</v>
      </c>
      <c r="BN356" s="45">
        <v>160000</v>
      </c>
      <c r="BO356" s="45">
        <v>148754</v>
      </c>
      <c r="BP356" s="45">
        <v>160000</v>
      </c>
      <c r="BQ356" s="29">
        <f t="shared" si="488"/>
        <v>156251.33333333334</v>
      </c>
      <c r="BR356" s="24">
        <f t="shared" si="489"/>
        <v>33571.333333333343</v>
      </c>
      <c r="BS356" s="25">
        <f t="shared" si="490"/>
        <v>0.2736496033039888</v>
      </c>
      <c r="BT356" s="308">
        <f t="shared" si="491"/>
        <v>156251.33333333334</v>
      </c>
    </row>
    <row r="357" spans="1:72" ht="42" customHeight="1">
      <c r="A357" s="91" t="s">
        <v>23</v>
      </c>
      <c r="B357" s="358" t="s">
        <v>2549</v>
      </c>
      <c r="C357" s="50" t="s">
        <v>218</v>
      </c>
      <c r="D357" s="99" t="s">
        <v>558</v>
      </c>
      <c r="E357" s="48" t="s">
        <v>10</v>
      </c>
      <c r="F357" s="10">
        <v>308909</v>
      </c>
      <c r="G357" s="31">
        <v>401760</v>
      </c>
      <c r="H357" s="31">
        <v>522288</v>
      </c>
      <c r="I357" s="35">
        <v>351168</v>
      </c>
      <c r="J357" s="29">
        <f t="shared" si="422"/>
        <v>425072</v>
      </c>
      <c r="K357" s="24">
        <f t="shared" si="423"/>
        <v>116163</v>
      </c>
      <c r="L357" s="25">
        <f t="shared" si="424"/>
        <v>0.37604278282601022</v>
      </c>
      <c r="M357" s="69" t="str">
        <f t="shared" si="425"/>
        <v>REVISAR PRECIO</v>
      </c>
      <c r="N357" s="77">
        <f t="shared" si="371"/>
        <v>425072</v>
      </c>
      <c r="O357" s="59">
        <v>191385</v>
      </c>
      <c r="P357" s="57">
        <v>276049.565</v>
      </c>
      <c r="Q357" s="57">
        <v>270000</v>
      </c>
      <c r="R357" s="56">
        <v>318057.10749999998</v>
      </c>
      <c r="S357" s="58">
        <v>276000</v>
      </c>
      <c r="T357" s="60">
        <v>360000</v>
      </c>
      <c r="U357" s="57">
        <v>317456.99974999996</v>
      </c>
      <c r="V357" s="29">
        <f t="shared" si="468"/>
        <v>302927.27870833332</v>
      </c>
      <c r="W357" s="24">
        <f t="shared" si="469"/>
        <v>111542.27870833332</v>
      </c>
      <c r="X357" s="25">
        <f t="shared" si="470"/>
        <v>0.5828162014177356</v>
      </c>
      <c r="Y357" s="69" t="str">
        <f t="shared" si="471"/>
        <v>REVISAR PRECIO</v>
      </c>
      <c r="Z357" s="106">
        <f t="shared" si="472"/>
        <v>302927.27870833332</v>
      </c>
      <c r="AA357" s="73">
        <v>191385</v>
      </c>
      <c r="AB357" s="88">
        <v>253000</v>
      </c>
      <c r="AC357" s="116">
        <v>253000</v>
      </c>
      <c r="AD357" s="74">
        <v>264047.41000000003</v>
      </c>
      <c r="AE357" s="76">
        <f t="shared" si="473"/>
        <v>256682.47</v>
      </c>
      <c r="AF357" s="24">
        <f t="shared" si="474"/>
        <v>65297.47</v>
      </c>
      <c r="AG357" s="25">
        <f t="shared" si="475"/>
        <v>0.34118384408391461</v>
      </c>
      <c r="AH357" s="77">
        <f t="shared" si="476"/>
        <v>256682.47</v>
      </c>
      <c r="AI357" s="77">
        <f t="shared" si="477"/>
        <v>256682.47</v>
      </c>
      <c r="AJ357" s="73">
        <v>191385</v>
      </c>
      <c r="AK357" s="79">
        <v>318057.10749999998</v>
      </c>
      <c r="AL357" s="79">
        <f>218221*1.1</f>
        <v>240043.1</v>
      </c>
      <c r="AM357" s="127">
        <v>288051.72000000003</v>
      </c>
      <c r="AN357" s="128">
        <v>262000</v>
      </c>
      <c r="AO357" s="128">
        <v>250000</v>
      </c>
      <c r="AP357" s="133">
        <f t="shared" si="478"/>
        <v>271630.38549999997</v>
      </c>
      <c r="AQ357" s="127">
        <f t="shared" si="479"/>
        <v>80245.385499999975</v>
      </c>
      <c r="AR357" s="134">
        <f t="shared" si="480"/>
        <v>0.41928774721111883</v>
      </c>
      <c r="AS357" s="132">
        <f t="shared" si="481"/>
        <v>271630.38549999997</v>
      </c>
      <c r="AT357" s="10">
        <v>188397</v>
      </c>
      <c r="AU357" s="10">
        <v>240043</v>
      </c>
      <c r="AV357" s="167">
        <v>1200215</v>
      </c>
      <c r="AW357" s="168">
        <v>232500</v>
      </c>
      <c r="AX357" s="29">
        <f t="shared" si="482"/>
        <v>236271.5</v>
      </c>
      <c r="AY357" s="24">
        <f t="shared" si="483"/>
        <v>47874.5</v>
      </c>
      <c r="AZ357" s="25">
        <f t="shared" si="484"/>
        <v>0.25411498059947873</v>
      </c>
      <c r="BA357" s="24">
        <f t="shared" si="485"/>
        <v>1011818</v>
      </c>
      <c r="BB357" s="169">
        <f t="shared" si="486"/>
        <v>5.3706693843320226</v>
      </c>
      <c r="BC357" s="170">
        <f t="shared" si="487"/>
        <v>236271.5</v>
      </c>
      <c r="BD357" s="150"/>
      <c r="BE357" s="150"/>
      <c r="BF357" s="150"/>
      <c r="BG357" s="150"/>
      <c r="BH357" s="150"/>
      <c r="BI357" s="150"/>
      <c r="BJ357" s="150"/>
      <c r="BK357" s="150"/>
      <c r="BL357" s="150"/>
      <c r="BM357" s="10">
        <v>181381</v>
      </c>
      <c r="BN357" s="45">
        <v>320000</v>
      </c>
      <c r="BO357" s="45">
        <v>240043</v>
      </c>
      <c r="BP357" s="45">
        <v>260000</v>
      </c>
      <c r="BQ357" s="29">
        <f t="shared" si="488"/>
        <v>273347.66666666669</v>
      </c>
      <c r="BR357" s="24">
        <f t="shared" si="489"/>
        <v>91966.666666666686</v>
      </c>
      <c r="BS357" s="25">
        <f t="shared" si="490"/>
        <v>0.50703583433031396</v>
      </c>
      <c r="BT357" s="308">
        <f t="shared" si="491"/>
        <v>273347.66666666669</v>
      </c>
    </row>
    <row r="358" spans="1:72" ht="42" customHeight="1">
      <c r="A358" s="91" t="s">
        <v>23</v>
      </c>
      <c r="B358" s="358" t="s">
        <v>2550</v>
      </c>
      <c r="C358" s="50" t="s">
        <v>219</v>
      </c>
      <c r="D358" s="99" t="s">
        <v>559</v>
      </c>
      <c r="E358" s="48" t="s">
        <v>13</v>
      </c>
      <c r="F358" s="10">
        <v>45444</v>
      </c>
      <c r="G358" s="31">
        <v>59103</v>
      </c>
      <c r="H358" s="31">
        <v>76834</v>
      </c>
      <c r="I358" s="35">
        <v>51660.4</v>
      </c>
      <c r="J358" s="29">
        <f t="shared" si="422"/>
        <v>62532.466666666667</v>
      </c>
      <c r="K358" s="24">
        <f t="shared" si="423"/>
        <v>17088.466666666667</v>
      </c>
      <c r="L358" s="25">
        <f t="shared" si="424"/>
        <v>0.37603350644016081</v>
      </c>
      <c r="M358" s="69" t="str">
        <f t="shared" si="425"/>
        <v>REVISAR PRECIO</v>
      </c>
      <c r="N358" s="77">
        <f t="shared" si="371"/>
        <v>62532.466666666667</v>
      </c>
      <c r="O358" s="59">
        <v>30784</v>
      </c>
      <c r="P358" s="57">
        <v>40250</v>
      </c>
      <c r="Q358" s="57">
        <v>45000</v>
      </c>
      <c r="R358" s="56">
        <v>46375</v>
      </c>
      <c r="S358" s="58">
        <v>150000</v>
      </c>
      <c r="T358" s="60">
        <v>35000</v>
      </c>
      <c r="U358" s="57">
        <v>46287.5</v>
      </c>
      <c r="V358" s="29">
        <f t="shared" si="468"/>
        <v>60485.416666666664</v>
      </c>
      <c r="W358" s="24">
        <f t="shared" si="469"/>
        <v>29701.416666666664</v>
      </c>
      <c r="X358" s="25">
        <f t="shared" si="470"/>
        <v>0.9648329218641718</v>
      </c>
      <c r="Y358" s="69" t="str">
        <f t="shared" si="471"/>
        <v>REVISAR PRECIO</v>
      </c>
      <c r="Z358" s="106">
        <f t="shared" si="472"/>
        <v>60485.416666666664</v>
      </c>
      <c r="AA358" s="73">
        <v>30784</v>
      </c>
      <c r="AB358" s="88">
        <v>40000</v>
      </c>
      <c r="AC358" s="116">
        <v>40000</v>
      </c>
      <c r="AD358" s="74">
        <v>38500</v>
      </c>
      <c r="AE358" s="76">
        <f t="shared" si="473"/>
        <v>39500</v>
      </c>
      <c r="AF358" s="24">
        <f t="shared" si="474"/>
        <v>8716</v>
      </c>
      <c r="AG358" s="25">
        <f t="shared" si="475"/>
        <v>0.28313409563409564</v>
      </c>
      <c r="AH358" s="77">
        <f t="shared" si="476"/>
        <v>39500</v>
      </c>
      <c r="AI358" s="77">
        <f t="shared" si="477"/>
        <v>39500</v>
      </c>
      <c r="AJ358" s="73">
        <v>30784</v>
      </c>
      <c r="AK358" s="79">
        <v>46375</v>
      </c>
      <c r="AL358" s="79">
        <v>35000</v>
      </c>
      <c r="AM358" s="127">
        <v>42000</v>
      </c>
      <c r="AN358" s="128">
        <v>42400</v>
      </c>
      <c r="AO358" s="128">
        <v>40000</v>
      </c>
      <c r="AP358" s="133">
        <f t="shared" si="478"/>
        <v>41155</v>
      </c>
      <c r="AQ358" s="127">
        <f t="shared" si="479"/>
        <v>10371</v>
      </c>
      <c r="AR358" s="134">
        <f t="shared" si="480"/>
        <v>0.33689579002079001</v>
      </c>
      <c r="AS358" s="132">
        <f t="shared" si="481"/>
        <v>41155</v>
      </c>
      <c r="AT358" s="10">
        <v>31392</v>
      </c>
      <c r="AU358" s="10">
        <v>35000</v>
      </c>
      <c r="AV358" s="167">
        <v>175000</v>
      </c>
      <c r="AW358" s="168">
        <v>15550</v>
      </c>
      <c r="AX358" s="29">
        <f t="shared" si="482"/>
        <v>25275</v>
      </c>
      <c r="AY358" s="24">
        <f t="shared" si="483"/>
        <v>-6117</v>
      </c>
      <c r="AZ358" s="25">
        <f t="shared" si="484"/>
        <v>-0.1948585626911315</v>
      </c>
      <c r="BA358" s="24">
        <f t="shared" si="485"/>
        <v>143608</v>
      </c>
      <c r="BB358" s="169">
        <f t="shared" si="486"/>
        <v>4.57466870540265</v>
      </c>
      <c r="BC358" s="170">
        <f t="shared" si="487"/>
        <v>25275</v>
      </c>
      <c r="BD358" s="10">
        <v>27424</v>
      </c>
      <c r="BE358" s="10">
        <v>150000</v>
      </c>
      <c r="BF358" s="10">
        <v>160000</v>
      </c>
      <c r="BG358" s="268">
        <v>155000</v>
      </c>
      <c r="BH358" s="10">
        <v>180000</v>
      </c>
      <c r="BI358" s="76">
        <f t="shared" ref="BI358:BI359" si="504">AVERAGE(BE358,BF358,BG358,BH358)</f>
        <v>161250</v>
      </c>
      <c r="BJ358" s="24">
        <f t="shared" ref="BJ358:BJ359" si="505">BI358-BD358</f>
        <v>133826</v>
      </c>
      <c r="BK358" s="25">
        <f t="shared" ref="BK358:BK359" si="506">+BJ358/BD358</f>
        <v>4.8798862310385065</v>
      </c>
      <c r="BL358" s="259">
        <f t="shared" ref="BL358:BL359" si="507">BI358</f>
        <v>161250</v>
      </c>
      <c r="BM358" s="10">
        <v>30622</v>
      </c>
      <c r="BN358" s="45"/>
      <c r="BO358" s="45">
        <v>35000</v>
      </c>
      <c r="BP358" s="45">
        <v>40000</v>
      </c>
      <c r="BQ358" s="29">
        <f t="shared" si="488"/>
        <v>37500</v>
      </c>
      <c r="BR358" s="24">
        <f t="shared" si="489"/>
        <v>6878</v>
      </c>
      <c r="BS358" s="25">
        <f t="shared" si="490"/>
        <v>0.22460975769054928</v>
      </c>
      <c r="BT358" s="308">
        <f t="shared" si="491"/>
        <v>37500</v>
      </c>
    </row>
    <row r="359" spans="1:72" ht="42" customHeight="1">
      <c r="A359" s="91" t="s">
        <v>23</v>
      </c>
      <c r="B359" s="358" t="s">
        <v>2551</v>
      </c>
      <c r="C359" s="50" t="s">
        <v>220</v>
      </c>
      <c r="D359" s="99" t="s">
        <v>560</v>
      </c>
      <c r="E359" s="48" t="s">
        <v>10</v>
      </c>
      <c r="F359" s="10">
        <v>49388</v>
      </c>
      <c r="G359" s="42">
        <v>64233</v>
      </c>
      <c r="H359" s="31">
        <v>64233</v>
      </c>
      <c r="I359" s="35">
        <v>56144.4</v>
      </c>
      <c r="J359" s="29">
        <f t="shared" si="422"/>
        <v>61536.799999999996</v>
      </c>
      <c r="K359" s="24">
        <f t="shared" si="423"/>
        <v>12148.799999999996</v>
      </c>
      <c r="L359" s="25">
        <f t="shared" si="424"/>
        <v>0.24598687940390371</v>
      </c>
      <c r="M359" s="69">
        <f t="shared" si="425"/>
        <v>61536.799999999996</v>
      </c>
      <c r="N359" s="77">
        <f t="shared" si="371"/>
        <v>61536.799999999996</v>
      </c>
      <c r="O359" s="59">
        <v>24623</v>
      </c>
      <c r="P359" s="57">
        <v>51750</v>
      </c>
      <c r="Q359" s="57">
        <v>55000</v>
      </c>
      <c r="R359" s="56">
        <v>59625</v>
      </c>
      <c r="S359" s="58">
        <v>95000</v>
      </c>
      <c r="T359" s="60">
        <v>78000</v>
      </c>
      <c r="U359" s="57">
        <v>59512.499999999985</v>
      </c>
      <c r="V359" s="29">
        <f t="shared" si="468"/>
        <v>66481.25</v>
      </c>
      <c r="W359" s="24">
        <f t="shared" si="469"/>
        <v>41858.25</v>
      </c>
      <c r="X359" s="25">
        <f t="shared" si="470"/>
        <v>1.6999654794298014</v>
      </c>
      <c r="Y359" s="69" t="str">
        <f t="shared" si="471"/>
        <v>REVISAR PRECIO</v>
      </c>
      <c r="Z359" s="106">
        <f t="shared" si="472"/>
        <v>66481.25</v>
      </c>
      <c r="AA359" s="73">
        <v>24623</v>
      </c>
      <c r="AB359" s="88">
        <v>50000</v>
      </c>
      <c r="AC359" s="116">
        <v>50000</v>
      </c>
      <c r="AD359" s="74">
        <v>49500</v>
      </c>
      <c r="AE359" s="76">
        <f t="shared" si="473"/>
        <v>49833.333333333336</v>
      </c>
      <c r="AF359" s="24">
        <f t="shared" si="474"/>
        <v>25210.333333333336</v>
      </c>
      <c r="AG359" s="25">
        <f t="shared" si="475"/>
        <v>1.0238530371333037</v>
      </c>
      <c r="AH359" s="77" t="str">
        <f t="shared" si="476"/>
        <v>REVISAR PRECIO</v>
      </c>
      <c r="AI359" s="77">
        <f t="shared" si="477"/>
        <v>49833.333333333336</v>
      </c>
      <c r="AJ359" s="73">
        <v>24623</v>
      </c>
      <c r="AK359" s="79">
        <v>59625</v>
      </c>
      <c r="AL359" s="79">
        <v>45000</v>
      </c>
      <c r="AM359" s="127">
        <v>54000</v>
      </c>
      <c r="AN359" s="128">
        <v>50000</v>
      </c>
      <c r="AO359" s="128">
        <v>45000</v>
      </c>
      <c r="AP359" s="133">
        <f t="shared" si="478"/>
        <v>50725</v>
      </c>
      <c r="AQ359" s="127">
        <f t="shared" si="479"/>
        <v>26102</v>
      </c>
      <c r="AR359" s="134">
        <f t="shared" si="480"/>
        <v>1.060065792145555</v>
      </c>
      <c r="AS359" s="132">
        <f t="shared" si="481"/>
        <v>50725</v>
      </c>
      <c r="AT359" s="10">
        <v>26000</v>
      </c>
      <c r="AU359" s="10">
        <v>45000</v>
      </c>
      <c r="AV359" s="167">
        <v>225000</v>
      </c>
      <c r="AW359" s="168">
        <v>45000</v>
      </c>
      <c r="AX359" s="29">
        <f t="shared" si="482"/>
        <v>45000</v>
      </c>
      <c r="AY359" s="24">
        <f t="shared" si="483"/>
        <v>19000</v>
      </c>
      <c r="AZ359" s="25">
        <f t="shared" si="484"/>
        <v>0.73076923076923073</v>
      </c>
      <c r="BA359" s="24">
        <f t="shared" si="485"/>
        <v>199000</v>
      </c>
      <c r="BB359" s="169">
        <f t="shared" si="486"/>
        <v>7.6538461538461542</v>
      </c>
      <c r="BC359" s="170">
        <f t="shared" si="487"/>
        <v>45000</v>
      </c>
      <c r="BD359" s="10">
        <v>23219</v>
      </c>
      <c r="BE359" s="10">
        <v>95000</v>
      </c>
      <c r="BF359" s="10">
        <v>105000</v>
      </c>
      <c r="BG359" s="268">
        <v>100000</v>
      </c>
      <c r="BH359" s="10">
        <v>150000</v>
      </c>
      <c r="BI359" s="76">
        <f t="shared" si="504"/>
        <v>112500</v>
      </c>
      <c r="BJ359" s="24">
        <f t="shared" si="505"/>
        <v>89281</v>
      </c>
      <c r="BK359" s="25">
        <f t="shared" si="506"/>
        <v>3.8451699039579657</v>
      </c>
      <c r="BL359" s="259">
        <f t="shared" si="507"/>
        <v>112500</v>
      </c>
      <c r="BM359" s="10">
        <v>25231</v>
      </c>
      <c r="BN359" s="45">
        <v>50000</v>
      </c>
      <c r="BO359" s="45">
        <v>45000</v>
      </c>
      <c r="BP359" s="45">
        <v>45000</v>
      </c>
      <c r="BQ359" s="29">
        <f t="shared" si="488"/>
        <v>46666.666666666664</v>
      </c>
      <c r="BR359" s="24">
        <f t="shared" si="489"/>
        <v>21435.666666666664</v>
      </c>
      <c r="BS359" s="25">
        <f t="shared" si="490"/>
        <v>0.84957657907600426</v>
      </c>
      <c r="BT359" s="308">
        <f t="shared" si="491"/>
        <v>46666.666666666664</v>
      </c>
    </row>
    <row r="360" spans="1:72" ht="21" customHeight="1">
      <c r="A360" s="91" t="s">
        <v>23</v>
      </c>
      <c r="B360" s="358" t="s">
        <v>2552</v>
      </c>
      <c r="C360" s="50" t="s">
        <v>221</v>
      </c>
      <c r="D360" s="99" t="s">
        <v>561</v>
      </c>
      <c r="E360" s="48" t="s">
        <v>741</v>
      </c>
      <c r="F360" s="10">
        <v>508620</v>
      </c>
      <c r="G360" s="33">
        <v>661500</v>
      </c>
      <c r="H360" s="39">
        <v>859950</v>
      </c>
      <c r="I360" s="35">
        <v>578200</v>
      </c>
      <c r="J360" s="29">
        <f t="shared" si="422"/>
        <v>699883.33333333337</v>
      </c>
      <c r="K360" s="24">
        <f t="shared" si="423"/>
        <v>191263.33333333337</v>
      </c>
      <c r="L360" s="25">
        <f t="shared" si="424"/>
        <v>0.37604367373153508</v>
      </c>
      <c r="M360" s="69" t="str">
        <f t="shared" si="425"/>
        <v>REVISAR PRECIO</v>
      </c>
      <c r="N360" s="77">
        <f t="shared" si="371"/>
        <v>699883.33333333337</v>
      </c>
      <c r="O360" s="59">
        <v>332234</v>
      </c>
      <c r="P360" s="57">
        <v>201250</v>
      </c>
      <c r="Q360" s="57">
        <v>330000</v>
      </c>
      <c r="R360" s="56">
        <v>231875</v>
      </c>
      <c r="S360" s="58">
        <v>287500</v>
      </c>
      <c r="T360" s="60"/>
      <c r="U360" s="57">
        <v>330625</v>
      </c>
      <c r="V360" s="29">
        <f t="shared" si="468"/>
        <v>276250</v>
      </c>
      <c r="W360" s="24">
        <f t="shared" si="469"/>
        <v>-55984</v>
      </c>
      <c r="X360" s="25">
        <f t="shared" si="470"/>
        <v>-0.16850773852164438</v>
      </c>
      <c r="Y360" s="69">
        <f t="shared" si="471"/>
        <v>276250</v>
      </c>
      <c r="Z360" s="106">
        <f t="shared" si="472"/>
        <v>276250</v>
      </c>
      <c r="AA360" s="73">
        <v>332234</v>
      </c>
      <c r="AB360" s="88">
        <v>185000</v>
      </c>
      <c r="AC360" s="116">
        <v>185000</v>
      </c>
      <c r="AD360" s="74">
        <v>192500</v>
      </c>
      <c r="AE360" s="76">
        <f t="shared" si="473"/>
        <v>187500</v>
      </c>
      <c r="AF360" s="24">
        <f t="shared" si="474"/>
        <v>-144734</v>
      </c>
      <c r="AG360" s="25">
        <f t="shared" si="475"/>
        <v>-0.43563873655315227</v>
      </c>
      <c r="AH360" s="77">
        <f t="shared" si="476"/>
        <v>187500</v>
      </c>
      <c r="AI360" s="77">
        <f t="shared" si="477"/>
        <v>187500</v>
      </c>
      <c r="AJ360" s="73">
        <v>332234</v>
      </c>
      <c r="AK360" s="79">
        <v>231875</v>
      </c>
      <c r="AL360" s="79">
        <v>175000</v>
      </c>
      <c r="AM360" s="127">
        <v>210000</v>
      </c>
      <c r="AN360" s="128">
        <v>162000</v>
      </c>
      <c r="AO360" s="128">
        <v>180000</v>
      </c>
      <c r="AP360" s="133">
        <f t="shared" si="478"/>
        <v>191775</v>
      </c>
      <c r="AQ360" s="127">
        <f t="shared" si="479"/>
        <v>-140459</v>
      </c>
      <c r="AR360" s="134">
        <f t="shared" si="480"/>
        <v>-0.42277129974656419</v>
      </c>
      <c r="AS360" s="132">
        <f t="shared" si="481"/>
        <v>191775</v>
      </c>
      <c r="AT360" s="250"/>
      <c r="AU360" s="250"/>
      <c r="AV360" s="250"/>
      <c r="AW360" s="250"/>
      <c r="AX360" s="250"/>
      <c r="AY360" s="250"/>
      <c r="AZ360" s="250"/>
      <c r="BA360" s="250"/>
      <c r="BB360" s="250"/>
      <c r="BC360" s="251"/>
      <c r="BD360" s="150"/>
      <c r="BE360" s="150"/>
      <c r="BF360" s="150"/>
      <c r="BG360" s="150"/>
      <c r="BH360" s="150"/>
      <c r="BI360" s="150"/>
      <c r="BJ360" s="150"/>
      <c r="BK360" s="150"/>
      <c r="BL360" s="150"/>
      <c r="BM360" s="293"/>
      <c r="BN360" s="293"/>
      <c r="BO360" s="293"/>
      <c r="BP360" s="293"/>
      <c r="BQ360" s="293"/>
      <c r="BR360" s="293"/>
      <c r="BS360" s="293"/>
      <c r="BT360" s="293"/>
    </row>
    <row r="361" spans="1:72" s="1" customFormat="1" ht="60.95" customHeight="1">
      <c r="A361" s="91"/>
      <c r="B361" s="358" t="s">
        <v>2553</v>
      </c>
      <c r="C361" s="50" t="s">
        <v>957</v>
      </c>
      <c r="D361" s="177" t="s">
        <v>953</v>
      </c>
      <c r="E361" s="62" t="s">
        <v>10</v>
      </c>
      <c r="F361" s="10"/>
      <c r="G361" s="33"/>
      <c r="H361" s="39"/>
      <c r="I361" s="183"/>
      <c r="J361" s="29"/>
      <c r="K361" s="24"/>
      <c r="L361" s="25"/>
      <c r="M361" s="69"/>
      <c r="N361" s="77"/>
      <c r="O361" s="190"/>
      <c r="P361" s="191"/>
      <c r="Q361" s="191"/>
      <c r="R361" s="192"/>
      <c r="S361" s="193"/>
      <c r="T361" s="60"/>
      <c r="U361" s="191"/>
      <c r="V361" s="29"/>
      <c r="W361" s="24"/>
      <c r="X361" s="25"/>
      <c r="Y361" s="69"/>
      <c r="Z361" s="194"/>
      <c r="AA361" s="195"/>
      <c r="AB361" s="196"/>
      <c r="AC361" s="197"/>
      <c r="AD361" s="198"/>
      <c r="AE361" s="199"/>
      <c r="AF361" s="139"/>
      <c r="AG361" s="140"/>
      <c r="AH361" s="200"/>
      <c r="AI361" s="200"/>
      <c r="AJ361" s="73"/>
      <c r="AK361" s="79"/>
      <c r="AL361" s="79"/>
      <c r="AM361" s="127"/>
      <c r="AN361" s="128"/>
      <c r="AO361" s="128"/>
      <c r="AP361" s="133"/>
      <c r="AQ361" s="127"/>
      <c r="AR361" s="134"/>
      <c r="AS361" s="132"/>
      <c r="AT361" s="10">
        <v>73462</v>
      </c>
      <c r="AU361" s="10"/>
      <c r="AV361" s="167">
        <v>450000</v>
      </c>
      <c r="AW361" s="168">
        <v>145600</v>
      </c>
      <c r="AX361" s="29">
        <f t="shared" ref="AX361:AX364" si="508">AVERAGE(AU361,AW361)</f>
        <v>145600</v>
      </c>
      <c r="AY361" s="24">
        <f t="shared" ref="AY361:AY364" si="509">AX361-AT361</f>
        <v>72138</v>
      </c>
      <c r="AZ361" s="25">
        <f t="shared" ref="AZ361:AZ364" si="510">+AY361/AT361</f>
        <v>0.98197707658381206</v>
      </c>
      <c r="BA361" s="24">
        <f t="shared" ref="BA361:BA364" si="511">AV361-AT361</f>
        <v>376538</v>
      </c>
      <c r="BB361" s="169">
        <f t="shared" ref="BB361:BB364" si="512">+BA361/AT361</f>
        <v>5.1256159647164523</v>
      </c>
      <c r="BC361" s="170">
        <f t="shared" ref="BC361:BC364" si="513">AX361</f>
        <v>145600</v>
      </c>
      <c r="BD361" s="150"/>
      <c r="BE361" s="150"/>
      <c r="BF361" s="150"/>
      <c r="BG361" s="150"/>
      <c r="BH361" s="150"/>
      <c r="BI361" s="150"/>
      <c r="BJ361" s="150"/>
      <c r="BK361" s="150"/>
      <c r="BL361" s="150"/>
      <c r="BM361" s="293"/>
      <c r="BN361" s="293"/>
      <c r="BO361" s="293"/>
      <c r="BP361" s="293"/>
      <c r="BQ361" s="293"/>
      <c r="BR361" s="293"/>
      <c r="BS361" s="293"/>
      <c r="BT361" s="293"/>
    </row>
    <row r="362" spans="1:72" s="1" customFormat="1" ht="63.95" customHeight="1">
      <c r="A362" s="91"/>
      <c r="B362" s="358" t="s">
        <v>2554</v>
      </c>
      <c r="C362" s="50" t="s">
        <v>958</v>
      </c>
      <c r="D362" s="177" t="s">
        <v>954</v>
      </c>
      <c r="E362" s="62" t="s">
        <v>10</v>
      </c>
      <c r="F362" s="10"/>
      <c r="G362" s="33"/>
      <c r="H362" s="39"/>
      <c r="I362" s="183"/>
      <c r="J362" s="29"/>
      <c r="K362" s="24"/>
      <c r="L362" s="25"/>
      <c r="M362" s="69"/>
      <c r="N362" s="77"/>
      <c r="O362" s="190"/>
      <c r="P362" s="191"/>
      <c r="Q362" s="191"/>
      <c r="R362" s="192"/>
      <c r="S362" s="193"/>
      <c r="T362" s="60"/>
      <c r="U362" s="191"/>
      <c r="V362" s="29"/>
      <c r="W362" s="24"/>
      <c r="X362" s="25"/>
      <c r="Y362" s="69"/>
      <c r="Z362" s="194"/>
      <c r="AA362" s="195"/>
      <c r="AB362" s="196"/>
      <c r="AC362" s="197"/>
      <c r="AD362" s="198"/>
      <c r="AE362" s="199"/>
      <c r="AF362" s="139"/>
      <c r="AG362" s="140"/>
      <c r="AH362" s="200"/>
      <c r="AI362" s="200"/>
      <c r="AJ362" s="73"/>
      <c r="AK362" s="79"/>
      <c r="AL362" s="79"/>
      <c r="AM362" s="127"/>
      <c r="AN362" s="128"/>
      <c r="AO362" s="128"/>
      <c r="AP362" s="133"/>
      <c r="AQ362" s="127"/>
      <c r="AR362" s="134"/>
      <c r="AS362" s="132"/>
      <c r="AT362" s="10">
        <v>105642</v>
      </c>
      <c r="AU362" s="10">
        <v>65155.21</v>
      </c>
      <c r="AV362" s="167">
        <v>195465.63</v>
      </c>
      <c r="AW362" s="168">
        <v>6500</v>
      </c>
      <c r="AX362" s="29">
        <f t="shared" si="508"/>
        <v>35827.604999999996</v>
      </c>
      <c r="AY362" s="24">
        <f t="shared" si="509"/>
        <v>-69814.395000000004</v>
      </c>
      <c r="AZ362" s="25">
        <f t="shared" si="510"/>
        <v>-0.66085832339410466</v>
      </c>
      <c r="BA362" s="24">
        <f t="shared" si="511"/>
        <v>89823.63</v>
      </c>
      <c r="BB362" s="169">
        <f t="shared" si="512"/>
        <v>0.8502643834838417</v>
      </c>
      <c r="BC362" s="170">
        <f t="shared" si="513"/>
        <v>35827.604999999996</v>
      </c>
      <c r="BD362" s="150"/>
      <c r="BE362" s="150"/>
      <c r="BF362" s="150"/>
      <c r="BG362" s="150"/>
      <c r="BH362" s="150"/>
      <c r="BI362" s="150"/>
      <c r="BJ362" s="150"/>
      <c r="BK362" s="150"/>
      <c r="BL362" s="150"/>
      <c r="BM362" s="293"/>
      <c r="BN362" s="293"/>
      <c r="BO362" s="293"/>
      <c r="BP362" s="293"/>
      <c r="BQ362" s="293"/>
      <c r="BR362" s="293"/>
      <c r="BS362" s="293"/>
      <c r="BT362" s="293"/>
    </row>
    <row r="363" spans="1:72" s="1" customFormat="1" ht="48.95" customHeight="1">
      <c r="A363" s="91"/>
      <c r="B363" s="358" t="s">
        <v>2555</v>
      </c>
      <c r="C363" s="50" t="s">
        <v>959</v>
      </c>
      <c r="D363" s="177" t="s">
        <v>955</v>
      </c>
      <c r="E363" s="62" t="s">
        <v>10</v>
      </c>
      <c r="F363" s="10"/>
      <c r="G363" s="33"/>
      <c r="H363" s="39"/>
      <c r="I363" s="183"/>
      <c r="J363" s="29"/>
      <c r="K363" s="24"/>
      <c r="L363" s="25"/>
      <c r="M363" s="69"/>
      <c r="N363" s="77"/>
      <c r="O363" s="190"/>
      <c r="P363" s="191"/>
      <c r="Q363" s="191"/>
      <c r="R363" s="192"/>
      <c r="S363" s="193"/>
      <c r="T363" s="60"/>
      <c r="U363" s="191"/>
      <c r="V363" s="29"/>
      <c r="W363" s="24"/>
      <c r="X363" s="25"/>
      <c r="Y363" s="69"/>
      <c r="Z363" s="194"/>
      <c r="AA363" s="195"/>
      <c r="AB363" s="196"/>
      <c r="AC363" s="197"/>
      <c r="AD363" s="198"/>
      <c r="AE363" s="199"/>
      <c r="AF363" s="139"/>
      <c r="AG363" s="140"/>
      <c r="AH363" s="200"/>
      <c r="AI363" s="200"/>
      <c r="AJ363" s="73"/>
      <c r="AK363" s="79"/>
      <c r="AL363" s="79"/>
      <c r="AM363" s="127"/>
      <c r="AN363" s="128"/>
      <c r="AO363" s="128"/>
      <c r="AP363" s="133"/>
      <c r="AQ363" s="127"/>
      <c r="AR363" s="134"/>
      <c r="AS363" s="132"/>
      <c r="AT363" s="10">
        <v>103174</v>
      </c>
      <c r="AU363" s="10"/>
      <c r="AV363" s="167">
        <v>450000</v>
      </c>
      <c r="AW363" s="168">
        <v>155000</v>
      </c>
      <c r="AX363" s="29">
        <f t="shared" si="508"/>
        <v>155000</v>
      </c>
      <c r="AY363" s="24">
        <f t="shared" si="509"/>
        <v>51826</v>
      </c>
      <c r="AZ363" s="25">
        <f t="shared" si="510"/>
        <v>0.50231647508093125</v>
      </c>
      <c r="BA363" s="24">
        <f t="shared" si="511"/>
        <v>346826</v>
      </c>
      <c r="BB363" s="169">
        <f t="shared" si="512"/>
        <v>3.361563959912381</v>
      </c>
      <c r="BC363" s="170">
        <f t="shared" si="513"/>
        <v>155000</v>
      </c>
      <c r="BD363" s="150"/>
      <c r="BE363" s="150"/>
      <c r="BF363" s="150"/>
      <c r="BG363" s="150"/>
      <c r="BH363" s="150"/>
      <c r="BI363" s="150"/>
      <c r="BJ363" s="150"/>
      <c r="BK363" s="150"/>
      <c r="BL363" s="150"/>
      <c r="BM363" s="293"/>
      <c r="BN363" s="293"/>
      <c r="BO363" s="293"/>
      <c r="BP363" s="293"/>
      <c r="BQ363" s="293"/>
      <c r="BR363" s="293"/>
      <c r="BS363" s="293"/>
      <c r="BT363" s="293"/>
    </row>
    <row r="364" spans="1:72" s="1" customFormat="1" ht="51" customHeight="1">
      <c r="A364" s="91"/>
      <c r="B364" s="358" t="s">
        <v>2556</v>
      </c>
      <c r="C364" s="50" t="s">
        <v>960</v>
      </c>
      <c r="D364" s="177" t="s">
        <v>956</v>
      </c>
      <c r="E364" s="62" t="s">
        <v>14</v>
      </c>
      <c r="F364" s="10"/>
      <c r="G364" s="33"/>
      <c r="H364" s="39"/>
      <c r="I364" s="183"/>
      <c r="J364" s="29"/>
      <c r="K364" s="24"/>
      <c r="L364" s="25"/>
      <c r="M364" s="69"/>
      <c r="N364" s="77"/>
      <c r="O364" s="190"/>
      <c r="P364" s="191"/>
      <c r="Q364" s="191"/>
      <c r="R364" s="192"/>
      <c r="S364" s="193"/>
      <c r="T364" s="60"/>
      <c r="U364" s="191"/>
      <c r="V364" s="29"/>
      <c r="W364" s="24"/>
      <c r="X364" s="25"/>
      <c r="Y364" s="69"/>
      <c r="Z364" s="194"/>
      <c r="AA364" s="195"/>
      <c r="AB364" s="196"/>
      <c r="AC364" s="197"/>
      <c r="AD364" s="198"/>
      <c r="AE364" s="199"/>
      <c r="AF364" s="139"/>
      <c r="AG364" s="140"/>
      <c r="AH364" s="200"/>
      <c r="AI364" s="200"/>
      <c r="AJ364" s="73"/>
      <c r="AK364" s="79"/>
      <c r="AL364" s="79"/>
      <c r="AM364" s="127"/>
      <c r="AN364" s="128"/>
      <c r="AO364" s="128"/>
      <c r="AP364" s="133"/>
      <c r="AQ364" s="127"/>
      <c r="AR364" s="134"/>
      <c r="AS364" s="132"/>
      <c r="AT364" s="10">
        <v>321404</v>
      </c>
      <c r="AU364" s="10"/>
      <c r="AV364" s="167">
        <v>45000</v>
      </c>
      <c r="AW364" s="168">
        <v>245600</v>
      </c>
      <c r="AX364" s="29">
        <f t="shared" si="508"/>
        <v>245600</v>
      </c>
      <c r="AY364" s="24">
        <f t="shared" si="509"/>
        <v>-75804</v>
      </c>
      <c r="AZ364" s="25">
        <f t="shared" si="510"/>
        <v>-0.23585269629500566</v>
      </c>
      <c r="BA364" s="24">
        <f t="shared" si="511"/>
        <v>-276404</v>
      </c>
      <c r="BB364" s="169">
        <f t="shared" si="512"/>
        <v>-0.85998929695958981</v>
      </c>
      <c r="BC364" s="170">
        <f t="shared" si="513"/>
        <v>245600</v>
      </c>
      <c r="BD364" s="150"/>
      <c r="BE364" s="150"/>
      <c r="BF364" s="150"/>
      <c r="BG364" s="150"/>
      <c r="BH364" s="150"/>
      <c r="BI364" s="150"/>
      <c r="BJ364" s="150"/>
      <c r="BK364" s="150"/>
      <c r="BL364" s="150"/>
      <c r="BM364" s="293"/>
      <c r="BN364" s="293"/>
      <c r="BO364" s="293"/>
      <c r="BP364" s="293"/>
      <c r="BQ364" s="293"/>
      <c r="BR364" s="293"/>
      <c r="BS364" s="293"/>
      <c r="BT364" s="293"/>
    </row>
    <row r="365" spans="1:72" s="1" customFormat="1" ht="51" customHeight="1">
      <c r="A365" s="91"/>
      <c r="B365" s="358" t="s">
        <v>2557</v>
      </c>
      <c r="C365" s="50" t="s">
        <v>1610</v>
      </c>
      <c r="D365" s="264" t="s">
        <v>1578</v>
      </c>
      <c r="E365" s="262" t="s">
        <v>1579</v>
      </c>
      <c r="F365" s="10"/>
      <c r="G365" s="33"/>
      <c r="H365" s="39"/>
      <c r="I365" s="183"/>
      <c r="J365" s="29"/>
      <c r="K365" s="24"/>
      <c r="L365" s="25"/>
      <c r="M365" s="69"/>
      <c r="N365" s="77"/>
      <c r="O365" s="190"/>
      <c r="P365" s="191"/>
      <c r="Q365" s="191"/>
      <c r="R365" s="192"/>
      <c r="S365" s="193"/>
      <c r="T365" s="60"/>
      <c r="U365" s="191"/>
      <c r="V365" s="29"/>
      <c r="W365" s="24"/>
      <c r="X365" s="25"/>
      <c r="Y365" s="69"/>
      <c r="Z365" s="194"/>
      <c r="AA365" s="195"/>
      <c r="AB365" s="196"/>
      <c r="AC365" s="197"/>
      <c r="AD365" s="198"/>
      <c r="AE365" s="199"/>
      <c r="AF365" s="139"/>
      <c r="AG365" s="140"/>
      <c r="AH365" s="200"/>
      <c r="AI365" s="200"/>
      <c r="AJ365" s="73"/>
      <c r="AK365" s="79"/>
      <c r="AL365" s="79"/>
      <c r="AM365" s="127"/>
      <c r="AN365" s="128"/>
      <c r="AO365" s="128"/>
      <c r="AP365" s="133"/>
      <c r="AQ365" s="127"/>
      <c r="AR365" s="134"/>
      <c r="AS365" s="132"/>
      <c r="AT365" s="10"/>
      <c r="AU365" s="10"/>
      <c r="AV365" s="167"/>
      <c r="AW365" s="168"/>
      <c r="AX365" s="29"/>
      <c r="AY365" s="24"/>
      <c r="AZ365" s="25"/>
      <c r="BA365" s="24"/>
      <c r="BB365" s="169"/>
      <c r="BC365" s="170"/>
      <c r="BD365" s="10">
        <v>129524</v>
      </c>
      <c r="BE365" s="10">
        <v>550000</v>
      </c>
      <c r="BF365" s="10">
        <v>610000</v>
      </c>
      <c r="BG365" s="268">
        <v>580000</v>
      </c>
      <c r="BH365" s="10">
        <v>750000</v>
      </c>
      <c r="BI365" s="76">
        <f t="shared" ref="BI365:BI394" si="514">AVERAGE(BE365,BF365,BG365,BH365)</f>
        <v>622500</v>
      </c>
      <c r="BJ365" s="24">
        <f t="shared" ref="BJ365:BJ394" si="515">BI365-BD365</f>
        <v>492976</v>
      </c>
      <c r="BK365" s="25">
        <f t="shared" ref="BK365:BK394" si="516">+BJ365/BD365</f>
        <v>3.8060591087366049</v>
      </c>
      <c r="BL365" s="309">
        <f t="shared" ref="BL365:BL394" si="517">BI365</f>
        <v>622500</v>
      </c>
      <c r="BM365" s="293"/>
      <c r="BN365" s="293"/>
      <c r="BO365" s="293"/>
      <c r="BP365" s="293"/>
      <c r="BQ365" s="293"/>
      <c r="BR365" s="293"/>
      <c r="BS365" s="293"/>
      <c r="BT365" s="293"/>
    </row>
    <row r="366" spans="1:72" s="1" customFormat="1" ht="51" customHeight="1">
      <c r="A366" s="91"/>
      <c r="B366" s="358" t="s">
        <v>2558</v>
      </c>
      <c r="C366" s="50" t="s">
        <v>1611</v>
      </c>
      <c r="D366" s="264" t="s">
        <v>1580</v>
      </c>
      <c r="E366" s="262" t="s">
        <v>1579</v>
      </c>
      <c r="F366" s="10"/>
      <c r="G366" s="33"/>
      <c r="H366" s="39"/>
      <c r="I366" s="183"/>
      <c r="J366" s="29"/>
      <c r="K366" s="24"/>
      <c r="L366" s="25"/>
      <c r="M366" s="69"/>
      <c r="N366" s="77"/>
      <c r="O366" s="190"/>
      <c r="P366" s="191"/>
      <c r="Q366" s="191"/>
      <c r="R366" s="192"/>
      <c r="S366" s="193"/>
      <c r="T366" s="60"/>
      <c r="U366" s="191"/>
      <c r="V366" s="29"/>
      <c r="W366" s="24"/>
      <c r="X366" s="25"/>
      <c r="Y366" s="69"/>
      <c r="Z366" s="194"/>
      <c r="AA366" s="195"/>
      <c r="AB366" s="196"/>
      <c r="AC366" s="197"/>
      <c r="AD366" s="198"/>
      <c r="AE366" s="199"/>
      <c r="AF366" s="139"/>
      <c r="AG366" s="140"/>
      <c r="AH366" s="200"/>
      <c r="AI366" s="200"/>
      <c r="AJ366" s="73"/>
      <c r="AK366" s="79"/>
      <c r="AL366" s="79"/>
      <c r="AM366" s="127"/>
      <c r="AN366" s="128"/>
      <c r="AO366" s="128"/>
      <c r="AP366" s="133"/>
      <c r="AQ366" s="127"/>
      <c r="AR366" s="134"/>
      <c r="AS366" s="132"/>
      <c r="AT366" s="10"/>
      <c r="AU366" s="10"/>
      <c r="AV366" s="167"/>
      <c r="AW366" s="168"/>
      <c r="AX366" s="29"/>
      <c r="AY366" s="24"/>
      <c r="AZ366" s="25"/>
      <c r="BA366" s="24"/>
      <c r="BB366" s="169"/>
      <c r="BC366" s="170"/>
      <c r="BD366" s="10">
        <v>285919</v>
      </c>
      <c r="BE366" s="10">
        <v>580000</v>
      </c>
      <c r="BF366" s="10">
        <v>630000</v>
      </c>
      <c r="BG366" s="268">
        <v>600000</v>
      </c>
      <c r="BH366" s="10">
        <v>750000</v>
      </c>
      <c r="BI366" s="76">
        <f t="shared" si="514"/>
        <v>640000</v>
      </c>
      <c r="BJ366" s="24">
        <f t="shared" si="515"/>
        <v>354081</v>
      </c>
      <c r="BK366" s="25">
        <f t="shared" si="516"/>
        <v>1.238396189130488</v>
      </c>
      <c r="BL366" s="309">
        <f t="shared" si="517"/>
        <v>640000</v>
      </c>
      <c r="BM366" s="293"/>
      <c r="BN366" s="293"/>
      <c r="BO366" s="293"/>
      <c r="BP366" s="293"/>
      <c r="BQ366" s="293"/>
      <c r="BR366" s="293"/>
      <c r="BS366" s="293"/>
      <c r="BT366" s="293"/>
    </row>
    <row r="367" spans="1:72" s="1" customFormat="1" ht="51" customHeight="1">
      <c r="A367" s="91"/>
      <c r="B367" s="358" t="s">
        <v>2559</v>
      </c>
      <c r="C367" s="50" t="s">
        <v>1612</v>
      </c>
      <c r="D367" s="264" t="s">
        <v>1581</v>
      </c>
      <c r="E367" s="262" t="s">
        <v>1579</v>
      </c>
      <c r="F367" s="10"/>
      <c r="G367" s="33"/>
      <c r="H367" s="39"/>
      <c r="I367" s="183"/>
      <c r="J367" s="29"/>
      <c r="K367" s="24"/>
      <c r="L367" s="25"/>
      <c r="M367" s="69"/>
      <c r="N367" s="77"/>
      <c r="O367" s="190"/>
      <c r="P367" s="191"/>
      <c r="Q367" s="191"/>
      <c r="R367" s="192"/>
      <c r="S367" s="193"/>
      <c r="T367" s="60"/>
      <c r="U367" s="191"/>
      <c r="V367" s="29"/>
      <c r="W367" s="24"/>
      <c r="X367" s="25"/>
      <c r="Y367" s="69"/>
      <c r="Z367" s="194"/>
      <c r="AA367" s="195"/>
      <c r="AB367" s="196"/>
      <c r="AC367" s="197"/>
      <c r="AD367" s="198"/>
      <c r="AE367" s="199"/>
      <c r="AF367" s="139"/>
      <c r="AG367" s="140"/>
      <c r="AH367" s="200"/>
      <c r="AI367" s="200"/>
      <c r="AJ367" s="73"/>
      <c r="AK367" s="79"/>
      <c r="AL367" s="79"/>
      <c r="AM367" s="127"/>
      <c r="AN367" s="128"/>
      <c r="AO367" s="128"/>
      <c r="AP367" s="133"/>
      <c r="AQ367" s="127"/>
      <c r="AR367" s="134"/>
      <c r="AS367" s="132"/>
      <c r="AT367" s="10"/>
      <c r="AU367" s="10"/>
      <c r="AV367" s="167"/>
      <c r="AW367" s="168"/>
      <c r="AX367" s="29"/>
      <c r="AY367" s="24"/>
      <c r="AZ367" s="25"/>
      <c r="BA367" s="24"/>
      <c r="BB367" s="169"/>
      <c r="BC367" s="170"/>
      <c r="BD367" s="10">
        <v>148604</v>
      </c>
      <c r="BE367" s="10">
        <v>620000</v>
      </c>
      <c r="BF367" s="10">
        <v>650000</v>
      </c>
      <c r="BG367" s="268">
        <v>630000</v>
      </c>
      <c r="BH367" s="10">
        <v>780000</v>
      </c>
      <c r="BI367" s="76">
        <f t="shared" si="514"/>
        <v>670000</v>
      </c>
      <c r="BJ367" s="24">
        <f t="shared" si="515"/>
        <v>521396</v>
      </c>
      <c r="BK367" s="25">
        <f t="shared" si="516"/>
        <v>3.5086269548598961</v>
      </c>
      <c r="BL367" s="309">
        <f t="shared" si="517"/>
        <v>670000</v>
      </c>
      <c r="BM367" s="293"/>
      <c r="BN367" s="293"/>
      <c r="BO367" s="293"/>
      <c r="BP367" s="293"/>
      <c r="BQ367" s="293"/>
      <c r="BR367" s="293"/>
      <c r="BS367" s="293"/>
      <c r="BT367" s="293"/>
    </row>
    <row r="368" spans="1:72" s="1" customFormat="1" ht="51" customHeight="1">
      <c r="A368" s="91"/>
      <c r="B368" s="358" t="s">
        <v>2560</v>
      </c>
      <c r="C368" s="50" t="s">
        <v>1613</v>
      </c>
      <c r="D368" s="264" t="s">
        <v>1582</v>
      </c>
      <c r="E368" s="262" t="s">
        <v>1579</v>
      </c>
      <c r="F368" s="10"/>
      <c r="G368" s="33"/>
      <c r="H368" s="39"/>
      <c r="I368" s="183"/>
      <c r="J368" s="29"/>
      <c r="K368" s="24"/>
      <c r="L368" s="25"/>
      <c r="M368" s="69"/>
      <c r="N368" s="77"/>
      <c r="O368" s="190"/>
      <c r="P368" s="191"/>
      <c r="Q368" s="191"/>
      <c r="R368" s="192"/>
      <c r="S368" s="193"/>
      <c r="T368" s="60"/>
      <c r="U368" s="191"/>
      <c r="V368" s="29"/>
      <c r="W368" s="24"/>
      <c r="X368" s="25"/>
      <c r="Y368" s="69"/>
      <c r="Z368" s="194"/>
      <c r="AA368" s="195"/>
      <c r="AB368" s="196"/>
      <c r="AC368" s="197"/>
      <c r="AD368" s="198"/>
      <c r="AE368" s="199"/>
      <c r="AF368" s="139"/>
      <c r="AG368" s="140"/>
      <c r="AH368" s="200"/>
      <c r="AI368" s="200"/>
      <c r="AJ368" s="73"/>
      <c r="AK368" s="79"/>
      <c r="AL368" s="79"/>
      <c r="AM368" s="127"/>
      <c r="AN368" s="128"/>
      <c r="AO368" s="128"/>
      <c r="AP368" s="133"/>
      <c r="AQ368" s="127"/>
      <c r="AR368" s="134"/>
      <c r="AS368" s="132"/>
      <c r="AT368" s="10"/>
      <c r="AU368" s="10"/>
      <c r="AV368" s="167"/>
      <c r="AW368" s="168"/>
      <c r="AX368" s="29"/>
      <c r="AY368" s="24"/>
      <c r="AZ368" s="25"/>
      <c r="BA368" s="24"/>
      <c r="BB368" s="169"/>
      <c r="BC368" s="170"/>
      <c r="BD368" s="10">
        <v>308276</v>
      </c>
      <c r="BE368" s="10">
        <v>680000</v>
      </c>
      <c r="BF368" s="10">
        <v>710000</v>
      </c>
      <c r="BG368" s="268">
        <v>700000</v>
      </c>
      <c r="BH368" s="10">
        <v>800000</v>
      </c>
      <c r="BI368" s="76">
        <f t="shared" si="514"/>
        <v>722500</v>
      </c>
      <c r="BJ368" s="24">
        <f t="shared" si="515"/>
        <v>414224</v>
      </c>
      <c r="BK368" s="25">
        <f t="shared" si="516"/>
        <v>1.3436790408594896</v>
      </c>
      <c r="BL368" s="309">
        <f t="shared" si="517"/>
        <v>722500</v>
      </c>
      <c r="BM368" s="293"/>
      <c r="BN368" s="293"/>
      <c r="BO368" s="293"/>
      <c r="BP368" s="293"/>
      <c r="BQ368" s="293"/>
      <c r="BR368" s="293"/>
      <c r="BS368" s="293"/>
      <c r="BT368" s="293"/>
    </row>
    <row r="369" spans="1:72" s="1" customFormat="1" ht="51" customHeight="1">
      <c r="A369" s="91"/>
      <c r="B369" s="358" t="s">
        <v>2561</v>
      </c>
      <c r="C369" s="50" t="s">
        <v>1614</v>
      </c>
      <c r="D369" s="264" t="s">
        <v>1583</v>
      </c>
      <c r="E369" s="262" t="s">
        <v>1579</v>
      </c>
      <c r="F369" s="10"/>
      <c r="G369" s="33"/>
      <c r="H369" s="39"/>
      <c r="I369" s="183"/>
      <c r="J369" s="29"/>
      <c r="K369" s="24"/>
      <c r="L369" s="25"/>
      <c r="M369" s="69"/>
      <c r="N369" s="77"/>
      <c r="O369" s="190"/>
      <c r="P369" s="191"/>
      <c r="Q369" s="191"/>
      <c r="R369" s="192"/>
      <c r="S369" s="193"/>
      <c r="T369" s="60"/>
      <c r="U369" s="191"/>
      <c r="V369" s="29"/>
      <c r="W369" s="24"/>
      <c r="X369" s="25"/>
      <c r="Y369" s="69"/>
      <c r="Z369" s="194"/>
      <c r="AA369" s="195"/>
      <c r="AB369" s="196"/>
      <c r="AC369" s="197"/>
      <c r="AD369" s="198"/>
      <c r="AE369" s="199"/>
      <c r="AF369" s="139"/>
      <c r="AG369" s="140"/>
      <c r="AH369" s="200"/>
      <c r="AI369" s="200"/>
      <c r="AJ369" s="73"/>
      <c r="AK369" s="79"/>
      <c r="AL369" s="79"/>
      <c r="AM369" s="127"/>
      <c r="AN369" s="128"/>
      <c r="AO369" s="128"/>
      <c r="AP369" s="133"/>
      <c r="AQ369" s="127"/>
      <c r="AR369" s="134"/>
      <c r="AS369" s="132"/>
      <c r="AT369" s="10"/>
      <c r="AU369" s="10"/>
      <c r="AV369" s="167"/>
      <c r="AW369" s="168"/>
      <c r="AX369" s="29"/>
      <c r="AY369" s="24"/>
      <c r="AZ369" s="25"/>
      <c r="BA369" s="24"/>
      <c r="BB369" s="169"/>
      <c r="BC369" s="170"/>
      <c r="BD369" s="10">
        <v>315414</v>
      </c>
      <c r="BE369" s="10">
        <v>730000</v>
      </c>
      <c r="BF369" s="10">
        <v>750000</v>
      </c>
      <c r="BG369" s="268">
        <v>750000</v>
      </c>
      <c r="BH369" s="10">
        <v>850000</v>
      </c>
      <c r="BI369" s="76">
        <f t="shared" si="514"/>
        <v>770000</v>
      </c>
      <c r="BJ369" s="24">
        <f t="shared" si="515"/>
        <v>454586</v>
      </c>
      <c r="BK369" s="25">
        <f t="shared" si="516"/>
        <v>1.4412359628932134</v>
      </c>
      <c r="BL369" s="309">
        <f t="shared" si="517"/>
        <v>770000</v>
      </c>
      <c r="BM369" s="293"/>
      <c r="BN369" s="293"/>
      <c r="BO369" s="293"/>
      <c r="BP369" s="293"/>
      <c r="BQ369" s="293"/>
      <c r="BR369" s="293"/>
      <c r="BS369" s="293"/>
      <c r="BT369" s="293"/>
    </row>
    <row r="370" spans="1:72" s="1" customFormat="1" ht="51" customHeight="1">
      <c r="A370" s="91"/>
      <c r="B370" s="358" t="s">
        <v>2562</v>
      </c>
      <c r="C370" s="50" t="s">
        <v>1615</v>
      </c>
      <c r="D370" s="264" t="s">
        <v>1584</v>
      </c>
      <c r="E370" s="262" t="s">
        <v>1579</v>
      </c>
      <c r="F370" s="10"/>
      <c r="G370" s="33"/>
      <c r="H370" s="39"/>
      <c r="I370" s="183"/>
      <c r="J370" s="29"/>
      <c r="K370" s="24"/>
      <c r="L370" s="25"/>
      <c r="M370" s="69"/>
      <c r="N370" s="77"/>
      <c r="O370" s="190"/>
      <c r="P370" s="191"/>
      <c r="Q370" s="191"/>
      <c r="R370" s="192"/>
      <c r="S370" s="193"/>
      <c r="T370" s="60"/>
      <c r="U370" s="191"/>
      <c r="V370" s="29"/>
      <c r="W370" s="24"/>
      <c r="X370" s="25"/>
      <c r="Y370" s="69"/>
      <c r="Z370" s="194"/>
      <c r="AA370" s="195"/>
      <c r="AB370" s="196"/>
      <c r="AC370" s="197"/>
      <c r="AD370" s="198"/>
      <c r="AE370" s="199"/>
      <c r="AF370" s="139"/>
      <c r="AG370" s="140"/>
      <c r="AH370" s="200"/>
      <c r="AI370" s="200"/>
      <c r="AJ370" s="73"/>
      <c r="AK370" s="79"/>
      <c r="AL370" s="79"/>
      <c r="AM370" s="127"/>
      <c r="AN370" s="128"/>
      <c r="AO370" s="128"/>
      <c r="AP370" s="133"/>
      <c r="AQ370" s="127"/>
      <c r="AR370" s="134"/>
      <c r="AS370" s="132"/>
      <c r="AT370" s="10"/>
      <c r="AU370" s="10"/>
      <c r="AV370" s="167"/>
      <c r="AW370" s="168"/>
      <c r="AX370" s="29"/>
      <c r="AY370" s="24"/>
      <c r="AZ370" s="25"/>
      <c r="BA370" s="24"/>
      <c r="BB370" s="169"/>
      <c r="BC370" s="170"/>
      <c r="BD370" s="10">
        <v>158201</v>
      </c>
      <c r="BE370" s="10">
        <v>580000</v>
      </c>
      <c r="BF370" s="10">
        <v>610000</v>
      </c>
      <c r="BG370" s="268">
        <v>600000</v>
      </c>
      <c r="BH370" s="10">
        <v>750000</v>
      </c>
      <c r="BI370" s="76">
        <f t="shared" si="514"/>
        <v>635000</v>
      </c>
      <c r="BJ370" s="24">
        <f t="shared" si="515"/>
        <v>476799</v>
      </c>
      <c r="BK370" s="25">
        <f t="shared" si="516"/>
        <v>3.0138810753408638</v>
      </c>
      <c r="BL370" s="309">
        <f t="shared" si="517"/>
        <v>635000</v>
      </c>
      <c r="BM370" s="293"/>
      <c r="BN370" s="293"/>
      <c r="BO370" s="293"/>
      <c r="BP370" s="293"/>
      <c r="BQ370" s="293"/>
      <c r="BR370" s="293"/>
      <c r="BS370" s="293"/>
      <c r="BT370" s="293"/>
    </row>
    <row r="371" spans="1:72" s="1" customFormat="1" ht="51" customHeight="1">
      <c r="A371" s="91"/>
      <c r="B371" s="358" t="s">
        <v>2563</v>
      </c>
      <c r="C371" s="50" t="s">
        <v>1616</v>
      </c>
      <c r="D371" s="264" t="s">
        <v>1585</v>
      </c>
      <c r="E371" s="262" t="s">
        <v>1579</v>
      </c>
      <c r="F371" s="10"/>
      <c r="G371" s="33"/>
      <c r="H371" s="39"/>
      <c r="I371" s="183"/>
      <c r="J371" s="29"/>
      <c r="K371" s="24"/>
      <c r="L371" s="25"/>
      <c r="M371" s="69"/>
      <c r="N371" s="77"/>
      <c r="O371" s="190"/>
      <c r="P371" s="191"/>
      <c r="Q371" s="191"/>
      <c r="R371" s="192"/>
      <c r="S371" s="193"/>
      <c r="T371" s="60"/>
      <c r="U371" s="191"/>
      <c r="V371" s="29"/>
      <c r="W371" s="24"/>
      <c r="X371" s="25"/>
      <c r="Y371" s="69"/>
      <c r="Z371" s="194"/>
      <c r="AA371" s="195"/>
      <c r="AB371" s="196"/>
      <c r="AC371" s="197"/>
      <c r="AD371" s="198"/>
      <c r="AE371" s="199"/>
      <c r="AF371" s="139"/>
      <c r="AG371" s="140"/>
      <c r="AH371" s="200"/>
      <c r="AI371" s="200"/>
      <c r="AJ371" s="73"/>
      <c r="AK371" s="79"/>
      <c r="AL371" s="79"/>
      <c r="AM371" s="127"/>
      <c r="AN371" s="128"/>
      <c r="AO371" s="128"/>
      <c r="AP371" s="133"/>
      <c r="AQ371" s="127"/>
      <c r="AR371" s="134"/>
      <c r="AS371" s="132"/>
      <c r="AT371" s="10"/>
      <c r="AU371" s="10"/>
      <c r="AV371" s="167"/>
      <c r="AW371" s="168"/>
      <c r="AX371" s="29"/>
      <c r="AY371" s="24"/>
      <c r="AZ371" s="25"/>
      <c r="BA371" s="24"/>
      <c r="BB371" s="169"/>
      <c r="BC371" s="170"/>
      <c r="BD371" s="10">
        <v>308276</v>
      </c>
      <c r="BE371" s="10">
        <v>680000</v>
      </c>
      <c r="BF371" s="10">
        <v>710000</v>
      </c>
      <c r="BG371" s="268">
        <v>700000</v>
      </c>
      <c r="BH371" s="10">
        <v>800000</v>
      </c>
      <c r="BI371" s="76">
        <f t="shared" si="514"/>
        <v>722500</v>
      </c>
      <c r="BJ371" s="24">
        <f t="shared" si="515"/>
        <v>414224</v>
      </c>
      <c r="BK371" s="25">
        <f t="shared" si="516"/>
        <v>1.3436790408594896</v>
      </c>
      <c r="BL371" s="309">
        <f t="shared" si="517"/>
        <v>722500</v>
      </c>
      <c r="BM371" s="293"/>
      <c r="BN371" s="293"/>
      <c r="BO371" s="293"/>
      <c r="BP371" s="293"/>
      <c r="BQ371" s="293"/>
      <c r="BR371" s="293"/>
      <c r="BS371" s="293"/>
      <c r="BT371" s="293"/>
    </row>
    <row r="372" spans="1:72" s="1" customFormat="1" ht="69.95" customHeight="1">
      <c r="A372" s="91"/>
      <c r="B372" s="358" t="s">
        <v>2564</v>
      </c>
      <c r="C372" s="50" t="s">
        <v>1617</v>
      </c>
      <c r="D372" s="264" t="s">
        <v>1586</v>
      </c>
      <c r="E372" s="263" t="s">
        <v>1399</v>
      </c>
      <c r="F372" s="10"/>
      <c r="G372" s="33"/>
      <c r="H372" s="39"/>
      <c r="I372" s="183"/>
      <c r="J372" s="29"/>
      <c r="K372" s="24"/>
      <c r="L372" s="25"/>
      <c r="M372" s="69"/>
      <c r="N372" s="77"/>
      <c r="O372" s="190"/>
      <c r="P372" s="191"/>
      <c r="Q372" s="191"/>
      <c r="R372" s="192"/>
      <c r="S372" s="193"/>
      <c r="T372" s="60"/>
      <c r="U372" s="191"/>
      <c r="V372" s="29"/>
      <c r="W372" s="24"/>
      <c r="X372" s="25"/>
      <c r="Y372" s="69"/>
      <c r="Z372" s="194"/>
      <c r="AA372" s="195"/>
      <c r="AB372" s="196"/>
      <c r="AC372" s="197"/>
      <c r="AD372" s="198"/>
      <c r="AE372" s="199"/>
      <c r="AF372" s="139"/>
      <c r="AG372" s="140"/>
      <c r="AH372" s="200"/>
      <c r="AI372" s="200"/>
      <c r="AJ372" s="73"/>
      <c r="AK372" s="79"/>
      <c r="AL372" s="79"/>
      <c r="AM372" s="127"/>
      <c r="AN372" s="128"/>
      <c r="AO372" s="128"/>
      <c r="AP372" s="133"/>
      <c r="AQ372" s="127"/>
      <c r="AR372" s="134"/>
      <c r="AS372" s="132"/>
      <c r="AT372" s="10"/>
      <c r="AU372" s="10"/>
      <c r="AV372" s="167"/>
      <c r="AW372" s="168"/>
      <c r="AX372" s="29"/>
      <c r="AY372" s="24"/>
      <c r="AZ372" s="25"/>
      <c r="BA372" s="24"/>
      <c r="BB372" s="169"/>
      <c r="BC372" s="170"/>
      <c r="BD372" s="10">
        <v>73898</v>
      </c>
      <c r="BE372" s="10">
        <v>55000</v>
      </c>
      <c r="BF372" s="10">
        <v>65000</v>
      </c>
      <c r="BG372" s="268">
        <v>60000</v>
      </c>
      <c r="BH372" s="10">
        <v>70000</v>
      </c>
      <c r="BI372" s="76">
        <f t="shared" si="514"/>
        <v>62500</v>
      </c>
      <c r="BJ372" s="24">
        <f t="shared" si="515"/>
        <v>-11398</v>
      </c>
      <c r="BK372" s="25">
        <f t="shared" si="516"/>
        <v>-0.15423962759479282</v>
      </c>
      <c r="BL372" s="309">
        <f t="shared" si="517"/>
        <v>62500</v>
      </c>
      <c r="BM372" s="293"/>
      <c r="BN372" s="293"/>
      <c r="BO372" s="293"/>
      <c r="BP372" s="293"/>
      <c r="BQ372" s="293"/>
      <c r="BR372" s="293"/>
      <c r="BS372" s="293"/>
      <c r="BT372" s="293"/>
    </row>
    <row r="373" spans="1:72" s="1" customFormat="1" ht="51" customHeight="1">
      <c r="A373" s="91"/>
      <c r="B373" s="358" t="s">
        <v>2565</v>
      </c>
      <c r="C373" s="50" t="s">
        <v>1618</v>
      </c>
      <c r="D373" s="264" t="s">
        <v>1587</v>
      </c>
      <c r="E373" s="263" t="s">
        <v>1399</v>
      </c>
      <c r="F373" s="10"/>
      <c r="G373" s="33"/>
      <c r="H373" s="39"/>
      <c r="I373" s="183"/>
      <c r="J373" s="29"/>
      <c r="K373" s="24"/>
      <c r="L373" s="25"/>
      <c r="M373" s="69"/>
      <c r="N373" s="77"/>
      <c r="O373" s="190"/>
      <c r="P373" s="191"/>
      <c r="Q373" s="191"/>
      <c r="R373" s="192"/>
      <c r="S373" s="193"/>
      <c r="T373" s="60"/>
      <c r="U373" s="191"/>
      <c r="V373" s="29"/>
      <c r="W373" s="24"/>
      <c r="X373" s="25"/>
      <c r="Y373" s="69"/>
      <c r="Z373" s="194"/>
      <c r="AA373" s="195"/>
      <c r="AB373" s="196"/>
      <c r="AC373" s="197"/>
      <c r="AD373" s="198"/>
      <c r="AE373" s="199"/>
      <c r="AF373" s="139"/>
      <c r="AG373" s="140"/>
      <c r="AH373" s="200"/>
      <c r="AI373" s="200"/>
      <c r="AJ373" s="73"/>
      <c r="AK373" s="79"/>
      <c r="AL373" s="79"/>
      <c r="AM373" s="127"/>
      <c r="AN373" s="128"/>
      <c r="AO373" s="128"/>
      <c r="AP373" s="133"/>
      <c r="AQ373" s="127"/>
      <c r="AR373" s="134"/>
      <c r="AS373" s="132"/>
      <c r="AT373" s="10"/>
      <c r="AU373" s="10"/>
      <c r="AV373" s="167"/>
      <c r="AW373" s="168"/>
      <c r="AX373" s="29"/>
      <c r="AY373" s="24"/>
      <c r="AZ373" s="25"/>
      <c r="BA373" s="24"/>
      <c r="BB373" s="169"/>
      <c r="BC373" s="170"/>
      <c r="BD373" s="10">
        <v>226745</v>
      </c>
      <c r="BE373" s="10"/>
      <c r="BF373" s="10"/>
      <c r="BG373" s="268"/>
      <c r="BH373" s="10">
        <v>380000</v>
      </c>
      <c r="BI373" s="76">
        <f t="shared" si="514"/>
        <v>380000</v>
      </c>
      <c r="BJ373" s="24">
        <f t="shared" si="515"/>
        <v>153255</v>
      </c>
      <c r="BK373" s="25">
        <f t="shared" si="516"/>
        <v>0.67589141987695434</v>
      </c>
      <c r="BL373" s="309">
        <f t="shared" si="517"/>
        <v>380000</v>
      </c>
      <c r="BM373" s="293"/>
      <c r="BN373" s="293"/>
      <c r="BO373" s="293"/>
      <c r="BP373" s="293"/>
      <c r="BQ373" s="293"/>
      <c r="BR373" s="293"/>
      <c r="BS373" s="293"/>
      <c r="BT373" s="293"/>
    </row>
    <row r="374" spans="1:72" s="1" customFormat="1" ht="51" customHeight="1">
      <c r="A374" s="91"/>
      <c r="B374" s="358" t="s">
        <v>2566</v>
      </c>
      <c r="C374" s="50" t="s">
        <v>1619</v>
      </c>
      <c r="D374" s="264" t="s">
        <v>1588</v>
      </c>
      <c r="E374" s="263" t="s">
        <v>1399</v>
      </c>
      <c r="F374" s="10"/>
      <c r="G374" s="33"/>
      <c r="H374" s="39"/>
      <c r="I374" s="183"/>
      <c r="J374" s="29"/>
      <c r="K374" s="24"/>
      <c r="L374" s="25"/>
      <c r="M374" s="69"/>
      <c r="N374" s="77"/>
      <c r="O374" s="190"/>
      <c r="P374" s="191"/>
      <c r="Q374" s="191"/>
      <c r="R374" s="192"/>
      <c r="S374" s="193"/>
      <c r="T374" s="60"/>
      <c r="U374" s="191"/>
      <c r="V374" s="29"/>
      <c r="W374" s="24"/>
      <c r="X374" s="25"/>
      <c r="Y374" s="69"/>
      <c r="Z374" s="194"/>
      <c r="AA374" s="195"/>
      <c r="AB374" s="196"/>
      <c r="AC374" s="197"/>
      <c r="AD374" s="198"/>
      <c r="AE374" s="199"/>
      <c r="AF374" s="139"/>
      <c r="AG374" s="140"/>
      <c r="AH374" s="200"/>
      <c r="AI374" s="200"/>
      <c r="AJ374" s="73"/>
      <c r="AK374" s="79"/>
      <c r="AL374" s="79"/>
      <c r="AM374" s="127"/>
      <c r="AN374" s="128"/>
      <c r="AO374" s="128"/>
      <c r="AP374" s="133"/>
      <c r="AQ374" s="127"/>
      <c r="AR374" s="134"/>
      <c r="AS374" s="132"/>
      <c r="AT374" s="10"/>
      <c r="AU374" s="10"/>
      <c r="AV374" s="167"/>
      <c r="AW374" s="168"/>
      <c r="AX374" s="29"/>
      <c r="AY374" s="24"/>
      <c r="AZ374" s="25"/>
      <c r="BA374" s="24"/>
      <c r="BB374" s="169"/>
      <c r="BC374" s="170"/>
      <c r="BD374" s="10">
        <v>129809</v>
      </c>
      <c r="BE374" s="10"/>
      <c r="BF374" s="10"/>
      <c r="BG374" s="268"/>
      <c r="BH374" s="10">
        <v>350000</v>
      </c>
      <c r="BI374" s="76">
        <f t="shared" si="514"/>
        <v>350000</v>
      </c>
      <c r="BJ374" s="24">
        <f t="shared" si="515"/>
        <v>220191</v>
      </c>
      <c r="BK374" s="25">
        <f t="shared" si="516"/>
        <v>1.6962691338813178</v>
      </c>
      <c r="BL374" s="309">
        <f t="shared" si="517"/>
        <v>350000</v>
      </c>
      <c r="BM374" s="293"/>
      <c r="BN374" s="293"/>
      <c r="BO374" s="293"/>
      <c r="BP374" s="293"/>
      <c r="BQ374" s="293"/>
      <c r="BR374" s="293"/>
      <c r="BS374" s="293"/>
      <c r="BT374" s="293"/>
    </row>
    <row r="375" spans="1:72" s="1" customFormat="1" ht="51" customHeight="1">
      <c r="A375" s="91"/>
      <c r="B375" s="358" t="s">
        <v>2567</v>
      </c>
      <c r="C375" s="50" t="s">
        <v>1620</v>
      </c>
      <c r="D375" s="264" t="s">
        <v>1589</v>
      </c>
      <c r="E375" s="263" t="s">
        <v>1399</v>
      </c>
      <c r="F375" s="10"/>
      <c r="G375" s="33"/>
      <c r="H375" s="39"/>
      <c r="I375" s="183"/>
      <c r="J375" s="29"/>
      <c r="K375" s="24"/>
      <c r="L375" s="25"/>
      <c r="M375" s="69"/>
      <c r="N375" s="77"/>
      <c r="O375" s="190"/>
      <c r="P375" s="191"/>
      <c r="Q375" s="191"/>
      <c r="R375" s="192"/>
      <c r="S375" s="193"/>
      <c r="T375" s="60"/>
      <c r="U375" s="191"/>
      <c r="V375" s="29"/>
      <c r="W375" s="24"/>
      <c r="X375" s="25"/>
      <c r="Y375" s="69"/>
      <c r="Z375" s="194"/>
      <c r="AA375" s="195"/>
      <c r="AB375" s="196"/>
      <c r="AC375" s="197"/>
      <c r="AD375" s="198"/>
      <c r="AE375" s="199"/>
      <c r="AF375" s="139"/>
      <c r="AG375" s="140"/>
      <c r="AH375" s="200"/>
      <c r="AI375" s="200"/>
      <c r="AJ375" s="73"/>
      <c r="AK375" s="79"/>
      <c r="AL375" s="79"/>
      <c r="AM375" s="127"/>
      <c r="AN375" s="128"/>
      <c r="AO375" s="128"/>
      <c r="AP375" s="133"/>
      <c r="AQ375" s="127"/>
      <c r="AR375" s="134"/>
      <c r="AS375" s="132"/>
      <c r="AT375" s="10"/>
      <c r="AU375" s="10"/>
      <c r="AV375" s="167"/>
      <c r="AW375" s="168"/>
      <c r="AX375" s="29"/>
      <c r="AY375" s="24"/>
      <c r="AZ375" s="25"/>
      <c r="BA375" s="24"/>
      <c r="BB375" s="169"/>
      <c r="BC375" s="170"/>
      <c r="BD375" s="10">
        <v>75209</v>
      </c>
      <c r="BE375" s="10">
        <v>155000</v>
      </c>
      <c r="BF375" s="10">
        <v>155000</v>
      </c>
      <c r="BG375" s="268">
        <v>155000</v>
      </c>
      <c r="BH375" s="10">
        <v>380000</v>
      </c>
      <c r="BI375" s="76">
        <f t="shared" si="514"/>
        <v>211250</v>
      </c>
      <c r="BJ375" s="24">
        <f t="shared" si="515"/>
        <v>136041</v>
      </c>
      <c r="BK375" s="25">
        <f t="shared" si="516"/>
        <v>1.8088393676288741</v>
      </c>
      <c r="BL375" s="309">
        <f t="shared" si="517"/>
        <v>211250</v>
      </c>
      <c r="BM375" s="293"/>
      <c r="BN375" s="293"/>
      <c r="BO375" s="293"/>
      <c r="BP375" s="293"/>
      <c r="BQ375" s="293"/>
      <c r="BR375" s="293"/>
      <c r="BS375" s="293"/>
      <c r="BT375" s="293"/>
    </row>
    <row r="376" spans="1:72" s="1" customFormat="1" ht="51" customHeight="1">
      <c r="A376" s="91"/>
      <c r="B376" s="358" t="s">
        <v>2568</v>
      </c>
      <c r="C376" s="50" t="s">
        <v>1621</v>
      </c>
      <c r="D376" s="264" t="s">
        <v>1590</v>
      </c>
      <c r="E376" s="262" t="s">
        <v>827</v>
      </c>
      <c r="F376" s="10"/>
      <c r="G376" s="33"/>
      <c r="H376" s="39"/>
      <c r="I376" s="183"/>
      <c r="J376" s="29"/>
      <c r="K376" s="24"/>
      <c r="L376" s="25"/>
      <c r="M376" s="69"/>
      <c r="N376" s="77"/>
      <c r="O376" s="190"/>
      <c r="P376" s="191"/>
      <c r="Q376" s="191"/>
      <c r="R376" s="192"/>
      <c r="S376" s="193"/>
      <c r="T376" s="60"/>
      <c r="U376" s="191"/>
      <c r="V376" s="29"/>
      <c r="W376" s="24"/>
      <c r="X376" s="25"/>
      <c r="Y376" s="69"/>
      <c r="Z376" s="194"/>
      <c r="AA376" s="195"/>
      <c r="AB376" s="196"/>
      <c r="AC376" s="197"/>
      <c r="AD376" s="198"/>
      <c r="AE376" s="199"/>
      <c r="AF376" s="139"/>
      <c r="AG376" s="140"/>
      <c r="AH376" s="200"/>
      <c r="AI376" s="200"/>
      <c r="AJ376" s="73"/>
      <c r="AK376" s="79"/>
      <c r="AL376" s="79"/>
      <c r="AM376" s="127"/>
      <c r="AN376" s="128"/>
      <c r="AO376" s="128"/>
      <c r="AP376" s="133"/>
      <c r="AQ376" s="127"/>
      <c r="AR376" s="134"/>
      <c r="AS376" s="132"/>
      <c r="AT376" s="10"/>
      <c r="AU376" s="10"/>
      <c r="AV376" s="167"/>
      <c r="AW376" s="168"/>
      <c r="AX376" s="29"/>
      <c r="AY376" s="24"/>
      <c r="AZ376" s="25"/>
      <c r="BA376" s="24"/>
      <c r="BB376" s="169"/>
      <c r="BC376" s="170"/>
      <c r="BD376" s="10">
        <v>109675</v>
      </c>
      <c r="BE376" s="10"/>
      <c r="BF376" s="10"/>
      <c r="BG376" s="268"/>
      <c r="BH376" s="10">
        <v>850000</v>
      </c>
      <c r="BI376" s="76">
        <f t="shared" si="514"/>
        <v>850000</v>
      </c>
      <c r="BJ376" s="24">
        <f t="shared" si="515"/>
        <v>740325</v>
      </c>
      <c r="BK376" s="25">
        <f t="shared" si="516"/>
        <v>6.7501709596535218</v>
      </c>
      <c r="BL376" s="309">
        <f t="shared" si="517"/>
        <v>850000</v>
      </c>
      <c r="BM376" s="293"/>
      <c r="BN376" s="293"/>
      <c r="BO376" s="293"/>
      <c r="BP376" s="293"/>
      <c r="BQ376" s="293"/>
      <c r="BR376" s="293"/>
      <c r="BS376" s="293"/>
      <c r="BT376" s="293"/>
    </row>
    <row r="377" spans="1:72" s="1" customFormat="1" ht="51" customHeight="1">
      <c r="A377" s="91"/>
      <c r="B377" s="358" t="s">
        <v>2569</v>
      </c>
      <c r="C377" s="50" t="s">
        <v>1622</v>
      </c>
      <c r="D377" s="264" t="s">
        <v>1591</v>
      </c>
      <c r="E377" s="262" t="s">
        <v>827</v>
      </c>
      <c r="F377" s="10"/>
      <c r="G377" s="33"/>
      <c r="H377" s="39"/>
      <c r="I377" s="183"/>
      <c r="J377" s="29"/>
      <c r="K377" s="24"/>
      <c r="L377" s="25"/>
      <c r="M377" s="69"/>
      <c r="N377" s="77"/>
      <c r="O377" s="190"/>
      <c r="P377" s="191"/>
      <c r="Q377" s="191"/>
      <c r="R377" s="192"/>
      <c r="S377" s="193"/>
      <c r="T377" s="60"/>
      <c r="U377" s="191"/>
      <c r="V377" s="29"/>
      <c r="W377" s="24"/>
      <c r="X377" s="25"/>
      <c r="Y377" s="69"/>
      <c r="Z377" s="194"/>
      <c r="AA377" s="195"/>
      <c r="AB377" s="196"/>
      <c r="AC377" s="197"/>
      <c r="AD377" s="198"/>
      <c r="AE377" s="199"/>
      <c r="AF377" s="139"/>
      <c r="AG377" s="140"/>
      <c r="AH377" s="200"/>
      <c r="AI377" s="200"/>
      <c r="AJ377" s="73"/>
      <c r="AK377" s="79"/>
      <c r="AL377" s="79"/>
      <c r="AM377" s="127"/>
      <c r="AN377" s="128"/>
      <c r="AO377" s="128"/>
      <c r="AP377" s="133"/>
      <c r="AQ377" s="127"/>
      <c r="AR377" s="134"/>
      <c r="AS377" s="132"/>
      <c r="AT377" s="10"/>
      <c r="AU377" s="10"/>
      <c r="AV377" s="167"/>
      <c r="AW377" s="168"/>
      <c r="AX377" s="29"/>
      <c r="AY377" s="24"/>
      <c r="AZ377" s="25"/>
      <c r="BA377" s="24"/>
      <c r="BB377" s="169"/>
      <c r="BC377" s="170"/>
      <c r="BD377" s="10">
        <v>162538</v>
      </c>
      <c r="BE377" s="10">
        <v>114000</v>
      </c>
      <c r="BF377" s="10">
        <v>119000</v>
      </c>
      <c r="BG377" s="268">
        <v>119000</v>
      </c>
      <c r="BH377" s="10">
        <v>200000</v>
      </c>
      <c r="BI377" s="76">
        <f t="shared" si="514"/>
        <v>138000</v>
      </c>
      <c r="BJ377" s="24">
        <f t="shared" si="515"/>
        <v>-24538</v>
      </c>
      <c r="BK377" s="25">
        <f t="shared" si="516"/>
        <v>-0.15096777368984485</v>
      </c>
      <c r="BL377" s="309">
        <f t="shared" si="517"/>
        <v>138000</v>
      </c>
      <c r="BM377" s="293"/>
      <c r="BN377" s="293"/>
      <c r="BO377" s="293"/>
      <c r="BP377" s="293"/>
      <c r="BQ377" s="293"/>
      <c r="BR377" s="293"/>
      <c r="BS377" s="293"/>
      <c r="BT377" s="293"/>
    </row>
    <row r="378" spans="1:72" s="1" customFormat="1">
      <c r="A378" s="91"/>
      <c r="B378" s="358" t="s">
        <v>2570</v>
      </c>
      <c r="C378" s="50" t="s">
        <v>1623</v>
      </c>
      <c r="D378" s="264" t="s">
        <v>1592</v>
      </c>
      <c r="E378" s="262" t="s">
        <v>1430</v>
      </c>
      <c r="F378" s="10"/>
      <c r="G378" s="33"/>
      <c r="H378" s="39"/>
      <c r="I378" s="183"/>
      <c r="J378" s="29"/>
      <c r="K378" s="24"/>
      <c r="L378" s="25"/>
      <c r="M378" s="69"/>
      <c r="N378" s="77"/>
      <c r="O378" s="190"/>
      <c r="P378" s="191"/>
      <c r="Q378" s="191"/>
      <c r="R378" s="192"/>
      <c r="S378" s="193"/>
      <c r="T378" s="60"/>
      <c r="U378" s="191"/>
      <c r="V378" s="29"/>
      <c r="W378" s="24"/>
      <c r="X378" s="25"/>
      <c r="Y378" s="69"/>
      <c r="Z378" s="194"/>
      <c r="AA378" s="195"/>
      <c r="AB378" s="196"/>
      <c r="AC378" s="197"/>
      <c r="AD378" s="198"/>
      <c r="AE378" s="199"/>
      <c r="AF378" s="139"/>
      <c r="AG378" s="140"/>
      <c r="AH378" s="200"/>
      <c r="AI378" s="200"/>
      <c r="AJ378" s="73"/>
      <c r="AK378" s="79"/>
      <c r="AL378" s="79"/>
      <c r="AM378" s="127"/>
      <c r="AN378" s="128"/>
      <c r="AO378" s="128"/>
      <c r="AP378" s="133"/>
      <c r="AQ378" s="127"/>
      <c r="AR378" s="134"/>
      <c r="AS378" s="132"/>
      <c r="AT378" s="10"/>
      <c r="AU378" s="10"/>
      <c r="AV378" s="167"/>
      <c r="AW378" s="168"/>
      <c r="AX378" s="29"/>
      <c r="AY378" s="24"/>
      <c r="AZ378" s="25"/>
      <c r="BA378" s="24"/>
      <c r="BB378" s="169"/>
      <c r="BC378" s="170"/>
      <c r="BD378" s="10">
        <v>187286</v>
      </c>
      <c r="BE378" s="10">
        <v>550000</v>
      </c>
      <c r="BF378" s="10">
        <v>580000</v>
      </c>
      <c r="BG378" s="268">
        <v>560000</v>
      </c>
      <c r="BH378" s="10">
        <v>700000</v>
      </c>
      <c r="BI378" s="76">
        <f t="shared" si="514"/>
        <v>597500</v>
      </c>
      <c r="BJ378" s="24">
        <f t="shared" si="515"/>
        <v>410214</v>
      </c>
      <c r="BK378" s="25">
        <f t="shared" si="516"/>
        <v>2.1903078713838728</v>
      </c>
      <c r="BL378" s="309">
        <f t="shared" si="517"/>
        <v>597500</v>
      </c>
      <c r="BM378" s="293"/>
      <c r="BN378" s="293"/>
      <c r="BO378" s="293"/>
      <c r="BP378" s="293"/>
      <c r="BQ378" s="293"/>
      <c r="BR378" s="293"/>
      <c r="BS378" s="293"/>
      <c r="BT378" s="293"/>
    </row>
    <row r="379" spans="1:72" s="1" customFormat="1">
      <c r="A379" s="91"/>
      <c r="B379" s="358" t="s">
        <v>2571</v>
      </c>
      <c r="C379" s="50" t="s">
        <v>1624</v>
      </c>
      <c r="D379" s="264" t="s">
        <v>1593</v>
      </c>
      <c r="E379" s="262" t="s">
        <v>827</v>
      </c>
      <c r="F379" s="10"/>
      <c r="G379" s="33"/>
      <c r="H379" s="39"/>
      <c r="I379" s="183"/>
      <c r="J379" s="29"/>
      <c r="K379" s="24"/>
      <c r="L379" s="25"/>
      <c r="M379" s="69"/>
      <c r="N379" s="77"/>
      <c r="O379" s="190"/>
      <c r="P379" s="191"/>
      <c r="Q379" s="191"/>
      <c r="R379" s="192"/>
      <c r="S379" s="193"/>
      <c r="T379" s="60"/>
      <c r="U379" s="191"/>
      <c r="V379" s="29"/>
      <c r="W379" s="24"/>
      <c r="X379" s="25"/>
      <c r="Y379" s="69"/>
      <c r="Z379" s="194"/>
      <c r="AA379" s="195"/>
      <c r="AB379" s="196"/>
      <c r="AC379" s="197"/>
      <c r="AD379" s="198"/>
      <c r="AE379" s="199"/>
      <c r="AF379" s="139"/>
      <c r="AG379" s="140"/>
      <c r="AH379" s="200"/>
      <c r="AI379" s="200"/>
      <c r="AJ379" s="73"/>
      <c r="AK379" s="79"/>
      <c r="AL379" s="79"/>
      <c r="AM379" s="127"/>
      <c r="AN379" s="128"/>
      <c r="AO379" s="128"/>
      <c r="AP379" s="133"/>
      <c r="AQ379" s="127"/>
      <c r="AR379" s="134"/>
      <c r="AS379" s="132"/>
      <c r="AT379" s="10"/>
      <c r="AU379" s="10"/>
      <c r="AV379" s="167"/>
      <c r="AW379" s="168"/>
      <c r="AX379" s="29"/>
      <c r="AY379" s="24"/>
      <c r="AZ379" s="25"/>
      <c r="BA379" s="24"/>
      <c r="BB379" s="169"/>
      <c r="BC379" s="170"/>
      <c r="BD379" s="10">
        <v>128907</v>
      </c>
      <c r="BE379" s="10"/>
      <c r="BF379" s="10"/>
      <c r="BG379" s="268"/>
      <c r="BH379" s="10">
        <v>580000</v>
      </c>
      <c r="BI379" s="76">
        <f t="shared" si="514"/>
        <v>580000</v>
      </c>
      <c r="BJ379" s="24">
        <f t="shared" si="515"/>
        <v>451093</v>
      </c>
      <c r="BK379" s="25">
        <f t="shared" si="516"/>
        <v>3.4993677612542378</v>
      </c>
      <c r="BL379" s="309">
        <f t="shared" si="517"/>
        <v>580000</v>
      </c>
      <c r="BM379" s="293"/>
      <c r="BN379" s="293"/>
      <c r="BO379" s="293"/>
      <c r="BP379" s="293"/>
      <c r="BQ379" s="293"/>
      <c r="BR379" s="293"/>
      <c r="BS379" s="293"/>
      <c r="BT379" s="293"/>
    </row>
    <row r="380" spans="1:72" s="1" customFormat="1" ht="51" customHeight="1">
      <c r="A380" s="91"/>
      <c r="B380" s="358" t="s">
        <v>2572</v>
      </c>
      <c r="C380" s="50" t="s">
        <v>1625</v>
      </c>
      <c r="D380" s="264" t="s">
        <v>1594</v>
      </c>
      <c r="E380" s="262" t="s">
        <v>1457</v>
      </c>
      <c r="F380" s="10"/>
      <c r="G380" s="33"/>
      <c r="H380" s="39"/>
      <c r="I380" s="183"/>
      <c r="J380" s="29"/>
      <c r="K380" s="24"/>
      <c r="L380" s="25"/>
      <c r="M380" s="69"/>
      <c r="N380" s="77"/>
      <c r="O380" s="190"/>
      <c r="P380" s="191"/>
      <c r="Q380" s="191"/>
      <c r="R380" s="192"/>
      <c r="S380" s="193"/>
      <c r="T380" s="60"/>
      <c r="U380" s="191"/>
      <c r="V380" s="29"/>
      <c r="W380" s="24"/>
      <c r="X380" s="25"/>
      <c r="Y380" s="69"/>
      <c r="Z380" s="194"/>
      <c r="AA380" s="195"/>
      <c r="AB380" s="196"/>
      <c r="AC380" s="197"/>
      <c r="AD380" s="198"/>
      <c r="AE380" s="199"/>
      <c r="AF380" s="139"/>
      <c r="AG380" s="140"/>
      <c r="AH380" s="200"/>
      <c r="AI380" s="200"/>
      <c r="AJ380" s="73"/>
      <c r="AK380" s="79"/>
      <c r="AL380" s="79"/>
      <c r="AM380" s="127"/>
      <c r="AN380" s="128"/>
      <c r="AO380" s="128"/>
      <c r="AP380" s="133"/>
      <c r="AQ380" s="127"/>
      <c r="AR380" s="134"/>
      <c r="AS380" s="132"/>
      <c r="AT380" s="10"/>
      <c r="AU380" s="10"/>
      <c r="AV380" s="167"/>
      <c r="AW380" s="168"/>
      <c r="AX380" s="29"/>
      <c r="AY380" s="24"/>
      <c r="AZ380" s="25"/>
      <c r="BA380" s="24"/>
      <c r="BB380" s="169"/>
      <c r="BC380" s="170"/>
      <c r="BD380" s="10">
        <v>192592</v>
      </c>
      <c r="BE380" s="10">
        <v>122500</v>
      </c>
      <c r="BF380" s="10">
        <v>130000</v>
      </c>
      <c r="BG380" s="268">
        <v>125000</v>
      </c>
      <c r="BH380" s="10">
        <v>200000</v>
      </c>
      <c r="BI380" s="76">
        <f t="shared" si="514"/>
        <v>144375</v>
      </c>
      <c r="BJ380" s="24">
        <f t="shared" si="515"/>
        <v>-48217</v>
      </c>
      <c r="BK380" s="25">
        <f t="shared" si="516"/>
        <v>-0.25035827033313951</v>
      </c>
      <c r="BL380" s="309">
        <f t="shared" si="517"/>
        <v>144375</v>
      </c>
      <c r="BM380" s="293"/>
      <c r="BN380" s="293"/>
      <c r="BO380" s="293"/>
      <c r="BP380" s="293"/>
      <c r="BQ380" s="293"/>
      <c r="BR380" s="293"/>
      <c r="BS380" s="293"/>
      <c r="BT380" s="293"/>
    </row>
    <row r="381" spans="1:72" s="1" customFormat="1" ht="27" customHeight="1">
      <c r="A381" s="91"/>
      <c r="B381" s="358" t="s">
        <v>2573</v>
      </c>
      <c r="C381" s="50" t="s">
        <v>1626</v>
      </c>
      <c r="D381" s="264" t="s">
        <v>1595</v>
      </c>
      <c r="E381" s="262" t="s">
        <v>1396</v>
      </c>
      <c r="F381" s="10"/>
      <c r="G381" s="33"/>
      <c r="H381" s="39"/>
      <c r="I381" s="183"/>
      <c r="J381" s="29"/>
      <c r="K381" s="24"/>
      <c r="L381" s="25"/>
      <c r="M381" s="69"/>
      <c r="N381" s="77"/>
      <c r="O381" s="190"/>
      <c r="P381" s="191"/>
      <c r="Q381" s="191"/>
      <c r="R381" s="192"/>
      <c r="S381" s="193"/>
      <c r="T381" s="60"/>
      <c r="U381" s="191"/>
      <c r="V381" s="29"/>
      <c r="W381" s="24"/>
      <c r="X381" s="25"/>
      <c r="Y381" s="69"/>
      <c r="Z381" s="194"/>
      <c r="AA381" s="195"/>
      <c r="AB381" s="196"/>
      <c r="AC381" s="197"/>
      <c r="AD381" s="198"/>
      <c r="AE381" s="199"/>
      <c r="AF381" s="139"/>
      <c r="AG381" s="140"/>
      <c r="AH381" s="200"/>
      <c r="AI381" s="200"/>
      <c r="AJ381" s="73"/>
      <c r="AK381" s="79"/>
      <c r="AL381" s="79"/>
      <c r="AM381" s="127"/>
      <c r="AN381" s="128"/>
      <c r="AO381" s="128"/>
      <c r="AP381" s="133"/>
      <c r="AQ381" s="127"/>
      <c r="AR381" s="134"/>
      <c r="AS381" s="132"/>
      <c r="AT381" s="10"/>
      <c r="AU381" s="10"/>
      <c r="AV381" s="167"/>
      <c r="AW381" s="168"/>
      <c r="AX381" s="29"/>
      <c r="AY381" s="24"/>
      <c r="AZ381" s="25"/>
      <c r="BA381" s="24"/>
      <c r="BB381" s="169"/>
      <c r="BC381" s="170"/>
      <c r="BD381" s="10">
        <v>269043</v>
      </c>
      <c r="BE381" s="10"/>
      <c r="BF381" s="10"/>
      <c r="BG381" s="268"/>
      <c r="BH381" s="10" t="s">
        <v>1421</v>
      </c>
      <c r="BI381" s="76"/>
      <c r="BJ381" s="24"/>
      <c r="BK381" s="25"/>
      <c r="BL381" s="310" t="s">
        <v>807</v>
      </c>
      <c r="BM381" s="293"/>
      <c r="BN381" s="293"/>
      <c r="BO381" s="293"/>
      <c r="BP381" s="293"/>
      <c r="BQ381" s="293"/>
      <c r="BR381" s="293"/>
      <c r="BS381" s="293"/>
      <c r="BT381" s="293"/>
    </row>
    <row r="382" spans="1:72" s="1" customFormat="1" ht="51" customHeight="1">
      <c r="A382" s="91"/>
      <c r="B382" s="358" t="s">
        <v>2574</v>
      </c>
      <c r="C382" s="50" t="s">
        <v>1627</v>
      </c>
      <c r="D382" s="264" t="s">
        <v>1596</v>
      </c>
      <c r="E382" s="262" t="s">
        <v>827</v>
      </c>
      <c r="F382" s="10"/>
      <c r="G382" s="33"/>
      <c r="H382" s="39"/>
      <c r="I382" s="183"/>
      <c r="J382" s="29"/>
      <c r="K382" s="24"/>
      <c r="L382" s="25"/>
      <c r="M382" s="69"/>
      <c r="N382" s="77"/>
      <c r="O382" s="190"/>
      <c r="P382" s="191"/>
      <c r="Q382" s="191"/>
      <c r="R382" s="192"/>
      <c r="S382" s="193"/>
      <c r="T382" s="60"/>
      <c r="U382" s="191"/>
      <c r="V382" s="29"/>
      <c r="W382" s="24"/>
      <c r="X382" s="25"/>
      <c r="Y382" s="69"/>
      <c r="Z382" s="194"/>
      <c r="AA382" s="195"/>
      <c r="AB382" s="196"/>
      <c r="AC382" s="197"/>
      <c r="AD382" s="198"/>
      <c r="AE382" s="199"/>
      <c r="AF382" s="139"/>
      <c r="AG382" s="140"/>
      <c r="AH382" s="200"/>
      <c r="AI382" s="200"/>
      <c r="AJ382" s="73"/>
      <c r="AK382" s="79"/>
      <c r="AL382" s="79"/>
      <c r="AM382" s="127"/>
      <c r="AN382" s="128"/>
      <c r="AO382" s="128"/>
      <c r="AP382" s="133"/>
      <c r="AQ382" s="127"/>
      <c r="AR382" s="134"/>
      <c r="AS382" s="132"/>
      <c r="AT382" s="10"/>
      <c r="AU382" s="10"/>
      <c r="AV382" s="167"/>
      <c r="AW382" s="168"/>
      <c r="AX382" s="29"/>
      <c r="AY382" s="24"/>
      <c r="AZ382" s="25"/>
      <c r="BA382" s="24"/>
      <c r="BB382" s="169"/>
      <c r="BC382" s="170"/>
      <c r="BD382" s="10">
        <v>20883</v>
      </c>
      <c r="BE382" s="10">
        <v>25000</v>
      </c>
      <c r="BF382" s="10">
        <v>29000</v>
      </c>
      <c r="BG382" s="268">
        <v>29000</v>
      </c>
      <c r="BH382" s="10">
        <v>55000</v>
      </c>
      <c r="BI382" s="76">
        <f t="shared" si="514"/>
        <v>34500</v>
      </c>
      <c r="BJ382" s="24">
        <f t="shared" si="515"/>
        <v>13617</v>
      </c>
      <c r="BK382" s="25">
        <f t="shared" si="516"/>
        <v>0.65206148541876163</v>
      </c>
      <c r="BL382" s="309">
        <f t="shared" si="517"/>
        <v>34500</v>
      </c>
      <c r="BM382" s="293"/>
      <c r="BN382" s="293"/>
      <c r="BO382" s="293"/>
      <c r="BP382" s="293"/>
      <c r="BQ382" s="293"/>
      <c r="BR382" s="293"/>
      <c r="BS382" s="293"/>
      <c r="BT382" s="293"/>
    </row>
    <row r="383" spans="1:72" s="1" customFormat="1" ht="51" customHeight="1">
      <c r="A383" s="91"/>
      <c r="B383" s="358" t="s">
        <v>2575</v>
      </c>
      <c r="C383" s="50" t="s">
        <v>1628</v>
      </c>
      <c r="D383" s="264" t="s">
        <v>1597</v>
      </c>
      <c r="E383" s="262" t="s">
        <v>827</v>
      </c>
      <c r="F383" s="10"/>
      <c r="G383" s="33"/>
      <c r="H383" s="39"/>
      <c r="I383" s="183"/>
      <c r="J383" s="29"/>
      <c r="K383" s="24"/>
      <c r="L383" s="25"/>
      <c r="M383" s="69"/>
      <c r="N383" s="77"/>
      <c r="O383" s="190"/>
      <c r="P383" s="191"/>
      <c r="Q383" s="191"/>
      <c r="R383" s="192"/>
      <c r="S383" s="193"/>
      <c r="T383" s="60"/>
      <c r="U383" s="191"/>
      <c r="V383" s="29"/>
      <c r="W383" s="24"/>
      <c r="X383" s="25"/>
      <c r="Y383" s="69"/>
      <c r="Z383" s="194"/>
      <c r="AA383" s="195"/>
      <c r="AB383" s="196"/>
      <c r="AC383" s="197"/>
      <c r="AD383" s="198"/>
      <c r="AE383" s="199"/>
      <c r="AF383" s="139"/>
      <c r="AG383" s="140"/>
      <c r="AH383" s="200"/>
      <c r="AI383" s="200"/>
      <c r="AJ383" s="73"/>
      <c r="AK383" s="79"/>
      <c r="AL383" s="79"/>
      <c r="AM383" s="127"/>
      <c r="AN383" s="128"/>
      <c r="AO383" s="128"/>
      <c r="AP383" s="133"/>
      <c r="AQ383" s="127"/>
      <c r="AR383" s="134"/>
      <c r="AS383" s="132"/>
      <c r="AT383" s="10"/>
      <c r="AU383" s="10"/>
      <c r="AV383" s="167"/>
      <c r="AW383" s="168"/>
      <c r="AX383" s="29"/>
      <c r="AY383" s="24"/>
      <c r="AZ383" s="25"/>
      <c r="BA383" s="24"/>
      <c r="BB383" s="169"/>
      <c r="BC383" s="170"/>
      <c r="BD383" s="10">
        <v>50718</v>
      </c>
      <c r="BE383" s="10"/>
      <c r="BF383" s="10"/>
      <c r="BG383" s="268"/>
      <c r="BH383" s="10">
        <v>80000</v>
      </c>
      <c r="BI383" s="76">
        <f t="shared" si="514"/>
        <v>80000</v>
      </c>
      <c r="BJ383" s="24">
        <f t="shared" si="515"/>
        <v>29282</v>
      </c>
      <c r="BK383" s="25">
        <f t="shared" si="516"/>
        <v>0.57734926456090541</v>
      </c>
      <c r="BL383" s="309">
        <f t="shared" si="517"/>
        <v>80000</v>
      </c>
      <c r="BM383" s="293"/>
      <c r="BN383" s="293"/>
      <c r="BO383" s="293"/>
      <c r="BP383" s="293"/>
      <c r="BQ383" s="293"/>
      <c r="BR383" s="293"/>
      <c r="BS383" s="293"/>
      <c r="BT383" s="293"/>
    </row>
    <row r="384" spans="1:72" s="1" customFormat="1" ht="42" customHeight="1">
      <c r="A384" s="91"/>
      <c r="B384" s="358" t="s">
        <v>2576</v>
      </c>
      <c r="C384" s="50" t="s">
        <v>1629</v>
      </c>
      <c r="D384" s="264" t="s">
        <v>1598</v>
      </c>
      <c r="E384" s="262" t="s">
        <v>827</v>
      </c>
      <c r="F384" s="10"/>
      <c r="G384" s="33"/>
      <c r="H384" s="39"/>
      <c r="I384" s="183"/>
      <c r="J384" s="29"/>
      <c r="K384" s="24"/>
      <c r="L384" s="25"/>
      <c r="M384" s="69"/>
      <c r="N384" s="77"/>
      <c r="O384" s="190"/>
      <c r="P384" s="191"/>
      <c r="Q384" s="191"/>
      <c r="R384" s="192"/>
      <c r="S384" s="193"/>
      <c r="T384" s="60"/>
      <c r="U384" s="191"/>
      <c r="V384" s="29"/>
      <c r="W384" s="24"/>
      <c r="X384" s="25"/>
      <c r="Y384" s="69"/>
      <c r="Z384" s="194"/>
      <c r="AA384" s="195"/>
      <c r="AB384" s="196"/>
      <c r="AC384" s="197"/>
      <c r="AD384" s="198"/>
      <c r="AE384" s="199"/>
      <c r="AF384" s="139"/>
      <c r="AG384" s="140"/>
      <c r="AH384" s="200"/>
      <c r="AI384" s="200"/>
      <c r="AJ384" s="73"/>
      <c r="AK384" s="79"/>
      <c r="AL384" s="79"/>
      <c r="AM384" s="127"/>
      <c r="AN384" s="128"/>
      <c r="AO384" s="128"/>
      <c r="AP384" s="133"/>
      <c r="AQ384" s="127"/>
      <c r="AR384" s="134"/>
      <c r="AS384" s="132"/>
      <c r="AT384" s="10"/>
      <c r="AU384" s="10"/>
      <c r="AV384" s="167"/>
      <c r="AW384" s="168"/>
      <c r="AX384" s="29"/>
      <c r="AY384" s="24"/>
      <c r="AZ384" s="25"/>
      <c r="BA384" s="24"/>
      <c r="BB384" s="169"/>
      <c r="BC384" s="170"/>
      <c r="BD384" s="10">
        <v>77221</v>
      </c>
      <c r="BE384" s="10">
        <v>38800</v>
      </c>
      <c r="BF384" s="10">
        <v>45000</v>
      </c>
      <c r="BG384" s="268">
        <v>40000</v>
      </c>
      <c r="BH384" s="10">
        <v>40000</v>
      </c>
      <c r="BI384" s="76">
        <f t="shared" si="514"/>
        <v>40950</v>
      </c>
      <c r="BJ384" s="24">
        <f t="shared" si="515"/>
        <v>-36271</v>
      </c>
      <c r="BK384" s="25">
        <f t="shared" si="516"/>
        <v>-0.46970383703914736</v>
      </c>
      <c r="BL384" s="309">
        <f t="shared" si="517"/>
        <v>40950</v>
      </c>
      <c r="BM384" s="293"/>
      <c r="BN384" s="293"/>
      <c r="BO384" s="293"/>
      <c r="BP384" s="293"/>
      <c r="BQ384" s="293"/>
      <c r="BR384" s="293"/>
      <c r="BS384" s="293"/>
      <c r="BT384" s="293"/>
    </row>
    <row r="385" spans="1:72" s="1" customFormat="1" ht="45" customHeight="1">
      <c r="A385" s="91"/>
      <c r="B385" s="358" t="s">
        <v>2577</v>
      </c>
      <c r="C385" s="50" t="s">
        <v>1630</v>
      </c>
      <c r="D385" s="264" t="s">
        <v>1599</v>
      </c>
      <c r="E385" s="262" t="s">
        <v>827</v>
      </c>
      <c r="F385" s="10"/>
      <c r="G385" s="33"/>
      <c r="H385" s="39"/>
      <c r="I385" s="183"/>
      <c r="J385" s="29"/>
      <c r="K385" s="24"/>
      <c r="L385" s="25"/>
      <c r="M385" s="69"/>
      <c r="N385" s="77"/>
      <c r="O385" s="190"/>
      <c r="P385" s="191"/>
      <c r="Q385" s="191"/>
      <c r="R385" s="192"/>
      <c r="S385" s="193"/>
      <c r="T385" s="60"/>
      <c r="U385" s="191"/>
      <c r="V385" s="29"/>
      <c r="W385" s="24"/>
      <c r="X385" s="25"/>
      <c r="Y385" s="69"/>
      <c r="Z385" s="194"/>
      <c r="AA385" s="195"/>
      <c r="AB385" s="196"/>
      <c r="AC385" s="197"/>
      <c r="AD385" s="198"/>
      <c r="AE385" s="199"/>
      <c r="AF385" s="139"/>
      <c r="AG385" s="140"/>
      <c r="AH385" s="200"/>
      <c r="AI385" s="200"/>
      <c r="AJ385" s="73"/>
      <c r="AK385" s="79"/>
      <c r="AL385" s="79"/>
      <c r="AM385" s="127"/>
      <c r="AN385" s="128"/>
      <c r="AO385" s="128"/>
      <c r="AP385" s="133"/>
      <c r="AQ385" s="127"/>
      <c r="AR385" s="134"/>
      <c r="AS385" s="132"/>
      <c r="AT385" s="10"/>
      <c r="AU385" s="10"/>
      <c r="AV385" s="167"/>
      <c r="AW385" s="168"/>
      <c r="AX385" s="29"/>
      <c r="AY385" s="24"/>
      <c r="AZ385" s="25"/>
      <c r="BA385" s="24"/>
      <c r="BB385" s="169"/>
      <c r="BC385" s="170"/>
      <c r="BD385" s="10">
        <v>71193</v>
      </c>
      <c r="BE385" s="10">
        <v>36800</v>
      </c>
      <c r="BF385" s="10">
        <v>46000</v>
      </c>
      <c r="BG385" s="268">
        <v>40000</v>
      </c>
      <c r="BH385" s="10">
        <v>40000</v>
      </c>
      <c r="BI385" s="76">
        <f t="shared" si="514"/>
        <v>40700</v>
      </c>
      <c r="BJ385" s="24">
        <f t="shared" si="515"/>
        <v>-30493</v>
      </c>
      <c r="BK385" s="25">
        <f t="shared" si="516"/>
        <v>-0.42831458148975321</v>
      </c>
      <c r="BL385" s="309">
        <f t="shared" si="517"/>
        <v>40700</v>
      </c>
      <c r="BM385" s="293"/>
      <c r="BN385" s="293"/>
      <c r="BO385" s="293"/>
      <c r="BP385" s="293"/>
      <c r="BQ385" s="293"/>
      <c r="BR385" s="293"/>
      <c r="BS385" s="293"/>
      <c r="BT385" s="293"/>
    </row>
    <row r="386" spans="1:72" s="1" customFormat="1" ht="30">
      <c r="A386" s="91"/>
      <c r="B386" s="358" t="s">
        <v>2578</v>
      </c>
      <c r="C386" s="50" t="s">
        <v>1631</v>
      </c>
      <c r="D386" s="264" t="s">
        <v>1600</v>
      </c>
      <c r="E386" s="263" t="s">
        <v>1399</v>
      </c>
      <c r="F386" s="10"/>
      <c r="G386" s="33"/>
      <c r="H386" s="39"/>
      <c r="I386" s="183"/>
      <c r="J386" s="29"/>
      <c r="K386" s="24"/>
      <c r="L386" s="25"/>
      <c r="M386" s="69"/>
      <c r="N386" s="77"/>
      <c r="O386" s="190"/>
      <c r="P386" s="191"/>
      <c r="Q386" s="191"/>
      <c r="R386" s="192"/>
      <c r="S386" s="193"/>
      <c r="T386" s="60"/>
      <c r="U386" s="191"/>
      <c r="V386" s="29"/>
      <c r="W386" s="24"/>
      <c r="X386" s="25"/>
      <c r="Y386" s="69"/>
      <c r="Z386" s="194"/>
      <c r="AA386" s="195"/>
      <c r="AB386" s="196"/>
      <c r="AC386" s="197"/>
      <c r="AD386" s="198"/>
      <c r="AE386" s="199"/>
      <c r="AF386" s="139"/>
      <c r="AG386" s="140"/>
      <c r="AH386" s="200"/>
      <c r="AI386" s="200"/>
      <c r="AJ386" s="73"/>
      <c r="AK386" s="79"/>
      <c r="AL386" s="79"/>
      <c r="AM386" s="127"/>
      <c r="AN386" s="128"/>
      <c r="AO386" s="128"/>
      <c r="AP386" s="133"/>
      <c r="AQ386" s="127"/>
      <c r="AR386" s="134"/>
      <c r="AS386" s="132"/>
      <c r="AT386" s="10"/>
      <c r="AU386" s="10"/>
      <c r="AV386" s="167"/>
      <c r="AW386" s="168"/>
      <c r="AX386" s="29"/>
      <c r="AY386" s="24"/>
      <c r="AZ386" s="25"/>
      <c r="BA386" s="24"/>
      <c r="BB386" s="169"/>
      <c r="BC386" s="170"/>
      <c r="BD386" s="10">
        <v>69674</v>
      </c>
      <c r="BE386" s="10">
        <v>45000</v>
      </c>
      <c r="BF386" s="10">
        <v>48000</v>
      </c>
      <c r="BG386" s="268">
        <v>48000</v>
      </c>
      <c r="BH386" s="10">
        <v>50000</v>
      </c>
      <c r="BI386" s="76">
        <f t="shared" si="514"/>
        <v>47750</v>
      </c>
      <c r="BJ386" s="24">
        <f t="shared" si="515"/>
        <v>-21924</v>
      </c>
      <c r="BK386" s="25">
        <f t="shared" si="516"/>
        <v>-0.31466544191520512</v>
      </c>
      <c r="BL386" s="309">
        <f t="shared" si="517"/>
        <v>47750</v>
      </c>
      <c r="BM386" s="293"/>
      <c r="BN386" s="293"/>
      <c r="BO386" s="293"/>
      <c r="BP386" s="293"/>
      <c r="BQ386" s="293"/>
      <c r="BR386" s="293"/>
      <c r="BS386" s="293"/>
      <c r="BT386" s="293"/>
    </row>
    <row r="387" spans="1:72" s="1" customFormat="1">
      <c r="A387" s="91"/>
      <c r="B387" s="358" t="s">
        <v>2579</v>
      </c>
      <c r="C387" s="50" t="s">
        <v>1632</v>
      </c>
      <c r="D387" s="264" t="s">
        <v>1601</v>
      </c>
      <c r="E387" s="262" t="s">
        <v>999</v>
      </c>
      <c r="F387" s="10"/>
      <c r="G387" s="33"/>
      <c r="H387" s="39"/>
      <c r="I387" s="183"/>
      <c r="J387" s="29"/>
      <c r="K387" s="24"/>
      <c r="L387" s="25"/>
      <c r="M387" s="69"/>
      <c r="N387" s="77"/>
      <c r="O387" s="190"/>
      <c r="P387" s="191"/>
      <c r="Q387" s="191"/>
      <c r="R387" s="192"/>
      <c r="S387" s="193"/>
      <c r="T387" s="60"/>
      <c r="U387" s="191"/>
      <c r="V387" s="29"/>
      <c r="W387" s="24"/>
      <c r="X387" s="25"/>
      <c r="Y387" s="69"/>
      <c r="Z387" s="194"/>
      <c r="AA387" s="195"/>
      <c r="AB387" s="196"/>
      <c r="AC387" s="197"/>
      <c r="AD387" s="198"/>
      <c r="AE387" s="199"/>
      <c r="AF387" s="139"/>
      <c r="AG387" s="140"/>
      <c r="AH387" s="200"/>
      <c r="AI387" s="200"/>
      <c r="AJ387" s="73"/>
      <c r="AK387" s="79"/>
      <c r="AL387" s="79"/>
      <c r="AM387" s="127"/>
      <c r="AN387" s="128"/>
      <c r="AO387" s="128"/>
      <c r="AP387" s="133"/>
      <c r="AQ387" s="127"/>
      <c r="AR387" s="134"/>
      <c r="AS387" s="132"/>
      <c r="AT387" s="10"/>
      <c r="AU387" s="10"/>
      <c r="AV387" s="167"/>
      <c r="AW387" s="168"/>
      <c r="AX387" s="29"/>
      <c r="AY387" s="24"/>
      <c r="AZ387" s="25"/>
      <c r="BA387" s="24"/>
      <c r="BB387" s="169"/>
      <c r="BC387" s="170"/>
      <c r="BD387" s="10">
        <v>88829</v>
      </c>
      <c r="BE387" s="10"/>
      <c r="BF387" s="10"/>
      <c r="BG387" s="268"/>
      <c r="BH387" s="10">
        <v>40000</v>
      </c>
      <c r="BI387" s="76">
        <f t="shared" si="514"/>
        <v>40000</v>
      </c>
      <c r="BJ387" s="24">
        <f t="shared" si="515"/>
        <v>-48829</v>
      </c>
      <c r="BK387" s="25">
        <f t="shared" si="516"/>
        <v>-0.54969660808970044</v>
      </c>
      <c r="BL387" s="309">
        <f t="shared" si="517"/>
        <v>40000</v>
      </c>
      <c r="BM387" s="293"/>
      <c r="BN387" s="293"/>
      <c r="BO387" s="293"/>
      <c r="BP387" s="293"/>
      <c r="BQ387" s="293"/>
      <c r="BR387" s="293"/>
      <c r="BS387" s="293"/>
      <c r="BT387" s="293"/>
    </row>
    <row r="388" spans="1:72" s="1" customFormat="1">
      <c r="A388" s="91"/>
      <c r="B388" s="358" t="s">
        <v>2580</v>
      </c>
      <c r="C388" s="50" t="s">
        <v>1633</v>
      </c>
      <c r="D388" s="264" t="s">
        <v>1602</v>
      </c>
      <c r="E388" s="262" t="s">
        <v>1430</v>
      </c>
      <c r="F388" s="10"/>
      <c r="G388" s="33"/>
      <c r="H388" s="39"/>
      <c r="I388" s="183"/>
      <c r="J388" s="29"/>
      <c r="K388" s="24"/>
      <c r="L388" s="25"/>
      <c r="M388" s="69"/>
      <c r="N388" s="77"/>
      <c r="O388" s="190"/>
      <c r="P388" s="191"/>
      <c r="Q388" s="191"/>
      <c r="R388" s="192"/>
      <c r="S388" s="193"/>
      <c r="T388" s="60"/>
      <c r="U388" s="191"/>
      <c r="V388" s="29"/>
      <c r="W388" s="24"/>
      <c r="X388" s="25"/>
      <c r="Y388" s="69"/>
      <c r="Z388" s="194"/>
      <c r="AA388" s="195"/>
      <c r="AB388" s="196"/>
      <c r="AC388" s="197"/>
      <c r="AD388" s="198"/>
      <c r="AE388" s="199"/>
      <c r="AF388" s="139"/>
      <c r="AG388" s="140"/>
      <c r="AH388" s="200"/>
      <c r="AI388" s="200"/>
      <c r="AJ388" s="73"/>
      <c r="AK388" s="79"/>
      <c r="AL388" s="79"/>
      <c r="AM388" s="127"/>
      <c r="AN388" s="128"/>
      <c r="AO388" s="128"/>
      <c r="AP388" s="133"/>
      <c r="AQ388" s="127"/>
      <c r="AR388" s="134"/>
      <c r="AS388" s="132"/>
      <c r="AT388" s="10"/>
      <c r="AU388" s="10"/>
      <c r="AV388" s="167"/>
      <c r="AW388" s="168"/>
      <c r="AX388" s="29"/>
      <c r="AY388" s="24"/>
      <c r="AZ388" s="25"/>
      <c r="BA388" s="24"/>
      <c r="BB388" s="169"/>
      <c r="BC388" s="170"/>
      <c r="BD388" s="10">
        <v>494627</v>
      </c>
      <c r="BE388" s="10">
        <v>550000</v>
      </c>
      <c r="BF388" s="10"/>
      <c r="BG388" s="268">
        <v>580000</v>
      </c>
      <c r="BH388" s="10">
        <v>700000</v>
      </c>
      <c r="BI388" s="76">
        <f t="shared" si="514"/>
        <v>610000</v>
      </c>
      <c r="BJ388" s="24">
        <f t="shared" si="515"/>
        <v>115373</v>
      </c>
      <c r="BK388" s="25">
        <f t="shared" si="516"/>
        <v>0.23325253170570956</v>
      </c>
      <c r="BL388" s="309">
        <f t="shared" si="517"/>
        <v>610000</v>
      </c>
      <c r="BM388" s="293"/>
      <c r="BN388" s="293"/>
      <c r="BO388" s="293"/>
      <c r="BP388" s="293"/>
      <c r="BQ388" s="293"/>
      <c r="BR388" s="293"/>
      <c r="BS388" s="293"/>
      <c r="BT388" s="293"/>
    </row>
    <row r="389" spans="1:72" s="1" customFormat="1">
      <c r="A389" s="91"/>
      <c r="B389" s="358" t="s">
        <v>2581</v>
      </c>
      <c r="C389" s="50" t="s">
        <v>1634</v>
      </c>
      <c r="D389" s="264" t="s">
        <v>1603</v>
      </c>
      <c r="E389" s="262" t="s">
        <v>1466</v>
      </c>
      <c r="F389" s="10"/>
      <c r="G389" s="33"/>
      <c r="H389" s="39"/>
      <c r="I389" s="183"/>
      <c r="J389" s="29"/>
      <c r="K389" s="24"/>
      <c r="L389" s="25"/>
      <c r="M389" s="69"/>
      <c r="N389" s="77"/>
      <c r="O389" s="190"/>
      <c r="P389" s="191"/>
      <c r="Q389" s="191"/>
      <c r="R389" s="192"/>
      <c r="S389" s="193"/>
      <c r="T389" s="60"/>
      <c r="U389" s="191"/>
      <c r="V389" s="29"/>
      <c r="W389" s="24"/>
      <c r="X389" s="25"/>
      <c r="Y389" s="69"/>
      <c r="Z389" s="194"/>
      <c r="AA389" s="195"/>
      <c r="AB389" s="196"/>
      <c r="AC389" s="197"/>
      <c r="AD389" s="198"/>
      <c r="AE389" s="199"/>
      <c r="AF389" s="139"/>
      <c r="AG389" s="140"/>
      <c r="AH389" s="200"/>
      <c r="AI389" s="200"/>
      <c r="AJ389" s="73"/>
      <c r="AK389" s="79"/>
      <c r="AL389" s="79"/>
      <c r="AM389" s="127"/>
      <c r="AN389" s="128"/>
      <c r="AO389" s="128"/>
      <c r="AP389" s="133"/>
      <c r="AQ389" s="127"/>
      <c r="AR389" s="134"/>
      <c r="AS389" s="132"/>
      <c r="AT389" s="10"/>
      <c r="AU389" s="10"/>
      <c r="AV389" s="167"/>
      <c r="AW389" s="168"/>
      <c r="AX389" s="29"/>
      <c r="AY389" s="24"/>
      <c r="AZ389" s="25"/>
      <c r="BA389" s="24"/>
      <c r="BB389" s="169"/>
      <c r="BC389" s="170"/>
      <c r="BD389" s="10">
        <v>92154</v>
      </c>
      <c r="BE389" s="10"/>
      <c r="BF389" s="10"/>
      <c r="BG389" s="268"/>
      <c r="BH389" s="10">
        <v>55000</v>
      </c>
      <c r="BI389" s="76">
        <f t="shared" si="514"/>
        <v>55000</v>
      </c>
      <c r="BJ389" s="24">
        <f t="shared" si="515"/>
        <v>-37154</v>
      </c>
      <c r="BK389" s="25">
        <f t="shared" si="516"/>
        <v>-0.40317294962779693</v>
      </c>
      <c r="BL389" s="309">
        <f t="shared" si="517"/>
        <v>55000</v>
      </c>
      <c r="BM389" s="293"/>
      <c r="BN389" s="293"/>
      <c r="BO389" s="293"/>
      <c r="BP389" s="293"/>
      <c r="BQ389" s="293"/>
      <c r="BR389" s="293"/>
      <c r="BS389" s="293"/>
      <c r="BT389" s="293"/>
    </row>
    <row r="390" spans="1:72" s="1" customFormat="1" ht="51" customHeight="1">
      <c r="A390" s="91"/>
      <c r="B390" s="358" t="s">
        <v>2582</v>
      </c>
      <c r="C390" s="50" t="s">
        <v>1635</v>
      </c>
      <c r="D390" s="264" t="s">
        <v>1604</v>
      </c>
      <c r="E390" s="262" t="s">
        <v>827</v>
      </c>
      <c r="F390" s="10"/>
      <c r="G390" s="33"/>
      <c r="H390" s="39"/>
      <c r="I390" s="183"/>
      <c r="J390" s="29"/>
      <c r="K390" s="24"/>
      <c r="L390" s="25"/>
      <c r="M390" s="69"/>
      <c r="N390" s="77"/>
      <c r="O390" s="190"/>
      <c r="P390" s="191"/>
      <c r="Q390" s="191"/>
      <c r="R390" s="192"/>
      <c r="S390" s="193"/>
      <c r="T390" s="60"/>
      <c r="U390" s="191"/>
      <c r="V390" s="29"/>
      <c r="W390" s="24"/>
      <c r="X390" s="25"/>
      <c r="Y390" s="69"/>
      <c r="Z390" s="194"/>
      <c r="AA390" s="195"/>
      <c r="AB390" s="196"/>
      <c r="AC390" s="197"/>
      <c r="AD390" s="198"/>
      <c r="AE390" s="199"/>
      <c r="AF390" s="139"/>
      <c r="AG390" s="140"/>
      <c r="AH390" s="200"/>
      <c r="AI390" s="200"/>
      <c r="AJ390" s="73"/>
      <c r="AK390" s="79"/>
      <c r="AL390" s="79"/>
      <c r="AM390" s="127"/>
      <c r="AN390" s="128"/>
      <c r="AO390" s="128"/>
      <c r="AP390" s="133"/>
      <c r="AQ390" s="127"/>
      <c r="AR390" s="134"/>
      <c r="AS390" s="132"/>
      <c r="AT390" s="10"/>
      <c r="AU390" s="10"/>
      <c r="AV390" s="167"/>
      <c r="AW390" s="168"/>
      <c r="AX390" s="29"/>
      <c r="AY390" s="24"/>
      <c r="AZ390" s="25"/>
      <c r="BA390" s="24"/>
      <c r="BB390" s="169"/>
      <c r="BC390" s="170"/>
      <c r="BD390" s="10">
        <v>66027</v>
      </c>
      <c r="BE390" s="10"/>
      <c r="BF390" s="10"/>
      <c r="BG390" s="268"/>
      <c r="BH390" s="10" t="s">
        <v>1421</v>
      </c>
      <c r="BI390" s="76"/>
      <c r="BJ390" s="24"/>
      <c r="BK390" s="25"/>
      <c r="BL390" s="310" t="s">
        <v>807</v>
      </c>
      <c r="BM390" s="293"/>
      <c r="BN390" s="293"/>
      <c r="BO390" s="293"/>
      <c r="BP390" s="293"/>
      <c r="BQ390" s="293"/>
      <c r="BR390" s="293"/>
      <c r="BS390" s="293"/>
      <c r="BT390" s="293"/>
    </row>
    <row r="391" spans="1:72" s="1" customFormat="1" ht="51" customHeight="1">
      <c r="A391" s="91"/>
      <c r="B391" s="358" t="s">
        <v>2583</v>
      </c>
      <c r="C391" s="50" t="s">
        <v>1636</v>
      </c>
      <c r="D391" s="264" t="s">
        <v>1605</v>
      </c>
      <c r="E391" s="262" t="s">
        <v>999</v>
      </c>
      <c r="F391" s="10"/>
      <c r="G391" s="33"/>
      <c r="H391" s="39"/>
      <c r="I391" s="183"/>
      <c r="J391" s="29"/>
      <c r="K391" s="24"/>
      <c r="L391" s="25"/>
      <c r="M391" s="69"/>
      <c r="N391" s="77"/>
      <c r="O391" s="190"/>
      <c r="P391" s="191"/>
      <c r="Q391" s="191"/>
      <c r="R391" s="192"/>
      <c r="S391" s="193"/>
      <c r="T391" s="60"/>
      <c r="U391" s="191"/>
      <c r="V391" s="29"/>
      <c r="W391" s="24"/>
      <c r="X391" s="25"/>
      <c r="Y391" s="69"/>
      <c r="Z391" s="194"/>
      <c r="AA391" s="195"/>
      <c r="AB391" s="196"/>
      <c r="AC391" s="197"/>
      <c r="AD391" s="198"/>
      <c r="AE391" s="199"/>
      <c r="AF391" s="139"/>
      <c r="AG391" s="140"/>
      <c r="AH391" s="200"/>
      <c r="AI391" s="200"/>
      <c r="AJ391" s="73"/>
      <c r="AK391" s="79"/>
      <c r="AL391" s="79"/>
      <c r="AM391" s="127"/>
      <c r="AN391" s="128"/>
      <c r="AO391" s="128"/>
      <c r="AP391" s="133"/>
      <c r="AQ391" s="127"/>
      <c r="AR391" s="134"/>
      <c r="AS391" s="132"/>
      <c r="AT391" s="10"/>
      <c r="AU391" s="10"/>
      <c r="AV391" s="167"/>
      <c r="AW391" s="168"/>
      <c r="AX391" s="29"/>
      <c r="AY391" s="24"/>
      <c r="AZ391" s="25"/>
      <c r="BA391" s="24"/>
      <c r="BB391" s="169"/>
      <c r="BC391" s="170"/>
      <c r="BD391" s="10">
        <v>132856</v>
      </c>
      <c r="BE391" s="10">
        <v>95000</v>
      </c>
      <c r="BF391" s="10">
        <v>105500</v>
      </c>
      <c r="BG391" s="268">
        <v>100500</v>
      </c>
      <c r="BH391" s="10">
        <v>100000</v>
      </c>
      <c r="BI391" s="76">
        <f t="shared" si="514"/>
        <v>100250</v>
      </c>
      <c r="BJ391" s="24">
        <f t="shared" si="515"/>
        <v>-32606</v>
      </c>
      <c r="BK391" s="25">
        <f t="shared" si="516"/>
        <v>-0.24542361654723913</v>
      </c>
      <c r="BL391" s="309">
        <f t="shared" si="517"/>
        <v>100250</v>
      </c>
      <c r="BM391" s="293"/>
      <c r="BN391" s="293"/>
      <c r="BO391" s="293"/>
      <c r="BP391" s="293"/>
      <c r="BQ391" s="293"/>
      <c r="BR391" s="293"/>
      <c r="BS391" s="293"/>
      <c r="BT391" s="293"/>
    </row>
    <row r="392" spans="1:72" s="1" customFormat="1">
      <c r="A392" s="91"/>
      <c r="B392" s="358" t="s">
        <v>2584</v>
      </c>
      <c r="C392" s="50" t="s">
        <v>1637</v>
      </c>
      <c r="D392" s="264" t="s">
        <v>1606</v>
      </c>
      <c r="E392" s="262" t="s">
        <v>1430</v>
      </c>
      <c r="F392" s="10"/>
      <c r="G392" s="33"/>
      <c r="H392" s="39"/>
      <c r="I392" s="183"/>
      <c r="J392" s="29"/>
      <c r="K392" s="24"/>
      <c r="L392" s="25"/>
      <c r="M392" s="69"/>
      <c r="N392" s="77"/>
      <c r="O392" s="190"/>
      <c r="P392" s="191"/>
      <c r="Q392" s="191"/>
      <c r="R392" s="192"/>
      <c r="S392" s="193"/>
      <c r="T392" s="60"/>
      <c r="U392" s="191"/>
      <c r="V392" s="29"/>
      <c r="W392" s="24"/>
      <c r="X392" s="25"/>
      <c r="Y392" s="69"/>
      <c r="Z392" s="194"/>
      <c r="AA392" s="195"/>
      <c r="AB392" s="196"/>
      <c r="AC392" s="197"/>
      <c r="AD392" s="198"/>
      <c r="AE392" s="199"/>
      <c r="AF392" s="139"/>
      <c r="AG392" s="140"/>
      <c r="AH392" s="200"/>
      <c r="AI392" s="200"/>
      <c r="AJ392" s="73"/>
      <c r="AK392" s="79"/>
      <c r="AL392" s="79"/>
      <c r="AM392" s="127"/>
      <c r="AN392" s="128"/>
      <c r="AO392" s="128"/>
      <c r="AP392" s="133"/>
      <c r="AQ392" s="127"/>
      <c r="AR392" s="134"/>
      <c r="AS392" s="132"/>
      <c r="AT392" s="10"/>
      <c r="AU392" s="10"/>
      <c r="AV392" s="167"/>
      <c r="AW392" s="168"/>
      <c r="AX392" s="29"/>
      <c r="AY392" s="24"/>
      <c r="AZ392" s="25"/>
      <c r="BA392" s="24"/>
      <c r="BB392" s="169"/>
      <c r="BC392" s="170"/>
      <c r="BD392" s="10">
        <v>858249</v>
      </c>
      <c r="BE392" s="10" t="s">
        <v>1609</v>
      </c>
      <c r="BF392" s="10"/>
      <c r="BG392" s="268"/>
      <c r="BH392" s="10">
        <v>700000</v>
      </c>
      <c r="BI392" s="76">
        <f t="shared" si="514"/>
        <v>700000</v>
      </c>
      <c r="BJ392" s="24">
        <f t="shared" si="515"/>
        <v>-158249</v>
      </c>
      <c r="BK392" s="25">
        <f t="shared" si="516"/>
        <v>-0.18438588335086903</v>
      </c>
      <c r="BL392" s="309">
        <f t="shared" si="517"/>
        <v>700000</v>
      </c>
      <c r="BM392" s="293"/>
      <c r="BN392" s="293"/>
      <c r="BO392" s="293"/>
      <c r="BP392" s="293"/>
      <c r="BQ392" s="293"/>
      <c r="BR392" s="293"/>
      <c r="BS392" s="293"/>
      <c r="BT392" s="293"/>
    </row>
    <row r="393" spans="1:72" s="1" customFormat="1">
      <c r="A393" s="91"/>
      <c r="B393" s="358" t="s">
        <v>2585</v>
      </c>
      <c r="C393" s="50" t="s">
        <v>1638</v>
      </c>
      <c r="D393" s="264" t="s">
        <v>1607</v>
      </c>
      <c r="E393" s="262" t="s">
        <v>1430</v>
      </c>
      <c r="F393" s="10"/>
      <c r="G393" s="33"/>
      <c r="H393" s="39"/>
      <c r="I393" s="183"/>
      <c r="J393" s="29"/>
      <c r="K393" s="24"/>
      <c r="L393" s="25"/>
      <c r="M393" s="69"/>
      <c r="N393" s="77"/>
      <c r="O393" s="190"/>
      <c r="P393" s="191"/>
      <c r="Q393" s="191"/>
      <c r="R393" s="192"/>
      <c r="S393" s="193"/>
      <c r="T393" s="60"/>
      <c r="U393" s="191"/>
      <c r="V393" s="29"/>
      <c r="W393" s="24"/>
      <c r="X393" s="25"/>
      <c r="Y393" s="69"/>
      <c r="Z393" s="194"/>
      <c r="AA393" s="195"/>
      <c r="AB393" s="196"/>
      <c r="AC393" s="197"/>
      <c r="AD393" s="198"/>
      <c r="AE393" s="199"/>
      <c r="AF393" s="139"/>
      <c r="AG393" s="140"/>
      <c r="AH393" s="200"/>
      <c r="AI393" s="200"/>
      <c r="AJ393" s="73"/>
      <c r="AK393" s="79"/>
      <c r="AL393" s="79"/>
      <c r="AM393" s="127"/>
      <c r="AN393" s="128"/>
      <c r="AO393" s="128"/>
      <c r="AP393" s="133"/>
      <c r="AQ393" s="127"/>
      <c r="AR393" s="134"/>
      <c r="AS393" s="132"/>
      <c r="AT393" s="10"/>
      <c r="AU393" s="10"/>
      <c r="AV393" s="167"/>
      <c r="AW393" s="168"/>
      <c r="AX393" s="29"/>
      <c r="AY393" s="24"/>
      <c r="AZ393" s="25"/>
      <c r="BA393" s="24"/>
      <c r="BB393" s="169"/>
      <c r="BC393" s="170"/>
      <c r="BD393" s="10">
        <v>1041858</v>
      </c>
      <c r="BE393" s="10"/>
      <c r="BF393" s="10"/>
      <c r="BG393" s="268"/>
      <c r="BH393" s="10">
        <v>700000</v>
      </c>
      <c r="BI393" s="76">
        <f t="shared" si="514"/>
        <v>700000</v>
      </c>
      <c r="BJ393" s="24">
        <f t="shared" si="515"/>
        <v>-341858</v>
      </c>
      <c r="BK393" s="25">
        <f t="shared" si="516"/>
        <v>-0.32812341029199754</v>
      </c>
      <c r="BL393" s="309">
        <f t="shared" si="517"/>
        <v>700000</v>
      </c>
      <c r="BM393" s="293"/>
      <c r="BN393" s="293"/>
      <c r="BO393" s="293"/>
      <c r="BP393" s="293"/>
      <c r="BQ393" s="293"/>
      <c r="BR393" s="293"/>
      <c r="BS393" s="293"/>
      <c r="BT393" s="293"/>
    </row>
    <row r="394" spans="1:72" s="1" customFormat="1">
      <c r="A394" s="91"/>
      <c r="B394" s="358" t="s">
        <v>2586</v>
      </c>
      <c r="C394" s="50" t="s">
        <v>1639</v>
      </c>
      <c r="D394" s="264" t="s">
        <v>1608</v>
      </c>
      <c r="E394" s="262" t="s">
        <v>1430</v>
      </c>
      <c r="F394" s="10"/>
      <c r="G394" s="33"/>
      <c r="H394" s="39"/>
      <c r="I394" s="183"/>
      <c r="J394" s="29"/>
      <c r="K394" s="24"/>
      <c r="L394" s="25"/>
      <c r="M394" s="69"/>
      <c r="N394" s="77"/>
      <c r="O394" s="190"/>
      <c r="P394" s="191"/>
      <c r="Q394" s="191"/>
      <c r="R394" s="192"/>
      <c r="S394" s="193"/>
      <c r="T394" s="60"/>
      <c r="U394" s="191"/>
      <c r="V394" s="29"/>
      <c r="W394" s="24"/>
      <c r="X394" s="25"/>
      <c r="Y394" s="69"/>
      <c r="Z394" s="194"/>
      <c r="AA394" s="195"/>
      <c r="AB394" s="196"/>
      <c r="AC394" s="197"/>
      <c r="AD394" s="198"/>
      <c r="AE394" s="199"/>
      <c r="AF394" s="139"/>
      <c r="AG394" s="140"/>
      <c r="AH394" s="200"/>
      <c r="AI394" s="200"/>
      <c r="AJ394" s="73"/>
      <c r="AK394" s="79"/>
      <c r="AL394" s="79"/>
      <c r="AM394" s="127"/>
      <c r="AN394" s="128"/>
      <c r="AO394" s="128"/>
      <c r="AP394" s="133"/>
      <c r="AQ394" s="127"/>
      <c r="AR394" s="134"/>
      <c r="AS394" s="132"/>
      <c r="AT394" s="10"/>
      <c r="AU394" s="10"/>
      <c r="AV394" s="167"/>
      <c r="AW394" s="168"/>
      <c r="AX394" s="29"/>
      <c r="AY394" s="24"/>
      <c r="AZ394" s="25"/>
      <c r="BA394" s="24"/>
      <c r="BB394" s="169"/>
      <c r="BC394" s="170"/>
      <c r="BD394" s="10">
        <v>973884</v>
      </c>
      <c r="BE394" s="10">
        <v>550000</v>
      </c>
      <c r="BF394" s="10">
        <v>610000</v>
      </c>
      <c r="BG394" s="268">
        <v>590000</v>
      </c>
      <c r="BH394" s="10">
        <v>700000</v>
      </c>
      <c r="BI394" s="76">
        <f t="shared" si="514"/>
        <v>612500</v>
      </c>
      <c r="BJ394" s="24">
        <f t="shared" si="515"/>
        <v>-361384</v>
      </c>
      <c r="BK394" s="25">
        <f t="shared" si="516"/>
        <v>-0.37107499455787341</v>
      </c>
      <c r="BL394" s="309">
        <f t="shared" si="517"/>
        <v>612500</v>
      </c>
      <c r="BM394" s="293"/>
      <c r="BN394" s="293"/>
      <c r="BO394" s="293"/>
      <c r="BP394" s="293"/>
      <c r="BQ394" s="293"/>
      <c r="BR394" s="293"/>
      <c r="BS394" s="293"/>
      <c r="BT394" s="293"/>
    </row>
    <row r="395" spans="1:72" ht="32.450000000000003" customHeight="1">
      <c r="A395" s="91" t="s">
        <v>26</v>
      </c>
      <c r="B395" s="358" t="s">
        <v>2587</v>
      </c>
      <c r="C395" s="252" t="s">
        <v>755</v>
      </c>
      <c r="D395" s="100" t="s">
        <v>26</v>
      </c>
      <c r="E395" s="47"/>
      <c r="F395" s="47"/>
      <c r="G395" s="47"/>
      <c r="H395" s="47"/>
      <c r="I395" s="47"/>
      <c r="J395" s="47"/>
      <c r="K395" s="47"/>
      <c r="L395" s="47"/>
      <c r="M395" s="91"/>
      <c r="N395" s="47"/>
      <c r="O395" s="47"/>
      <c r="P395" s="47"/>
      <c r="Q395" s="47"/>
      <c r="R395" s="47"/>
      <c r="S395" s="47"/>
      <c r="T395" s="47"/>
      <c r="U395" s="47"/>
      <c r="V395" s="47"/>
      <c r="W395" s="47"/>
      <c r="X395" s="47"/>
      <c r="Y395" s="47"/>
      <c r="Z395" s="119"/>
      <c r="AA395" s="119"/>
      <c r="AB395" s="119"/>
      <c r="AC395" s="119"/>
      <c r="AD395" s="119"/>
      <c r="AE395" s="119"/>
      <c r="AF395" s="119"/>
      <c r="AG395" s="119"/>
      <c r="AH395" s="119"/>
      <c r="AI395" s="119"/>
      <c r="AJ395" s="147"/>
      <c r="AK395" s="148"/>
      <c r="AL395" s="148"/>
      <c r="AM395" s="149"/>
      <c r="AN395" s="148"/>
      <c r="AO395" s="148"/>
      <c r="AP395" s="133"/>
      <c r="AQ395" s="127"/>
      <c r="AR395" s="134"/>
      <c r="AS395" s="132"/>
      <c r="AT395" s="173"/>
      <c r="AU395" s="173"/>
      <c r="AV395" s="174"/>
      <c r="AW395" s="175"/>
      <c r="AX395" s="29"/>
      <c r="AY395" s="24"/>
      <c r="AZ395" s="25"/>
      <c r="BA395" s="24"/>
      <c r="BB395" s="169"/>
      <c r="BC395" s="170"/>
      <c r="BD395" s="173"/>
      <c r="BE395" s="173"/>
      <c r="BF395" s="173"/>
      <c r="BG395" s="274"/>
      <c r="BH395" s="266"/>
      <c r="BI395" s="76"/>
      <c r="BJ395" s="24"/>
      <c r="BK395" s="25"/>
      <c r="BL395" s="259"/>
      <c r="BM395" s="323"/>
      <c r="BN395" s="324"/>
      <c r="BO395" s="324"/>
      <c r="BP395" s="323"/>
      <c r="BQ395" s="29"/>
      <c r="BR395" s="24"/>
      <c r="BS395" s="25"/>
      <c r="BT395" s="308"/>
    </row>
    <row r="396" spans="1:72" s="1" customFormat="1" ht="72.95" customHeight="1">
      <c r="A396" s="91" t="s">
        <v>26</v>
      </c>
      <c r="B396" s="358" t="s">
        <v>2588</v>
      </c>
      <c r="C396" s="51" t="s">
        <v>222</v>
      </c>
      <c r="D396" s="99" t="s">
        <v>562</v>
      </c>
      <c r="E396" s="48" t="s">
        <v>13</v>
      </c>
      <c r="F396" s="10">
        <v>83704</v>
      </c>
      <c r="G396" s="42">
        <v>108864</v>
      </c>
      <c r="H396" s="43">
        <v>141523</v>
      </c>
      <c r="I396" s="35">
        <v>95155.199999999997</v>
      </c>
      <c r="J396" s="29">
        <f t="shared" si="422"/>
        <v>115180.73333333334</v>
      </c>
      <c r="K396" s="24">
        <f t="shared" si="423"/>
        <v>31476.733333333337</v>
      </c>
      <c r="L396" s="25">
        <f t="shared" si="424"/>
        <v>0.37604813788269781</v>
      </c>
      <c r="M396" s="69" t="str">
        <f t="shared" si="425"/>
        <v>REVISAR PRECIO</v>
      </c>
      <c r="N396" s="77">
        <f t="shared" si="371"/>
        <v>115180.73333333334</v>
      </c>
      <c r="O396" s="73">
        <v>79413</v>
      </c>
      <c r="P396" s="74">
        <v>54437.434999999998</v>
      </c>
      <c r="Q396" s="74">
        <v>95000</v>
      </c>
      <c r="R396" s="75">
        <v>62721.392500000002</v>
      </c>
      <c r="S396" s="61">
        <v>64399.999999999993</v>
      </c>
      <c r="T396" s="60">
        <v>180000</v>
      </c>
      <c r="U396" s="74">
        <v>74059.999999999985</v>
      </c>
      <c r="V396" s="76">
        <f t="shared" ref="V396:V399" si="518">AVERAGE(P396,Q396,R396,S396,T396,U396)</f>
        <v>88436.471250000002</v>
      </c>
      <c r="W396" s="24">
        <f>V396-O396</f>
        <v>9023.4712500000023</v>
      </c>
      <c r="X396" s="25">
        <f>+W396/O396</f>
        <v>0.11362712968909375</v>
      </c>
      <c r="Y396" s="77">
        <f t="shared" ref="Y396:Y399" si="519">+IF(X396&lt;35%,V396,"REVISAR PRECIO")</f>
        <v>88436.471250000002</v>
      </c>
      <c r="Z396" s="106">
        <f t="shared" ref="Z396:Z399" si="520">V396</f>
        <v>88436.471250000002</v>
      </c>
      <c r="AA396" s="73">
        <v>79413</v>
      </c>
      <c r="AB396" s="88">
        <v>69700</v>
      </c>
      <c r="AC396" s="116">
        <v>77000</v>
      </c>
      <c r="AD396" s="74">
        <v>52070.590000000004</v>
      </c>
      <c r="AE396" s="76">
        <f t="shared" ref="AE396:AE399" si="521">AVERAGE(AB396,AC396,AD396)</f>
        <v>66256.863333333327</v>
      </c>
      <c r="AF396" s="24">
        <f>AE396-AA396</f>
        <v>-13156.136666666673</v>
      </c>
      <c r="AG396" s="25">
        <f>+AF396/AA396</f>
        <v>-0.16566729208903672</v>
      </c>
      <c r="AH396" s="77">
        <f t="shared" ref="AH396:AH398" si="522">+IF(AG396&lt;35%,AE396,"REVISAR PRECIO")</f>
        <v>66256.863333333327</v>
      </c>
      <c r="AI396" s="77">
        <f t="shared" ref="AI396:AI399" si="523">AE396</f>
        <v>66256.863333333327</v>
      </c>
      <c r="AJ396" s="73">
        <v>79413</v>
      </c>
      <c r="AK396" s="79">
        <v>62721.392500000002</v>
      </c>
      <c r="AL396" s="79">
        <f>36413*1.3</f>
        <v>47336.9</v>
      </c>
      <c r="AM396" s="127">
        <v>56804.28</v>
      </c>
      <c r="AN396" s="128">
        <v>55000</v>
      </c>
      <c r="AO396" s="128">
        <v>50000</v>
      </c>
      <c r="AP396" s="133">
        <f t="shared" ref="AP396:AP399" si="524">AVERAGE(AK396,AL396,AM396,AN396,AO396)</f>
        <v>54372.514500000005</v>
      </c>
      <c r="AQ396" s="127">
        <f t="shared" ref="AQ396:AQ399" si="525">AP396-AJ396</f>
        <v>-25040.485499999995</v>
      </c>
      <c r="AR396" s="134">
        <f t="shared" ref="AR396:AR398" si="526">+AQ396/AJ396</f>
        <v>-0.31531972724868718</v>
      </c>
      <c r="AS396" s="132">
        <f>AP396</f>
        <v>54372.514500000005</v>
      </c>
      <c r="AT396" s="10">
        <v>40505</v>
      </c>
      <c r="AU396" s="10">
        <v>61358.63</v>
      </c>
      <c r="AV396" s="167">
        <v>245434.52</v>
      </c>
      <c r="AW396" s="168">
        <v>59700</v>
      </c>
      <c r="AX396" s="29">
        <f t="shared" ref="AX396:AX397" si="527">AVERAGE(AU396,AW396)</f>
        <v>60529.315000000002</v>
      </c>
      <c r="AY396" s="24">
        <f t="shared" ref="AY396:AY397" si="528">AX396-AT396</f>
        <v>20024.315000000002</v>
      </c>
      <c r="AZ396" s="25">
        <f t="shared" ref="AZ396:AZ397" si="529">+AY396/AT396</f>
        <v>0.49436649796321447</v>
      </c>
      <c r="BA396" s="24">
        <f t="shared" ref="BA396:BA397" si="530">AV396-AT396</f>
        <v>204929.52</v>
      </c>
      <c r="BB396" s="169">
        <f t="shared" ref="BB396:BB397" si="531">+BA396/AT396</f>
        <v>5.0593635353660042</v>
      </c>
      <c r="BC396" s="170">
        <f t="shared" ref="BC396:BC397" si="532">AX396</f>
        <v>60529.315000000002</v>
      </c>
      <c r="BD396" s="150"/>
      <c r="BE396" s="150"/>
      <c r="BF396" s="150"/>
      <c r="BG396" s="150"/>
      <c r="BH396" s="150"/>
      <c r="BI396" s="150"/>
      <c r="BJ396" s="150"/>
      <c r="BK396" s="150"/>
      <c r="BL396" s="150"/>
      <c r="BM396" s="10">
        <v>40504</v>
      </c>
      <c r="BN396" s="45"/>
      <c r="BO396" s="45">
        <v>47787</v>
      </c>
      <c r="BP396" s="45">
        <v>50000</v>
      </c>
      <c r="BQ396" s="29">
        <f t="shared" ref="BQ396:BQ398" si="533">AVERAGE(BN396,BO396,BP396)</f>
        <v>48893.5</v>
      </c>
      <c r="BR396" s="24">
        <f t="shared" ref="BR396:BR398" si="534">BQ396-BM396</f>
        <v>8389.5</v>
      </c>
      <c r="BS396" s="25">
        <f t="shared" ref="BS396:BS398" si="535">+BR396/BM396</f>
        <v>0.2071276910922378</v>
      </c>
      <c r="BT396" s="308">
        <f t="shared" ref="BT396:BT398" si="536">BQ396</f>
        <v>48893.5</v>
      </c>
    </row>
    <row r="397" spans="1:72" ht="74.099999999999994" customHeight="1">
      <c r="A397" s="91" t="s">
        <v>26</v>
      </c>
      <c r="B397" s="358" t="s">
        <v>2589</v>
      </c>
      <c r="C397" s="51" t="s">
        <v>223</v>
      </c>
      <c r="D397" s="99" t="s">
        <v>563</v>
      </c>
      <c r="E397" s="48" t="s">
        <v>13</v>
      </c>
      <c r="F397" s="10">
        <v>141064</v>
      </c>
      <c r="G397" s="31">
        <v>183465</v>
      </c>
      <c r="H397" s="31">
        <v>238505</v>
      </c>
      <c r="I397" s="35">
        <v>160362</v>
      </c>
      <c r="J397" s="29">
        <f t="shared" si="422"/>
        <v>194110.66666666666</v>
      </c>
      <c r="K397" s="24">
        <f t="shared" si="423"/>
        <v>53046.666666666657</v>
      </c>
      <c r="L397" s="25">
        <f t="shared" si="424"/>
        <v>0.3760468061778105</v>
      </c>
      <c r="M397" s="69" t="str">
        <f t="shared" si="425"/>
        <v>REVISAR PRECIO</v>
      </c>
      <c r="N397" s="77">
        <f t="shared" si="371"/>
        <v>194110.66666666666</v>
      </c>
      <c r="O397" s="73">
        <v>64862</v>
      </c>
      <c r="P397" s="74">
        <v>114137.5</v>
      </c>
      <c r="Q397" s="74">
        <v>180000</v>
      </c>
      <c r="R397" s="75">
        <v>131506.25</v>
      </c>
      <c r="S397" s="61">
        <v>138000</v>
      </c>
      <c r="T397" s="60">
        <v>140000</v>
      </c>
      <c r="U397" s="74">
        <v>158700</v>
      </c>
      <c r="V397" s="76">
        <f t="shared" si="518"/>
        <v>143723.95833333334</v>
      </c>
      <c r="W397" s="24">
        <f>V397-O397</f>
        <v>78861.958333333343</v>
      </c>
      <c r="X397" s="25">
        <f>+W397/O397</f>
        <v>1.2158422240037825</v>
      </c>
      <c r="Y397" s="77" t="str">
        <f t="shared" si="519"/>
        <v>REVISAR PRECIO</v>
      </c>
      <c r="Z397" s="106">
        <f t="shared" si="520"/>
        <v>143723.95833333334</v>
      </c>
      <c r="AA397" s="73">
        <v>64862</v>
      </c>
      <c r="AB397" s="88">
        <v>134200</v>
      </c>
      <c r="AC397" s="116">
        <v>137000</v>
      </c>
      <c r="AD397" s="74">
        <v>109175</v>
      </c>
      <c r="AE397" s="76">
        <f t="shared" si="521"/>
        <v>126791.66666666667</v>
      </c>
      <c r="AF397" s="24">
        <f>AE397-AA397</f>
        <v>61929.666666666672</v>
      </c>
      <c r="AG397" s="25">
        <f>+AF397/AA397</f>
        <v>0.95479119772234389</v>
      </c>
      <c r="AH397" s="77" t="str">
        <f t="shared" si="522"/>
        <v>REVISAR PRECIO</v>
      </c>
      <c r="AI397" s="77">
        <f t="shared" si="523"/>
        <v>126791.66666666667</v>
      </c>
      <c r="AJ397" s="73">
        <v>64862</v>
      </c>
      <c r="AK397" s="79">
        <v>131506.25</v>
      </c>
      <c r="AL397" s="79">
        <f>79400*1.25</f>
        <v>99250</v>
      </c>
      <c r="AM397" s="127">
        <v>119100</v>
      </c>
      <c r="AN397" s="128">
        <v>119000</v>
      </c>
      <c r="AO397" s="128">
        <v>100000</v>
      </c>
      <c r="AP397" s="133">
        <f t="shared" si="524"/>
        <v>113771.25</v>
      </c>
      <c r="AQ397" s="127">
        <f t="shared" si="525"/>
        <v>48909.25</v>
      </c>
      <c r="AR397" s="134">
        <f t="shared" si="526"/>
        <v>0.75405090808177366</v>
      </c>
      <c r="AS397" s="132">
        <f>AP397</f>
        <v>113771.25</v>
      </c>
      <c r="AT397" s="10">
        <v>54231</v>
      </c>
      <c r="AU397" s="10">
        <v>63859.63</v>
      </c>
      <c r="AV397" s="167">
        <v>383157.77999999997</v>
      </c>
      <c r="AW397" s="168">
        <v>86700</v>
      </c>
      <c r="AX397" s="29">
        <f t="shared" si="527"/>
        <v>75279.815000000002</v>
      </c>
      <c r="AY397" s="24">
        <f t="shared" si="528"/>
        <v>21048.815000000002</v>
      </c>
      <c r="AZ397" s="25">
        <f t="shared" si="529"/>
        <v>0.38813252567719575</v>
      </c>
      <c r="BA397" s="24">
        <f t="shared" si="530"/>
        <v>328926.77999999997</v>
      </c>
      <c r="BB397" s="169">
        <f t="shared" si="531"/>
        <v>6.0652907008906336</v>
      </c>
      <c r="BC397" s="170">
        <f t="shared" si="532"/>
        <v>75279.815000000002</v>
      </c>
      <c r="BD397" s="150"/>
      <c r="BE397" s="150"/>
      <c r="BF397" s="150"/>
      <c r="BG397" s="150"/>
      <c r="BH397" s="150"/>
      <c r="BI397" s="150"/>
      <c r="BJ397" s="150"/>
      <c r="BK397" s="150"/>
      <c r="BL397" s="150"/>
      <c r="BM397" s="10">
        <v>54230</v>
      </c>
      <c r="BN397" s="45"/>
      <c r="BO397" s="45">
        <v>63987</v>
      </c>
      <c r="BP397" s="45">
        <v>105000</v>
      </c>
      <c r="BQ397" s="29">
        <f t="shared" si="533"/>
        <v>84493.5</v>
      </c>
      <c r="BR397" s="24">
        <f t="shared" si="534"/>
        <v>30263.5</v>
      </c>
      <c r="BS397" s="25">
        <f t="shared" si="535"/>
        <v>0.5580582703300756</v>
      </c>
      <c r="BT397" s="308">
        <f t="shared" si="536"/>
        <v>84493.5</v>
      </c>
    </row>
    <row r="398" spans="1:72" ht="36" customHeight="1">
      <c r="A398" s="91" t="s">
        <v>26</v>
      </c>
      <c r="B398" s="358" t="s">
        <v>2590</v>
      </c>
      <c r="C398" s="51" t="s">
        <v>224</v>
      </c>
      <c r="D398" s="99" t="s">
        <v>564</v>
      </c>
      <c r="E398" s="48" t="s">
        <v>13</v>
      </c>
      <c r="F398" s="10">
        <v>87701</v>
      </c>
      <c r="G398" s="31">
        <v>114062</v>
      </c>
      <c r="H398" s="31">
        <v>148280</v>
      </c>
      <c r="I398" s="35">
        <v>99698.2</v>
      </c>
      <c r="J398" s="29">
        <f t="shared" si="422"/>
        <v>120680.06666666667</v>
      </c>
      <c r="K398" s="24">
        <f t="shared" si="423"/>
        <v>32979.066666666666</v>
      </c>
      <c r="L398" s="25">
        <f t="shared" si="424"/>
        <v>0.37603980190267688</v>
      </c>
      <c r="M398" s="69" t="str">
        <f t="shared" si="425"/>
        <v>REVISAR PRECIO</v>
      </c>
      <c r="N398" s="77">
        <f t="shared" si="371"/>
        <v>120680.06666666667</v>
      </c>
      <c r="O398" s="73">
        <v>38093</v>
      </c>
      <c r="P398" s="74">
        <v>63250</v>
      </c>
      <c r="Q398" s="74">
        <v>75000</v>
      </c>
      <c r="R398" s="75">
        <v>72875</v>
      </c>
      <c r="S398" s="61">
        <v>86250</v>
      </c>
      <c r="T398" s="60">
        <v>60000</v>
      </c>
      <c r="U398" s="74">
        <v>99187.499999999985</v>
      </c>
      <c r="V398" s="76">
        <f t="shared" si="518"/>
        <v>76093.75</v>
      </c>
      <c r="W398" s="24">
        <f>V398-O398</f>
        <v>38000.75</v>
      </c>
      <c r="X398" s="25">
        <f>+W398/O398</f>
        <v>0.99757829522484442</v>
      </c>
      <c r="Y398" s="77" t="str">
        <f t="shared" si="519"/>
        <v>REVISAR PRECIO</v>
      </c>
      <c r="Z398" s="106">
        <f t="shared" si="520"/>
        <v>76093.75</v>
      </c>
      <c r="AA398" s="73">
        <v>38093</v>
      </c>
      <c r="AB398" s="88">
        <v>68000</v>
      </c>
      <c r="AC398" s="116">
        <v>68000</v>
      </c>
      <c r="AD398" s="74">
        <v>60500</v>
      </c>
      <c r="AE398" s="76">
        <f t="shared" si="521"/>
        <v>65500</v>
      </c>
      <c r="AF398" s="24">
        <f>AE398-AA398</f>
        <v>27407</v>
      </c>
      <c r="AG398" s="25">
        <f>+AF398/AA398</f>
        <v>0.71947601921612891</v>
      </c>
      <c r="AH398" s="77" t="str">
        <f t="shared" si="522"/>
        <v>REVISAR PRECIO</v>
      </c>
      <c r="AI398" s="77">
        <f t="shared" si="523"/>
        <v>65500</v>
      </c>
      <c r="AJ398" s="73">
        <v>38093</v>
      </c>
      <c r="AK398" s="79">
        <v>72875</v>
      </c>
      <c r="AL398" s="79">
        <v>55000</v>
      </c>
      <c r="AM398" s="127">
        <v>66000</v>
      </c>
      <c r="AN398" s="128">
        <v>57000</v>
      </c>
      <c r="AO398" s="128">
        <v>60000</v>
      </c>
      <c r="AP398" s="129">
        <f t="shared" si="524"/>
        <v>62175</v>
      </c>
      <c r="AQ398" s="130">
        <f t="shared" si="525"/>
        <v>24082</v>
      </c>
      <c r="AR398" s="131">
        <f t="shared" si="526"/>
        <v>0.63218964114141707</v>
      </c>
      <c r="AS398" s="132">
        <f>AP398</f>
        <v>62175</v>
      </c>
      <c r="AT398" s="250"/>
      <c r="AU398" s="250"/>
      <c r="AV398" s="250"/>
      <c r="AW398" s="250"/>
      <c r="AX398" s="250"/>
      <c r="AY398" s="250"/>
      <c r="AZ398" s="250"/>
      <c r="BA398" s="250"/>
      <c r="BB398" s="250"/>
      <c r="BC398" s="251"/>
      <c r="BD398" s="150"/>
      <c r="BE398" s="150"/>
      <c r="BF398" s="150"/>
      <c r="BG398" s="150"/>
      <c r="BH398" s="150"/>
      <c r="BI398" s="150"/>
      <c r="BJ398" s="150"/>
      <c r="BK398" s="150"/>
      <c r="BL398" s="150"/>
      <c r="BM398" s="10">
        <v>37904</v>
      </c>
      <c r="BN398" s="45"/>
      <c r="BO398" s="45">
        <v>53000</v>
      </c>
      <c r="BP398" s="45">
        <v>60000</v>
      </c>
      <c r="BQ398" s="29">
        <f t="shared" si="533"/>
        <v>56500</v>
      </c>
      <c r="BR398" s="24">
        <f t="shared" si="534"/>
        <v>18596</v>
      </c>
      <c r="BS398" s="25">
        <f t="shared" si="535"/>
        <v>0.49060785141409879</v>
      </c>
      <c r="BT398" s="308">
        <f t="shared" si="536"/>
        <v>56500</v>
      </c>
    </row>
    <row r="399" spans="1:72" ht="23.45" customHeight="1">
      <c r="A399" s="91" t="s">
        <v>26</v>
      </c>
      <c r="B399" s="358" t="s">
        <v>2591</v>
      </c>
      <c r="C399" s="51" t="s">
        <v>225</v>
      </c>
      <c r="D399" s="99" t="s">
        <v>565</v>
      </c>
      <c r="E399" s="48" t="s">
        <v>11</v>
      </c>
      <c r="F399" s="10">
        <v>94084</v>
      </c>
      <c r="G399" s="33">
        <v>122364</v>
      </c>
      <c r="H399" s="31">
        <v>159073</v>
      </c>
      <c r="I399" s="35">
        <v>106955.2</v>
      </c>
      <c r="J399" s="29">
        <f t="shared" si="422"/>
        <v>129464.06666666667</v>
      </c>
      <c r="K399" s="24">
        <f t="shared" si="423"/>
        <v>35380.066666666666</v>
      </c>
      <c r="L399" s="25">
        <f t="shared" si="424"/>
        <v>0.37604764536655189</v>
      </c>
      <c r="M399" s="69" t="str">
        <f t="shared" si="425"/>
        <v>REVISAR PRECIO</v>
      </c>
      <c r="N399" s="77">
        <f t="shared" si="371"/>
        <v>129464.06666666667</v>
      </c>
      <c r="O399" s="73"/>
      <c r="P399" s="74">
        <v>50255</v>
      </c>
      <c r="Q399" s="74">
        <v>65000</v>
      </c>
      <c r="R399" s="75">
        <v>57902.5</v>
      </c>
      <c r="S399" s="61">
        <v>55199.999999999993</v>
      </c>
      <c r="T399" s="60"/>
      <c r="U399" s="74">
        <v>63479.999999999985</v>
      </c>
      <c r="V399" s="76">
        <f t="shared" si="518"/>
        <v>58367.5</v>
      </c>
      <c r="W399" s="24">
        <f>V399-O399</f>
        <v>58367.5</v>
      </c>
      <c r="X399" s="25"/>
      <c r="Y399" s="77">
        <f t="shared" si="519"/>
        <v>58367.5</v>
      </c>
      <c r="Z399" s="106">
        <f t="shared" si="520"/>
        <v>58367.5</v>
      </c>
      <c r="AA399" s="73"/>
      <c r="AB399" s="88">
        <v>60000</v>
      </c>
      <c r="AC399" s="116">
        <v>60000</v>
      </c>
      <c r="AD399" s="74">
        <v>48070</v>
      </c>
      <c r="AE399" s="76">
        <f t="shared" si="521"/>
        <v>56023.333333333336</v>
      </c>
      <c r="AF399" s="24">
        <f>AE399-AA399</f>
        <v>56023.333333333336</v>
      </c>
      <c r="AG399" s="25"/>
      <c r="AH399" s="77"/>
      <c r="AI399" s="77">
        <f t="shared" si="523"/>
        <v>56023.333333333336</v>
      </c>
      <c r="AJ399" s="73"/>
      <c r="AK399" s="79">
        <v>57902.5</v>
      </c>
      <c r="AL399" s="79">
        <v>43700</v>
      </c>
      <c r="AM399" s="127">
        <v>52440</v>
      </c>
      <c r="AN399" s="128">
        <v>42900</v>
      </c>
      <c r="AO399" s="128">
        <v>45000</v>
      </c>
      <c r="AP399" s="133">
        <f t="shared" si="524"/>
        <v>48388.5</v>
      </c>
      <c r="AQ399" s="127">
        <f t="shared" si="525"/>
        <v>48388.5</v>
      </c>
      <c r="AR399" s="134"/>
      <c r="AS399" s="132">
        <f>AP399</f>
        <v>48388.5</v>
      </c>
      <c r="AT399" s="250"/>
      <c r="AU399" s="250"/>
      <c r="AV399" s="250"/>
      <c r="AW399" s="250"/>
      <c r="AX399" s="250"/>
      <c r="AY399" s="250"/>
      <c r="AZ399" s="250"/>
      <c r="BA399" s="250"/>
      <c r="BB399" s="250"/>
      <c r="BC399" s="251"/>
      <c r="BD399" s="150"/>
      <c r="BE399" s="150"/>
      <c r="BF399" s="150"/>
      <c r="BG399" s="150"/>
      <c r="BH399" s="150"/>
      <c r="BI399" s="150"/>
      <c r="BJ399" s="150"/>
      <c r="BK399" s="150"/>
      <c r="BL399" s="150"/>
      <c r="BM399" s="293"/>
      <c r="BN399" s="293"/>
      <c r="BO399" s="293"/>
      <c r="BP399" s="293"/>
      <c r="BQ399" s="293"/>
      <c r="BR399" s="293"/>
      <c r="BS399" s="293"/>
      <c r="BT399" s="293"/>
    </row>
    <row r="400" spans="1:72" s="1" customFormat="1" ht="68.099999999999994" customHeight="1">
      <c r="A400" s="91"/>
      <c r="B400" s="358" t="s">
        <v>2592</v>
      </c>
      <c r="C400" s="51" t="s">
        <v>1640</v>
      </c>
      <c r="D400" s="177" t="s">
        <v>961</v>
      </c>
      <c r="E400" s="62" t="s">
        <v>13</v>
      </c>
      <c r="F400" s="10"/>
      <c r="G400" s="33"/>
      <c r="H400" s="31"/>
      <c r="I400" s="183"/>
      <c r="J400" s="29"/>
      <c r="K400" s="24"/>
      <c r="L400" s="25"/>
      <c r="M400" s="69"/>
      <c r="N400" s="77"/>
      <c r="O400" s="73"/>
      <c r="P400" s="74"/>
      <c r="Q400" s="74"/>
      <c r="R400" s="75"/>
      <c r="S400" s="61"/>
      <c r="T400" s="60"/>
      <c r="U400" s="74"/>
      <c r="V400" s="76"/>
      <c r="W400" s="24"/>
      <c r="X400" s="25"/>
      <c r="Y400" s="77"/>
      <c r="Z400" s="106"/>
      <c r="AA400" s="73"/>
      <c r="AB400" s="88"/>
      <c r="AC400" s="116"/>
      <c r="AD400" s="74"/>
      <c r="AE400" s="76"/>
      <c r="AF400" s="24"/>
      <c r="AG400" s="25"/>
      <c r="AH400" s="77"/>
      <c r="AI400" s="77"/>
      <c r="AJ400" s="73"/>
      <c r="AK400" s="79"/>
      <c r="AL400" s="79"/>
      <c r="AM400" s="127"/>
      <c r="AN400" s="128"/>
      <c r="AO400" s="128"/>
      <c r="AP400" s="133"/>
      <c r="AQ400" s="127"/>
      <c r="AR400" s="134"/>
      <c r="AS400" s="132"/>
      <c r="AT400" s="10">
        <v>79415</v>
      </c>
      <c r="AU400" s="10">
        <v>99250</v>
      </c>
      <c r="AV400" s="167">
        <v>198500</v>
      </c>
      <c r="AW400" s="168">
        <v>86700</v>
      </c>
      <c r="AX400" s="29">
        <f t="shared" ref="AX400:AX403" si="537">AVERAGE(AU400,AW400)</f>
        <v>92975</v>
      </c>
      <c r="AY400" s="24">
        <f t="shared" ref="AY400:AY403" si="538">AX400-AT400</f>
        <v>13560</v>
      </c>
      <c r="AZ400" s="25">
        <f t="shared" ref="AZ400:AZ403" si="539">+AY400/AT400</f>
        <v>0.17074859913114651</v>
      </c>
      <c r="BA400" s="24">
        <f t="shared" ref="BA400:BA411" si="540">AV400-AT400</f>
        <v>119085</v>
      </c>
      <c r="BB400" s="169">
        <f t="shared" ref="BB400:BB411" si="541">+BA400/AT400</f>
        <v>1.4995277970156771</v>
      </c>
      <c r="BC400" s="170">
        <f t="shared" ref="BC400:BC403" si="542">AX400</f>
        <v>92975</v>
      </c>
      <c r="BD400" s="10">
        <v>71478</v>
      </c>
      <c r="BE400" s="10">
        <v>1150000</v>
      </c>
      <c r="BF400" s="10"/>
      <c r="BG400" s="268">
        <v>1200000</v>
      </c>
      <c r="BH400" s="10">
        <v>1200000</v>
      </c>
      <c r="BI400" s="76">
        <f t="shared" ref="BI400:BI410" si="543">AVERAGE(BE400,BF400,BG400,BH400)</f>
        <v>1183333.3333333333</v>
      </c>
      <c r="BJ400" s="24">
        <f t="shared" ref="BJ400:BJ410" si="544">BI400-BD400</f>
        <v>1111855.3333333333</v>
      </c>
      <c r="BK400" s="25">
        <f t="shared" ref="BK400:BK410" si="545">+BJ400/BD400</f>
        <v>15.555210461027634</v>
      </c>
      <c r="BL400" s="259">
        <f t="shared" ref="BL400:BL410" si="546">BI400</f>
        <v>1183333.3333333333</v>
      </c>
      <c r="BM400" s="10">
        <v>79413</v>
      </c>
      <c r="BN400" s="45"/>
      <c r="BO400" s="45">
        <v>93700</v>
      </c>
      <c r="BP400" s="45">
        <v>75000</v>
      </c>
      <c r="BQ400" s="29">
        <f t="shared" ref="BQ400:BQ410" si="547">AVERAGE(BN400,BO400,BP400)</f>
        <v>84350</v>
      </c>
      <c r="BR400" s="24">
        <f t="shared" ref="BR400:BR410" si="548">BQ400-BM400</f>
        <v>4937</v>
      </c>
      <c r="BS400" s="25">
        <f t="shared" ref="BS400:BS410" si="549">+BR400/BM400</f>
        <v>6.2168662561545338E-2</v>
      </c>
      <c r="BT400" s="308">
        <f t="shared" ref="BT400:BT410" si="550">BQ400</f>
        <v>84350</v>
      </c>
    </row>
    <row r="401" spans="1:72" s="1" customFormat="1" ht="72.95" customHeight="1">
      <c r="A401" s="91"/>
      <c r="B401" s="358" t="s">
        <v>2593</v>
      </c>
      <c r="C401" s="51" t="s">
        <v>1641</v>
      </c>
      <c r="D401" s="177" t="s">
        <v>962</v>
      </c>
      <c r="E401" s="62" t="s">
        <v>13</v>
      </c>
      <c r="F401" s="10"/>
      <c r="G401" s="33"/>
      <c r="H401" s="31"/>
      <c r="I401" s="183"/>
      <c r="J401" s="29"/>
      <c r="K401" s="24"/>
      <c r="L401" s="25"/>
      <c r="M401" s="69"/>
      <c r="N401" s="77"/>
      <c r="O401" s="73"/>
      <c r="P401" s="74"/>
      <c r="Q401" s="74"/>
      <c r="R401" s="75"/>
      <c r="S401" s="61"/>
      <c r="T401" s="60"/>
      <c r="U401" s="74"/>
      <c r="V401" s="76"/>
      <c r="W401" s="24"/>
      <c r="X401" s="25"/>
      <c r="Y401" s="77"/>
      <c r="Z401" s="106"/>
      <c r="AA401" s="73"/>
      <c r="AB401" s="88"/>
      <c r="AC401" s="116"/>
      <c r="AD401" s="74"/>
      <c r="AE401" s="76"/>
      <c r="AF401" s="24"/>
      <c r="AG401" s="25"/>
      <c r="AH401" s="77"/>
      <c r="AI401" s="77"/>
      <c r="AJ401" s="73"/>
      <c r="AK401" s="79"/>
      <c r="AL401" s="79"/>
      <c r="AM401" s="127"/>
      <c r="AN401" s="128"/>
      <c r="AO401" s="128"/>
      <c r="AP401" s="133"/>
      <c r="AQ401" s="127"/>
      <c r="AR401" s="134"/>
      <c r="AS401" s="132"/>
      <c r="AT401" s="10">
        <v>64862</v>
      </c>
      <c r="AU401" s="10">
        <v>99250</v>
      </c>
      <c r="AV401" s="167">
        <v>397000</v>
      </c>
      <c r="AW401" s="168">
        <v>86700</v>
      </c>
      <c r="AX401" s="29">
        <f t="shared" si="537"/>
        <v>92975</v>
      </c>
      <c r="AY401" s="24">
        <f t="shared" si="538"/>
        <v>28113</v>
      </c>
      <c r="AZ401" s="25">
        <f t="shared" si="539"/>
        <v>0.43342789306527707</v>
      </c>
      <c r="BA401" s="24">
        <f t="shared" si="540"/>
        <v>332138</v>
      </c>
      <c r="BB401" s="169">
        <f t="shared" si="541"/>
        <v>5.1206869970090345</v>
      </c>
      <c r="BC401" s="170">
        <f t="shared" si="542"/>
        <v>92975</v>
      </c>
      <c r="BD401" s="10">
        <v>58378</v>
      </c>
      <c r="BE401" s="10">
        <v>1150000</v>
      </c>
      <c r="BF401" s="10"/>
      <c r="BG401" s="268">
        <v>1200000</v>
      </c>
      <c r="BH401" s="10">
        <v>1200000</v>
      </c>
      <c r="BI401" s="76">
        <f t="shared" si="543"/>
        <v>1183333.3333333333</v>
      </c>
      <c r="BJ401" s="24">
        <f t="shared" si="544"/>
        <v>1124955.3333333333</v>
      </c>
      <c r="BK401" s="25">
        <f t="shared" si="545"/>
        <v>19.270193109276324</v>
      </c>
      <c r="BL401" s="259">
        <f t="shared" si="546"/>
        <v>1183333.3333333333</v>
      </c>
      <c r="BM401" s="10">
        <v>64862</v>
      </c>
      <c r="BN401" s="45"/>
      <c r="BO401" s="45">
        <v>76526</v>
      </c>
      <c r="BP401" s="45">
        <v>78000</v>
      </c>
      <c r="BQ401" s="29">
        <f t="shared" si="547"/>
        <v>77263</v>
      </c>
      <c r="BR401" s="24">
        <f t="shared" si="548"/>
        <v>12401</v>
      </c>
      <c r="BS401" s="25">
        <f t="shared" si="549"/>
        <v>0.19119052758163485</v>
      </c>
      <c r="BT401" s="308">
        <f t="shared" si="550"/>
        <v>77263</v>
      </c>
    </row>
    <row r="402" spans="1:72" s="1" customFormat="1" ht="77.099999999999994" customHeight="1">
      <c r="A402" s="91"/>
      <c r="B402" s="358" t="s">
        <v>2594</v>
      </c>
      <c r="C402" s="51" t="s">
        <v>1642</v>
      </c>
      <c r="D402" s="177" t="s">
        <v>963</v>
      </c>
      <c r="E402" s="62" t="s">
        <v>13</v>
      </c>
      <c r="F402" s="10"/>
      <c r="G402" s="33"/>
      <c r="H402" s="31"/>
      <c r="I402" s="183"/>
      <c r="J402" s="29"/>
      <c r="K402" s="24"/>
      <c r="L402" s="25"/>
      <c r="M402" s="69"/>
      <c r="N402" s="77"/>
      <c r="O402" s="73"/>
      <c r="P402" s="74"/>
      <c r="Q402" s="74"/>
      <c r="R402" s="75"/>
      <c r="S402" s="61"/>
      <c r="T402" s="60"/>
      <c r="U402" s="74"/>
      <c r="V402" s="76"/>
      <c r="W402" s="24"/>
      <c r="X402" s="25"/>
      <c r="Y402" s="77"/>
      <c r="Z402" s="106"/>
      <c r="AA402" s="73"/>
      <c r="AB402" s="88"/>
      <c r="AC402" s="116"/>
      <c r="AD402" s="74"/>
      <c r="AE402" s="76"/>
      <c r="AF402" s="24"/>
      <c r="AG402" s="25"/>
      <c r="AH402" s="77"/>
      <c r="AI402" s="77"/>
      <c r="AJ402" s="73"/>
      <c r="AK402" s="79"/>
      <c r="AL402" s="79"/>
      <c r="AM402" s="127"/>
      <c r="AN402" s="128"/>
      <c r="AO402" s="128"/>
      <c r="AP402" s="133"/>
      <c r="AQ402" s="127"/>
      <c r="AR402" s="134"/>
      <c r="AS402" s="132"/>
      <c r="AT402" s="10">
        <v>98760</v>
      </c>
      <c r="AU402" s="10">
        <v>85032.73</v>
      </c>
      <c r="AV402" s="167">
        <v>510196.38</v>
      </c>
      <c r="AW402" s="168">
        <v>84300</v>
      </c>
      <c r="AX402" s="29">
        <f t="shared" si="537"/>
        <v>84666.364999999991</v>
      </c>
      <c r="AY402" s="24">
        <f t="shared" si="538"/>
        <v>-14093.635000000009</v>
      </c>
      <c r="AZ402" s="25">
        <f t="shared" si="539"/>
        <v>-0.14270590319967608</v>
      </c>
      <c r="BA402" s="24">
        <f t="shared" si="540"/>
        <v>411436.38</v>
      </c>
      <c r="BB402" s="169">
        <f t="shared" si="541"/>
        <v>4.1660224787363305</v>
      </c>
      <c r="BC402" s="170">
        <f t="shared" si="542"/>
        <v>84666.364999999991</v>
      </c>
      <c r="BD402" s="10">
        <v>88886</v>
      </c>
      <c r="BE402" s="10"/>
      <c r="BF402" s="10"/>
      <c r="BG402" s="268"/>
      <c r="BH402" s="10" t="s">
        <v>1421</v>
      </c>
      <c r="BI402" s="76"/>
      <c r="BJ402" s="24"/>
      <c r="BK402" s="25"/>
      <c r="BL402" s="265" t="s">
        <v>807</v>
      </c>
      <c r="BM402" s="10">
        <v>98759</v>
      </c>
      <c r="BN402" s="45"/>
      <c r="BO402" s="45">
        <v>116523</v>
      </c>
      <c r="BP402" s="45">
        <v>60000</v>
      </c>
      <c r="BQ402" s="29">
        <f t="shared" si="547"/>
        <v>88261.5</v>
      </c>
      <c r="BR402" s="24">
        <f t="shared" si="548"/>
        <v>-10497.5</v>
      </c>
      <c r="BS402" s="25">
        <f t="shared" si="549"/>
        <v>-0.10629410990390749</v>
      </c>
      <c r="BT402" s="308">
        <f t="shared" si="550"/>
        <v>88261.5</v>
      </c>
    </row>
    <row r="403" spans="1:72" s="1" customFormat="1" ht="63.95" customHeight="1">
      <c r="A403" s="91"/>
      <c r="B403" s="358" t="s">
        <v>2595</v>
      </c>
      <c r="C403" s="51" t="s">
        <v>1643</v>
      </c>
      <c r="D403" s="177" t="s">
        <v>964</v>
      </c>
      <c r="E403" s="62" t="s">
        <v>13</v>
      </c>
      <c r="F403" s="10"/>
      <c r="G403" s="33"/>
      <c r="H403" s="31"/>
      <c r="I403" s="183"/>
      <c r="J403" s="29"/>
      <c r="K403" s="24"/>
      <c r="L403" s="25"/>
      <c r="M403" s="69"/>
      <c r="N403" s="77"/>
      <c r="O403" s="73"/>
      <c r="P403" s="74"/>
      <c r="Q403" s="74"/>
      <c r="R403" s="75"/>
      <c r="S403" s="61"/>
      <c r="T403" s="60"/>
      <c r="U403" s="74"/>
      <c r="V403" s="76"/>
      <c r="W403" s="24"/>
      <c r="X403" s="25"/>
      <c r="Y403" s="77"/>
      <c r="Z403" s="106"/>
      <c r="AA403" s="73"/>
      <c r="AB403" s="88"/>
      <c r="AC403" s="116"/>
      <c r="AD403" s="74"/>
      <c r="AE403" s="76"/>
      <c r="AF403" s="24"/>
      <c r="AG403" s="25"/>
      <c r="AH403" s="77"/>
      <c r="AI403" s="77"/>
      <c r="AJ403" s="73"/>
      <c r="AK403" s="79"/>
      <c r="AL403" s="79"/>
      <c r="AM403" s="127"/>
      <c r="AN403" s="128"/>
      <c r="AO403" s="128"/>
      <c r="AP403" s="133"/>
      <c r="AQ403" s="127"/>
      <c r="AR403" s="134"/>
      <c r="AS403" s="132"/>
      <c r="AT403" s="10">
        <v>107085</v>
      </c>
      <c r="AU403" s="10">
        <v>85032.72</v>
      </c>
      <c r="AV403" s="167">
        <v>680261.76</v>
      </c>
      <c r="AW403" s="168">
        <v>90700</v>
      </c>
      <c r="AX403" s="29">
        <f t="shared" si="537"/>
        <v>87866.36</v>
      </c>
      <c r="AY403" s="24">
        <f t="shared" si="538"/>
        <v>-19218.64</v>
      </c>
      <c r="AZ403" s="25">
        <f t="shared" si="539"/>
        <v>-0.17947088761264415</v>
      </c>
      <c r="BA403" s="24">
        <f t="shared" si="540"/>
        <v>573176.76</v>
      </c>
      <c r="BB403" s="169">
        <f t="shared" si="541"/>
        <v>5.3525401316711028</v>
      </c>
      <c r="BC403" s="170">
        <f t="shared" si="542"/>
        <v>87866.36</v>
      </c>
      <c r="BD403" s="10">
        <v>96376</v>
      </c>
      <c r="BE403" s="10"/>
      <c r="BF403" s="10"/>
      <c r="BG403" s="268"/>
      <c r="BH403" s="10">
        <v>1000000</v>
      </c>
      <c r="BI403" s="76">
        <f t="shared" si="543"/>
        <v>1000000</v>
      </c>
      <c r="BJ403" s="24">
        <f t="shared" si="544"/>
        <v>903624</v>
      </c>
      <c r="BK403" s="25">
        <f t="shared" si="545"/>
        <v>9.3760272266954434</v>
      </c>
      <c r="BL403" s="259">
        <f t="shared" si="546"/>
        <v>1000000</v>
      </c>
      <c r="BM403" s="10">
        <v>107084</v>
      </c>
      <c r="BN403" s="45"/>
      <c r="BO403" s="45">
        <v>126352</v>
      </c>
      <c r="BP403" s="45">
        <v>60000</v>
      </c>
      <c r="BQ403" s="29">
        <f t="shared" si="547"/>
        <v>93176</v>
      </c>
      <c r="BR403" s="24">
        <f t="shared" si="548"/>
        <v>-13908</v>
      </c>
      <c r="BS403" s="25">
        <f t="shared" si="549"/>
        <v>-0.12987934705464868</v>
      </c>
      <c r="BT403" s="308">
        <f t="shared" si="550"/>
        <v>93176</v>
      </c>
    </row>
    <row r="404" spans="1:72" s="1" customFormat="1" ht="65.099999999999994" customHeight="1">
      <c r="A404" s="91"/>
      <c r="B404" s="358" t="s">
        <v>2596</v>
      </c>
      <c r="C404" s="51" t="s">
        <v>1644</v>
      </c>
      <c r="D404" s="177" t="s">
        <v>965</v>
      </c>
      <c r="E404" s="62" t="s">
        <v>13</v>
      </c>
      <c r="F404" s="10"/>
      <c r="G404" s="33"/>
      <c r="H404" s="31"/>
      <c r="I404" s="183"/>
      <c r="J404" s="29"/>
      <c r="K404" s="24"/>
      <c r="L404" s="25"/>
      <c r="M404" s="69"/>
      <c r="N404" s="77"/>
      <c r="O404" s="73"/>
      <c r="P404" s="74"/>
      <c r="Q404" s="74"/>
      <c r="R404" s="75"/>
      <c r="S404" s="61"/>
      <c r="T404" s="60"/>
      <c r="U404" s="74"/>
      <c r="V404" s="76"/>
      <c r="W404" s="24"/>
      <c r="X404" s="25"/>
      <c r="Y404" s="77"/>
      <c r="Z404" s="106"/>
      <c r="AA404" s="73"/>
      <c r="AB404" s="88"/>
      <c r="AC404" s="116"/>
      <c r="AD404" s="74"/>
      <c r="AE404" s="76"/>
      <c r="AF404" s="24"/>
      <c r="AG404" s="25"/>
      <c r="AH404" s="77"/>
      <c r="AI404" s="77"/>
      <c r="AJ404" s="73"/>
      <c r="AK404" s="79"/>
      <c r="AL404" s="79"/>
      <c r="AM404" s="127"/>
      <c r="AN404" s="128"/>
      <c r="AO404" s="128"/>
      <c r="AP404" s="133"/>
      <c r="AQ404" s="127"/>
      <c r="AR404" s="134"/>
      <c r="AS404" s="132"/>
      <c r="AT404" s="10">
        <v>41245</v>
      </c>
      <c r="AU404" s="10"/>
      <c r="AV404" s="167"/>
      <c r="AW404" s="168"/>
      <c r="AX404" s="29"/>
      <c r="AY404" s="24"/>
      <c r="AZ404" s="25"/>
      <c r="BA404" s="24">
        <f t="shared" si="540"/>
        <v>-41245</v>
      </c>
      <c r="BB404" s="169">
        <f t="shared" si="541"/>
        <v>-1</v>
      </c>
      <c r="BC404" s="170" t="s">
        <v>894</v>
      </c>
      <c r="BD404" s="10">
        <v>37115</v>
      </c>
      <c r="BE404" s="10"/>
      <c r="BF404" s="10"/>
      <c r="BG404" s="268"/>
      <c r="BH404" s="10">
        <v>1150000</v>
      </c>
      <c r="BI404" s="76">
        <f t="shared" si="543"/>
        <v>1150000</v>
      </c>
      <c r="BJ404" s="24">
        <f t="shared" si="544"/>
        <v>1112885</v>
      </c>
      <c r="BK404" s="25">
        <f t="shared" si="545"/>
        <v>29.984777044321703</v>
      </c>
      <c r="BL404" s="259">
        <f t="shared" si="546"/>
        <v>1150000</v>
      </c>
      <c r="BM404" s="10">
        <v>41245</v>
      </c>
      <c r="BN404" s="45"/>
      <c r="BO404" s="45">
        <v>48658</v>
      </c>
      <c r="BP404" s="45">
        <v>60000</v>
      </c>
      <c r="BQ404" s="29">
        <f t="shared" si="547"/>
        <v>54329</v>
      </c>
      <c r="BR404" s="24">
        <f t="shared" si="548"/>
        <v>13084</v>
      </c>
      <c r="BS404" s="25">
        <f t="shared" si="549"/>
        <v>0.31722633046429871</v>
      </c>
      <c r="BT404" s="308">
        <f t="shared" si="550"/>
        <v>54329</v>
      </c>
    </row>
    <row r="405" spans="1:72" s="1" customFormat="1" ht="75.95" customHeight="1">
      <c r="A405" s="91"/>
      <c r="B405" s="358" t="s">
        <v>2597</v>
      </c>
      <c r="C405" s="51" t="s">
        <v>1645</v>
      </c>
      <c r="D405" s="177" t="s">
        <v>966</v>
      </c>
      <c r="E405" s="62" t="s">
        <v>13</v>
      </c>
      <c r="F405" s="10"/>
      <c r="G405" s="33"/>
      <c r="H405" s="31"/>
      <c r="I405" s="183"/>
      <c r="J405" s="29"/>
      <c r="K405" s="24"/>
      <c r="L405" s="25"/>
      <c r="M405" s="69"/>
      <c r="N405" s="77"/>
      <c r="O405" s="73"/>
      <c r="P405" s="74"/>
      <c r="Q405" s="74"/>
      <c r="R405" s="75"/>
      <c r="S405" s="61"/>
      <c r="T405" s="60"/>
      <c r="U405" s="74"/>
      <c r="V405" s="76"/>
      <c r="W405" s="24"/>
      <c r="X405" s="25"/>
      <c r="Y405" s="77"/>
      <c r="Z405" s="106"/>
      <c r="AA405" s="73"/>
      <c r="AB405" s="88"/>
      <c r="AC405" s="116"/>
      <c r="AD405" s="74"/>
      <c r="AE405" s="76"/>
      <c r="AF405" s="24"/>
      <c r="AG405" s="25"/>
      <c r="AH405" s="77"/>
      <c r="AI405" s="77"/>
      <c r="AJ405" s="73"/>
      <c r="AK405" s="79"/>
      <c r="AL405" s="79"/>
      <c r="AM405" s="127"/>
      <c r="AN405" s="128"/>
      <c r="AO405" s="128"/>
      <c r="AP405" s="133"/>
      <c r="AQ405" s="127"/>
      <c r="AR405" s="134"/>
      <c r="AS405" s="132"/>
      <c r="AT405" s="10">
        <v>62717</v>
      </c>
      <c r="AU405" s="10"/>
      <c r="AV405" s="167">
        <v>75000</v>
      </c>
      <c r="AW405" s="168">
        <v>125400</v>
      </c>
      <c r="AX405" s="29">
        <f t="shared" ref="AX405:AX411" si="551">AVERAGE(AU405,AW405)</f>
        <v>125400</v>
      </c>
      <c r="AY405" s="24">
        <f t="shared" ref="AY405:AY411" si="552">AX405-AT405</f>
        <v>62683</v>
      </c>
      <c r="AZ405" s="25">
        <f t="shared" ref="AZ405:AZ411" si="553">+AY405/AT405</f>
        <v>0.99945788223288745</v>
      </c>
      <c r="BA405" s="24">
        <f t="shared" si="540"/>
        <v>12283</v>
      </c>
      <c r="BB405" s="169">
        <f t="shared" si="541"/>
        <v>0.19584801568952598</v>
      </c>
      <c r="BC405" s="170">
        <f t="shared" ref="BC405:BC411" si="554">AX405</f>
        <v>125400</v>
      </c>
      <c r="BD405" s="10">
        <v>56442</v>
      </c>
      <c r="BE405" s="10">
        <v>950000</v>
      </c>
      <c r="BF405" s="10"/>
      <c r="BG405" s="268">
        <v>1020000</v>
      </c>
      <c r="BH405" s="10">
        <v>1150000</v>
      </c>
      <c r="BI405" s="76">
        <f t="shared" si="543"/>
        <v>1040000</v>
      </c>
      <c r="BJ405" s="24">
        <f t="shared" si="544"/>
        <v>983558</v>
      </c>
      <c r="BK405" s="25">
        <f t="shared" si="545"/>
        <v>17.425994826547605</v>
      </c>
      <c r="BL405" s="259">
        <f t="shared" si="546"/>
        <v>1040000</v>
      </c>
      <c r="BM405" s="10">
        <v>62717</v>
      </c>
      <c r="BN405" s="45"/>
      <c r="BO405" s="45">
        <v>73995</v>
      </c>
      <c r="BP405" s="45">
        <v>105000</v>
      </c>
      <c r="BQ405" s="29">
        <f t="shared" si="547"/>
        <v>89497.5</v>
      </c>
      <c r="BR405" s="24">
        <f t="shared" si="548"/>
        <v>26780.5</v>
      </c>
      <c r="BS405" s="25">
        <f t="shared" si="549"/>
        <v>0.42700543712231132</v>
      </c>
      <c r="BT405" s="308">
        <f t="shared" si="550"/>
        <v>89497.5</v>
      </c>
    </row>
    <row r="406" spans="1:72" s="1" customFormat="1" ht="72.95" customHeight="1">
      <c r="A406" s="91"/>
      <c r="B406" s="358" t="s">
        <v>2598</v>
      </c>
      <c r="C406" s="51" t="s">
        <v>1646</v>
      </c>
      <c r="D406" s="177" t="s">
        <v>967</v>
      </c>
      <c r="E406" s="62" t="s">
        <v>13</v>
      </c>
      <c r="F406" s="10"/>
      <c r="G406" s="33"/>
      <c r="H406" s="31"/>
      <c r="I406" s="183"/>
      <c r="J406" s="29"/>
      <c r="K406" s="24"/>
      <c r="L406" s="25"/>
      <c r="M406" s="69"/>
      <c r="N406" s="77"/>
      <c r="O406" s="73"/>
      <c r="P406" s="74"/>
      <c r="Q406" s="74"/>
      <c r="R406" s="75"/>
      <c r="S406" s="61"/>
      <c r="T406" s="60"/>
      <c r="U406" s="74"/>
      <c r="V406" s="76"/>
      <c r="W406" s="24"/>
      <c r="X406" s="25"/>
      <c r="Y406" s="77"/>
      <c r="Z406" s="106"/>
      <c r="AA406" s="73"/>
      <c r="AB406" s="88"/>
      <c r="AC406" s="116"/>
      <c r="AD406" s="74"/>
      <c r="AE406" s="76"/>
      <c r="AF406" s="24"/>
      <c r="AG406" s="25"/>
      <c r="AH406" s="77"/>
      <c r="AI406" s="77"/>
      <c r="AJ406" s="73"/>
      <c r="AK406" s="79"/>
      <c r="AL406" s="79"/>
      <c r="AM406" s="127"/>
      <c r="AN406" s="128"/>
      <c r="AO406" s="128"/>
      <c r="AP406" s="133"/>
      <c r="AQ406" s="127"/>
      <c r="AR406" s="134"/>
      <c r="AS406" s="132"/>
      <c r="AT406" s="10">
        <v>110758</v>
      </c>
      <c r="AU406" s="10"/>
      <c r="AV406" s="167">
        <v>68000</v>
      </c>
      <c r="AW406" s="168">
        <v>187600</v>
      </c>
      <c r="AX406" s="29">
        <f t="shared" si="551"/>
        <v>187600</v>
      </c>
      <c r="AY406" s="24">
        <f t="shared" si="552"/>
        <v>76842</v>
      </c>
      <c r="AZ406" s="25">
        <f t="shared" si="553"/>
        <v>0.69378284187146755</v>
      </c>
      <c r="BA406" s="24">
        <f t="shared" si="540"/>
        <v>-42758</v>
      </c>
      <c r="BB406" s="169">
        <f t="shared" si="541"/>
        <v>-0.38604886328752774</v>
      </c>
      <c r="BC406" s="170">
        <f t="shared" si="554"/>
        <v>187600</v>
      </c>
      <c r="BD406" s="10">
        <v>99679</v>
      </c>
      <c r="BE406" s="10"/>
      <c r="BF406" s="10"/>
      <c r="BG406" s="268"/>
      <c r="BH406" s="10" t="s">
        <v>1421</v>
      </c>
      <c r="BI406" s="76"/>
      <c r="BJ406" s="24"/>
      <c r="BK406" s="25"/>
      <c r="BL406" s="265" t="s">
        <v>807</v>
      </c>
      <c r="BM406" s="10">
        <v>110757</v>
      </c>
      <c r="BN406" s="45"/>
      <c r="BO406" s="45">
        <v>130679</v>
      </c>
      <c r="BP406" s="45">
        <v>100000</v>
      </c>
      <c r="BQ406" s="29">
        <f t="shared" si="547"/>
        <v>115339.5</v>
      </c>
      <c r="BR406" s="24">
        <f t="shared" si="548"/>
        <v>4582.5</v>
      </c>
      <c r="BS406" s="25">
        <f t="shared" si="549"/>
        <v>4.1374360085592782E-2</v>
      </c>
      <c r="BT406" s="308">
        <f t="shared" si="550"/>
        <v>115339.5</v>
      </c>
    </row>
    <row r="407" spans="1:72" s="1" customFormat="1" ht="66.95" customHeight="1">
      <c r="A407" s="91"/>
      <c r="B407" s="358" t="s">
        <v>2599</v>
      </c>
      <c r="C407" s="51" t="s">
        <v>1647</v>
      </c>
      <c r="D407" s="177" t="s">
        <v>968</v>
      </c>
      <c r="E407" s="62" t="s">
        <v>13</v>
      </c>
      <c r="F407" s="10"/>
      <c r="G407" s="33"/>
      <c r="H407" s="31"/>
      <c r="I407" s="183"/>
      <c r="J407" s="29"/>
      <c r="K407" s="24"/>
      <c r="L407" s="25"/>
      <c r="M407" s="69"/>
      <c r="N407" s="77"/>
      <c r="O407" s="73"/>
      <c r="P407" s="74"/>
      <c r="Q407" s="74"/>
      <c r="R407" s="75"/>
      <c r="S407" s="61"/>
      <c r="T407" s="60"/>
      <c r="U407" s="74"/>
      <c r="V407" s="76"/>
      <c r="W407" s="24"/>
      <c r="X407" s="25"/>
      <c r="Y407" s="77"/>
      <c r="Z407" s="106"/>
      <c r="AA407" s="73"/>
      <c r="AB407" s="88"/>
      <c r="AC407" s="116"/>
      <c r="AD407" s="74"/>
      <c r="AE407" s="76"/>
      <c r="AF407" s="24"/>
      <c r="AG407" s="25"/>
      <c r="AH407" s="77"/>
      <c r="AI407" s="77"/>
      <c r="AJ407" s="73"/>
      <c r="AK407" s="79"/>
      <c r="AL407" s="79"/>
      <c r="AM407" s="127"/>
      <c r="AN407" s="128"/>
      <c r="AO407" s="128"/>
      <c r="AP407" s="133"/>
      <c r="AQ407" s="127"/>
      <c r="AR407" s="134"/>
      <c r="AS407" s="132"/>
      <c r="AT407" s="10">
        <v>118902</v>
      </c>
      <c r="AU407" s="10"/>
      <c r="AV407" s="167">
        <v>70000</v>
      </c>
      <c r="AW407" s="168">
        <v>176000</v>
      </c>
      <c r="AX407" s="29">
        <f t="shared" si="551"/>
        <v>176000</v>
      </c>
      <c r="AY407" s="24">
        <f t="shared" si="552"/>
        <v>57098</v>
      </c>
      <c r="AZ407" s="25">
        <f t="shared" si="553"/>
        <v>0.48021059359808921</v>
      </c>
      <c r="BA407" s="24">
        <f t="shared" si="540"/>
        <v>-48902</v>
      </c>
      <c r="BB407" s="169">
        <f t="shared" si="541"/>
        <v>-0.41127987754621453</v>
      </c>
      <c r="BC407" s="170">
        <f t="shared" si="554"/>
        <v>176000</v>
      </c>
      <c r="BD407" s="10">
        <v>107008</v>
      </c>
      <c r="BE407" s="10"/>
      <c r="BF407" s="10"/>
      <c r="BG407" s="268"/>
      <c r="BH407" s="10" t="s">
        <v>1421</v>
      </c>
      <c r="BI407" s="76"/>
      <c r="BJ407" s="24"/>
      <c r="BK407" s="25"/>
      <c r="BL407" s="265" t="s">
        <v>807</v>
      </c>
      <c r="BM407" s="10">
        <v>139244</v>
      </c>
      <c r="BN407" s="45"/>
      <c r="BO407" s="45">
        <v>140289</v>
      </c>
      <c r="BP407" s="45">
        <v>100000</v>
      </c>
      <c r="BQ407" s="29">
        <f t="shared" si="547"/>
        <v>120144.5</v>
      </c>
      <c r="BR407" s="24">
        <f t="shared" si="548"/>
        <v>-19099.5</v>
      </c>
      <c r="BS407" s="25">
        <f t="shared" si="549"/>
        <v>-0.13716569475165896</v>
      </c>
      <c r="BT407" s="308">
        <f t="shared" si="550"/>
        <v>120144.5</v>
      </c>
    </row>
    <row r="408" spans="1:72" s="1" customFormat="1" ht="62.1" customHeight="1">
      <c r="A408" s="91"/>
      <c r="B408" s="358" t="s">
        <v>2600</v>
      </c>
      <c r="C408" s="51" t="s">
        <v>1648</v>
      </c>
      <c r="D408" s="177" t="s">
        <v>969</v>
      </c>
      <c r="E408" s="62" t="s">
        <v>13</v>
      </c>
      <c r="F408" s="10"/>
      <c r="G408" s="33"/>
      <c r="H408" s="31"/>
      <c r="I408" s="183"/>
      <c r="J408" s="29"/>
      <c r="K408" s="24"/>
      <c r="L408" s="25"/>
      <c r="M408" s="69"/>
      <c r="N408" s="77"/>
      <c r="O408" s="73"/>
      <c r="P408" s="74"/>
      <c r="Q408" s="74"/>
      <c r="R408" s="75"/>
      <c r="S408" s="61"/>
      <c r="T408" s="60"/>
      <c r="U408" s="74"/>
      <c r="V408" s="76"/>
      <c r="W408" s="24"/>
      <c r="X408" s="25"/>
      <c r="Y408" s="77"/>
      <c r="Z408" s="106"/>
      <c r="AA408" s="73"/>
      <c r="AB408" s="88"/>
      <c r="AC408" s="116"/>
      <c r="AD408" s="74"/>
      <c r="AE408" s="76"/>
      <c r="AF408" s="24"/>
      <c r="AG408" s="25"/>
      <c r="AH408" s="77"/>
      <c r="AI408" s="77"/>
      <c r="AJ408" s="73"/>
      <c r="AK408" s="79"/>
      <c r="AL408" s="79"/>
      <c r="AM408" s="127"/>
      <c r="AN408" s="128"/>
      <c r="AO408" s="128"/>
      <c r="AP408" s="133"/>
      <c r="AQ408" s="127"/>
      <c r="AR408" s="134"/>
      <c r="AS408" s="132"/>
      <c r="AT408" s="10">
        <v>42973</v>
      </c>
      <c r="AU408" s="10"/>
      <c r="AV408" s="167">
        <v>67000</v>
      </c>
      <c r="AW408" s="168">
        <v>167000</v>
      </c>
      <c r="AX408" s="29">
        <f t="shared" si="551"/>
        <v>167000</v>
      </c>
      <c r="AY408" s="24">
        <f t="shared" si="552"/>
        <v>124027</v>
      </c>
      <c r="AZ408" s="25">
        <f t="shared" si="553"/>
        <v>2.8861610778861144</v>
      </c>
      <c r="BA408" s="24">
        <f t="shared" si="540"/>
        <v>24027</v>
      </c>
      <c r="BB408" s="169">
        <f t="shared" si="541"/>
        <v>0.55911851627766274</v>
      </c>
      <c r="BC408" s="170">
        <f t="shared" si="554"/>
        <v>167000</v>
      </c>
      <c r="BD408" s="10">
        <v>38682</v>
      </c>
      <c r="BE408" s="10">
        <v>800000</v>
      </c>
      <c r="BF408" s="10"/>
      <c r="BG408" s="268">
        <v>845000</v>
      </c>
      <c r="BH408" s="10">
        <v>1000000</v>
      </c>
      <c r="BI408" s="76">
        <f t="shared" si="543"/>
        <v>881666.66666666663</v>
      </c>
      <c r="BJ408" s="24">
        <f t="shared" si="544"/>
        <v>842984.66666666663</v>
      </c>
      <c r="BK408" s="25">
        <f t="shared" si="545"/>
        <v>21.79268565913517</v>
      </c>
      <c r="BL408" s="259">
        <f t="shared" si="546"/>
        <v>881666.66666666663</v>
      </c>
      <c r="BM408" s="10">
        <v>54060</v>
      </c>
      <c r="BN408" s="45"/>
      <c r="BO408" s="45">
        <v>50706</v>
      </c>
      <c r="BP408" s="45">
        <v>95000</v>
      </c>
      <c r="BQ408" s="29">
        <f t="shared" si="547"/>
        <v>72853</v>
      </c>
      <c r="BR408" s="24">
        <f t="shared" si="548"/>
        <v>18793</v>
      </c>
      <c r="BS408" s="25">
        <f t="shared" si="549"/>
        <v>0.34763226045135037</v>
      </c>
      <c r="BT408" s="308">
        <f t="shared" si="550"/>
        <v>72853</v>
      </c>
    </row>
    <row r="409" spans="1:72" s="1" customFormat="1" ht="63.95" customHeight="1">
      <c r="A409" s="91"/>
      <c r="B409" s="358" t="s">
        <v>2601</v>
      </c>
      <c r="C409" s="51" t="s">
        <v>1649</v>
      </c>
      <c r="D409" s="177" t="s">
        <v>970</v>
      </c>
      <c r="E409" s="62" t="s">
        <v>13</v>
      </c>
      <c r="F409" s="10"/>
      <c r="G409" s="33"/>
      <c r="H409" s="31"/>
      <c r="I409" s="183"/>
      <c r="J409" s="29"/>
      <c r="K409" s="24"/>
      <c r="L409" s="25"/>
      <c r="M409" s="69"/>
      <c r="N409" s="77"/>
      <c r="O409" s="73"/>
      <c r="P409" s="74"/>
      <c r="Q409" s="74"/>
      <c r="R409" s="75"/>
      <c r="S409" s="61"/>
      <c r="T409" s="60"/>
      <c r="U409" s="74"/>
      <c r="V409" s="76"/>
      <c r="W409" s="24"/>
      <c r="X409" s="25"/>
      <c r="Y409" s="77"/>
      <c r="Z409" s="106"/>
      <c r="AA409" s="73"/>
      <c r="AB409" s="88"/>
      <c r="AC409" s="116"/>
      <c r="AD409" s="74"/>
      <c r="AE409" s="76"/>
      <c r="AF409" s="24"/>
      <c r="AG409" s="25"/>
      <c r="AH409" s="77"/>
      <c r="AI409" s="77"/>
      <c r="AJ409" s="73"/>
      <c r="AK409" s="79"/>
      <c r="AL409" s="79"/>
      <c r="AM409" s="127"/>
      <c r="AN409" s="128"/>
      <c r="AO409" s="128"/>
      <c r="AP409" s="133"/>
      <c r="AQ409" s="127"/>
      <c r="AR409" s="134"/>
      <c r="AS409" s="132"/>
      <c r="AT409" s="10">
        <v>30814</v>
      </c>
      <c r="AU409" s="10"/>
      <c r="AV409" s="167">
        <v>72000</v>
      </c>
      <c r="AW409" s="168">
        <v>178000</v>
      </c>
      <c r="AX409" s="29">
        <f t="shared" si="551"/>
        <v>178000</v>
      </c>
      <c r="AY409" s="24">
        <f t="shared" si="552"/>
        <v>147186</v>
      </c>
      <c r="AZ409" s="25">
        <f t="shared" si="553"/>
        <v>4.7765950541961448</v>
      </c>
      <c r="BA409" s="24">
        <f t="shared" si="540"/>
        <v>41186</v>
      </c>
      <c r="BB409" s="169">
        <f t="shared" si="541"/>
        <v>1.3366002466411371</v>
      </c>
      <c r="BC409" s="170">
        <f t="shared" si="554"/>
        <v>178000</v>
      </c>
      <c r="BD409" s="10">
        <v>27727</v>
      </c>
      <c r="BE409" s="10"/>
      <c r="BF409" s="10"/>
      <c r="BG409" s="268"/>
      <c r="BH409" s="10">
        <v>1150000</v>
      </c>
      <c r="BI409" s="76">
        <f t="shared" si="543"/>
        <v>1150000</v>
      </c>
      <c r="BJ409" s="24">
        <f t="shared" si="544"/>
        <v>1122273</v>
      </c>
      <c r="BK409" s="25">
        <f t="shared" si="545"/>
        <v>40.475817794929128</v>
      </c>
      <c r="BL409" s="259">
        <f t="shared" si="546"/>
        <v>1150000</v>
      </c>
      <c r="BM409" s="10">
        <v>30812</v>
      </c>
      <c r="BN409" s="45"/>
      <c r="BO409" s="45">
        <v>36352</v>
      </c>
      <c r="BP409" s="45">
        <v>98000</v>
      </c>
      <c r="BQ409" s="29">
        <f t="shared" si="547"/>
        <v>67176</v>
      </c>
      <c r="BR409" s="24">
        <f t="shared" si="548"/>
        <v>36364</v>
      </c>
      <c r="BS409" s="25">
        <f t="shared" si="549"/>
        <v>1.1801895365442037</v>
      </c>
      <c r="BT409" s="308">
        <f t="shared" si="550"/>
        <v>67176</v>
      </c>
    </row>
    <row r="410" spans="1:72" s="1" customFormat="1" ht="63.95" customHeight="1">
      <c r="A410" s="91"/>
      <c r="B410" s="358" t="s">
        <v>2602</v>
      </c>
      <c r="C410" s="51" t="s">
        <v>1650</v>
      </c>
      <c r="D410" s="177" t="s">
        <v>971</v>
      </c>
      <c r="E410" s="62" t="s">
        <v>13</v>
      </c>
      <c r="F410" s="10"/>
      <c r="G410" s="33"/>
      <c r="H410" s="31"/>
      <c r="I410" s="183"/>
      <c r="J410" s="29"/>
      <c r="K410" s="24"/>
      <c r="L410" s="25"/>
      <c r="M410" s="69"/>
      <c r="N410" s="77"/>
      <c r="O410" s="73"/>
      <c r="P410" s="74"/>
      <c r="Q410" s="74"/>
      <c r="R410" s="75"/>
      <c r="S410" s="61"/>
      <c r="T410" s="60"/>
      <c r="U410" s="74"/>
      <c r="V410" s="76"/>
      <c r="W410" s="24"/>
      <c r="X410" s="25"/>
      <c r="Y410" s="77"/>
      <c r="Z410" s="106"/>
      <c r="AA410" s="73"/>
      <c r="AB410" s="88"/>
      <c r="AC410" s="116"/>
      <c r="AD410" s="74"/>
      <c r="AE410" s="76"/>
      <c r="AF410" s="24"/>
      <c r="AG410" s="25"/>
      <c r="AH410" s="77"/>
      <c r="AI410" s="77"/>
      <c r="AJ410" s="73"/>
      <c r="AK410" s="79"/>
      <c r="AL410" s="79"/>
      <c r="AM410" s="127"/>
      <c r="AN410" s="128"/>
      <c r="AO410" s="128"/>
      <c r="AP410" s="133"/>
      <c r="AQ410" s="127"/>
      <c r="AR410" s="134"/>
      <c r="AS410" s="132"/>
      <c r="AT410" s="10">
        <v>120469</v>
      </c>
      <c r="AU410" s="10"/>
      <c r="AV410" s="167">
        <v>71000</v>
      </c>
      <c r="AW410" s="168">
        <v>178000</v>
      </c>
      <c r="AX410" s="29">
        <f t="shared" si="551"/>
        <v>178000</v>
      </c>
      <c r="AY410" s="24">
        <f t="shared" si="552"/>
        <v>57531</v>
      </c>
      <c r="AZ410" s="25">
        <f t="shared" si="553"/>
        <v>0.47755854203156001</v>
      </c>
      <c r="BA410" s="24">
        <f t="shared" si="540"/>
        <v>-49469</v>
      </c>
      <c r="BB410" s="169">
        <f t="shared" si="541"/>
        <v>-0.41063676132449012</v>
      </c>
      <c r="BC410" s="170">
        <f t="shared" si="554"/>
        <v>178000</v>
      </c>
      <c r="BD410" s="10">
        <v>108422</v>
      </c>
      <c r="BE410" s="10"/>
      <c r="BF410" s="10"/>
      <c r="BG410" s="268"/>
      <c r="BH410" s="10">
        <v>1150000</v>
      </c>
      <c r="BI410" s="76">
        <f t="shared" si="543"/>
        <v>1150000</v>
      </c>
      <c r="BJ410" s="24">
        <f t="shared" si="544"/>
        <v>1041578</v>
      </c>
      <c r="BK410" s="25">
        <f t="shared" si="545"/>
        <v>9.6067034365719142</v>
      </c>
      <c r="BL410" s="259">
        <f t="shared" si="546"/>
        <v>1150000</v>
      </c>
      <c r="BM410" s="10">
        <v>152505</v>
      </c>
      <c r="BN410" s="45"/>
      <c r="BO410" s="45">
        <v>142134</v>
      </c>
      <c r="BP410" s="45">
        <v>120000</v>
      </c>
      <c r="BQ410" s="29">
        <f t="shared" si="547"/>
        <v>131067</v>
      </c>
      <c r="BR410" s="24">
        <f t="shared" si="548"/>
        <v>-21438</v>
      </c>
      <c r="BS410" s="25">
        <f t="shared" si="549"/>
        <v>-0.14057244024786072</v>
      </c>
      <c r="BT410" s="308">
        <f t="shared" si="550"/>
        <v>131067</v>
      </c>
    </row>
    <row r="411" spans="1:72" s="1" customFormat="1" ht="50.1" customHeight="1">
      <c r="A411" s="91"/>
      <c r="B411" s="358" t="s">
        <v>2603</v>
      </c>
      <c r="C411" s="51" t="s">
        <v>1651</v>
      </c>
      <c r="D411" s="177" t="s">
        <v>972</v>
      </c>
      <c r="E411" s="62" t="s">
        <v>13</v>
      </c>
      <c r="F411" s="10"/>
      <c r="G411" s="33"/>
      <c r="H411" s="31"/>
      <c r="I411" s="183"/>
      <c r="J411" s="29"/>
      <c r="K411" s="24"/>
      <c r="L411" s="25"/>
      <c r="M411" s="69"/>
      <c r="N411" s="77"/>
      <c r="O411" s="73"/>
      <c r="P411" s="74"/>
      <c r="Q411" s="74"/>
      <c r="R411" s="75"/>
      <c r="S411" s="61"/>
      <c r="T411" s="60"/>
      <c r="U411" s="74"/>
      <c r="V411" s="76"/>
      <c r="W411" s="24"/>
      <c r="X411" s="25"/>
      <c r="Y411" s="77"/>
      <c r="Z411" s="106"/>
      <c r="AA411" s="73"/>
      <c r="AB411" s="88"/>
      <c r="AC411" s="116"/>
      <c r="AD411" s="74"/>
      <c r="AE411" s="76"/>
      <c r="AF411" s="24"/>
      <c r="AG411" s="25"/>
      <c r="AH411" s="77"/>
      <c r="AI411" s="77"/>
      <c r="AJ411" s="73"/>
      <c r="AK411" s="79"/>
      <c r="AL411" s="79"/>
      <c r="AM411" s="127"/>
      <c r="AN411" s="128"/>
      <c r="AO411" s="128"/>
      <c r="AP411" s="133"/>
      <c r="AQ411" s="127"/>
      <c r="AR411" s="134"/>
      <c r="AS411" s="132"/>
      <c r="AT411" s="10">
        <v>37344</v>
      </c>
      <c r="AU411" s="10"/>
      <c r="AV411" s="167">
        <v>70000</v>
      </c>
      <c r="AW411" s="168">
        <v>54000</v>
      </c>
      <c r="AX411" s="29">
        <f t="shared" si="551"/>
        <v>54000</v>
      </c>
      <c r="AY411" s="24">
        <f t="shared" si="552"/>
        <v>16656</v>
      </c>
      <c r="AZ411" s="25">
        <f t="shared" si="553"/>
        <v>0.44601542416452444</v>
      </c>
      <c r="BA411" s="24">
        <f t="shared" si="540"/>
        <v>32656</v>
      </c>
      <c r="BB411" s="169">
        <f t="shared" si="541"/>
        <v>0.87446443873179092</v>
      </c>
      <c r="BC411" s="170">
        <f t="shared" si="554"/>
        <v>54000</v>
      </c>
      <c r="BD411" s="150"/>
      <c r="BE411" s="150"/>
      <c r="BF411" s="150"/>
      <c r="BG411" s="150"/>
      <c r="BH411" s="150"/>
      <c r="BI411" s="150"/>
      <c r="BJ411" s="150"/>
      <c r="BK411" s="150"/>
      <c r="BL411" s="150"/>
      <c r="BM411" s="293"/>
      <c r="BN411" s="293"/>
      <c r="BO411" s="293"/>
      <c r="BP411" s="293"/>
      <c r="BQ411" s="293"/>
      <c r="BR411" s="293"/>
      <c r="BS411" s="293"/>
      <c r="BT411" s="293"/>
    </row>
    <row r="412" spans="1:72" s="1" customFormat="1" ht="50.1" customHeight="1">
      <c r="A412" s="91"/>
      <c r="B412" s="358" t="s">
        <v>2604</v>
      </c>
      <c r="C412" s="51" t="s">
        <v>1658</v>
      </c>
      <c r="D412" s="264" t="s">
        <v>1652</v>
      </c>
      <c r="E412" s="263" t="s">
        <v>1399</v>
      </c>
      <c r="F412" s="10"/>
      <c r="G412" s="33"/>
      <c r="H412" s="31"/>
      <c r="I412" s="183"/>
      <c r="J412" s="29"/>
      <c r="K412" s="24"/>
      <c r="L412" s="25"/>
      <c r="M412" s="69"/>
      <c r="N412" s="77"/>
      <c r="O412" s="73"/>
      <c r="P412" s="74"/>
      <c r="Q412" s="74"/>
      <c r="R412" s="75"/>
      <c r="S412" s="61"/>
      <c r="T412" s="60"/>
      <c r="U412" s="74"/>
      <c r="V412" s="76"/>
      <c r="W412" s="24"/>
      <c r="X412" s="25"/>
      <c r="Y412" s="77"/>
      <c r="Z412" s="106"/>
      <c r="AA412" s="73"/>
      <c r="AB412" s="88"/>
      <c r="AC412" s="116"/>
      <c r="AD412" s="74"/>
      <c r="AE412" s="76"/>
      <c r="AF412" s="24"/>
      <c r="AG412" s="25"/>
      <c r="AH412" s="77"/>
      <c r="AI412" s="77"/>
      <c r="AJ412" s="73"/>
      <c r="AK412" s="79"/>
      <c r="AL412" s="79"/>
      <c r="AM412" s="127"/>
      <c r="AN412" s="128"/>
      <c r="AO412" s="128"/>
      <c r="AP412" s="133"/>
      <c r="AQ412" s="127"/>
      <c r="AR412" s="134"/>
      <c r="AS412" s="132"/>
      <c r="AT412" s="10"/>
      <c r="AU412" s="10"/>
      <c r="AV412" s="167"/>
      <c r="AW412" s="168"/>
      <c r="AX412" s="29"/>
      <c r="AY412" s="24"/>
      <c r="AZ412" s="25"/>
      <c r="BA412" s="24"/>
      <c r="BB412" s="169"/>
      <c r="BC412" s="170"/>
      <c r="BD412" s="10">
        <v>36451</v>
      </c>
      <c r="BE412" s="10">
        <v>1350000</v>
      </c>
      <c r="BF412" s="10"/>
      <c r="BG412" s="268">
        <v>1400000</v>
      </c>
      <c r="BH412" s="10">
        <v>1400000</v>
      </c>
      <c r="BI412" s="76">
        <f t="shared" ref="BI412:BI413" si="555">AVERAGE(BE412,BF412,BG412,BH412)</f>
        <v>1383333.3333333333</v>
      </c>
      <c r="BJ412" s="24">
        <f t="shared" ref="BJ412:BJ413" si="556">BI412-BD412</f>
        <v>1346882.3333333333</v>
      </c>
      <c r="BK412" s="25">
        <f t="shared" ref="BK412:BK417" si="557">+BJ412/BD412</f>
        <v>36.950490612969006</v>
      </c>
      <c r="BL412" s="309">
        <f t="shared" ref="BL412:BL413" si="558">BI412</f>
        <v>1383333.3333333333</v>
      </c>
      <c r="BM412" s="293"/>
      <c r="BN412" s="293"/>
      <c r="BO412" s="293"/>
      <c r="BP412" s="293"/>
      <c r="BQ412" s="293"/>
      <c r="BR412" s="293"/>
      <c r="BS412" s="293"/>
      <c r="BT412" s="293"/>
    </row>
    <row r="413" spans="1:72" s="1" customFormat="1" ht="69" customHeight="1">
      <c r="A413" s="91"/>
      <c r="B413" s="358" t="s">
        <v>2605</v>
      </c>
      <c r="C413" s="51" t="s">
        <v>1659</v>
      </c>
      <c r="D413" s="264" t="s">
        <v>1653</v>
      </c>
      <c r="E413" s="263" t="s">
        <v>1399</v>
      </c>
      <c r="F413" s="10"/>
      <c r="G413" s="33"/>
      <c r="H413" s="31"/>
      <c r="I413" s="183"/>
      <c r="J413" s="29"/>
      <c r="K413" s="24"/>
      <c r="L413" s="25"/>
      <c r="M413" s="69"/>
      <c r="N413" s="77"/>
      <c r="O413" s="73"/>
      <c r="P413" s="74"/>
      <c r="Q413" s="74"/>
      <c r="R413" s="75"/>
      <c r="S413" s="61"/>
      <c r="T413" s="60"/>
      <c r="U413" s="74"/>
      <c r="V413" s="76"/>
      <c r="W413" s="24"/>
      <c r="X413" s="25"/>
      <c r="Y413" s="77"/>
      <c r="Z413" s="106"/>
      <c r="AA413" s="73"/>
      <c r="AB413" s="88"/>
      <c r="AC413" s="116"/>
      <c r="AD413" s="74"/>
      <c r="AE413" s="76"/>
      <c r="AF413" s="24"/>
      <c r="AG413" s="25"/>
      <c r="AH413" s="77"/>
      <c r="AI413" s="77"/>
      <c r="AJ413" s="73"/>
      <c r="AK413" s="79"/>
      <c r="AL413" s="79"/>
      <c r="AM413" s="127"/>
      <c r="AN413" s="128"/>
      <c r="AO413" s="128"/>
      <c r="AP413" s="133"/>
      <c r="AQ413" s="127"/>
      <c r="AR413" s="134"/>
      <c r="AS413" s="132"/>
      <c r="AT413" s="10"/>
      <c r="AU413" s="10"/>
      <c r="AV413" s="167"/>
      <c r="AW413" s="168"/>
      <c r="AX413" s="29"/>
      <c r="AY413" s="24"/>
      <c r="AZ413" s="25"/>
      <c r="BA413" s="24"/>
      <c r="BB413" s="169"/>
      <c r="BC413" s="170"/>
      <c r="BD413" s="10">
        <v>48810</v>
      </c>
      <c r="BE413" s="10">
        <v>950000</v>
      </c>
      <c r="BF413" s="10"/>
      <c r="BG413" s="268">
        <v>1020000</v>
      </c>
      <c r="BH413" s="10">
        <v>1150000</v>
      </c>
      <c r="BI413" s="76">
        <f t="shared" si="555"/>
        <v>1040000</v>
      </c>
      <c r="BJ413" s="24">
        <f t="shared" si="556"/>
        <v>991190</v>
      </c>
      <c r="BK413" s="25">
        <f t="shared" si="557"/>
        <v>20.307109198934644</v>
      </c>
      <c r="BL413" s="309">
        <f t="shared" si="558"/>
        <v>1040000</v>
      </c>
      <c r="BM413" s="293"/>
      <c r="BN413" s="293"/>
      <c r="BO413" s="293"/>
      <c r="BP413" s="293"/>
      <c r="BQ413" s="293"/>
      <c r="BR413" s="293"/>
      <c r="BS413" s="293"/>
      <c r="BT413" s="293"/>
    </row>
    <row r="414" spans="1:72" s="1" customFormat="1" ht="44.1" customHeight="1">
      <c r="A414" s="91"/>
      <c r="B414" s="358" t="s">
        <v>2606</v>
      </c>
      <c r="C414" s="51" t="s">
        <v>1660</v>
      </c>
      <c r="D414" s="264" t="s">
        <v>1654</v>
      </c>
      <c r="E414" s="263" t="s">
        <v>1399</v>
      </c>
      <c r="F414" s="10"/>
      <c r="G414" s="33"/>
      <c r="H414" s="31"/>
      <c r="I414" s="183"/>
      <c r="J414" s="29"/>
      <c r="K414" s="24"/>
      <c r="L414" s="25"/>
      <c r="M414" s="69"/>
      <c r="N414" s="77"/>
      <c r="O414" s="73"/>
      <c r="P414" s="74"/>
      <c r="Q414" s="74"/>
      <c r="R414" s="75"/>
      <c r="S414" s="61"/>
      <c r="T414" s="60"/>
      <c r="U414" s="74"/>
      <c r="V414" s="76"/>
      <c r="W414" s="24"/>
      <c r="X414" s="25"/>
      <c r="Y414" s="77"/>
      <c r="Z414" s="106"/>
      <c r="AA414" s="73"/>
      <c r="AB414" s="88"/>
      <c r="AC414" s="116"/>
      <c r="AD414" s="74"/>
      <c r="AE414" s="76"/>
      <c r="AF414" s="24"/>
      <c r="AG414" s="25"/>
      <c r="AH414" s="77"/>
      <c r="AI414" s="77"/>
      <c r="AJ414" s="73"/>
      <c r="AK414" s="79"/>
      <c r="AL414" s="79"/>
      <c r="AM414" s="127"/>
      <c r="AN414" s="128"/>
      <c r="AO414" s="128"/>
      <c r="AP414" s="133"/>
      <c r="AQ414" s="127"/>
      <c r="AR414" s="134"/>
      <c r="AS414" s="132"/>
      <c r="AT414" s="10"/>
      <c r="AU414" s="10"/>
      <c r="AV414" s="167"/>
      <c r="AW414" s="168"/>
      <c r="AX414" s="29"/>
      <c r="AY414" s="24"/>
      <c r="AZ414" s="25"/>
      <c r="BA414" s="24"/>
      <c r="BB414" s="169"/>
      <c r="BC414" s="170"/>
      <c r="BD414" s="10">
        <v>33945</v>
      </c>
      <c r="BE414" s="10"/>
      <c r="BF414" s="10"/>
      <c r="BG414" s="268"/>
      <c r="BH414" s="10"/>
      <c r="BI414" s="76"/>
      <c r="BJ414" s="24"/>
      <c r="BK414" s="25">
        <f t="shared" si="557"/>
        <v>0</v>
      </c>
      <c r="BL414" s="309" t="s">
        <v>894</v>
      </c>
      <c r="BM414" s="293"/>
      <c r="BN414" s="293"/>
      <c r="BO414" s="293"/>
      <c r="BP414" s="293"/>
      <c r="BQ414" s="293"/>
      <c r="BR414" s="293"/>
      <c r="BS414" s="293"/>
      <c r="BT414" s="293"/>
    </row>
    <row r="415" spans="1:72" s="1" customFormat="1" ht="39.950000000000003" customHeight="1">
      <c r="A415" s="91"/>
      <c r="B415" s="358" t="s">
        <v>2607</v>
      </c>
      <c r="C415" s="51" t="s">
        <v>1661</v>
      </c>
      <c r="D415" s="264" t="s">
        <v>1655</v>
      </c>
      <c r="E415" s="262" t="s">
        <v>1457</v>
      </c>
      <c r="F415" s="10"/>
      <c r="G415" s="33"/>
      <c r="H415" s="31"/>
      <c r="I415" s="183"/>
      <c r="J415" s="29"/>
      <c r="K415" s="24"/>
      <c r="L415" s="25"/>
      <c r="M415" s="69"/>
      <c r="N415" s="77"/>
      <c r="O415" s="73"/>
      <c r="P415" s="74"/>
      <c r="Q415" s="74"/>
      <c r="R415" s="75"/>
      <c r="S415" s="61"/>
      <c r="T415" s="60"/>
      <c r="U415" s="74"/>
      <c r="V415" s="76"/>
      <c r="W415" s="24"/>
      <c r="X415" s="25"/>
      <c r="Y415" s="77"/>
      <c r="Z415" s="106"/>
      <c r="AA415" s="73"/>
      <c r="AB415" s="88"/>
      <c r="AC415" s="116"/>
      <c r="AD415" s="74"/>
      <c r="AE415" s="76"/>
      <c r="AF415" s="24"/>
      <c r="AG415" s="25"/>
      <c r="AH415" s="77"/>
      <c r="AI415" s="77"/>
      <c r="AJ415" s="73"/>
      <c r="AK415" s="79"/>
      <c r="AL415" s="79"/>
      <c r="AM415" s="127"/>
      <c r="AN415" s="128"/>
      <c r="AO415" s="128"/>
      <c r="AP415" s="133"/>
      <c r="AQ415" s="127"/>
      <c r="AR415" s="134"/>
      <c r="AS415" s="132"/>
      <c r="AT415" s="10"/>
      <c r="AU415" s="10"/>
      <c r="AV415" s="167"/>
      <c r="AW415" s="168"/>
      <c r="AX415" s="29"/>
      <c r="AY415" s="24"/>
      <c r="AZ415" s="25"/>
      <c r="BA415" s="24"/>
      <c r="BB415" s="169"/>
      <c r="BC415" s="170"/>
      <c r="BD415" s="10">
        <v>15463</v>
      </c>
      <c r="BE415" s="10"/>
      <c r="BF415" s="10"/>
      <c r="BG415" s="268"/>
      <c r="BH415" s="10">
        <v>30000</v>
      </c>
      <c r="BI415" s="76">
        <f t="shared" ref="BI415:BI417" si="559">AVERAGE(BE415,BF415,BG415,BH415)</f>
        <v>30000</v>
      </c>
      <c r="BJ415" s="24">
        <f t="shared" ref="BJ415:BJ417" si="560">BI415-BD415</f>
        <v>14537</v>
      </c>
      <c r="BK415" s="25">
        <f t="shared" si="557"/>
        <v>0.94011511349673416</v>
      </c>
      <c r="BL415" s="309">
        <f t="shared" ref="BL415:BL417" si="561">BI415</f>
        <v>30000</v>
      </c>
      <c r="BM415" s="293"/>
      <c r="BN415" s="293"/>
      <c r="BO415" s="293"/>
      <c r="BP415" s="293"/>
      <c r="BQ415" s="293"/>
      <c r="BR415" s="293"/>
      <c r="BS415" s="293"/>
      <c r="BT415" s="293"/>
    </row>
    <row r="416" spans="1:72" s="1" customFormat="1" ht="50.1" customHeight="1">
      <c r="A416" s="91"/>
      <c r="B416" s="358" t="s">
        <v>2608</v>
      </c>
      <c r="C416" s="51" t="s">
        <v>1662</v>
      </c>
      <c r="D416" s="264" t="s">
        <v>1656</v>
      </c>
      <c r="E416" s="263" t="s">
        <v>1399</v>
      </c>
      <c r="F416" s="10"/>
      <c r="G416" s="33"/>
      <c r="H416" s="31"/>
      <c r="I416" s="183"/>
      <c r="J416" s="29"/>
      <c r="K416" s="24"/>
      <c r="L416" s="25"/>
      <c r="M416" s="69"/>
      <c r="N416" s="77"/>
      <c r="O416" s="73"/>
      <c r="P416" s="74"/>
      <c r="Q416" s="74"/>
      <c r="R416" s="75"/>
      <c r="S416" s="61"/>
      <c r="T416" s="60"/>
      <c r="U416" s="74"/>
      <c r="V416" s="76"/>
      <c r="W416" s="24"/>
      <c r="X416" s="25"/>
      <c r="Y416" s="77"/>
      <c r="Z416" s="106"/>
      <c r="AA416" s="73"/>
      <c r="AB416" s="88"/>
      <c r="AC416" s="116"/>
      <c r="AD416" s="74"/>
      <c r="AE416" s="76"/>
      <c r="AF416" s="24"/>
      <c r="AG416" s="25"/>
      <c r="AH416" s="77"/>
      <c r="AI416" s="77"/>
      <c r="AJ416" s="73"/>
      <c r="AK416" s="79"/>
      <c r="AL416" s="79"/>
      <c r="AM416" s="127"/>
      <c r="AN416" s="128"/>
      <c r="AO416" s="128"/>
      <c r="AP416" s="133"/>
      <c r="AQ416" s="127"/>
      <c r="AR416" s="134"/>
      <c r="AS416" s="132"/>
      <c r="AT416" s="10"/>
      <c r="AU416" s="10"/>
      <c r="AV416" s="167"/>
      <c r="AW416" s="168"/>
      <c r="AX416" s="29"/>
      <c r="AY416" s="24"/>
      <c r="AZ416" s="25"/>
      <c r="BA416" s="24"/>
      <c r="BB416" s="169"/>
      <c r="BC416" s="170"/>
      <c r="BD416" s="10">
        <v>45468</v>
      </c>
      <c r="BE416" s="10"/>
      <c r="BF416" s="10"/>
      <c r="BG416" s="268"/>
      <c r="BH416" s="10">
        <v>30000</v>
      </c>
      <c r="BI416" s="76">
        <f t="shared" si="559"/>
        <v>30000</v>
      </c>
      <c r="BJ416" s="24">
        <f t="shared" si="560"/>
        <v>-15468</v>
      </c>
      <c r="BK416" s="25">
        <f t="shared" si="557"/>
        <v>-0.34019530219055161</v>
      </c>
      <c r="BL416" s="309">
        <f t="shared" si="561"/>
        <v>30000</v>
      </c>
      <c r="BM416" s="293"/>
      <c r="BN416" s="293"/>
      <c r="BO416" s="293"/>
      <c r="BP416" s="293"/>
      <c r="BQ416" s="293"/>
      <c r="BR416" s="293"/>
      <c r="BS416" s="293"/>
      <c r="BT416" s="293"/>
    </row>
    <row r="417" spans="1:72" s="1" customFormat="1">
      <c r="A417" s="91"/>
      <c r="B417" s="358" t="s">
        <v>2609</v>
      </c>
      <c r="C417" s="51" t="s">
        <v>1663</v>
      </c>
      <c r="D417" s="264" t="s">
        <v>1657</v>
      </c>
      <c r="E417" s="263" t="s">
        <v>1466</v>
      </c>
      <c r="F417" s="10"/>
      <c r="G417" s="33"/>
      <c r="H417" s="31"/>
      <c r="I417" s="183"/>
      <c r="J417" s="29"/>
      <c r="K417" s="24"/>
      <c r="L417" s="25"/>
      <c r="M417" s="69"/>
      <c r="N417" s="77"/>
      <c r="O417" s="73"/>
      <c r="P417" s="74"/>
      <c r="Q417" s="74"/>
      <c r="R417" s="75"/>
      <c r="S417" s="61"/>
      <c r="T417" s="60"/>
      <c r="U417" s="74"/>
      <c r="V417" s="76"/>
      <c r="W417" s="24"/>
      <c r="X417" s="25"/>
      <c r="Y417" s="77"/>
      <c r="Z417" s="106"/>
      <c r="AA417" s="73"/>
      <c r="AB417" s="88"/>
      <c r="AC417" s="116"/>
      <c r="AD417" s="74"/>
      <c r="AE417" s="76"/>
      <c r="AF417" s="24"/>
      <c r="AG417" s="25"/>
      <c r="AH417" s="77"/>
      <c r="AI417" s="77"/>
      <c r="AJ417" s="73"/>
      <c r="AK417" s="79"/>
      <c r="AL417" s="79"/>
      <c r="AM417" s="127"/>
      <c r="AN417" s="128"/>
      <c r="AO417" s="128"/>
      <c r="AP417" s="133"/>
      <c r="AQ417" s="127"/>
      <c r="AR417" s="134"/>
      <c r="AS417" s="132"/>
      <c r="AT417" s="10"/>
      <c r="AU417" s="10"/>
      <c r="AV417" s="167"/>
      <c r="AW417" s="168"/>
      <c r="AX417" s="29"/>
      <c r="AY417" s="24"/>
      <c r="AZ417" s="25"/>
      <c r="BA417" s="24"/>
      <c r="BB417" s="169"/>
      <c r="BC417" s="170"/>
      <c r="BD417" s="10">
        <v>124620</v>
      </c>
      <c r="BE417" s="10">
        <v>55000</v>
      </c>
      <c r="BF417" s="10"/>
      <c r="BG417" s="268">
        <v>65000</v>
      </c>
      <c r="BH417" s="10">
        <v>60000</v>
      </c>
      <c r="BI417" s="76">
        <f t="shared" si="559"/>
        <v>60000</v>
      </c>
      <c r="BJ417" s="24">
        <f t="shared" si="560"/>
        <v>-64620</v>
      </c>
      <c r="BK417" s="25">
        <f t="shared" si="557"/>
        <v>-0.51853635050553681</v>
      </c>
      <c r="BL417" s="309">
        <f t="shared" si="561"/>
        <v>60000</v>
      </c>
      <c r="BM417" s="293"/>
      <c r="BN417" s="293"/>
      <c r="BO417" s="293"/>
      <c r="BP417" s="293"/>
      <c r="BQ417" s="293"/>
      <c r="BR417" s="293"/>
      <c r="BS417" s="293"/>
      <c r="BT417" s="293"/>
    </row>
    <row r="418" spans="1:72" ht="32.450000000000003" customHeight="1">
      <c r="A418" s="91" t="s">
        <v>27</v>
      </c>
      <c r="B418" s="358" t="s">
        <v>2610</v>
      </c>
      <c r="C418" s="252" t="s">
        <v>756</v>
      </c>
      <c r="D418" s="100" t="s">
        <v>27</v>
      </c>
      <c r="E418" s="47"/>
      <c r="F418" s="47"/>
      <c r="G418" s="47"/>
      <c r="H418" s="47"/>
      <c r="I418" s="47"/>
      <c r="J418" s="47"/>
      <c r="K418" s="47"/>
      <c r="L418" s="47"/>
      <c r="M418" s="91"/>
      <c r="N418" s="47"/>
      <c r="O418" s="47"/>
      <c r="P418" s="47"/>
      <c r="Q418" s="47"/>
      <c r="R418" s="47"/>
      <c r="S418" s="47"/>
      <c r="T418" s="47"/>
      <c r="U418" s="47"/>
      <c r="V418" s="47"/>
      <c r="W418" s="47"/>
      <c r="X418" s="47"/>
      <c r="Y418" s="47"/>
      <c r="Z418" s="47"/>
      <c r="AA418" s="47"/>
      <c r="AB418" s="47"/>
      <c r="AC418" s="47"/>
      <c r="AD418" s="47"/>
      <c r="AE418" s="47"/>
      <c r="AF418" s="47"/>
      <c r="AG418" s="47"/>
      <c r="AH418" s="47"/>
      <c r="AI418" s="47"/>
      <c r="AJ418" s="147"/>
      <c r="AK418" s="148"/>
      <c r="AL418" s="148"/>
      <c r="AM418" s="149"/>
      <c r="AN418" s="148"/>
      <c r="AO418" s="148"/>
      <c r="AP418" s="133"/>
      <c r="AQ418" s="127"/>
      <c r="AR418" s="134"/>
      <c r="AS418" s="132"/>
      <c r="AT418" s="173"/>
      <c r="AU418" s="173"/>
      <c r="AV418" s="174"/>
      <c r="AW418" s="175"/>
      <c r="AX418" s="29"/>
      <c r="AY418" s="24"/>
      <c r="AZ418" s="25"/>
      <c r="BA418" s="24"/>
      <c r="BB418" s="169"/>
      <c r="BC418" s="170"/>
      <c r="BD418" s="173"/>
      <c r="BE418" s="173"/>
      <c r="BF418" s="173"/>
      <c r="BG418" s="274"/>
      <c r="BH418" s="266"/>
      <c r="BI418" s="76"/>
      <c r="BJ418" s="24"/>
      <c r="BK418" s="25"/>
      <c r="BL418" s="259"/>
      <c r="BM418" s="323"/>
      <c r="BN418" s="324"/>
      <c r="BO418" s="324"/>
      <c r="BP418" s="323"/>
      <c r="BQ418" s="29"/>
      <c r="BR418" s="24"/>
      <c r="BS418" s="25"/>
      <c r="BT418" s="308"/>
    </row>
    <row r="419" spans="1:72" ht="45.6" customHeight="1">
      <c r="A419" s="91" t="s">
        <v>27</v>
      </c>
      <c r="B419" s="358" t="s">
        <v>2611</v>
      </c>
      <c r="C419" s="50" t="s">
        <v>226</v>
      </c>
      <c r="D419" s="99" t="s">
        <v>566</v>
      </c>
      <c r="E419" s="48" t="s">
        <v>13</v>
      </c>
      <c r="F419" s="10">
        <v>72380</v>
      </c>
      <c r="G419" s="31">
        <v>94136</v>
      </c>
      <c r="H419" s="31">
        <v>122376</v>
      </c>
      <c r="I419" s="35">
        <v>82281.399999999994</v>
      </c>
      <c r="J419" s="29">
        <f t="shared" si="422"/>
        <v>99597.8</v>
      </c>
      <c r="K419" s="24">
        <f t="shared" si="423"/>
        <v>27217.800000000003</v>
      </c>
      <c r="L419" s="25">
        <f t="shared" si="424"/>
        <v>0.37604034263608738</v>
      </c>
      <c r="M419" s="69" t="str">
        <f t="shared" si="425"/>
        <v>REVISAR PRECIO</v>
      </c>
      <c r="N419" s="77">
        <f t="shared" si="371"/>
        <v>99597.8</v>
      </c>
      <c r="O419" s="73">
        <v>38710</v>
      </c>
      <c r="P419" s="74">
        <v>83720</v>
      </c>
      <c r="Q419" s="74">
        <v>80000</v>
      </c>
      <c r="R419" s="75">
        <v>96460</v>
      </c>
      <c r="S419" s="61">
        <v>102809.99999999999</v>
      </c>
      <c r="T419" s="60">
        <v>70000</v>
      </c>
      <c r="U419" s="74">
        <v>118231.49999999997</v>
      </c>
      <c r="V419" s="76">
        <f>AVERAGE(P419,Q419,R419,S419,T419,U419)</f>
        <v>91870.25</v>
      </c>
      <c r="W419" s="24">
        <f t="shared" ref="W419:W430" si="562">V419-O419</f>
        <v>53160.25</v>
      </c>
      <c r="X419" s="25">
        <f t="shared" ref="X419:X430" si="563">+W419/O419</f>
        <v>1.373295014208215</v>
      </c>
      <c r="Y419" s="77" t="str">
        <f t="shared" ref="Y419:Y430" si="564">+IF(X419&lt;35%,V419,"REVISAR PRECIO")</f>
        <v>REVISAR PRECIO</v>
      </c>
      <c r="Z419" s="106">
        <f t="shared" ref="Z419:Z430" si="565">V419</f>
        <v>91870.25</v>
      </c>
      <c r="AA419" s="73">
        <v>38710</v>
      </c>
      <c r="AB419" s="88">
        <v>91000</v>
      </c>
      <c r="AC419" s="116">
        <v>95000</v>
      </c>
      <c r="AD419" s="74">
        <v>80080</v>
      </c>
      <c r="AE419" s="76">
        <f t="shared" ref="AE419:AE430" si="566">AVERAGE(AB419,AC419,AD419)</f>
        <v>88693.333333333328</v>
      </c>
      <c r="AF419" s="24">
        <f t="shared" ref="AF419:AF430" si="567">AE419-AA419</f>
        <v>49983.333333333328</v>
      </c>
      <c r="AG419" s="25">
        <f t="shared" ref="AG419:AG430" si="568">+AF419/AA419</f>
        <v>1.2912253508998535</v>
      </c>
      <c r="AH419" s="77" t="str">
        <f t="shared" ref="AH419:AH430" si="569">+IF(AG419&lt;35%,AE419,"REVISAR PRECIO")</f>
        <v>REVISAR PRECIO</v>
      </c>
      <c r="AI419" s="77">
        <f t="shared" ref="AI419:AI430" si="570">AE419</f>
        <v>88693.333333333328</v>
      </c>
      <c r="AJ419" s="73">
        <v>38710</v>
      </c>
      <c r="AK419" s="79">
        <v>96460</v>
      </c>
      <c r="AL419" s="79">
        <f>(56500*1.2)+5000</f>
        <v>72800</v>
      </c>
      <c r="AM419" s="127">
        <v>87360</v>
      </c>
      <c r="AN419" s="128">
        <v>85000</v>
      </c>
      <c r="AO419" s="128">
        <v>81000</v>
      </c>
      <c r="AP419" s="133">
        <f t="shared" ref="AP419:AP430" si="571">AVERAGE(AK419,AL419,AM419,AN419,AO419)</f>
        <v>84524</v>
      </c>
      <c r="AQ419" s="127">
        <f t="shared" ref="AQ419:AQ430" si="572">AP419-AJ419</f>
        <v>45814</v>
      </c>
      <c r="AR419" s="134">
        <f t="shared" ref="AR419:AR430" si="573">+AQ419/AJ419</f>
        <v>1.1835184706794111</v>
      </c>
      <c r="AS419" s="132">
        <f t="shared" ref="AS419:AS430" si="574">AP419</f>
        <v>84524</v>
      </c>
      <c r="AT419" s="10">
        <v>38711</v>
      </c>
      <c r="AU419" s="10">
        <v>72800</v>
      </c>
      <c r="AV419" s="167">
        <v>145600</v>
      </c>
      <c r="AW419" s="168">
        <v>68500</v>
      </c>
      <c r="AX419" s="29">
        <f t="shared" ref="AX419:AX429" si="575">AVERAGE(AU419,AW419)</f>
        <v>70650</v>
      </c>
      <c r="AY419" s="24">
        <f t="shared" ref="AY419:AY429" si="576">AX419-AT419</f>
        <v>31939</v>
      </c>
      <c r="AZ419" s="25">
        <f t="shared" ref="AZ419:AZ429" si="577">+AY419/AT419</f>
        <v>0.82506264369300719</v>
      </c>
      <c r="BA419" s="24">
        <f t="shared" ref="BA419:BA429" si="578">AV419-AT419</f>
        <v>106889</v>
      </c>
      <c r="BB419" s="169">
        <f t="shared" ref="BB419:BB429" si="579">+BA419/AT419</f>
        <v>2.7612048255017951</v>
      </c>
      <c r="BC419" s="170">
        <f t="shared" ref="BC419:BC429" si="580">AX419</f>
        <v>70650</v>
      </c>
      <c r="BD419" s="10">
        <v>34837</v>
      </c>
      <c r="BE419" s="10">
        <v>95000</v>
      </c>
      <c r="BF419" s="10">
        <v>105000</v>
      </c>
      <c r="BG419" s="268">
        <v>100000</v>
      </c>
      <c r="BH419" s="10">
        <v>120000</v>
      </c>
      <c r="BI419" s="76">
        <f t="shared" ref="BI419:BI420" si="581">AVERAGE(BE419,BF419,BG419,BH419)</f>
        <v>105000</v>
      </c>
      <c r="BJ419" s="24">
        <f t="shared" ref="BJ419:BJ420" si="582">BI419-BD419</f>
        <v>70163</v>
      </c>
      <c r="BK419" s="25">
        <f t="shared" ref="BK419:BK420" si="583">+BJ419/BD419</f>
        <v>2.0140367999540718</v>
      </c>
      <c r="BL419" s="259">
        <f t="shared" ref="BL419:BL420" si="584">BI419</f>
        <v>105000</v>
      </c>
      <c r="BM419" s="10">
        <v>38710</v>
      </c>
      <c r="BN419" s="45">
        <v>75000</v>
      </c>
      <c r="BO419" s="45">
        <v>72800</v>
      </c>
      <c r="BP419" s="45">
        <v>78000</v>
      </c>
      <c r="BQ419" s="29">
        <f t="shared" ref="BQ419:BQ429" si="585">AVERAGE(BN419,BO419,BP419)</f>
        <v>75266.666666666672</v>
      </c>
      <c r="BR419" s="24">
        <f t="shared" ref="BR419:BR429" si="586">BQ419-BM419</f>
        <v>36556.666666666672</v>
      </c>
      <c r="BS419" s="25">
        <f t="shared" ref="BS419:BS429" si="587">+BR419/BM419</f>
        <v>0.94437268578317413</v>
      </c>
      <c r="BT419" s="308">
        <f t="shared" ref="BT419:BT429" si="588">BQ419</f>
        <v>75266.666666666672</v>
      </c>
    </row>
    <row r="420" spans="1:72" ht="45.6" customHeight="1">
      <c r="A420" s="91" t="s">
        <v>27</v>
      </c>
      <c r="B420" s="358" t="s">
        <v>2612</v>
      </c>
      <c r="C420" s="50" t="s">
        <v>227</v>
      </c>
      <c r="D420" s="99" t="s">
        <v>567</v>
      </c>
      <c r="E420" s="48" t="s">
        <v>13</v>
      </c>
      <c r="F420" s="10">
        <v>115976</v>
      </c>
      <c r="G420" s="31">
        <v>150836</v>
      </c>
      <c r="H420" s="31">
        <v>196086</v>
      </c>
      <c r="I420" s="35">
        <v>131841.4</v>
      </c>
      <c r="J420" s="29">
        <f t="shared" si="422"/>
        <v>159587.80000000002</v>
      </c>
      <c r="K420" s="24">
        <f t="shared" si="423"/>
        <v>43611.800000000017</v>
      </c>
      <c r="L420" s="25">
        <f t="shared" si="424"/>
        <v>0.37604159481272004</v>
      </c>
      <c r="M420" s="69" t="str">
        <f t="shared" si="425"/>
        <v>REVISAR PRECIO</v>
      </c>
      <c r="N420" s="77">
        <f t="shared" si="371"/>
        <v>159587.80000000002</v>
      </c>
      <c r="O420" s="73">
        <v>53300</v>
      </c>
      <c r="P420" s="74">
        <v>77625</v>
      </c>
      <c r="Q420" s="74">
        <v>140000</v>
      </c>
      <c r="R420" s="75">
        <v>89437.5</v>
      </c>
      <c r="S420" s="61">
        <v>119599.99999999999</v>
      </c>
      <c r="T420" s="60">
        <v>120000</v>
      </c>
      <c r="U420" s="74">
        <v>137539.99999999997</v>
      </c>
      <c r="V420" s="76">
        <f t="shared" ref="V420:V430" si="589">AVERAGE(P420,Q420,R420,S420,T420,U420)</f>
        <v>114033.75</v>
      </c>
      <c r="W420" s="24">
        <f t="shared" si="562"/>
        <v>60733.75</v>
      </c>
      <c r="X420" s="25">
        <f t="shared" si="563"/>
        <v>1.1394699812382738</v>
      </c>
      <c r="Y420" s="77" t="str">
        <f t="shared" si="564"/>
        <v>REVISAR PRECIO</v>
      </c>
      <c r="Z420" s="106">
        <f t="shared" si="565"/>
        <v>114033.75</v>
      </c>
      <c r="AA420" s="73">
        <v>53300</v>
      </c>
      <c r="AB420" s="88">
        <v>110000</v>
      </c>
      <c r="AC420" s="116">
        <v>110000</v>
      </c>
      <c r="AD420" s="74">
        <v>74250</v>
      </c>
      <c r="AE420" s="76">
        <f t="shared" si="566"/>
        <v>98083.333333333328</v>
      </c>
      <c r="AF420" s="24">
        <f t="shared" si="567"/>
        <v>44783.333333333328</v>
      </c>
      <c r="AG420" s="25">
        <f t="shared" si="568"/>
        <v>0.84021263289555959</v>
      </c>
      <c r="AH420" s="77" t="str">
        <f t="shared" si="569"/>
        <v>REVISAR PRECIO</v>
      </c>
      <c r="AI420" s="77">
        <f t="shared" si="570"/>
        <v>98083.333333333328</v>
      </c>
      <c r="AJ420" s="73">
        <v>53300</v>
      </c>
      <c r="AK420" s="79">
        <v>89437.5</v>
      </c>
      <c r="AL420" s="79">
        <v>67500</v>
      </c>
      <c r="AM420" s="127">
        <v>81000</v>
      </c>
      <c r="AN420" s="128">
        <v>66500</v>
      </c>
      <c r="AO420" s="128">
        <v>70000</v>
      </c>
      <c r="AP420" s="133">
        <f t="shared" si="571"/>
        <v>74887.5</v>
      </c>
      <c r="AQ420" s="127">
        <f t="shared" si="572"/>
        <v>21587.5</v>
      </c>
      <c r="AR420" s="134">
        <f t="shared" si="573"/>
        <v>0.40501876172607881</v>
      </c>
      <c r="AS420" s="132">
        <f t="shared" si="574"/>
        <v>74887.5</v>
      </c>
      <c r="AT420" s="10">
        <v>52807</v>
      </c>
      <c r="AU420" s="10">
        <v>67500</v>
      </c>
      <c r="AV420" s="167">
        <v>135000</v>
      </c>
      <c r="AW420" s="168">
        <v>65400</v>
      </c>
      <c r="AX420" s="29">
        <f t="shared" si="575"/>
        <v>66450</v>
      </c>
      <c r="AY420" s="24">
        <f t="shared" si="576"/>
        <v>13643</v>
      </c>
      <c r="AZ420" s="25">
        <f t="shared" si="577"/>
        <v>0.2583558997860132</v>
      </c>
      <c r="BA420" s="24">
        <f t="shared" si="578"/>
        <v>82193</v>
      </c>
      <c r="BB420" s="169">
        <f t="shared" si="579"/>
        <v>1.5564792546442707</v>
      </c>
      <c r="BC420" s="170">
        <f t="shared" si="580"/>
        <v>66450</v>
      </c>
      <c r="BD420" s="10">
        <v>45886</v>
      </c>
      <c r="BE420" s="10">
        <v>115000</v>
      </c>
      <c r="BF420" s="10">
        <v>130000</v>
      </c>
      <c r="BG420" s="268">
        <v>125000</v>
      </c>
      <c r="BH420" s="10">
        <v>120000</v>
      </c>
      <c r="BI420" s="76">
        <f t="shared" si="581"/>
        <v>122500</v>
      </c>
      <c r="BJ420" s="24">
        <f t="shared" si="582"/>
        <v>76614</v>
      </c>
      <c r="BK420" s="25">
        <f t="shared" si="583"/>
        <v>1.6696595911607026</v>
      </c>
      <c r="BL420" s="259">
        <f t="shared" si="584"/>
        <v>122500</v>
      </c>
      <c r="BM420" s="10">
        <v>50984</v>
      </c>
      <c r="BN420" s="45">
        <v>98000</v>
      </c>
      <c r="BO420" s="45">
        <v>62301</v>
      </c>
      <c r="BP420" s="45">
        <v>76000</v>
      </c>
      <c r="BQ420" s="29">
        <f t="shared" si="585"/>
        <v>78767</v>
      </c>
      <c r="BR420" s="24">
        <f t="shared" si="586"/>
        <v>27783</v>
      </c>
      <c r="BS420" s="25">
        <f t="shared" si="587"/>
        <v>0.54493566609132271</v>
      </c>
      <c r="BT420" s="308">
        <f t="shared" si="588"/>
        <v>78767</v>
      </c>
    </row>
    <row r="421" spans="1:72" ht="54" customHeight="1">
      <c r="A421" s="91" t="s">
        <v>27</v>
      </c>
      <c r="B421" s="358" t="s">
        <v>2613</v>
      </c>
      <c r="C421" s="50" t="s">
        <v>228</v>
      </c>
      <c r="D421" s="99" t="s">
        <v>568</v>
      </c>
      <c r="E421" s="48" t="s">
        <v>13</v>
      </c>
      <c r="F421" s="10">
        <v>77393</v>
      </c>
      <c r="G421" s="31">
        <v>100656</v>
      </c>
      <c r="H421" s="31">
        <v>130853</v>
      </c>
      <c r="I421" s="35">
        <v>87980.800000000003</v>
      </c>
      <c r="J421" s="29">
        <f t="shared" si="422"/>
        <v>106496.59999999999</v>
      </c>
      <c r="K421" s="24">
        <f t="shared" si="423"/>
        <v>29103.599999999991</v>
      </c>
      <c r="L421" s="25">
        <f t="shared" si="424"/>
        <v>0.37604951352189464</v>
      </c>
      <c r="M421" s="69" t="str">
        <f t="shared" si="425"/>
        <v>REVISAR PRECIO</v>
      </c>
      <c r="N421" s="77">
        <f t="shared" si="371"/>
        <v>106496.59999999999</v>
      </c>
      <c r="O421" s="73">
        <v>53300</v>
      </c>
      <c r="P421" s="74">
        <v>142312.5</v>
      </c>
      <c r="Q421" s="74">
        <v>135000</v>
      </c>
      <c r="R421" s="75">
        <v>163968.75</v>
      </c>
      <c r="S421" s="61">
        <v>142312.5</v>
      </c>
      <c r="T421" s="60">
        <v>90000</v>
      </c>
      <c r="U421" s="74">
        <v>163659.375</v>
      </c>
      <c r="V421" s="76">
        <f t="shared" si="589"/>
        <v>139542.1875</v>
      </c>
      <c r="W421" s="24">
        <f t="shared" si="562"/>
        <v>86242.1875</v>
      </c>
      <c r="X421" s="25">
        <f t="shared" si="563"/>
        <v>1.6180522983114447</v>
      </c>
      <c r="Y421" s="77" t="str">
        <f t="shared" si="564"/>
        <v>REVISAR PRECIO</v>
      </c>
      <c r="Z421" s="106">
        <f t="shared" si="565"/>
        <v>139542.1875</v>
      </c>
      <c r="AA421" s="73">
        <v>53300</v>
      </c>
      <c r="AB421" s="88">
        <v>130000</v>
      </c>
      <c r="AC421" s="116">
        <v>140000</v>
      </c>
      <c r="AD421" s="74">
        <v>136125</v>
      </c>
      <c r="AE421" s="76">
        <f t="shared" si="566"/>
        <v>135375</v>
      </c>
      <c r="AF421" s="24">
        <f t="shared" si="567"/>
        <v>82075</v>
      </c>
      <c r="AG421" s="25">
        <f t="shared" si="568"/>
        <v>1.5398686679174485</v>
      </c>
      <c r="AH421" s="77" t="str">
        <f t="shared" si="569"/>
        <v>REVISAR PRECIO</v>
      </c>
      <c r="AI421" s="77">
        <f t="shared" si="570"/>
        <v>135375</v>
      </c>
      <c r="AJ421" s="73">
        <v>53300</v>
      </c>
      <c r="AK421" s="79">
        <v>163968.75</v>
      </c>
      <c r="AL421" s="79">
        <f>99000*1.25</f>
        <v>123750</v>
      </c>
      <c r="AM421" s="127">
        <v>148500</v>
      </c>
      <c r="AN421" s="128">
        <v>145000</v>
      </c>
      <c r="AO421" s="128">
        <v>130000</v>
      </c>
      <c r="AP421" s="133">
        <f t="shared" si="571"/>
        <v>142243.75</v>
      </c>
      <c r="AQ421" s="127">
        <f t="shared" si="572"/>
        <v>88943.75</v>
      </c>
      <c r="AR421" s="134">
        <f t="shared" si="573"/>
        <v>1.6687382739212007</v>
      </c>
      <c r="AS421" s="132">
        <f t="shared" si="574"/>
        <v>142243.75</v>
      </c>
      <c r="AT421" s="10">
        <v>39139</v>
      </c>
      <c r="AU421" s="10">
        <v>123750</v>
      </c>
      <c r="AV421" s="167">
        <v>495000</v>
      </c>
      <c r="AW421" s="168">
        <v>85600</v>
      </c>
      <c r="AX421" s="29">
        <f t="shared" si="575"/>
        <v>104675</v>
      </c>
      <c r="AY421" s="24">
        <f t="shared" si="576"/>
        <v>65536</v>
      </c>
      <c r="AZ421" s="25">
        <f t="shared" si="577"/>
        <v>1.6744423720585606</v>
      </c>
      <c r="BA421" s="24">
        <f t="shared" si="578"/>
        <v>455861</v>
      </c>
      <c r="BB421" s="169">
        <f t="shared" si="579"/>
        <v>11.647231661514091</v>
      </c>
      <c r="BC421" s="170">
        <f t="shared" si="580"/>
        <v>104675</v>
      </c>
      <c r="BD421" s="150"/>
      <c r="BE421" s="150"/>
      <c r="BF421" s="150"/>
      <c r="BG421" s="150"/>
      <c r="BH421" s="150"/>
      <c r="BI421" s="150"/>
      <c r="BJ421" s="150"/>
      <c r="BK421" s="150"/>
      <c r="BL421" s="150"/>
      <c r="BM421" s="10">
        <v>39716</v>
      </c>
      <c r="BN421" s="45">
        <v>110000</v>
      </c>
      <c r="BO421" s="45">
        <v>123750</v>
      </c>
      <c r="BP421" s="45">
        <v>130000</v>
      </c>
      <c r="BQ421" s="29">
        <f t="shared" si="585"/>
        <v>121250</v>
      </c>
      <c r="BR421" s="24">
        <f t="shared" si="586"/>
        <v>81534</v>
      </c>
      <c r="BS421" s="25">
        <f t="shared" si="587"/>
        <v>2.0529257729882162</v>
      </c>
      <c r="BT421" s="308">
        <f t="shared" si="588"/>
        <v>121250</v>
      </c>
    </row>
    <row r="422" spans="1:72" ht="45" customHeight="1">
      <c r="A422" s="91" t="s">
        <v>27</v>
      </c>
      <c r="B422" s="358" t="s">
        <v>2614</v>
      </c>
      <c r="C422" s="50" t="s">
        <v>229</v>
      </c>
      <c r="D422" s="99" t="s">
        <v>569</v>
      </c>
      <c r="E422" s="48" t="s">
        <v>13</v>
      </c>
      <c r="F422" s="10">
        <v>128380</v>
      </c>
      <c r="G422" s="33">
        <v>166968</v>
      </c>
      <c r="H422" s="31">
        <v>217058</v>
      </c>
      <c r="I422" s="35">
        <v>145942.39999999999</v>
      </c>
      <c r="J422" s="29">
        <f t="shared" si="422"/>
        <v>176656.13333333333</v>
      </c>
      <c r="K422" s="24">
        <f t="shared" si="423"/>
        <v>48276.133333333331</v>
      </c>
      <c r="L422" s="25">
        <f t="shared" si="424"/>
        <v>0.37604092018486784</v>
      </c>
      <c r="M422" s="69" t="str">
        <f t="shared" si="425"/>
        <v>REVISAR PRECIO</v>
      </c>
      <c r="N422" s="77">
        <f t="shared" si="371"/>
        <v>176656.13333333333</v>
      </c>
      <c r="O422" s="73">
        <v>66219</v>
      </c>
      <c r="P422" s="74">
        <v>109250</v>
      </c>
      <c r="Q422" s="74">
        <v>110000</v>
      </c>
      <c r="R422" s="75">
        <v>125875</v>
      </c>
      <c r="S422" s="61">
        <v>138230</v>
      </c>
      <c r="T422" s="60">
        <v>180000</v>
      </c>
      <c r="U422" s="74">
        <v>158964.5</v>
      </c>
      <c r="V422" s="76">
        <f t="shared" si="589"/>
        <v>137053.25</v>
      </c>
      <c r="W422" s="24">
        <f t="shared" si="562"/>
        <v>70834.25</v>
      </c>
      <c r="X422" s="25">
        <f t="shared" si="563"/>
        <v>1.0696967637687069</v>
      </c>
      <c r="Y422" s="77" t="str">
        <f t="shared" si="564"/>
        <v>REVISAR PRECIO</v>
      </c>
      <c r="Z422" s="106">
        <f t="shared" si="565"/>
        <v>137053.25</v>
      </c>
      <c r="AA422" s="73">
        <v>66219</v>
      </c>
      <c r="AB422" s="88">
        <v>100000</v>
      </c>
      <c r="AC422" s="116">
        <v>100000</v>
      </c>
      <c r="AD422" s="74">
        <v>104500</v>
      </c>
      <c r="AE422" s="76">
        <f t="shared" si="566"/>
        <v>101500</v>
      </c>
      <c r="AF422" s="24">
        <f t="shared" si="567"/>
        <v>35281</v>
      </c>
      <c r="AG422" s="25">
        <f t="shared" si="568"/>
        <v>0.5327927030006494</v>
      </c>
      <c r="AH422" s="77" t="str">
        <f t="shared" si="569"/>
        <v>REVISAR PRECIO</v>
      </c>
      <c r="AI422" s="77">
        <f t="shared" si="570"/>
        <v>101500</v>
      </c>
      <c r="AJ422" s="73">
        <v>66219</v>
      </c>
      <c r="AK422" s="79">
        <v>125875</v>
      </c>
      <c r="AL422" s="79">
        <v>95000</v>
      </c>
      <c r="AM422" s="127">
        <v>114000</v>
      </c>
      <c r="AN422" s="128">
        <v>105000</v>
      </c>
      <c r="AO422" s="128">
        <v>110000</v>
      </c>
      <c r="AP422" s="133">
        <f t="shared" si="571"/>
        <v>109975</v>
      </c>
      <c r="AQ422" s="127">
        <f t="shared" si="572"/>
        <v>43756</v>
      </c>
      <c r="AR422" s="134">
        <f t="shared" si="573"/>
        <v>0.66077711834971831</v>
      </c>
      <c r="AS422" s="132">
        <f t="shared" si="574"/>
        <v>109975</v>
      </c>
      <c r="AT422" s="10">
        <v>64919</v>
      </c>
      <c r="AU422" s="10">
        <v>95000</v>
      </c>
      <c r="AV422" s="167">
        <v>380000</v>
      </c>
      <c r="AW422" s="168">
        <v>93650</v>
      </c>
      <c r="AX422" s="29">
        <f t="shared" si="575"/>
        <v>94325</v>
      </c>
      <c r="AY422" s="24">
        <f t="shared" si="576"/>
        <v>29406</v>
      </c>
      <c r="AZ422" s="25">
        <f t="shared" si="577"/>
        <v>0.4529644634082472</v>
      </c>
      <c r="BA422" s="24">
        <f t="shared" si="578"/>
        <v>315081</v>
      </c>
      <c r="BB422" s="169">
        <f t="shared" si="579"/>
        <v>4.8534481430705956</v>
      </c>
      <c r="BC422" s="170">
        <f t="shared" si="580"/>
        <v>94325</v>
      </c>
      <c r="BD422" s="10">
        <v>59005</v>
      </c>
      <c r="BE422" s="10">
        <v>125000</v>
      </c>
      <c r="BF422" s="10">
        <v>132500</v>
      </c>
      <c r="BG422" s="268">
        <v>130000</v>
      </c>
      <c r="BH422" s="10">
        <v>140000</v>
      </c>
      <c r="BI422" s="76">
        <f t="shared" ref="BI422" si="590">AVERAGE(BE422,BF422,BG422,BH422)</f>
        <v>131875</v>
      </c>
      <c r="BJ422" s="24">
        <f t="shared" ref="BJ422" si="591">BI422-BD422</f>
        <v>72870</v>
      </c>
      <c r="BK422" s="25">
        <f t="shared" ref="BK422" si="592">+BJ422/BD422</f>
        <v>1.2349800864333531</v>
      </c>
      <c r="BL422" s="259">
        <f t="shared" ref="BL422" si="593">BI422</f>
        <v>131875</v>
      </c>
      <c r="BM422" s="10">
        <v>65887</v>
      </c>
      <c r="BN422" s="45">
        <v>125000</v>
      </c>
      <c r="BO422" s="45">
        <v>9500</v>
      </c>
      <c r="BP422" s="45">
        <v>110000</v>
      </c>
      <c r="BQ422" s="29">
        <f t="shared" si="585"/>
        <v>81500</v>
      </c>
      <c r="BR422" s="24">
        <f t="shared" si="586"/>
        <v>15613</v>
      </c>
      <c r="BS422" s="25">
        <f t="shared" si="587"/>
        <v>0.23696632112556346</v>
      </c>
      <c r="BT422" s="308">
        <f t="shared" si="588"/>
        <v>81500</v>
      </c>
    </row>
    <row r="423" spans="1:72" ht="45" customHeight="1">
      <c r="A423" s="91" t="s">
        <v>27</v>
      </c>
      <c r="B423" s="358" t="s">
        <v>2615</v>
      </c>
      <c r="C423" s="50" t="s">
        <v>230</v>
      </c>
      <c r="D423" s="99" t="s">
        <v>570</v>
      </c>
      <c r="E423" s="48" t="s">
        <v>13</v>
      </c>
      <c r="F423" s="10">
        <v>220077</v>
      </c>
      <c r="G423" s="31">
        <v>286227</v>
      </c>
      <c r="H423" s="31">
        <v>372095</v>
      </c>
      <c r="I423" s="35">
        <v>250183.6</v>
      </c>
      <c r="J423" s="29">
        <f t="shared" si="422"/>
        <v>302835.20000000001</v>
      </c>
      <c r="K423" s="24">
        <f t="shared" si="423"/>
        <v>82758.200000000012</v>
      </c>
      <c r="L423" s="25">
        <f t="shared" si="424"/>
        <v>0.37604202165605682</v>
      </c>
      <c r="M423" s="69" t="str">
        <f t="shared" si="425"/>
        <v>REVISAR PRECIO</v>
      </c>
      <c r="N423" s="77">
        <f t="shared" ref="N423:N634" si="594">J423</f>
        <v>302835.20000000001</v>
      </c>
      <c r="O423" s="73">
        <v>113511</v>
      </c>
      <c r="P423" s="74">
        <v>199244.4</v>
      </c>
      <c r="Q423" s="74">
        <v>215000</v>
      </c>
      <c r="R423" s="75">
        <v>229564.19999999998</v>
      </c>
      <c r="S423" s="61">
        <v>225859.99999999997</v>
      </c>
      <c r="T423" s="60">
        <v>250000</v>
      </c>
      <c r="U423" s="74">
        <v>259738.99999999994</v>
      </c>
      <c r="V423" s="76">
        <f t="shared" si="589"/>
        <v>229901.26666666669</v>
      </c>
      <c r="W423" s="24">
        <f t="shared" si="562"/>
        <v>116390.26666666669</v>
      </c>
      <c r="X423" s="25">
        <f t="shared" si="563"/>
        <v>1.0253655299192739</v>
      </c>
      <c r="Y423" s="77" t="str">
        <f t="shared" si="564"/>
        <v>REVISAR PRECIO</v>
      </c>
      <c r="Z423" s="106">
        <f t="shared" si="565"/>
        <v>229901.26666666669</v>
      </c>
      <c r="AA423" s="73">
        <v>113511</v>
      </c>
      <c r="AB423" s="88">
        <v>200000</v>
      </c>
      <c r="AC423" s="116">
        <v>200000</v>
      </c>
      <c r="AD423" s="74">
        <v>190581.6</v>
      </c>
      <c r="AE423" s="76">
        <f t="shared" si="566"/>
        <v>196860.53333333333</v>
      </c>
      <c r="AF423" s="24">
        <f t="shared" si="567"/>
        <v>83349.533333333326</v>
      </c>
      <c r="AG423" s="25">
        <f t="shared" si="568"/>
        <v>0.73428595760175952</v>
      </c>
      <c r="AH423" s="77" t="str">
        <f t="shared" si="569"/>
        <v>REVISAR PRECIO</v>
      </c>
      <c r="AI423" s="77">
        <f t="shared" si="570"/>
        <v>196860.53333333333</v>
      </c>
      <c r="AJ423" s="73">
        <v>113511</v>
      </c>
      <c r="AK423" s="79">
        <v>229564.19999999998</v>
      </c>
      <c r="AL423" s="79">
        <f>144380*1.2</f>
        <v>173256</v>
      </c>
      <c r="AM423" s="127">
        <v>207907.20000000001</v>
      </c>
      <c r="AN423" s="128">
        <v>191000</v>
      </c>
      <c r="AO423" s="128">
        <v>185000</v>
      </c>
      <c r="AP423" s="133">
        <f t="shared" si="571"/>
        <v>197345.47999999998</v>
      </c>
      <c r="AQ423" s="127">
        <f t="shared" si="572"/>
        <v>83834.479999999981</v>
      </c>
      <c r="AR423" s="134">
        <f t="shared" si="573"/>
        <v>0.73855820140779294</v>
      </c>
      <c r="AS423" s="132">
        <f t="shared" si="574"/>
        <v>197345.47999999998</v>
      </c>
      <c r="AT423" s="10">
        <v>129439</v>
      </c>
      <c r="AU423" s="10">
        <v>173256</v>
      </c>
      <c r="AV423" s="167">
        <v>693024</v>
      </c>
      <c r="AW423" s="168">
        <v>129700</v>
      </c>
      <c r="AX423" s="29">
        <f t="shared" si="575"/>
        <v>151478</v>
      </c>
      <c r="AY423" s="24">
        <f t="shared" si="576"/>
        <v>22039</v>
      </c>
      <c r="AZ423" s="25">
        <f t="shared" si="577"/>
        <v>0.17026553048153956</v>
      </c>
      <c r="BA423" s="24">
        <f t="shared" si="578"/>
        <v>563585</v>
      </c>
      <c r="BB423" s="169">
        <f t="shared" si="579"/>
        <v>4.3540586685620255</v>
      </c>
      <c r="BC423" s="170">
        <f t="shared" si="580"/>
        <v>151478</v>
      </c>
      <c r="BD423" s="150"/>
      <c r="BE423" s="150"/>
      <c r="BF423" s="150"/>
      <c r="BG423" s="150"/>
      <c r="BH423" s="150"/>
      <c r="BI423" s="150"/>
      <c r="BJ423" s="150"/>
      <c r="BK423" s="150"/>
      <c r="BL423" s="150"/>
      <c r="BM423" s="10">
        <v>120069</v>
      </c>
      <c r="BN423" s="45">
        <v>150000</v>
      </c>
      <c r="BO423" s="45">
        <v>173256</v>
      </c>
      <c r="BP423" s="45">
        <v>180000</v>
      </c>
      <c r="BQ423" s="29">
        <f t="shared" si="585"/>
        <v>167752</v>
      </c>
      <c r="BR423" s="24">
        <f t="shared" si="586"/>
        <v>47683</v>
      </c>
      <c r="BS423" s="25">
        <f t="shared" si="587"/>
        <v>0.39712998359276747</v>
      </c>
      <c r="BT423" s="308">
        <f t="shared" si="588"/>
        <v>167752</v>
      </c>
    </row>
    <row r="424" spans="1:72" ht="45" customHeight="1">
      <c r="A424" s="91" t="s">
        <v>27</v>
      </c>
      <c r="B424" s="358" t="s">
        <v>2616</v>
      </c>
      <c r="C424" s="50" t="s">
        <v>231</v>
      </c>
      <c r="D424" s="99" t="s">
        <v>571</v>
      </c>
      <c r="E424" s="48" t="s">
        <v>13</v>
      </c>
      <c r="F424" s="10">
        <v>57474</v>
      </c>
      <c r="G424" s="31">
        <v>74750</v>
      </c>
      <c r="H424" s="31">
        <v>97174</v>
      </c>
      <c r="I424" s="35">
        <v>65336.6</v>
      </c>
      <c r="J424" s="29">
        <f t="shared" si="422"/>
        <v>79086.866666666669</v>
      </c>
      <c r="K424" s="24">
        <f t="shared" si="423"/>
        <v>21612.866666666669</v>
      </c>
      <c r="L424" s="25">
        <f t="shared" si="424"/>
        <v>0.376045980211342</v>
      </c>
      <c r="M424" s="69" t="str">
        <f t="shared" si="425"/>
        <v>REVISAR PRECIO</v>
      </c>
      <c r="N424" s="77">
        <f t="shared" si="594"/>
        <v>79086.866666666669</v>
      </c>
      <c r="O424" s="73">
        <v>29645</v>
      </c>
      <c r="P424" s="74">
        <v>47437.5</v>
      </c>
      <c r="Q424" s="74">
        <v>65000</v>
      </c>
      <c r="R424" s="75">
        <v>54656.25</v>
      </c>
      <c r="S424" s="61">
        <v>55774.999999999993</v>
      </c>
      <c r="T424" s="60">
        <v>145000</v>
      </c>
      <c r="U424" s="74">
        <v>64141.249999999985</v>
      </c>
      <c r="V424" s="76">
        <f t="shared" si="589"/>
        <v>72001.666666666672</v>
      </c>
      <c r="W424" s="24">
        <f t="shared" si="562"/>
        <v>42356.666666666672</v>
      </c>
      <c r="X424" s="25">
        <f t="shared" si="563"/>
        <v>1.4287963119131952</v>
      </c>
      <c r="Y424" s="77" t="str">
        <f t="shared" si="564"/>
        <v>REVISAR PRECIO</v>
      </c>
      <c r="Z424" s="106">
        <f t="shared" si="565"/>
        <v>72001.666666666672</v>
      </c>
      <c r="AA424" s="73">
        <v>29645</v>
      </c>
      <c r="AB424" s="88">
        <v>55000</v>
      </c>
      <c r="AC424" s="116">
        <v>55000</v>
      </c>
      <c r="AD424" s="74">
        <v>45375</v>
      </c>
      <c r="AE424" s="76">
        <f t="shared" si="566"/>
        <v>51791.666666666664</v>
      </c>
      <c r="AF424" s="24">
        <f t="shared" si="567"/>
        <v>22146.666666666664</v>
      </c>
      <c r="AG424" s="25">
        <f t="shared" si="568"/>
        <v>0.74706246134817555</v>
      </c>
      <c r="AH424" s="77" t="str">
        <f t="shared" si="569"/>
        <v>REVISAR PRECIO</v>
      </c>
      <c r="AI424" s="77">
        <f t="shared" si="570"/>
        <v>51791.666666666664</v>
      </c>
      <c r="AJ424" s="73">
        <v>29645</v>
      </c>
      <c r="AK424" s="79">
        <v>54656.25</v>
      </c>
      <c r="AL424" s="79">
        <f>33000*1.25</f>
        <v>41250</v>
      </c>
      <c r="AM424" s="127">
        <v>49500</v>
      </c>
      <c r="AN424" s="128">
        <v>50000</v>
      </c>
      <c r="AO424" s="128">
        <v>50000</v>
      </c>
      <c r="AP424" s="133">
        <f t="shared" si="571"/>
        <v>49081.25</v>
      </c>
      <c r="AQ424" s="127">
        <f t="shared" si="572"/>
        <v>19436.25</v>
      </c>
      <c r="AR424" s="134">
        <f t="shared" si="573"/>
        <v>0.65563332771124982</v>
      </c>
      <c r="AS424" s="132">
        <f t="shared" si="574"/>
        <v>49081.25</v>
      </c>
      <c r="AT424" s="10">
        <v>38549</v>
      </c>
      <c r="AU424" s="10">
        <v>41250</v>
      </c>
      <c r="AV424" s="167">
        <v>123750</v>
      </c>
      <c r="AW424" s="168">
        <v>38500</v>
      </c>
      <c r="AX424" s="29">
        <f t="shared" si="575"/>
        <v>39875</v>
      </c>
      <c r="AY424" s="24">
        <f t="shared" si="576"/>
        <v>1326</v>
      </c>
      <c r="AZ424" s="25">
        <f t="shared" si="577"/>
        <v>3.4397779449531762E-2</v>
      </c>
      <c r="BA424" s="24">
        <f t="shared" si="578"/>
        <v>85201</v>
      </c>
      <c r="BB424" s="169">
        <f t="shared" si="579"/>
        <v>2.2102000051882018</v>
      </c>
      <c r="BC424" s="170">
        <f t="shared" si="580"/>
        <v>39875</v>
      </c>
      <c r="BD424" s="150"/>
      <c r="BE424" s="150"/>
      <c r="BF424" s="150"/>
      <c r="BG424" s="150"/>
      <c r="BH424" s="150"/>
      <c r="BI424" s="150"/>
      <c r="BJ424" s="150"/>
      <c r="BK424" s="150"/>
      <c r="BL424" s="150"/>
      <c r="BM424" s="10">
        <v>35511</v>
      </c>
      <c r="BN424" s="45">
        <v>52000</v>
      </c>
      <c r="BO424" s="45">
        <v>45483</v>
      </c>
      <c r="BP424" s="45">
        <v>41000</v>
      </c>
      <c r="BQ424" s="29">
        <f t="shared" si="585"/>
        <v>46161</v>
      </c>
      <c r="BR424" s="24">
        <f t="shared" si="586"/>
        <v>10650</v>
      </c>
      <c r="BS424" s="25">
        <f t="shared" si="587"/>
        <v>0.29990707104840753</v>
      </c>
      <c r="BT424" s="308">
        <f t="shared" si="588"/>
        <v>46161</v>
      </c>
    </row>
    <row r="425" spans="1:72" ht="45" customHeight="1">
      <c r="A425" s="91" t="s">
        <v>27</v>
      </c>
      <c r="B425" s="358" t="s">
        <v>2617</v>
      </c>
      <c r="C425" s="50" t="s">
        <v>232</v>
      </c>
      <c r="D425" s="99" t="s">
        <v>572</v>
      </c>
      <c r="E425" s="48" t="s">
        <v>13</v>
      </c>
      <c r="F425" s="10">
        <v>60235</v>
      </c>
      <c r="G425" s="31">
        <v>78341</v>
      </c>
      <c r="H425" s="31">
        <v>101843</v>
      </c>
      <c r="I425" s="35">
        <v>68475.399999999994</v>
      </c>
      <c r="J425" s="29">
        <f t="shared" si="422"/>
        <v>82886.46666666666</v>
      </c>
      <c r="K425" s="24">
        <f t="shared" si="423"/>
        <v>22651.46666666666</v>
      </c>
      <c r="L425" s="25">
        <f t="shared" si="424"/>
        <v>0.37605157577266807</v>
      </c>
      <c r="M425" s="69" t="str">
        <f t="shared" si="425"/>
        <v>REVISAR PRECIO</v>
      </c>
      <c r="N425" s="77">
        <f t="shared" si="594"/>
        <v>82886.46666666666</v>
      </c>
      <c r="O425" s="73">
        <v>31068</v>
      </c>
      <c r="P425" s="74">
        <v>48587.5</v>
      </c>
      <c r="Q425" s="74">
        <v>80000</v>
      </c>
      <c r="R425" s="75">
        <v>55981.25</v>
      </c>
      <c r="S425" s="61">
        <v>57614.999999999993</v>
      </c>
      <c r="T425" s="60">
        <v>178000</v>
      </c>
      <c r="U425" s="74">
        <v>66257.249999999985</v>
      </c>
      <c r="V425" s="76">
        <f t="shared" si="589"/>
        <v>81073.5</v>
      </c>
      <c r="W425" s="24">
        <f t="shared" si="562"/>
        <v>50005.5</v>
      </c>
      <c r="X425" s="25">
        <f t="shared" si="563"/>
        <v>1.6095500193124759</v>
      </c>
      <c r="Y425" s="77" t="str">
        <f t="shared" si="564"/>
        <v>REVISAR PRECIO</v>
      </c>
      <c r="Z425" s="106">
        <f t="shared" si="565"/>
        <v>81073.5</v>
      </c>
      <c r="AA425" s="73">
        <v>31068</v>
      </c>
      <c r="AB425" s="88">
        <v>50000</v>
      </c>
      <c r="AC425" s="116">
        <v>50000</v>
      </c>
      <c r="AD425" s="74">
        <v>46475</v>
      </c>
      <c r="AE425" s="76">
        <f t="shared" si="566"/>
        <v>48825</v>
      </c>
      <c r="AF425" s="24">
        <f t="shared" si="567"/>
        <v>17757</v>
      </c>
      <c r="AG425" s="25">
        <f t="shared" si="568"/>
        <v>0.57155272305909621</v>
      </c>
      <c r="AH425" s="77" t="str">
        <f t="shared" si="569"/>
        <v>REVISAR PRECIO</v>
      </c>
      <c r="AI425" s="77">
        <f t="shared" si="570"/>
        <v>48825</v>
      </c>
      <c r="AJ425" s="73">
        <v>31068</v>
      </c>
      <c r="AK425" s="79">
        <v>55981.25</v>
      </c>
      <c r="AL425" s="79">
        <f>33800*1.25</f>
        <v>42250</v>
      </c>
      <c r="AM425" s="127">
        <v>50700</v>
      </c>
      <c r="AN425" s="128">
        <v>40000</v>
      </c>
      <c r="AO425" s="128">
        <v>55000</v>
      </c>
      <c r="AP425" s="133">
        <f t="shared" si="571"/>
        <v>48786.25</v>
      </c>
      <c r="AQ425" s="127">
        <f t="shared" si="572"/>
        <v>17718.25</v>
      </c>
      <c r="AR425" s="134">
        <f t="shared" si="573"/>
        <v>0.57030545899317631</v>
      </c>
      <c r="AS425" s="132">
        <f t="shared" si="574"/>
        <v>48786.25</v>
      </c>
      <c r="AT425" s="10">
        <v>40770</v>
      </c>
      <c r="AU425" s="10">
        <v>42250</v>
      </c>
      <c r="AV425" s="167">
        <v>126750</v>
      </c>
      <c r="AW425" s="168">
        <v>42500</v>
      </c>
      <c r="AX425" s="29">
        <f t="shared" si="575"/>
        <v>42375</v>
      </c>
      <c r="AY425" s="24">
        <f t="shared" si="576"/>
        <v>1605</v>
      </c>
      <c r="AZ425" s="25">
        <f t="shared" si="577"/>
        <v>3.9367181751287714E-2</v>
      </c>
      <c r="BA425" s="24">
        <f t="shared" si="578"/>
        <v>85980</v>
      </c>
      <c r="BB425" s="169">
        <f t="shared" si="579"/>
        <v>2.1089036055923471</v>
      </c>
      <c r="BC425" s="170">
        <f t="shared" si="580"/>
        <v>42375</v>
      </c>
      <c r="BD425" s="150"/>
      <c r="BE425" s="150"/>
      <c r="BF425" s="150"/>
      <c r="BG425" s="150"/>
      <c r="BH425" s="150"/>
      <c r="BI425" s="150"/>
      <c r="BJ425" s="150"/>
      <c r="BK425" s="150"/>
      <c r="BL425" s="150"/>
      <c r="BM425" s="10">
        <v>37476</v>
      </c>
      <c r="BN425" s="45">
        <v>55000</v>
      </c>
      <c r="BO425" s="45">
        <v>48100</v>
      </c>
      <c r="BP425" s="45">
        <v>42000</v>
      </c>
      <c r="BQ425" s="29">
        <f t="shared" si="585"/>
        <v>48366.666666666664</v>
      </c>
      <c r="BR425" s="24">
        <f t="shared" si="586"/>
        <v>10890.666666666664</v>
      </c>
      <c r="BS425" s="25">
        <f t="shared" si="587"/>
        <v>0.29060376418685729</v>
      </c>
      <c r="BT425" s="308">
        <f t="shared" si="588"/>
        <v>48366.666666666664</v>
      </c>
    </row>
    <row r="426" spans="1:72" ht="45" customHeight="1">
      <c r="A426" s="91" t="s">
        <v>27</v>
      </c>
      <c r="B426" s="358" t="s">
        <v>2618</v>
      </c>
      <c r="C426" s="50" t="s">
        <v>233</v>
      </c>
      <c r="D426" s="99" t="s">
        <v>573</v>
      </c>
      <c r="E426" s="48" t="s">
        <v>13</v>
      </c>
      <c r="F426" s="10">
        <v>164212</v>
      </c>
      <c r="G426" s="31">
        <v>213570</v>
      </c>
      <c r="H426" s="31">
        <v>277641</v>
      </c>
      <c r="I426" s="35">
        <v>186676</v>
      </c>
      <c r="J426" s="29">
        <f t="shared" si="422"/>
        <v>225962.33333333334</v>
      </c>
      <c r="K426" s="24">
        <f t="shared" si="423"/>
        <v>61750.333333333343</v>
      </c>
      <c r="L426" s="25">
        <f t="shared" si="424"/>
        <v>0.37604032186035941</v>
      </c>
      <c r="M426" s="69" t="str">
        <f t="shared" si="425"/>
        <v>REVISAR PRECIO</v>
      </c>
      <c r="N426" s="77">
        <f t="shared" si="594"/>
        <v>225962.33333333334</v>
      </c>
      <c r="O426" s="73">
        <v>92266</v>
      </c>
      <c r="P426" s="74">
        <v>138230</v>
      </c>
      <c r="Q426" s="74">
        <v>140000</v>
      </c>
      <c r="R426" s="75">
        <v>159265</v>
      </c>
      <c r="S426" s="61">
        <v>138230</v>
      </c>
      <c r="T426" s="60">
        <v>220000</v>
      </c>
      <c r="U426" s="74">
        <v>158964.5</v>
      </c>
      <c r="V426" s="76">
        <f t="shared" si="589"/>
        <v>159114.91666666666</v>
      </c>
      <c r="W426" s="24">
        <f t="shared" si="562"/>
        <v>66848.916666666657</v>
      </c>
      <c r="X426" s="25">
        <f t="shared" si="563"/>
        <v>0.72452384049017682</v>
      </c>
      <c r="Y426" s="77" t="str">
        <f t="shared" si="564"/>
        <v>REVISAR PRECIO</v>
      </c>
      <c r="Z426" s="106">
        <f t="shared" si="565"/>
        <v>159114.91666666666</v>
      </c>
      <c r="AA426" s="73">
        <v>92266</v>
      </c>
      <c r="AB426" s="88">
        <v>140000</v>
      </c>
      <c r="AC426" s="116">
        <v>140000</v>
      </c>
      <c r="AD426" s="74">
        <v>132220</v>
      </c>
      <c r="AE426" s="76">
        <f t="shared" si="566"/>
        <v>137406.66666666666</v>
      </c>
      <c r="AF426" s="24">
        <f t="shared" si="567"/>
        <v>45140.666666666657</v>
      </c>
      <c r="AG426" s="25">
        <f t="shared" si="568"/>
        <v>0.48924486448601495</v>
      </c>
      <c r="AH426" s="77" t="str">
        <f t="shared" si="569"/>
        <v>REVISAR PRECIO</v>
      </c>
      <c r="AI426" s="77">
        <f t="shared" si="570"/>
        <v>137406.66666666666</v>
      </c>
      <c r="AJ426" s="73">
        <v>92266</v>
      </c>
      <c r="AK426" s="79">
        <v>159265</v>
      </c>
      <c r="AL426" s="79">
        <v>120200</v>
      </c>
      <c r="AM426" s="127">
        <v>144240</v>
      </c>
      <c r="AN426" s="128">
        <v>118000</v>
      </c>
      <c r="AO426" s="128">
        <v>120000</v>
      </c>
      <c r="AP426" s="133">
        <f t="shared" si="571"/>
        <v>132341</v>
      </c>
      <c r="AQ426" s="127">
        <f t="shared" si="572"/>
        <v>40075</v>
      </c>
      <c r="AR426" s="134">
        <f t="shared" si="573"/>
        <v>0.43434201114169901</v>
      </c>
      <c r="AS426" s="132">
        <f t="shared" si="574"/>
        <v>132341</v>
      </c>
      <c r="AT426" s="10">
        <v>108072</v>
      </c>
      <c r="AU426" s="10">
        <v>120200</v>
      </c>
      <c r="AV426" s="167">
        <v>120200</v>
      </c>
      <c r="AW426" s="168">
        <v>96800</v>
      </c>
      <c r="AX426" s="29">
        <f t="shared" si="575"/>
        <v>108500</v>
      </c>
      <c r="AY426" s="24">
        <f t="shared" si="576"/>
        <v>428</v>
      </c>
      <c r="AZ426" s="25">
        <f t="shared" si="577"/>
        <v>3.9603227477977643E-3</v>
      </c>
      <c r="BA426" s="24">
        <f t="shared" si="578"/>
        <v>12128</v>
      </c>
      <c r="BB426" s="169">
        <f t="shared" si="579"/>
        <v>0.11222148197497964</v>
      </c>
      <c r="BC426" s="170">
        <f t="shared" si="580"/>
        <v>108500</v>
      </c>
      <c r="BD426" s="150"/>
      <c r="BE426" s="150"/>
      <c r="BF426" s="150"/>
      <c r="BG426" s="150"/>
      <c r="BH426" s="150"/>
      <c r="BI426" s="150"/>
      <c r="BJ426" s="150"/>
      <c r="BK426" s="150"/>
      <c r="BL426" s="150"/>
      <c r="BM426" s="10">
        <v>102565</v>
      </c>
      <c r="BN426" s="45">
        <v>110000</v>
      </c>
      <c r="BO426" s="45">
        <v>127512</v>
      </c>
      <c r="BP426" s="45">
        <v>105000</v>
      </c>
      <c r="BQ426" s="29">
        <f t="shared" si="585"/>
        <v>114170.66666666667</v>
      </c>
      <c r="BR426" s="24">
        <f t="shared" si="586"/>
        <v>11605.666666666672</v>
      </c>
      <c r="BS426" s="25">
        <f t="shared" si="587"/>
        <v>0.11315425990022591</v>
      </c>
      <c r="BT426" s="308">
        <f t="shared" si="588"/>
        <v>114170.66666666667</v>
      </c>
    </row>
    <row r="427" spans="1:72" ht="45" customHeight="1">
      <c r="A427" s="91" t="s">
        <v>27</v>
      </c>
      <c r="B427" s="358" t="s">
        <v>2619</v>
      </c>
      <c r="C427" s="50" t="s">
        <v>234</v>
      </c>
      <c r="D427" s="99" t="s">
        <v>574</v>
      </c>
      <c r="E427" s="48" t="s">
        <v>13</v>
      </c>
      <c r="F427" s="10">
        <v>177114</v>
      </c>
      <c r="G427" s="31">
        <v>230351</v>
      </c>
      <c r="H427" s="31">
        <v>230351</v>
      </c>
      <c r="I427" s="35">
        <v>201343.4</v>
      </c>
      <c r="J427" s="29">
        <f t="shared" si="422"/>
        <v>220681.80000000002</v>
      </c>
      <c r="K427" s="24">
        <f t="shared" si="423"/>
        <v>43567.800000000017</v>
      </c>
      <c r="L427" s="25">
        <f t="shared" si="424"/>
        <v>0.24598733019411237</v>
      </c>
      <c r="M427" s="69">
        <f t="shared" si="425"/>
        <v>220681.80000000002</v>
      </c>
      <c r="N427" s="77">
        <f t="shared" si="594"/>
        <v>220681.80000000002</v>
      </c>
      <c r="O427" s="73">
        <v>91355</v>
      </c>
      <c r="P427" s="74">
        <v>136663.125</v>
      </c>
      <c r="Q427" s="74">
        <v>125000</v>
      </c>
      <c r="R427" s="75">
        <v>157459.6875</v>
      </c>
      <c r="S427" s="61">
        <v>136663.125</v>
      </c>
      <c r="T427" s="60">
        <v>210000</v>
      </c>
      <c r="U427" s="74">
        <v>157162.59375</v>
      </c>
      <c r="V427" s="76">
        <f t="shared" si="589"/>
        <v>153824.75520833334</v>
      </c>
      <c r="W427" s="24">
        <f t="shared" si="562"/>
        <v>62469.755208333343</v>
      </c>
      <c r="X427" s="25">
        <f t="shared" si="563"/>
        <v>0.68381320352836017</v>
      </c>
      <c r="Y427" s="77" t="str">
        <f t="shared" si="564"/>
        <v>REVISAR PRECIO</v>
      </c>
      <c r="Z427" s="106">
        <f t="shared" si="565"/>
        <v>153824.75520833334</v>
      </c>
      <c r="AA427" s="73">
        <v>91355</v>
      </c>
      <c r="AB427" s="88">
        <v>135000</v>
      </c>
      <c r="AC427" s="116">
        <v>155000</v>
      </c>
      <c r="AD427" s="74">
        <v>130721.25</v>
      </c>
      <c r="AE427" s="76">
        <f t="shared" si="566"/>
        <v>140240.41666666666</v>
      </c>
      <c r="AF427" s="24">
        <f t="shared" si="567"/>
        <v>48885.416666666657</v>
      </c>
      <c r="AG427" s="25">
        <f t="shared" si="568"/>
        <v>0.53511484501851736</v>
      </c>
      <c r="AH427" s="77" t="str">
        <f t="shared" si="569"/>
        <v>REVISAR PRECIO</v>
      </c>
      <c r="AI427" s="77">
        <f t="shared" si="570"/>
        <v>140240.41666666666</v>
      </c>
      <c r="AJ427" s="73">
        <v>91355</v>
      </c>
      <c r="AK427" s="79">
        <v>157459.6875</v>
      </c>
      <c r="AL427" s="79">
        <f>95070*1.25</f>
        <v>118837.5</v>
      </c>
      <c r="AM427" s="127">
        <v>142605</v>
      </c>
      <c r="AN427" s="128">
        <v>145000</v>
      </c>
      <c r="AO427" s="128">
        <v>130000</v>
      </c>
      <c r="AP427" s="133">
        <f t="shared" si="571"/>
        <v>138780.4375</v>
      </c>
      <c r="AQ427" s="127">
        <f t="shared" si="572"/>
        <v>47425.4375</v>
      </c>
      <c r="AR427" s="134">
        <f t="shared" si="573"/>
        <v>0.5191334628646489</v>
      </c>
      <c r="AS427" s="132">
        <f t="shared" si="574"/>
        <v>138780.4375</v>
      </c>
      <c r="AT427" s="10">
        <v>109753</v>
      </c>
      <c r="AU427" s="10">
        <v>118838</v>
      </c>
      <c r="AV427" s="167">
        <v>118838</v>
      </c>
      <c r="AW427" s="168">
        <v>108900</v>
      </c>
      <c r="AX427" s="29">
        <f t="shared" si="575"/>
        <v>113869</v>
      </c>
      <c r="AY427" s="24">
        <f t="shared" si="576"/>
        <v>4116</v>
      </c>
      <c r="AZ427" s="25">
        <f t="shared" si="577"/>
        <v>3.7502391734166717E-2</v>
      </c>
      <c r="BA427" s="24">
        <f t="shared" si="578"/>
        <v>9085</v>
      </c>
      <c r="BB427" s="169">
        <f t="shared" si="579"/>
        <v>8.2776780589141077E-2</v>
      </c>
      <c r="BC427" s="170">
        <f t="shared" si="580"/>
        <v>113869</v>
      </c>
      <c r="BD427" s="150"/>
      <c r="BE427" s="150"/>
      <c r="BF427" s="150"/>
      <c r="BG427" s="150"/>
      <c r="BH427" s="150"/>
      <c r="BI427" s="150"/>
      <c r="BJ427" s="150"/>
      <c r="BK427" s="150"/>
      <c r="BL427" s="150"/>
      <c r="BM427" s="10">
        <v>103125</v>
      </c>
      <c r="BN427" s="45">
        <v>110000</v>
      </c>
      <c r="BO427" s="45">
        <v>129499</v>
      </c>
      <c r="BP427" s="45">
        <v>110000</v>
      </c>
      <c r="BQ427" s="29">
        <f t="shared" si="585"/>
        <v>116499.66666666667</v>
      </c>
      <c r="BR427" s="24">
        <f t="shared" si="586"/>
        <v>13374.666666666672</v>
      </c>
      <c r="BS427" s="25">
        <f t="shared" si="587"/>
        <v>0.12969373737373743</v>
      </c>
      <c r="BT427" s="308">
        <f t="shared" si="588"/>
        <v>116499.66666666667</v>
      </c>
    </row>
    <row r="428" spans="1:72" ht="45" customHeight="1">
      <c r="A428" s="91" t="s">
        <v>27</v>
      </c>
      <c r="B428" s="358" t="s">
        <v>2620</v>
      </c>
      <c r="C428" s="50" t="s">
        <v>235</v>
      </c>
      <c r="D428" s="99" t="s">
        <v>575</v>
      </c>
      <c r="E428" s="48" t="s">
        <v>10</v>
      </c>
      <c r="F428" s="10">
        <v>243515</v>
      </c>
      <c r="G428" s="31">
        <v>316710</v>
      </c>
      <c r="H428" s="31">
        <v>411723</v>
      </c>
      <c r="I428" s="35">
        <v>276828</v>
      </c>
      <c r="J428" s="29">
        <f t="shared" si="422"/>
        <v>335087</v>
      </c>
      <c r="K428" s="24">
        <f t="shared" si="423"/>
        <v>91572</v>
      </c>
      <c r="L428" s="25">
        <f t="shared" si="424"/>
        <v>0.37604254358047756</v>
      </c>
      <c r="M428" s="69" t="str">
        <f t="shared" si="425"/>
        <v>REVISAR PRECIO</v>
      </c>
      <c r="N428" s="77">
        <f t="shared" si="594"/>
        <v>335087</v>
      </c>
      <c r="O428" s="73">
        <v>104350</v>
      </c>
      <c r="P428" s="74">
        <v>27025</v>
      </c>
      <c r="Q428" s="74">
        <v>45000</v>
      </c>
      <c r="R428" s="75">
        <v>31137.5</v>
      </c>
      <c r="S428" s="61">
        <v>33005</v>
      </c>
      <c r="T428" s="60">
        <v>125000</v>
      </c>
      <c r="U428" s="74">
        <v>37955.75</v>
      </c>
      <c r="V428" s="76">
        <f t="shared" si="589"/>
        <v>49853.875</v>
      </c>
      <c r="W428" s="24">
        <f t="shared" si="562"/>
        <v>-54496.125</v>
      </c>
      <c r="X428" s="25">
        <f t="shared" si="563"/>
        <v>-0.5222436511739339</v>
      </c>
      <c r="Y428" s="77">
        <f t="shared" si="564"/>
        <v>49853.875</v>
      </c>
      <c r="Z428" s="106">
        <f t="shared" si="565"/>
        <v>49853.875</v>
      </c>
      <c r="AA428" s="73">
        <v>104350</v>
      </c>
      <c r="AB428" s="88">
        <v>25000</v>
      </c>
      <c r="AC428" s="116">
        <v>25000</v>
      </c>
      <c r="AD428" s="74">
        <v>25850</v>
      </c>
      <c r="AE428" s="76">
        <f t="shared" si="566"/>
        <v>25283.333333333332</v>
      </c>
      <c r="AF428" s="24">
        <f t="shared" si="567"/>
        <v>-79066.666666666672</v>
      </c>
      <c r="AG428" s="25">
        <f t="shared" si="568"/>
        <v>-0.75770643667145832</v>
      </c>
      <c r="AH428" s="77">
        <f t="shared" si="569"/>
        <v>25283.333333333332</v>
      </c>
      <c r="AI428" s="77">
        <f t="shared" si="570"/>
        <v>25283.333333333332</v>
      </c>
      <c r="AJ428" s="73">
        <v>104350</v>
      </c>
      <c r="AK428" s="79">
        <v>31137.5</v>
      </c>
      <c r="AL428" s="79">
        <v>23500</v>
      </c>
      <c r="AM428" s="127">
        <v>28200</v>
      </c>
      <c r="AN428" s="128">
        <v>30000</v>
      </c>
      <c r="AO428" s="128">
        <v>25000</v>
      </c>
      <c r="AP428" s="133">
        <f t="shared" si="571"/>
        <v>27567.5</v>
      </c>
      <c r="AQ428" s="127">
        <f t="shared" si="572"/>
        <v>-76782.5</v>
      </c>
      <c r="AR428" s="134">
        <f t="shared" si="573"/>
        <v>-0.73581696214662196</v>
      </c>
      <c r="AS428" s="132">
        <f t="shared" si="574"/>
        <v>27567.5</v>
      </c>
      <c r="AT428" s="10">
        <v>103610</v>
      </c>
      <c r="AU428" s="10">
        <v>23500</v>
      </c>
      <c r="AV428" s="167">
        <v>23500</v>
      </c>
      <c r="AW428" s="168">
        <v>35800</v>
      </c>
      <c r="AX428" s="29">
        <f t="shared" si="575"/>
        <v>29650</v>
      </c>
      <c r="AY428" s="24">
        <f t="shared" si="576"/>
        <v>-73960</v>
      </c>
      <c r="AZ428" s="25">
        <f t="shared" si="577"/>
        <v>-0.71383071132130105</v>
      </c>
      <c r="BA428" s="24">
        <f t="shared" si="578"/>
        <v>-80110</v>
      </c>
      <c r="BB428" s="169">
        <f t="shared" si="579"/>
        <v>-0.77318791622430272</v>
      </c>
      <c r="BC428" s="170">
        <f t="shared" si="580"/>
        <v>29650</v>
      </c>
      <c r="BD428" s="150"/>
      <c r="BE428" s="150"/>
      <c r="BF428" s="150"/>
      <c r="BG428" s="150"/>
      <c r="BH428" s="150"/>
      <c r="BI428" s="150"/>
      <c r="BJ428" s="150"/>
      <c r="BK428" s="150"/>
      <c r="BL428" s="150"/>
      <c r="BM428" s="319">
        <v>100980</v>
      </c>
      <c r="BN428" s="317">
        <v>65000</v>
      </c>
      <c r="BO428" s="317">
        <v>121124</v>
      </c>
      <c r="BP428" s="45">
        <v>22000</v>
      </c>
      <c r="BQ428" s="29">
        <f t="shared" si="585"/>
        <v>69374.666666666672</v>
      </c>
      <c r="BR428" s="24">
        <f t="shared" si="586"/>
        <v>-31605.333333333328</v>
      </c>
      <c r="BS428" s="25">
        <f t="shared" si="587"/>
        <v>-0.31298606984881489</v>
      </c>
      <c r="BT428" s="308">
        <f t="shared" si="588"/>
        <v>69374.666666666672</v>
      </c>
    </row>
    <row r="429" spans="1:72" ht="45" customHeight="1">
      <c r="A429" s="91" t="s">
        <v>27</v>
      </c>
      <c r="B429" s="358" t="s">
        <v>2621</v>
      </c>
      <c r="C429" s="50" t="s">
        <v>236</v>
      </c>
      <c r="D429" s="99" t="s">
        <v>576</v>
      </c>
      <c r="E429" s="48" t="s">
        <v>13</v>
      </c>
      <c r="F429" s="10">
        <v>193545</v>
      </c>
      <c r="G429" s="31">
        <v>251721</v>
      </c>
      <c r="H429" s="31">
        <v>327237</v>
      </c>
      <c r="I429" s="35">
        <v>220022.8</v>
      </c>
      <c r="J429" s="29">
        <f t="shared" si="422"/>
        <v>266326.93333333335</v>
      </c>
      <c r="K429" s="24">
        <f t="shared" si="423"/>
        <v>72781.933333333349</v>
      </c>
      <c r="L429" s="25">
        <f t="shared" si="424"/>
        <v>0.3760465697038588</v>
      </c>
      <c r="M429" s="69" t="str">
        <f t="shared" si="425"/>
        <v>REVISAR PRECIO</v>
      </c>
      <c r="N429" s="77">
        <f t="shared" si="594"/>
        <v>266326.93333333335</v>
      </c>
      <c r="O429" s="73">
        <v>99822</v>
      </c>
      <c r="P429" s="74">
        <v>131560</v>
      </c>
      <c r="Q429" s="74">
        <v>150000</v>
      </c>
      <c r="R429" s="75">
        <v>151580</v>
      </c>
      <c r="S429" s="61">
        <v>131560</v>
      </c>
      <c r="T429" s="60">
        <v>240000</v>
      </c>
      <c r="U429" s="74">
        <v>151294</v>
      </c>
      <c r="V429" s="76">
        <f t="shared" si="589"/>
        <v>159332.33333333334</v>
      </c>
      <c r="W429" s="24">
        <f t="shared" si="562"/>
        <v>59510.333333333343</v>
      </c>
      <c r="X429" s="25">
        <f t="shared" si="563"/>
        <v>0.59616450615428807</v>
      </c>
      <c r="Y429" s="77" t="str">
        <f t="shared" si="564"/>
        <v>REVISAR PRECIO</v>
      </c>
      <c r="Z429" s="106">
        <f t="shared" si="565"/>
        <v>159332.33333333334</v>
      </c>
      <c r="AA429" s="73">
        <v>99822</v>
      </c>
      <c r="AB429" s="88">
        <v>125000</v>
      </c>
      <c r="AC429" s="116">
        <v>135000</v>
      </c>
      <c r="AD429" s="74">
        <v>125840</v>
      </c>
      <c r="AE429" s="76">
        <f t="shared" si="566"/>
        <v>128613.33333333333</v>
      </c>
      <c r="AF429" s="24">
        <f t="shared" si="567"/>
        <v>28791.333333333328</v>
      </c>
      <c r="AG429" s="25">
        <f t="shared" si="568"/>
        <v>0.2884267329179272</v>
      </c>
      <c r="AH429" s="77">
        <f t="shared" si="569"/>
        <v>128613.33333333333</v>
      </c>
      <c r="AI429" s="77">
        <f t="shared" si="570"/>
        <v>128613.33333333333</v>
      </c>
      <c r="AJ429" s="73">
        <v>99822</v>
      </c>
      <c r="AK429" s="79">
        <v>151580</v>
      </c>
      <c r="AL429" s="79">
        <f>88000*1.3</f>
        <v>114400</v>
      </c>
      <c r="AM429" s="127">
        <v>137280</v>
      </c>
      <c r="AN429" s="128">
        <v>130000</v>
      </c>
      <c r="AO429" s="128">
        <v>125000</v>
      </c>
      <c r="AP429" s="133">
        <f t="shared" si="571"/>
        <v>131652</v>
      </c>
      <c r="AQ429" s="127">
        <f t="shared" si="572"/>
        <v>31830</v>
      </c>
      <c r="AR429" s="134">
        <f t="shared" si="573"/>
        <v>0.31886758430005407</v>
      </c>
      <c r="AS429" s="132">
        <f t="shared" si="574"/>
        <v>131652</v>
      </c>
      <c r="AT429" s="10">
        <v>99472</v>
      </c>
      <c r="AU429" s="10">
        <v>114400</v>
      </c>
      <c r="AV429" s="167">
        <v>457600</v>
      </c>
      <c r="AW429" s="168">
        <v>98600</v>
      </c>
      <c r="AX429" s="29">
        <f t="shared" si="575"/>
        <v>106500</v>
      </c>
      <c r="AY429" s="24">
        <f t="shared" si="576"/>
        <v>7028</v>
      </c>
      <c r="AZ429" s="25">
        <f t="shared" si="577"/>
        <v>7.065304809393598E-2</v>
      </c>
      <c r="BA429" s="24">
        <f t="shared" si="578"/>
        <v>358128</v>
      </c>
      <c r="BB429" s="169">
        <f t="shared" si="579"/>
        <v>3.6002895287115972</v>
      </c>
      <c r="BC429" s="170">
        <f t="shared" si="580"/>
        <v>106500</v>
      </c>
      <c r="BD429" s="150"/>
      <c r="BE429" s="150"/>
      <c r="BF429" s="150"/>
      <c r="BG429" s="150"/>
      <c r="BH429" s="150"/>
      <c r="BI429" s="150"/>
      <c r="BJ429" s="150"/>
      <c r="BK429" s="150"/>
      <c r="BL429" s="150"/>
      <c r="BM429" s="10">
        <v>96196</v>
      </c>
      <c r="BN429" s="45">
        <v>140000</v>
      </c>
      <c r="BO429" s="45">
        <v>117367</v>
      </c>
      <c r="BP429" s="45">
        <v>125000</v>
      </c>
      <c r="BQ429" s="29">
        <f t="shared" si="585"/>
        <v>127455.66666666667</v>
      </c>
      <c r="BR429" s="24">
        <f t="shared" si="586"/>
        <v>31259.666666666672</v>
      </c>
      <c r="BS429" s="25">
        <f t="shared" si="587"/>
        <v>0.32495807171469365</v>
      </c>
      <c r="BT429" s="308">
        <f t="shared" si="588"/>
        <v>127455.66666666667</v>
      </c>
    </row>
    <row r="430" spans="1:72" ht="35.450000000000003" customHeight="1">
      <c r="A430" s="91" t="s">
        <v>27</v>
      </c>
      <c r="B430" s="358" t="s">
        <v>2622</v>
      </c>
      <c r="C430" s="50" t="s">
        <v>237</v>
      </c>
      <c r="D430" s="99" t="s">
        <v>577</v>
      </c>
      <c r="E430" s="48" t="s">
        <v>12</v>
      </c>
      <c r="F430" s="10">
        <v>30382</v>
      </c>
      <c r="G430" s="39">
        <v>39515</v>
      </c>
      <c r="H430" s="42">
        <v>51369</v>
      </c>
      <c r="I430" s="35">
        <v>34538.6</v>
      </c>
      <c r="J430" s="29">
        <f t="shared" ref="J430:J641" si="595">AVERAGE(G430,H430,I430)</f>
        <v>41807.533333333333</v>
      </c>
      <c r="K430" s="24">
        <f t="shared" ref="K430:K641" si="596">J430-F430</f>
        <v>11425.533333333333</v>
      </c>
      <c r="L430" s="25">
        <f t="shared" ref="L430:L641" si="597">+K430/F430</f>
        <v>0.37606258091413775</v>
      </c>
      <c r="M430" s="69" t="str">
        <f t="shared" ref="M430:M641" si="598">+IF(L430&lt;35%,J430,"REVISAR PRECIO")</f>
        <v>REVISAR PRECIO</v>
      </c>
      <c r="N430" s="77">
        <f t="shared" si="594"/>
        <v>41807.533333333333</v>
      </c>
      <c r="O430" s="73">
        <v>7746</v>
      </c>
      <c r="P430" s="74">
        <v>8050</v>
      </c>
      <c r="Q430" s="74">
        <v>12000</v>
      </c>
      <c r="R430" s="75">
        <v>9275</v>
      </c>
      <c r="S430" s="61">
        <v>8049.9999999999991</v>
      </c>
      <c r="T430" s="60"/>
      <c r="U430" s="74">
        <v>9257.4999999999982</v>
      </c>
      <c r="V430" s="76">
        <f t="shared" si="589"/>
        <v>9326.5</v>
      </c>
      <c r="W430" s="24">
        <f t="shared" si="562"/>
        <v>1580.5</v>
      </c>
      <c r="X430" s="25">
        <f t="shared" si="563"/>
        <v>0.20404079524916086</v>
      </c>
      <c r="Y430" s="77">
        <f t="shared" si="564"/>
        <v>9326.5</v>
      </c>
      <c r="Z430" s="106">
        <f t="shared" si="565"/>
        <v>9326.5</v>
      </c>
      <c r="AA430" s="73">
        <v>7746</v>
      </c>
      <c r="AB430" s="88">
        <v>9000</v>
      </c>
      <c r="AC430" s="116">
        <v>9000</v>
      </c>
      <c r="AD430" s="74">
        <v>7700</v>
      </c>
      <c r="AE430" s="76">
        <f t="shared" si="566"/>
        <v>8566.6666666666661</v>
      </c>
      <c r="AF430" s="24">
        <f t="shared" si="567"/>
        <v>820.66666666666606</v>
      </c>
      <c r="AG430" s="25">
        <f t="shared" si="568"/>
        <v>0.10594715552112911</v>
      </c>
      <c r="AH430" s="77">
        <f t="shared" si="569"/>
        <v>8566.6666666666661</v>
      </c>
      <c r="AI430" s="77">
        <f t="shared" si="570"/>
        <v>8566.6666666666661</v>
      </c>
      <c r="AJ430" s="73">
        <v>7746</v>
      </c>
      <c r="AK430" s="79">
        <v>9275</v>
      </c>
      <c r="AL430" s="79">
        <v>7000</v>
      </c>
      <c r="AM430" s="127">
        <v>8400</v>
      </c>
      <c r="AN430" s="128">
        <v>6500</v>
      </c>
      <c r="AO430" s="128">
        <v>7000</v>
      </c>
      <c r="AP430" s="133">
        <f t="shared" si="571"/>
        <v>7635</v>
      </c>
      <c r="AQ430" s="127">
        <f t="shared" si="572"/>
        <v>-111</v>
      </c>
      <c r="AR430" s="134">
        <f t="shared" si="573"/>
        <v>-1.4329976762199844E-2</v>
      </c>
      <c r="AS430" s="132">
        <f t="shared" si="574"/>
        <v>7635</v>
      </c>
      <c r="AT430" s="250"/>
      <c r="AU430" s="250"/>
      <c r="AV430" s="250"/>
      <c r="AW430" s="250"/>
      <c r="AX430" s="250"/>
      <c r="AY430" s="250"/>
      <c r="AZ430" s="250"/>
      <c r="BA430" s="250"/>
      <c r="BB430" s="250"/>
      <c r="BC430" s="251"/>
      <c r="BD430" s="150"/>
      <c r="BE430" s="150"/>
      <c r="BF430" s="150"/>
      <c r="BG430" s="150"/>
      <c r="BH430" s="150"/>
      <c r="BI430" s="150"/>
      <c r="BJ430" s="150"/>
      <c r="BK430" s="150"/>
      <c r="BL430" s="150"/>
      <c r="BM430" s="293"/>
      <c r="BN430" s="293"/>
      <c r="BO430" s="293"/>
      <c r="BP430" s="293"/>
      <c r="BQ430" s="293"/>
      <c r="BR430" s="293"/>
      <c r="BS430" s="293"/>
      <c r="BT430" s="293"/>
    </row>
    <row r="431" spans="1:72" s="1" customFormat="1" ht="57.95" customHeight="1">
      <c r="A431" s="91"/>
      <c r="B431" s="358" t="s">
        <v>2623</v>
      </c>
      <c r="C431" s="50" t="s">
        <v>1664</v>
      </c>
      <c r="D431" s="177" t="s">
        <v>973</v>
      </c>
      <c r="E431" s="62" t="s">
        <v>13</v>
      </c>
      <c r="F431" s="10"/>
      <c r="G431" s="39"/>
      <c r="H431" s="42"/>
      <c r="I431" s="183"/>
      <c r="J431" s="29"/>
      <c r="K431" s="24"/>
      <c r="L431" s="25"/>
      <c r="M431" s="69"/>
      <c r="N431" s="77"/>
      <c r="O431" s="73"/>
      <c r="P431" s="74"/>
      <c r="Q431" s="74"/>
      <c r="R431" s="75"/>
      <c r="S431" s="61"/>
      <c r="T431" s="60"/>
      <c r="U431" s="74"/>
      <c r="V431" s="76"/>
      <c r="W431" s="24"/>
      <c r="X431" s="25"/>
      <c r="Y431" s="77"/>
      <c r="Z431" s="106"/>
      <c r="AA431" s="73"/>
      <c r="AB431" s="88"/>
      <c r="AC431" s="116"/>
      <c r="AD431" s="74"/>
      <c r="AE431" s="76"/>
      <c r="AF431" s="24"/>
      <c r="AG431" s="25"/>
      <c r="AH431" s="77"/>
      <c r="AI431" s="77"/>
      <c r="AJ431" s="73"/>
      <c r="AK431" s="79"/>
      <c r="AL431" s="79"/>
      <c r="AM431" s="127"/>
      <c r="AN431" s="128"/>
      <c r="AO431" s="128"/>
      <c r="AP431" s="124"/>
      <c r="AQ431" s="125"/>
      <c r="AR431" s="126"/>
      <c r="AS431" s="132"/>
      <c r="AT431" s="10">
        <v>52807</v>
      </c>
      <c r="AU431" s="10">
        <v>67500</v>
      </c>
      <c r="AV431" s="167">
        <v>135000</v>
      </c>
      <c r="AW431" s="168">
        <v>65400</v>
      </c>
      <c r="AX431" s="29">
        <f t="shared" ref="AX431:AX437" si="599">AVERAGE(AU431,AW431)</f>
        <v>66450</v>
      </c>
      <c r="AY431" s="24">
        <f t="shared" ref="AY431:AY437" si="600">AX431-AT431</f>
        <v>13643</v>
      </c>
      <c r="AZ431" s="25">
        <f t="shared" ref="AZ431:AZ437" si="601">+AY431/AT431</f>
        <v>0.2583558997860132</v>
      </c>
      <c r="BA431" s="24">
        <f t="shared" ref="BA431:BA437" si="602">AV431-AT431</f>
        <v>82193</v>
      </c>
      <c r="BB431" s="169">
        <f t="shared" ref="BB431:BB437" si="603">+BA431/AT431</f>
        <v>1.5564792546442707</v>
      </c>
      <c r="BC431" s="170">
        <f t="shared" ref="BC431:BC437" si="604">AX431</f>
        <v>66450</v>
      </c>
      <c r="BD431" s="10">
        <v>45886</v>
      </c>
      <c r="BE431" s="10">
        <v>115000</v>
      </c>
      <c r="BF431" s="10">
        <v>130000</v>
      </c>
      <c r="BG431" s="268">
        <v>125000</v>
      </c>
      <c r="BH431" s="10">
        <v>120000</v>
      </c>
      <c r="BI431" s="76">
        <f t="shared" ref="BI431" si="605">AVERAGE(BE431,BF431,BG431,BH431)</f>
        <v>122500</v>
      </c>
      <c r="BJ431" s="24">
        <f t="shared" ref="BJ431" si="606">BI431-BD431</f>
        <v>76614</v>
      </c>
      <c r="BK431" s="25">
        <f t="shared" ref="BK431" si="607">+BJ431/BD431</f>
        <v>1.6696595911607026</v>
      </c>
      <c r="BL431" s="259">
        <f t="shared" ref="BL431" si="608">BI431</f>
        <v>122500</v>
      </c>
      <c r="BM431" s="10">
        <v>50984</v>
      </c>
      <c r="BN431" s="45">
        <v>98000</v>
      </c>
      <c r="BO431" s="45">
        <v>62189</v>
      </c>
      <c r="BP431" s="45">
        <v>75000</v>
      </c>
      <c r="BQ431" s="29">
        <f t="shared" ref="BQ431" si="609">AVERAGE(BN431,BO431,BP431)</f>
        <v>78396.333333333328</v>
      </c>
      <c r="BR431" s="24">
        <f t="shared" ref="BR431" si="610">BQ431-BM431</f>
        <v>27412.333333333328</v>
      </c>
      <c r="BS431" s="25">
        <f t="shared" ref="BS431" si="611">+BR431/BM431</f>
        <v>0.53766541137088752</v>
      </c>
      <c r="BT431" s="308">
        <f t="shared" ref="BT431" si="612">BQ431</f>
        <v>78396.333333333328</v>
      </c>
    </row>
    <row r="432" spans="1:72" s="1" customFormat="1" ht="35.450000000000003" customHeight="1">
      <c r="A432" s="91"/>
      <c r="B432" s="358" t="s">
        <v>2624</v>
      </c>
      <c r="C432" s="50" t="s">
        <v>1665</v>
      </c>
      <c r="D432" s="177" t="s">
        <v>974</v>
      </c>
      <c r="E432" s="62" t="s">
        <v>10</v>
      </c>
      <c r="F432" s="10"/>
      <c r="G432" s="39"/>
      <c r="H432" s="42"/>
      <c r="I432" s="183"/>
      <c r="J432" s="29"/>
      <c r="K432" s="24"/>
      <c r="L432" s="25"/>
      <c r="M432" s="69"/>
      <c r="N432" s="77"/>
      <c r="O432" s="73"/>
      <c r="P432" s="74"/>
      <c r="Q432" s="74"/>
      <c r="R432" s="75"/>
      <c r="S432" s="61"/>
      <c r="T432" s="60"/>
      <c r="U432" s="74"/>
      <c r="V432" s="76"/>
      <c r="W432" s="24"/>
      <c r="X432" s="25"/>
      <c r="Y432" s="77"/>
      <c r="Z432" s="106"/>
      <c r="AA432" s="73"/>
      <c r="AB432" s="88"/>
      <c r="AC432" s="116"/>
      <c r="AD432" s="74"/>
      <c r="AE432" s="76"/>
      <c r="AF432" s="24"/>
      <c r="AG432" s="25"/>
      <c r="AH432" s="77"/>
      <c r="AI432" s="77"/>
      <c r="AJ432" s="73"/>
      <c r="AK432" s="79"/>
      <c r="AL432" s="79"/>
      <c r="AM432" s="127"/>
      <c r="AN432" s="128"/>
      <c r="AO432" s="128"/>
      <c r="AP432" s="124"/>
      <c r="AQ432" s="125"/>
      <c r="AR432" s="126"/>
      <c r="AS432" s="132"/>
      <c r="AT432" s="10">
        <v>12540</v>
      </c>
      <c r="AU432" s="10">
        <v>700</v>
      </c>
      <c r="AV432" s="167">
        <v>2100</v>
      </c>
      <c r="AW432" s="168">
        <v>12500</v>
      </c>
      <c r="AX432" s="29">
        <f t="shared" si="599"/>
        <v>6600</v>
      </c>
      <c r="AY432" s="24">
        <f t="shared" si="600"/>
        <v>-5940</v>
      </c>
      <c r="AZ432" s="25">
        <f t="shared" si="601"/>
        <v>-0.47368421052631576</v>
      </c>
      <c r="BA432" s="24">
        <f t="shared" si="602"/>
        <v>-10440</v>
      </c>
      <c r="BB432" s="169">
        <f t="shared" si="603"/>
        <v>-0.83253588516746413</v>
      </c>
      <c r="BC432" s="170">
        <f t="shared" si="604"/>
        <v>6600</v>
      </c>
      <c r="BD432" s="150"/>
      <c r="BE432" s="150"/>
      <c r="BF432" s="150"/>
      <c r="BG432" s="150"/>
      <c r="BH432" s="150"/>
      <c r="BI432" s="150"/>
      <c r="BJ432" s="150"/>
      <c r="BK432" s="150"/>
      <c r="BL432" s="150"/>
      <c r="BM432" s="293"/>
      <c r="BN432" s="293"/>
      <c r="BO432" s="293"/>
      <c r="BP432" s="293"/>
      <c r="BQ432" s="293"/>
      <c r="BR432" s="293"/>
      <c r="BS432" s="293"/>
      <c r="BT432" s="293"/>
    </row>
    <row r="433" spans="1:72" s="1" customFormat="1" ht="35.450000000000003" customHeight="1">
      <c r="A433" s="91"/>
      <c r="B433" s="358" t="s">
        <v>2625</v>
      </c>
      <c r="C433" s="50" t="s">
        <v>1666</v>
      </c>
      <c r="D433" s="177" t="s">
        <v>975</v>
      </c>
      <c r="E433" s="62" t="s">
        <v>13</v>
      </c>
      <c r="F433" s="10"/>
      <c r="G433" s="39"/>
      <c r="H433" s="42"/>
      <c r="I433" s="183"/>
      <c r="J433" s="29"/>
      <c r="K433" s="24"/>
      <c r="L433" s="25"/>
      <c r="M433" s="69"/>
      <c r="N433" s="77"/>
      <c r="O433" s="73"/>
      <c r="P433" s="74"/>
      <c r="Q433" s="74"/>
      <c r="R433" s="75"/>
      <c r="S433" s="61"/>
      <c r="T433" s="60"/>
      <c r="U433" s="74"/>
      <c r="V433" s="76"/>
      <c r="W433" s="24"/>
      <c r="X433" s="25"/>
      <c r="Y433" s="77"/>
      <c r="Z433" s="106"/>
      <c r="AA433" s="73"/>
      <c r="AB433" s="88"/>
      <c r="AC433" s="116"/>
      <c r="AD433" s="74"/>
      <c r="AE433" s="76"/>
      <c r="AF433" s="24"/>
      <c r="AG433" s="25"/>
      <c r="AH433" s="77"/>
      <c r="AI433" s="77"/>
      <c r="AJ433" s="73"/>
      <c r="AK433" s="79"/>
      <c r="AL433" s="79"/>
      <c r="AM433" s="127"/>
      <c r="AN433" s="128"/>
      <c r="AO433" s="128"/>
      <c r="AP433" s="124"/>
      <c r="AQ433" s="125"/>
      <c r="AR433" s="126"/>
      <c r="AS433" s="132"/>
      <c r="AT433" s="10">
        <v>74944</v>
      </c>
      <c r="AU433" s="10"/>
      <c r="AV433" s="167">
        <v>3000</v>
      </c>
      <c r="AW433" s="168">
        <v>30200</v>
      </c>
      <c r="AX433" s="29">
        <f t="shared" si="599"/>
        <v>30200</v>
      </c>
      <c r="AY433" s="24">
        <f t="shared" si="600"/>
        <v>-44744</v>
      </c>
      <c r="AZ433" s="25">
        <f t="shared" si="601"/>
        <v>-0.59703245089666956</v>
      </c>
      <c r="BA433" s="24">
        <f t="shared" si="602"/>
        <v>-71944</v>
      </c>
      <c r="BB433" s="169">
        <f t="shared" si="603"/>
        <v>-0.95997011101622542</v>
      </c>
      <c r="BC433" s="170">
        <f t="shared" si="604"/>
        <v>30200</v>
      </c>
      <c r="BD433" s="150"/>
      <c r="BE433" s="150"/>
      <c r="BF433" s="150"/>
      <c r="BG433" s="150"/>
      <c r="BH433" s="150"/>
      <c r="BI433" s="150"/>
      <c r="BJ433" s="150"/>
      <c r="BK433" s="150"/>
      <c r="BL433" s="150"/>
      <c r="BM433" s="293"/>
      <c r="BN433" s="293"/>
      <c r="BO433" s="293"/>
      <c r="BP433" s="293"/>
      <c r="BQ433" s="293"/>
      <c r="BR433" s="293"/>
      <c r="BS433" s="293"/>
      <c r="BT433" s="293"/>
    </row>
    <row r="434" spans="1:72" s="1" customFormat="1" ht="62.1" customHeight="1">
      <c r="A434" s="91"/>
      <c r="B434" s="358" t="s">
        <v>2626</v>
      </c>
      <c r="C434" s="50" t="s">
        <v>1667</v>
      </c>
      <c r="D434" s="177" t="s">
        <v>976</v>
      </c>
      <c r="E434" s="62" t="s">
        <v>10</v>
      </c>
      <c r="F434" s="10"/>
      <c r="G434" s="39"/>
      <c r="H434" s="42"/>
      <c r="I434" s="183"/>
      <c r="J434" s="29"/>
      <c r="K434" s="24"/>
      <c r="L434" s="25"/>
      <c r="M434" s="69"/>
      <c r="N434" s="77"/>
      <c r="O434" s="73"/>
      <c r="P434" s="74"/>
      <c r="Q434" s="74"/>
      <c r="R434" s="75"/>
      <c r="S434" s="61"/>
      <c r="T434" s="60"/>
      <c r="U434" s="74"/>
      <c r="V434" s="76"/>
      <c r="W434" s="24"/>
      <c r="X434" s="25"/>
      <c r="Y434" s="77"/>
      <c r="Z434" s="106"/>
      <c r="AA434" s="73"/>
      <c r="AB434" s="88"/>
      <c r="AC434" s="116"/>
      <c r="AD434" s="74"/>
      <c r="AE434" s="76"/>
      <c r="AF434" s="24"/>
      <c r="AG434" s="25"/>
      <c r="AH434" s="77"/>
      <c r="AI434" s="77"/>
      <c r="AJ434" s="73"/>
      <c r="AK434" s="79"/>
      <c r="AL434" s="79"/>
      <c r="AM434" s="127"/>
      <c r="AN434" s="128"/>
      <c r="AO434" s="128"/>
      <c r="AP434" s="124"/>
      <c r="AQ434" s="125"/>
      <c r="AR434" s="126"/>
      <c r="AS434" s="132"/>
      <c r="AT434" s="10">
        <v>707641</v>
      </c>
      <c r="AU434" s="10"/>
      <c r="AV434" s="167">
        <v>560000</v>
      </c>
      <c r="AW434" s="168">
        <v>450000</v>
      </c>
      <c r="AX434" s="29">
        <f t="shared" si="599"/>
        <v>450000</v>
      </c>
      <c r="AY434" s="24">
        <f t="shared" si="600"/>
        <v>-257641</v>
      </c>
      <c r="AZ434" s="25">
        <f t="shared" si="601"/>
        <v>-0.3640843308965987</v>
      </c>
      <c r="BA434" s="24">
        <f t="shared" si="602"/>
        <v>-147641</v>
      </c>
      <c r="BB434" s="169">
        <f t="shared" si="603"/>
        <v>-0.2086382784491006</v>
      </c>
      <c r="BC434" s="170">
        <f t="shared" si="604"/>
        <v>450000</v>
      </c>
      <c r="BD434" s="150"/>
      <c r="BE434" s="150"/>
      <c r="BF434" s="150"/>
      <c r="BG434" s="150"/>
      <c r="BH434" s="150"/>
      <c r="BI434" s="150"/>
      <c r="BJ434" s="150"/>
      <c r="BK434" s="150"/>
      <c r="BL434" s="150"/>
      <c r="BM434" s="293"/>
      <c r="BN434" s="293"/>
      <c r="BO434" s="293"/>
      <c r="BP434" s="293"/>
      <c r="BQ434" s="293"/>
      <c r="BR434" s="293"/>
      <c r="BS434" s="293"/>
      <c r="BT434" s="293"/>
    </row>
    <row r="435" spans="1:72" s="1" customFormat="1" ht="66.95" customHeight="1">
      <c r="A435" s="91"/>
      <c r="B435" s="358" t="s">
        <v>2627</v>
      </c>
      <c r="C435" s="50" t="s">
        <v>1668</v>
      </c>
      <c r="D435" s="177" t="s">
        <v>977</v>
      </c>
      <c r="E435" s="62" t="s">
        <v>10</v>
      </c>
      <c r="F435" s="10"/>
      <c r="G435" s="39"/>
      <c r="H435" s="42"/>
      <c r="I435" s="183"/>
      <c r="J435" s="29"/>
      <c r="K435" s="24"/>
      <c r="L435" s="25"/>
      <c r="M435" s="69"/>
      <c r="N435" s="77"/>
      <c r="O435" s="73"/>
      <c r="P435" s="74"/>
      <c r="Q435" s="74"/>
      <c r="R435" s="75"/>
      <c r="S435" s="61"/>
      <c r="T435" s="60"/>
      <c r="U435" s="74"/>
      <c r="V435" s="76"/>
      <c r="W435" s="24"/>
      <c r="X435" s="25"/>
      <c r="Y435" s="77"/>
      <c r="Z435" s="106"/>
      <c r="AA435" s="73"/>
      <c r="AB435" s="88"/>
      <c r="AC435" s="116"/>
      <c r="AD435" s="74"/>
      <c r="AE435" s="76"/>
      <c r="AF435" s="24"/>
      <c r="AG435" s="25"/>
      <c r="AH435" s="77"/>
      <c r="AI435" s="77"/>
      <c r="AJ435" s="73"/>
      <c r="AK435" s="79"/>
      <c r="AL435" s="79"/>
      <c r="AM435" s="127"/>
      <c r="AN435" s="128"/>
      <c r="AO435" s="128"/>
      <c r="AP435" s="124"/>
      <c r="AQ435" s="125"/>
      <c r="AR435" s="126"/>
      <c r="AS435" s="132"/>
      <c r="AT435" s="10">
        <v>843847</v>
      </c>
      <c r="AU435" s="10"/>
      <c r="AV435" s="167">
        <v>550000</v>
      </c>
      <c r="AW435" s="201">
        <v>560000</v>
      </c>
      <c r="AX435" s="29">
        <f t="shared" si="599"/>
        <v>560000</v>
      </c>
      <c r="AY435" s="24">
        <f t="shared" si="600"/>
        <v>-283847</v>
      </c>
      <c r="AZ435" s="25">
        <f t="shared" si="601"/>
        <v>-0.33637258886978327</v>
      </c>
      <c r="BA435" s="24">
        <f t="shared" si="602"/>
        <v>-293847</v>
      </c>
      <c r="BB435" s="169">
        <f t="shared" si="603"/>
        <v>-0.34822307835425143</v>
      </c>
      <c r="BC435" s="170">
        <f t="shared" si="604"/>
        <v>560000</v>
      </c>
      <c r="BD435" s="150"/>
      <c r="BE435" s="150"/>
      <c r="BF435" s="150"/>
      <c r="BG435" s="150"/>
      <c r="BH435" s="150"/>
      <c r="BI435" s="150"/>
      <c r="BJ435" s="150"/>
      <c r="BK435" s="150"/>
      <c r="BL435" s="150"/>
      <c r="BM435" s="293"/>
      <c r="BN435" s="293"/>
      <c r="BO435" s="293"/>
      <c r="BP435" s="293"/>
      <c r="BQ435" s="293"/>
      <c r="BR435" s="293"/>
      <c r="BS435" s="293"/>
      <c r="BT435" s="293"/>
    </row>
    <row r="436" spans="1:72" s="1" customFormat="1" ht="35.450000000000003" customHeight="1">
      <c r="A436" s="91"/>
      <c r="B436" s="358" t="s">
        <v>2628</v>
      </c>
      <c r="C436" s="50" t="s">
        <v>1669</v>
      </c>
      <c r="D436" s="177" t="s">
        <v>978</v>
      </c>
      <c r="E436" s="62" t="s">
        <v>10</v>
      </c>
      <c r="F436" s="10"/>
      <c r="G436" s="39"/>
      <c r="H436" s="42"/>
      <c r="I436" s="183"/>
      <c r="J436" s="29"/>
      <c r="K436" s="24"/>
      <c r="L436" s="25"/>
      <c r="M436" s="69"/>
      <c r="N436" s="77"/>
      <c r="O436" s="73"/>
      <c r="P436" s="74"/>
      <c r="Q436" s="74"/>
      <c r="R436" s="75"/>
      <c r="S436" s="61"/>
      <c r="T436" s="60"/>
      <c r="U436" s="74"/>
      <c r="V436" s="76"/>
      <c r="W436" s="24"/>
      <c r="X436" s="25"/>
      <c r="Y436" s="77"/>
      <c r="Z436" s="106"/>
      <c r="AA436" s="73"/>
      <c r="AB436" s="88"/>
      <c r="AC436" s="116"/>
      <c r="AD436" s="74"/>
      <c r="AE436" s="76"/>
      <c r="AF436" s="24"/>
      <c r="AG436" s="25"/>
      <c r="AH436" s="77"/>
      <c r="AI436" s="77"/>
      <c r="AJ436" s="73"/>
      <c r="AK436" s="79"/>
      <c r="AL436" s="79"/>
      <c r="AM436" s="127"/>
      <c r="AN436" s="128"/>
      <c r="AO436" s="128"/>
      <c r="AP436" s="124"/>
      <c r="AQ436" s="125"/>
      <c r="AR436" s="126"/>
      <c r="AS436" s="132"/>
      <c r="AT436" s="10">
        <v>100326</v>
      </c>
      <c r="AU436" s="10"/>
      <c r="AV436" s="167">
        <v>450000</v>
      </c>
      <c r="AW436" s="168">
        <v>150000</v>
      </c>
      <c r="AX436" s="29">
        <f t="shared" si="599"/>
        <v>150000</v>
      </c>
      <c r="AY436" s="24">
        <f t="shared" si="600"/>
        <v>49674</v>
      </c>
      <c r="AZ436" s="25">
        <f t="shared" si="601"/>
        <v>0.49512588959990433</v>
      </c>
      <c r="BA436" s="24">
        <f t="shared" si="602"/>
        <v>349674</v>
      </c>
      <c r="BB436" s="169">
        <f t="shared" si="603"/>
        <v>3.4853776687997131</v>
      </c>
      <c r="BC436" s="170">
        <f t="shared" si="604"/>
        <v>150000</v>
      </c>
      <c r="BD436" s="150"/>
      <c r="BE436" s="150"/>
      <c r="BF436" s="150"/>
      <c r="BG436" s="150"/>
      <c r="BH436" s="150"/>
      <c r="BI436" s="150"/>
      <c r="BJ436" s="150"/>
      <c r="BK436" s="150"/>
      <c r="BL436" s="150"/>
      <c r="BM436" s="293"/>
      <c r="BN436" s="293"/>
      <c r="BO436" s="293"/>
      <c r="BP436" s="293"/>
      <c r="BQ436" s="293"/>
      <c r="BR436" s="293"/>
      <c r="BS436" s="293"/>
      <c r="BT436" s="293"/>
    </row>
    <row r="437" spans="1:72" s="1" customFormat="1" ht="35.450000000000003" customHeight="1">
      <c r="A437" s="91"/>
      <c r="B437" s="358" t="s">
        <v>2629</v>
      </c>
      <c r="C437" s="50" t="s">
        <v>1670</v>
      </c>
      <c r="D437" s="177" t="s">
        <v>979</v>
      </c>
      <c r="E437" s="62" t="s">
        <v>13</v>
      </c>
      <c r="F437" s="10"/>
      <c r="G437" s="39"/>
      <c r="H437" s="42"/>
      <c r="I437" s="183"/>
      <c r="J437" s="29"/>
      <c r="K437" s="24"/>
      <c r="L437" s="25"/>
      <c r="M437" s="69"/>
      <c r="N437" s="77"/>
      <c r="O437" s="73"/>
      <c r="P437" s="74"/>
      <c r="Q437" s="74"/>
      <c r="R437" s="75"/>
      <c r="S437" s="61"/>
      <c r="T437" s="60"/>
      <c r="U437" s="74"/>
      <c r="V437" s="76"/>
      <c r="W437" s="24"/>
      <c r="X437" s="25"/>
      <c r="Y437" s="77"/>
      <c r="Z437" s="106"/>
      <c r="AA437" s="73"/>
      <c r="AB437" s="88"/>
      <c r="AC437" s="116"/>
      <c r="AD437" s="74"/>
      <c r="AE437" s="76"/>
      <c r="AF437" s="24"/>
      <c r="AG437" s="25"/>
      <c r="AH437" s="77"/>
      <c r="AI437" s="77"/>
      <c r="AJ437" s="73"/>
      <c r="AK437" s="79"/>
      <c r="AL437" s="79"/>
      <c r="AM437" s="127"/>
      <c r="AN437" s="128"/>
      <c r="AO437" s="128"/>
      <c r="AP437" s="124"/>
      <c r="AQ437" s="125"/>
      <c r="AR437" s="126"/>
      <c r="AS437" s="132"/>
      <c r="AT437" s="10">
        <v>11753</v>
      </c>
      <c r="AU437" s="10"/>
      <c r="AV437" s="167">
        <v>350000</v>
      </c>
      <c r="AW437" s="168">
        <v>124000</v>
      </c>
      <c r="AX437" s="29">
        <f t="shared" si="599"/>
        <v>124000</v>
      </c>
      <c r="AY437" s="24">
        <f t="shared" si="600"/>
        <v>112247</v>
      </c>
      <c r="AZ437" s="25">
        <f t="shared" si="601"/>
        <v>9.5504977452565303</v>
      </c>
      <c r="BA437" s="24">
        <f t="shared" si="602"/>
        <v>338247</v>
      </c>
      <c r="BB437" s="169">
        <f t="shared" si="603"/>
        <v>28.779630732578916</v>
      </c>
      <c r="BC437" s="170">
        <f t="shared" si="604"/>
        <v>124000</v>
      </c>
      <c r="BD437" s="150"/>
      <c r="BE437" s="150"/>
      <c r="BF437" s="150"/>
      <c r="BG437" s="150"/>
      <c r="BH437" s="150"/>
      <c r="BI437" s="150"/>
      <c r="BJ437" s="150"/>
      <c r="BK437" s="150"/>
      <c r="BL437" s="150"/>
      <c r="BM437" s="293"/>
      <c r="BN437" s="293"/>
      <c r="BO437" s="293"/>
      <c r="BP437" s="293"/>
      <c r="BQ437" s="293"/>
      <c r="BR437" s="293"/>
      <c r="BS437" s="293"/>
      <c r="BT437" s="293"/>
    </row>
    <row r="438" spans="1:72" s="1" customFormat="1" ht="83.1" customHeight="1">
      <c r="A438" s="91"/>
      <c r="B438" s="358" t="s">
        <v>2630</v>
      </c>
      <c r="C438" s="50" t="s">
        <v>1681</v>
      </c>
      <c r="D438" s="264" t="s">
        <v>1671</v>
      </c>
      <c r="E438" s="263" t="s">
        <v>1399</v>
      </c>
      <c r="F438" s="10"/>
      <c r="G438" s="39"/>
      <c r="H438" s="42"/>
      <c r="I438" s="183"/>
      <c r="J438" s="29"/>
      <c r="K438" s="24"/>
      <c r="L438" s="25"/>
      <c r="M438" s="69"/>
      <c r="N438" s="77"/>
      <c r="O438" s="73"/>
      <c r="P438" s="74"/>
      <c r="Q438" s="74"/>
      <c r="R438" s="75"/>
      <c r="S438" s="61"/>
      <c r="T438" s="60"/>
      <c r="U438" s="74"/>
      <c r="V438" s="76"/>
      <c r="W438" s="24"/>
      <c r="X438" s="25"/>
      <c r="Y438" s="77"/>
      <c r="Z438" s="106"/>
      <c r="AA438" s="73"/>
      <c r="AB438" s="88"/>
      <c r="AC438" s="116"/>
      <c r="AD438" s="74"/>
      <c r="AE438" s="76"/>
      <c r="AF438" s="24"/>
      <c r="AG438" s="25"/>
      <c r="AH438" s="77"/>
      <c r="AI438" s="77"/>
      <c r="AJ438" s="73"/>
      <c r="AK438" s="79"/>
      <c r="AL438" s="79"/>
      <c r="AM438" s="127"/>
      <c r="AN438" s="128"/>
      <c r="AO438" s="128"/>
      <c r="AP438" s="124"/>
      <c r="AQ438" s="125"/>
      <c r="AR438" s="126"/>
      <c r="AS438" s="132"/>
      <c r="AT438" s="10"/>
      <c r="AU438" s="10"/>
      <c r="AV438" s="167"/>
      <c r="AW438" s="168"/>
      <c r="AX438" s="29"/>
      <c r="AY438" s="24"/>
      <c r="AZ438" s="25"/>
      <c r="BA438" s="24"/>
      <c r="BB438" s="169"/>
      <c r="BC438" s="170"/>
      <c r="BD438" s="10">
        <v>35568</v>
      </c>
      <c r="BE438" s="10">
        <v>78000</v>
      </c>
      <c r="BF438" s="10">
        <v>85000</v>
      </c>
      <c r="BG438" s="268">
        <v>82000</v>
      </c>
      <c r="BH438" s="10">
        <v>80000</v>
      </c>
      <c r="BI438" s="76">
        <f t="shared" ref="BI438:BI447" si="613">AVERAGE(BE438,BF438,BG438,BH438)</f>
        <v>81250</v>
      </c>
      <c r="BJ438" s="24">
        <f t="shared" ref="BJ438:BJ446" si="614">BI438-BD438</f>
        <v>45682</v>
      </c>
      <c r="BK438" s="25">
        <f t="shared" ref="BK438:BK446" si="615">+BJ438/BD438</f>
        <v>1.2843567251461989</v>
      </c>
      <c r="BL438" s="309">
        <f t="shared" ref="BL438:BL447" si="616">BI438</f>
        <v>81250</v>
      </c>
      <c r="BM438" s="293"/>
      <c r="BN438" s="293"/>
      <c r="BO438" s="293"/>
      <c r="BP438" s="293"/>
      <c r="BQ438" s="293"/>
      <c r="BR438" s="293"/>
      <c r="BS438" s="293"/>
      <c r="BT438" s="293"/>
    </row>
    <row r="439" spans="1:72" s="1" customFormat="1" ht="78.95" customHeight="1">
      <c r="A439" s="91"/>
      <c r="B439" s="358" t="s">
        <v>2631</v>
      </c>
      <c r="C439" s="50" t="s">
        <v>1682</v>
      </c>
      <c r="D439" s="264" t="s">
        <v>1672</v>
      </c>
      <c r="E439" s="263" t="s">
        <v>1399</v>
      </c>
      <c r="F439" s="10"/>
      <c r="G439" s="39"/>
      <c r="H439" s="42"/>
      <c r="I439" s="183"/>
      <c r="J439" s="29"/>
      <c r="K439" s="24"/>
      <c r="L439" s="25"/>
      <c r="M439" s="69"/>
      <c r="N439" s="77"/>
      <c r="O439" s="73"/>
      <c r="P439" s="74"/>
      <c r="Q439" s="74"/>
      <c r="R439" s="75"/>
      <c r="S439" s="61"/>
      <c r="T439" s="60"/>
      <c r="U439" s="74"/>
      <c r="V439" s="76"/>
      <c r="W439" s="24"/>
      <c r="X439" s="25"/>
      <c r="Y439" s="77"/>
      <c r="Z439" s="106"/>
      <c r="AA439" s="73"/>
      <c r="AB439" s="88"/>
      <c r="AC439" s="116"/>
      <c r="AD439" s="74"/>
      <c r="AE439" s="76"/>
      <c r="AF439" s="24"/>
      <c r="AG439" s="25"/>
      <c r="AH439" s="77"/>
      <c r="AI439" s="77"/>
      <c r="AJ439" s="73"/>
      <c r="AK439" s="79"/>
      <c r="AL439" s="79"/>
      <c r="AM439" s="127"/>
      <c r="AN439" s="128"/>
      <c r="AO439" s="128"/>
      <c r="AP439" s="124"/>
      <c r="AQ439" s="125"/>
      <c r="AR439" s="126"/>
      <c r="AS439" s="132"/>
      <c r="AT439" s="10"/>
      <c r="AU439" s="10"/>
      <c r="AV439" s="167"/>
      <c r="AW439" s="168"/>
      <c r="AX439" s="29"/>
      <c r="AY439" s="24"/>
      <c r="AZ439" s="25"/>
      <c r="BA439" s="24"/>
      <c r="BB439" s="169"/>
      <c r="BC439" s="170"/>
      <c r="BD439" s="10">
        <v>114364</v>
      </c>
      <c r="BE439" s="10">
        <v>132000</v>
      </c>
      <c r="BF439" s="10">
        <v>142000</v>
      </c>
      <c r="BG439" s="268">
        <v>137000</v>
      </c>
      <c r="BH439" s="10">
        <v>145000</v>
      </c>
      <c r="BI439" s="76">
        <f t="shared" si="613"/>
        <v>139000</v>
      </c>
      <c r="BJ439" s="24">
        <f t="shared" si="614"/>
        <v>24636</v>
      </c>
      <c r="BK439" s="25">
        <f t="shared" si="615"/>
        <v>0.21541743905424784</v>
      </c>
      <c r="BL439" s="309">
        <f t="shared" si="616"/>
        <v>139000</v>
      </c>
      <c r="BM439" s="293"/>
      <c r="BN439" s="293"/>
      <c r="BO439" s="293"/>
      <c r="BP439" s="293"/>
      <c r="BQ439" s="293"/>
      <c r="BR439" s="293"/>
      <c r="BS439" s="293"/>
      <c r="BT439" s="293"/>
    </row>
    <row r="440" spans="1:72" s="1" customFormat="1" ht="90" customHeight="1">
      <c r="A440" s="91"/>
      <c r="B440" s="358" t="s">
        <v>2632</v>
      </c>
      <c r="C440" s="50" t="s">
        <v>1683</v>
      </c>
      <c r="D440" s="264" t="s">
        <v>1673</v>
      </c>
      <c r="E440" s="263" t="s">
        <v>1399</v>
      </c>
      <c r="F440" s="10"/>
      <c r="G440" s="39"/>
      <c r="H440" s="42"/>
      <c r="I440" s="183"/>
      <c r="J440" s="29"/>
      <c r="K440" s="24"/>
      <c r="L440" s="25"/>
      <c r="M440" s="69"/>
      <c r="N440" s="77"/>
      <c r="O440" s="73"/>
      <c r="P440" s="74"/>
      <c r="Q440" s="74"/>
      <c r="R440" s="75"/>
      <c r="S440" s="61"/>
      <c r="T440" s="60"/>
      <c r="U440" s="74"/>
      <c r="V440" s="76"/>
      <c r="W440" s="24"/>
      <c r="X440" s="25"/>
      <c r="Y440" s="77"/>
      <c r="Z440" s="106"/>
      <c r="AA440" s="73"/>
      <c r="AB440" s="88"/>
      <c r="AC440" s="116"/>
      <c r="AD440" s="74"/>
      <c r="AE440" s="76"/>
      <c r="AF440" s="24"/>
      <c r="AG440" s="25"/>
      <c r="AH440" s="77"/>
      <c r="AI440" s="77"/>
      <c r="AJ440" s="73"/>
      <c r="AK440" s="79"/>
      <c r="AL440" s="79"/>
      <c r="AM440" s="127"/>
      <c r="AN440" s="128"/>
      <c r="AO440" s="128"/>
      <c r="AP440" s="124"/>
      <c r="AQ440" s="125"/>
      <c r="AR440" s="126"/>
      <c r="AS440" s="132"/>
      <c r="AT440" s="10"/>
      <c r="AU440" s="10"/>
      <c r="AV440" s="167"/>
      <c r="AW440" s="168"/>
      <c r="AX440" s="29"/>
      <c r="AY440" s="24"/>
      <c r="AZ440" s="25"/>
      <c r="BA440" s="24"/>
      <c r="BB440" s="169"/>
      <c r="BC440" s="170"/>
      <c r="BD440" s="10">
        <v>34828</v>
      </c>
      <c r="BE440" s="10">
        <v>138000</v>
      </c>
      <c r="BF440" s="10">
        <v>145000</v>
      </c>
      <c r="BG440" s="268">
        <v>137000</v>
      </c>
      <c r="BH440" s="10">
        <v>145000</v>
      </c>
      <c r="BI440" s="76">
        <f t="shared" si="613"/>
        <v>141250</v>
      </c>
      <c r="BJ440" s="24">
        <f t="shared" si="614"/>
        <v>106422</v>
      </c>
      <c r="BK440" s="25">
        <f t="shared" si="615"/>
        <v>3.0556448834271275</v>
      </c>
      <c r="BL440" s="309">
        <f t="shared" si="616"/>
        <v>141250</v>
      </c>
      <c r="BM440" s="293"/>
      <c r="BN440" s="293"/>
      <c r="BO440" s="293"/>
      <c r="BP440" s="293"/>
      <c r="BQ440" s="293"/>
      <c r="BR440" s="293"/>
      <c r="BS440" s="293"/>
      <c r="BT440" s="293"/>
    </row>
    <row r="441" spans="1:72" s="1" customFormat="1" ht="90" customHeight="1">
      <c r="A441" s="91"/>
      <c r="B441" s="358" t="s">
        <v>2633</v>
      </c>
      <c r="C441" s="50" t="s">
        <v>1684</v>
      </c>
      <c r="D441" s="264" t="s">
        <v>1674</v>
      </c>
      <c r="E441" s="263" t="s">
        <v>1399</v>
      </c>
      <c r="F441" s="10"/>
      <c r="G441" s="39"/>
      <c r="H441" s="42"/>
      <c r="I441" s="183"/>
      <c r="J441" s="29"/>
      <c r="K441" s="24"/>
      <c r="L441" s="25"/>
      <c r="M441" s="69"/>
      <c r="N441" s="77"/>
      <c r="O441" s="73"/>
      <c r="P441" s="74"/>
      <c r="Q441" s="74"/>
      <c r="R441" s="75"/>
      <c r="S441" s="61"/>
      <c r="T441" s="60"/>
      <c r="U441" s="74"/>
      <c r="V441" s="76"/>
      <c r="W441" s="24"/>
      <c r="X441" s="25"/>
      <c r="Y441" s="77"/>
      <c r="Z441" s="106"/>
      <c r="AA441" s="73"/>
      <c r="AB441" s="88"/>
      <c r="AC441" s="116"/>
      <c r="AD441" s="74"/>
      <c r="AE441" s="76"/>
      <c r="AF441" s="24"/>
      <c r="AG441" s="25"/>
      <c r="AH441" s="77"/>
      <c r="AI441" s="77"/>
      <c r="AJ441" s="73"/>
      <c r="AK441" s="79"/>
      <c r="AL441" s="79"/>
      <c r="AM441" s="127"/>
      <c r="AN441" s="128"/>
      <c r="AO441" s="128"/>
      <c r="AP441" s="124"/>
      <c r="AQ441" s="125"/>
      <c r="AR441" s="126"/>
      <c r="AS441" s="132"/>
      <c r="AT441" s="10"/>
      <c r="AU441" s="10"/>
      <c r="AV441" s="167"/>
      <c r="AW441" s="168"/>
      <c r="AX441" s="29"/>
      <c r="AY441" s="24"/>
      <c r="AZ441" s="25"/>
      <c r="BA441" s="24"/>
      <c r="BB441" s="169"/>
      <c r="BC441" s="170"/>
      <c r="BD441" s="10">
        <v>36831</v>
      </c>
      <c r="BE441" s="10">
        <v>142000</v>
      </c>
      <c r="BF441" s="10">
        <v>142000</v>
      </c>
      <c r="BG441" s="268">
        <v>145000</v>
      </c>
      <c r="BH441" s="10">
        <v>145000</v>
      </c>
      <c r="BI441" s="76">
        <f t="shared" si="613"/>
        <v>143500</v>
      </c>
      <c r="BJ441" s="24">
        <f t="shared" si="614"/>
        <v>106669</v>
      </c>
      <c r="BK441" s="25">
        <f t="shared" si="615"/>
        <v>2.8961744182889415</v>
      </c>
      <c r="BL441" s="309">
        <f t="shared" si="616"/>
        <v>143500</v>
      </c>
      <c r="BM441" s="293"/>
      <c r="BN441" s="293"/>
      <c r="BO441" s="293"/>
      <c r="BP441" s="293"/>
      <c r="BQ441" s="293"/>
      <c r="BR441" s="293"/>
      <c r="BS441" s="293"/>
      <c r="BT441" s="293"/>
    </row>
    <row r="442" spans="1:72" s="1" customFormat="1" ht="90" customHeight="1">
      <c r="A442" s="91"/>
      <c r="B442" s="358" t="s">
        <v>2634</v>
      </c>
      <c r="C442" s="50" t="s">
        <v>1685</v>
      </c>
      <c r="D442" s="264" t="s">
        <v>1675</v>
      </c>
      <c r="E442" s="263" t="s">
        <v>1399</v>
      </c>
      <c r="F442" s="10"/>
      <c r="G442" s="39"/>
      <c r="H442" s="42"/>
      <c r="I442" s="183"/>
      <c r="J442" s="29"/>
      <c r="K442" s="24"/>
      <c r="L442" s="25"/>
      <c r="M442" s="69"/>
      <c r="N442" s="77"/>
      <c r="O442" s="73"/>
      <c r="P442" s="74"/>
      <c r="Q442" s="74"/>
      <c r="R442" s="75"/>
      <c r="S442" s="61"/>
      <c r="T442" s="60"/>
      <c r="U442" s="74"/>
      <c r="V442" s="76"/>
      <c r="W442" s="24"/>
      <c r="X442" s="25"/>
      <c r="Y442" s="77"/>
      <c r="Z442" s="106"/>
      <c r="AA442" s="73"/>
      <c r="AB442" s="88"/>
      <c r="AC442" s="116"/>
      <c r="AD442" s="74"/>
      <c r="AE442" s="76"/>
      <c r="AF442" s="24"/>
      <c r="AG442" s="25"/>
      <c r="AH442" s="77"/>
      <c r="AI442" s="77"/>
      <c r="AJ442" s="73"/>
      <c r="AK442" s="79"/>
      <c r="AL442" s="79"/>
      <c r="AM442" s="127"/>
      <c r="AN442" s="128"/>
      <c r="AO442" s="128"/>
      <c r="AP442" s="124"/>
      <c r="AQ442" s="125"/>
      <c r="AR442" s="126"/>
      <c r="AS442" s="132"/>
      <c r="AT442" s="10"/>
      <c r="AU442" s="10"/>
      <c r="AV442" s="167"/>
      <c r="AW442" s="168"/>
      <c r="AX442" s="29"/>
      <c r="AY442" s="24"/>
      <c r="AZ442" s="25"/>
      <c r="BA442" s="24"/>
      <c r="BB442" s="169"/>
      <c r="BC442" s="170"/>
      <c r="BD442" s="10">
        <v>97440</v>
      </c>
      <c r="BE442" s="10">
        <v>132000</v>
      </c>
      <c r="BF442" s="10">
        <v>142000</v>
      </c>
      <c r="BG442" s="268">
        <v>140000</v>
      </c>
      <c r="BH442" s="10">
        <v>150000</v>
      </c>
      <c r="BI442" s="76">
        <f t="shared" si="613"/>
        <v>141000</v>
      </c>
      <c r="BJ442" s="24">
        <f t="shared" si="614"/>
        <v>43560</v>
      </c>
      <c r="BK442" s="25">
        <f t="shared" si="615"/>
        <v>0.44704433497536944</v>
      </c>
      <c r="BL442" s="309">
        <f t="shared" si="616"/>
        <v>141000</v>
      </c>
      <c r="BM442" s="293"/>
      <c r="BN442" s="293"/>
      <c r="BO442" s="293"/>
      <c r="BP442" s="293"/>
      <c r="BQ442" s="293"/>
      <c r="BR442" s="293"/>
      <c r="BS442" s="293"/>
      <c r="BT442" s="293"/>
    </row>
    <row r="443" spans="1:72" s="1" customFormat="1" ht="90" customHeight="1">
      <c r="A443" s="91"/>
      <c r="B443" s="358" t="s">
        <v>2635</v>
      </c>
      <c r="C443" s="50" t="s">
        <v>1686</v>
      </c>
      <c r="D443" s="264" t="s">
        <v>1676</v>
      </c>
      <c r="E443" s="263" t="s">
        <v>1399</v>
      </c>
      <c r="F443" s="10"/>
      <c r="G443" s="39"/>
      <c r="H443" s="42"/>
      <c r="I443" s="183"/>
      <c r="J443" s="29"/>
      <c r="K443" s="24"/>
      <c r="L443" s="25"/>
      <c r="M443" s="69"/>
      <c r="N443" s="77"/>
      <c r="O443" s="73"/>
      <c r="P443" s="74"/>
      <c r="Q443" s="74"/>
      <c r="R443" s="75"/>
      <c r="S443" s="61"/>
      <c r="T443" s="60"/>
      <c r="U443" s="74"/>
      <c r="V443" s="76"/>
      <c r="W443" s="24"/>
      <c r="X443" s="25"/>
      <c r="Y443" s="77"/>
      <c r="Z443" s="106"/>
      <c r="AA443" s="73"/>
      <c r="AB443" s="88"/>
      <c r="AC443" s="116"/>
      <c r="AD443" s="74"/>
      <c r="AE443" s="76"/>
      <c r="AF443" s="24"/>
      <c r="AG443" s="25"/>
      <c r="AH443" s="77"/>
      <c r="AI443" s="77"/>
      <c r="AJ443" s="73"/>
      <c r="AK443" s="79"/>
      <c r="AL443" s="79"/>
      <c r="AM443" s="127"/>
      <c r="AN443" s="128"/>
      <c r="AO443" s="128"/>
      <c r="AP443" s="124"/>
      <c r="AQ443" s="125"/>
      <c r="AR443" s="126"/>
      <c r="AS443" s="132"/>
      <c r="AT443" s="10"/>
      <c r="AU443" s="10"/>
      <c r="AV443" s="167"/>
      <c r="AW443" s="168"/>
      <c r="AX443" s="29"/>
      <c r="AY443" s="24"/>
      <c r="AZ443" s="25"/>
      <c r="BA443" s="24"/>
      <c r="BB443" s="169"/>
      <c r="BC443" s="170"/>
      <c r="BD443" s="10">
        <v>98835</v>
      </c>
      <c r="BE443" s="10">
        <v>145000</v>
      </c>
      <c r="BF443" s="10">
        <v>151000</v>
      </c>
      <c r="BG443" s="268">
        <v>148000</v>
      </c>
      <c r="BH443" s="10">
        <v>150000</v>
      </c>
      <c r="BI443" s="76">
        <f t="shared" si="613"/>
        <v>148500</v>
      </c>
      <c r="BJ443" s="24">
        <f t="shared" si="614"/>
        <v>49665</v>
      </c>
      <c r="BK443" s="25">
        <f t="shared" si="615"/>
        <v>0.5025041736227045</v>
      </c>
      <c r="BL443" s="309">
        <f t="shared" si="616"/>
        <v>148500</v>
      </c>
      <c r="BM443" s="293"/>
      <c r="BN443" s="293"/>
      <c r="BO443" s="293"/>
      <c r="BP443" s="293"/>
      <c r="BQ443" s="293"/>
      <c r="BR443" s="293"/>
      <c r="BS443" s="293"/>
      <c r="BT443" s="293"/>
    </row>
    <row r="444" spans="1:72" s="1" customFormat="1" ht="90" customHeight="1">
      <c r="A444" s="91"/>
      <c r="B444" s="358" t="s">
        <v>2636</v>
      </c>
      <c r="C444" s="50" t="s">
        <v>1687</v>
      </c>
      <c r="D444" s="264" t="s">
        <v>1677</v>
      </c>
      <c r="E444" s="262" t="s">
        <v>827</v>
      </c>
      <c r="F444" s="10"/>
      <c r="G444" s="39"/>
      <c r="H444" s="42"/>
      <c r="I444" s="183"/>
      <c r="J444" s="29"/>
      <c r="K444" s="24"/>
      <c r="L444" s="25"/>
      <c r="M444" s="69"/>
      <c r="N444" s="77"/>
      <c r="O444" s="73"/>
      <c r="P444" s="74"/>
      <c r="Q444" s="74"/>
      <c r="R444" s="75"/>
      <c r="S444" s="61"/>
      <c r="T444" s="60"/>
      <c r="U444" s="74"/>
      <c r="V444" s="76"/>
      <c r="W444" s="24"/>
      <c r="X444" s="25"/>
      <c r="Y444" s="77"/>
      <c r="Z444" s="106"/>
      <c r="AA444" s="73"/>
      <c r="AB444" s="88"/>
      <c r="AC444" s="116"/>
      <c r="AD444" s="74"/>
      <c r="AE444" s="76"/>
      <c r="AF444" s="24"/>
      <c r="AG444" s="25"/>
      <c r="AH444" s="77"/>
      <c r="AI444" s="77"/>
      <c r="AJ444" s="73"/>
      <c r="AK444" s="79"/>
      <c r="AL444" s="79"/>
      <c r="AM444" s="127"/>
      <c r="AN444" s="128"/>
      <c r="AO444" s="128"/>
      <c r="AP444" s="124"/>
      <c r="AQ444" s="125"/>
      <c r="AR444" s="126"/>
      <c r="AS444" s="132"/>
      <c r="AT444" s="10"/>
      <c r="AU444" s="10"/>
      <c r="AV444" s="167"/>
      <c r="AW444" s="168"/>
      <c r="AX444" s="29"/>
      <c r="AY444" s="24"/>
      <c r="AZ444" s="25"/>
      <c r="BA444" s="24"/>
      <c r="BB444" s="169"/>
      <c r="BC444" s="170"/>
      <c r="BD444" s="10">
        <v>90197</v>
      </c>
      <c r="BE444" s="10">
        <v>18000</v>
      </c>
      <c r="BF444" s="10">
        <v>23000</v>
      </c>
      <c r="BG444" s="268">
        <v>20000</v>
      </c>
      <c r="BH444" s="10">
        <v>55000</v>
      </c>
      <c r="BI444" s="76">
        <f t="shared" si="613"/>
        <v>29000</v>
      </c>
      <c r="BJ444" s="24">
        <f t="shared" si="614"/>
        <v>-61197</v>
      </c>
      <c r="BK444" s="25">
        <f t="shared" si="615"/>
        <v>-0.67848154594942178</v>
      </c>
      <c r="BL444" s="309">
        <f t="shared" si="616"/>
        <v>29000</v>
      </c>
      <c r="BM444" s="293"/>
      <c r="BN444" s="293"/>
      <c r="BO444" s="293"/>
      <c r="BP444" s="293"/>
      <c r="BQ444" s="293"/>
      <c r="BR444" s="293"/>
      <c r="BS444" s="293"/>
      <c r="BT444" s="293"/>
    </row>
    <row r="445" spans="1:72" s="1" customFormat="1" ht="90" customHeight="1">
      <c r="A445" s="91"/>
      <c r="B445" s="358" t="s">
        <v>2637</v>
      </c>
      <c r="C445" s="50" t="s">
        <v>1688</v>
      </c>
      <c r="D445" s="264" t="s">
        <v>1678</v>
      </c>
      <c r="E445" s="263" t="s">
        <v>1399</v>
      </c>
      <c r="F445" s="10"/>
      <c r="G445" s="39"/>
      <c r="H445" s="42"/>
      <c r="I445" s="183"/>
      <c r="J445" s="29"/>
      <c r="K445" s="24"/>
      <c r="L445" s="25"/>
      <c r="M445" s="69"/>
      <c r="N445" s="77"/>
      <c r="O445" s="73"/>
      <c r="P445" s="74"/>
      <c r="Q445" s="74"/>
      <c r="R445" s="75"/>
      <c r="S445" s="61"/>
      <c r="T445" s="60"/>
      <c r="U445" s="74"/>
      <c r="V445" s="76"/>
      <c r="W445" s="24"/>
      <c r="X445" s="25"/>
      <c r="Y445" s="77"/>
      <c r="Z445" s="106"/>
      <c r="AA445" s="73"/>
      <c r="AB445" s="88"/>
      <c r="AC445" s="116"/>
      <c r="AD445" s="74"/>
      <c r="AE445" s="76"/>
      <c r="AF445" s="24"/>
      <c r="AG445" s="25"/>
      <c r="AH445" s="77"/>
      <c r="AI445" s="77"/>
      <c r="AJ445" s="73"/>
      <c r="AK445" s="79"/>
      <c r="AL445" s="79"/>
      <c r="AM445" s="127"/>
      <c r="AN445" s="128"/>
      <c r="AO445" s="128"/>
      <c r="AP445" s="124"/>
      <c r="AQ445" s="125"/>
      <c r="AR445" s="126"/>
      <c r="AS445" s="132"/>
      <c r="AT445" s="10"/>
      <c r="AU445" s="10"/>
      <c r="AV445" s="167"/>
      <c r="AW445" s="168"/>
      <c r="AX445" s="29"/>
      <c r="AY445" s="24"/>
      <c r="AZ445" s="25"/>
      <c r="BA445" s="24"/>
      <c r="BB445" s="169"/>
      <c r="BC445" s="170"/>
      <c r="BD445" s="10">
        <v>86637</v>
      </c>
      <c r="BE445" s="10">
        <v>148000</v>
      </c>
      <c r="BF445" s="10">
        <v>155000</v>
      </c>
      <c r="BG445" s="268">
        <v>150000</v>
      </c>
      <c r="BH445" s="10">
        <v>145000</v>
      </c>
      <c r="BI445" s="76">
        <f t="shared" si="613"/>
        <v>149500</v>
      </c>
      <c r="BJ445" s="24">
        <f t="shared" si="614"/>
        <v>62863</v>
      </c>
      <c r="BK445" s="25">
        <f t="shared" si="615"/>
        <v>0.7255906829645532</v>
      </c>
      <c r="BL445" s="309">
        <f t="shared" si="616"/>
        <v>149500</v>
      </c>
      <c r="BM445" s="293"/>
      <c r="BN445" s="293"/>
      <c r="BO445" s="293"/>
      <c r="BP445" s="293"/>
      <c r="BQ445" s="293"/>
      <c r="BR445" s="293"/>
      <c r="BS445" s="293"/>
      <c r="BT445" s="293"/>
    </row>
    <row r="446" spans="1:72" s="1" customFormat="1" ht="35.450000000000003" customHeight="1">
      <c r="A446" s="91"/>
      <c r="B446" s="358" t="s">
        <v>2638</v>
      </c>
      <c r="C446" s="50" t="s">
        <v>1689</v>
      </c>
      <c r="D446" s="264" t="s">
        <v>1679</v>
      </c>
      <c r="E446" s="263" t="s">
        <v>1399</v>
      </c>
      <c r="F446" s="10"/>
      <c r="G446" s="39"/>
      <c r="H446" s="42"/>
      <c r="I446" s="183"/>
      <c r="J446" s="29"/>
      <c r="K446" s="24"/>
      <c r="L446" s="25"/>
      <c r="M446" s="69"/>
      <c r="N446" s="77"/>
      <c r="O446" s="73"/>
      <c r="P446" s="74"/>
      <c r="Q446" s="74"/>
      <c r="R446" s="75"/>
      <c r="S446" s="61"/>
      <c r="T446" s="60"/>
      <c r="U446" s="74"/>
      <c r="V446" s="76"/>
      <c r="W446" s="24"/>
      <c r="X446" s="25"/>
      <c r="Y446" s="77"/>
      <c r="Z446" s="106"/>
      <c r="AA446" s="73"/>
      <c r="AB446" s="88"/>
      <c r="AC446" s="116"/>
      <c r="AD446" s="74"/>
      <c r="AE446" s="76"/>
      <c r="AF446" s="24"/>
      <c r="AG446" s="25"/>
      <c r="AH446" s="77"/>
      <c r="AI446" s="77"/>
      <c r="AJ446" s="73"/>
      <c r="AK446" s="79"/>
      <c r="AL446" s="79"/>
      <c r="AM446" s="127"/>
      <c r="AN446" s="128"/>
      <c r="AO446" s="128"/>
      <c r="AP446" s="124"/>
      <c r="AQ446" s="125"/>
      <c r="AR446" s="126"/>
      <c r="AS446" s="132"/>
      <c r="AT446" s="10"/>
      <c r="AU446" s="10"/>
      <c r="AV446" s="167"/>
      <c r="AW446" s="168"/>
      <c r="AX446" s="29"/>
      <c r="AY446" s="24"/>
      <c r="AZ446" s="25"/>
      <c r="BA446" s="24"/>
      <c r="BB446" s="169"/>
      <c r="BC446" s="170"/>
      <c r="BD446" s="10">
        <v>223166</v>
      </c>
      <c r="BE446" s="10">
        <v>235000</v>
      </c>
      <c r="BF446" s="10">
        <v>260000</v>
      </c>
      <c r="BG446" s="268">
        <v>250000</v>
      </c>
      <c r="BH446" s="10">
        <v>300000</v>
      </c>
      <c r="BI446" s="76">
        <f t="shared" si="613"/>
        <v>261250</v>
      </c>
      <c r="BJ446" s="24">
        <f t="shared" si="614"/>
        <v>38084</v>
      </c>
      <c r="BK446" s="25">
        <f t="shared" si="615"/>
        <v>0.17065323570794835</v>
      </c>
      <c r="BL446" s="309">
        <f t="shared" si="616"/>
        <v>261250</v>
      </c>
      <c r="BM446" s="293"/>
      <c r="BN446" s="293"/>
      <c r="BO446" s="293"/>
      <c r="BP446" s="293"/>
      <c r="BQ446" s="293"/>
      <c r="BR446" s="293"/>
      <c r="BS446" s="293"/>
      <c r="BT446" s="293"/>
    </row>
    <row r="447" spans="1:72" s="1" customFormat="1">
      <c r="A447" s="91"/>
      <c r="B447" s="358" t="s">
        <v>2639</v>
      </c>
      <c r="C447" s="50" t="s">
        <v>1690</v>
      </c>
      <c r="D447" s="264" t="s">
        <v>1680</v>
      </c>
      <c r="E447" s="263" t="s">
        <v>1399</v>
      </c>
      <c r="F447" s="10"/>
      <c r="G447" s="39"/>
      <c r="H447" s="42"/>
      <c r="I447" s="183"/>
      <c r="J447" s="29"/>
      <c r="K447" s="24"/>
      <c r="L447" s="25"/>
      <c r="M447" s="69"/>
      <c r="N447" s="77"/>
      <c r="O447" s="73"/>
      <c r="P447" s="74"/>
      <c r="Q447" s="74"/>
      <c r="R447" s="75"/>
      <c r="S447" s="61"/>
      <c r="T447" s="60"/>
      <c r="U447" s="74"/>
      <c r="V447" s="76"/>
      <c r="W447" s="24"/>
      <c r="X447" s="25"/>
      <c r="Y447" s="77"/>
      <c r="Z447" s="106"/>
      <c r="AA447" s="73"/>
      <c r="AB447" s="88"/>
      <c r="AC447" s="116"/>
      <c r="AD447" s="74"/>
      <c r="AE447" s="76"/>
      <c r="AF447" s="24"/>
      <c r="AG447" s="25"/>
      <c r="AH447" s="77"/>
      <c r="AI447" s="77"/>
      <c r="AJ447" s="73"/>
      <c r="AK447" s="79"/>
      <c r="AL447" s="79"/>
      <c r="AM447" s="127"/>
      <c r="AN447" s="128"/>
      <c r="AO447" s="128"/>
      <c r="AP447" s="124"/>
      <c r="AQ447" s="125"/>
      <c r="AR447" s="126"/>
      <c r="AS447" s="132"/>
      <c r="AT447" s="10"/>
      <c r="AU447" s="10"/>
      <c r="AV447" s="167"/>
      <c r="AW447" s="168"/>
      <c r="AX447" s="29"/>
      <c r="AY447" s="24"/>
      <c r="AZ447" s="25"/>
      <c r="BA447" s="24"/>
      <c r="BB447" s="169"/>
      <c r="BC447" s="170"/>
      <c r="BD447" s="10">
        <v>58321</v>
      </c>
      <c r="BE447" s="10"/>
      <c r="BF447" s="10"/>
      <c r="BG447" s="268"/>
      <c r="BH447" s="10">
        <v>80000</v>
      </c>
      <c r="BI447" s="76">
        <f t="shared" si="613"/>
        <v>80000</v>
      </c>
      <c r="BJ447" s="24"/>
      <c r="BK447" s="25"/>
      <c r="BL447" s="309">
        <f t="shared" si="616"/>
        <v>80000</v>
      </c>
      <c r="BM447" s="293"/>
      <c r="BN447" s="293"/>
      <c r="BO447" s="293"/>
      <c r="BP447" s="293"/>
      <c r="BQ447" s="293"/>
      <c r="BR447" s="293"/>
      <c r="BS447" s="293"/>
      <c r="BT447" s="293"/>
    </row>
    <row r="448" spans="1:72" ht="28.35" customHeight="1">
      <c r="A448" s="91" t="s">
        <v>28</v>
      </c>
      <c r="B448" s="358" t="s">
        <v>2640</v>
      </c>
      <c r="C448" s="252" t="s">
        <v>757</v>
      </c>
      <c r="D448" s="103" t="s">
        <v>28</v>
      </c>
      <c r="E448" s="47"/>
      <c r="F448" s="47"/>
      <c r="G448" s="47"/>
      <c r="H448" s="47"/>
      <c r="I448" s="47"/>
      <c r="J448" s="47"/>
      <c r="K448" s="47"/>
      <c r="L448" s="47"/>
      <c r="M448" s="91"/>
      <c r="N448" s="47"/>
      <c r="O448" s="47"/>
      <c r="P448" s="47"/>
      <c r="Q448" s="47"/>
      <c r="R448" s="47"/>
      <c r="S448" s="47"/>
      <c r="T448" s="47"/>
      <c r="U448" s="47"/>
      <c r="V448" s="47"/>
      <c r="W448" s="47"/>
      <c r="X448" s="47"/>
      <c r="Y448" s="47"/>
      <c r="Z448" s="47"/>
      <c r="AA448" s="47"/>
      <c r="AB448" s="47"/>
      <c r="AC448" s="47"/>
      <c r="AD448" s="47"/>
      <c r="AE448" s="47"/>
      <c r="AF448" s="47"/>
      <c r="AG448" s="47"/>
      <c r="AH448" s="47"/>
      <c r="AI448" s="47"/>
      <c r="AJ448" s="147"/>
      <c r="AK448" s="148"/>
      <c r="AL448" s="148"/>
      <c r="AM448" s="149"/>
      <c r="AN448" s="148"/>
      <c r="AO448" s="148"/>
      <c r="AP448" s="124"/>
      <c r="AQ448" s="125"/>
      <c r="AR448" s="126"/>
      <c r="AS448" s="132"/>
      <c r="AT448" s="173"/>
      <c r="AU448" s="173"/>
      <c r="AV448" s="174"/>
      <c r="AW448" s="175"/>
      <c r="AX448" s="29"/>
      <c r="AY448" s="24"/>
      <c r="AZ448" s="25"/>
      <c r="BA448" s="24"/>
      <c r="BB448" s="169"/>
      <c r="BC448" s="170"/>
      <c r="BD448" s="173"/>
      <c r="BE448" s="173"/>
      <c r="BF448" s="173"/>
      <c r="BG448" s="274"/>
      <c r="BH448" s="173"/>
      <c r="BI448" s="76"/>
      <c r="BJ448" s="24"/>
      <c r="BK448" s="25"/>
      <c r="BL448" s="259"/>
      <c r="BM448" s="323"/>
      <c r="BN448" s="324"/>
      <c r="BO448" s="324"/>
      <c r="BP448" s="323"/>
      <c r="BQ448" s="29"/>
      <c r="BR448" s="24"/>
      <c r="BS448" s="25"/>
      <c r="BT448" s="308"/>
    </row>
    <row r="449" spans="1:72" ht="47.1" customHeight="1">
      <c r="A449" s="91" t="s">
        <v>28</v>
      </c>
      <c r="B449" s="358" t="s">
        <v>2641</v>
      </c>
      <c r="C449" s="50" t="s">
        <v>238</v>
      </c>
      <c r="D449" s="99" t="s">
        <v>578</v>
      </c>
      <c r="E449" s="48" t="s">
        <v>10</v>
      </c>
      <c r="F449" s="10">
        <v>89185</v>
      </c>
      <c r="G449" s="31">
        <v>115992</v>
      </c>
      <c r="H449" s="31">
        <v>150790</v>
      </c>
      <c r="I449" s="35">
        <v>101385.60000000001</v>
      </c>
      <c r="J449" s="29">
        <f t="shared" si="595"/>
        <v>122722.53333333333</v>
      </c>
      <c r="K449" s="24">
        <f t="shared" si="596"/>
        <v>33537.533333333326</v>
      </c>
      <c r="L449" s="25">
        <f t="shared" si="597"/>
        <v>0.37604455158752398</v>
      </c>
      <c r="M449" s="69" t="str">
        <f t="shared" si="598"/>
        <v>REVISAR PRECIO</v>
      </c>
      <c r="N449" s="77">
        <f t="shared" si="594"/>
        <v>122722.53333333333</v>
      </c>
      <c r="O449" s="73">
        <v>60419</v>
      </c>
      <c r="P449" s="74">
        <v>48777.135000000002</v>
      </c>
      <c r="Q449" s="74">
        <v>80000</v>
      </c>
      <c r="R449" s="75">
        <v>56199.742499999993</v>
      </c>
      <c r="S449" s="61">
        <v>113504.99999999999</v>
      </c>
      <c r="T449" s="60">
        <v>250000</v>
      </c>
      <c r="U449" s="74">
        <v>130530.74999999997</v>
      </c>
      <c r="V449" s="76">
        <f t="shared" ref="V449:V477" si="617">AVERAGE(P449,Q449,R449,S449,T449,U449)</f>
        <v>113168.77124999999</v>
      </c>
      <c r="W449" s="24">
        <f t="shared" ref="W449:W477" si="618">V449-O449</f>
        <v>52749.771249999991</v>
      </c>
      <c r="X449" s="25">
        <f t="shared" ref="X449:X477" si="619">+W449/O449</f>
        <v>0.87306594366010681</v>
      </c>
      <c r="Y449" s="77" t="str">
        <f t="shared" ref="Y449:Y477" si="620">+IF(X449&lt;35%,V449,"REVISAR PRECIO")</f>
        <v>REVISAR PRECIO</v>
      </c>
      <c r="Z449" s="106">
        <f t="shared" ref="Z449:Z477" si="621">V449</f>
        <v>113168.77124999999</v>
      </c>
      <c r="AA449" s="73">
        <v>60419</v>
      </c>
      <c r="AB449" s="88">
        <v>44500</v>
      </c>
      <c r="AC449" s="116">
        <v>45000</v>
      </c>
      <c r="AD449" s="74">
        <v>46656.39</v>
      </c>
      <c r="AE449" s="76">
        <f t="shared" ref="AE449:AE477" si="622">AVERAGE(AB449,AC449,AD449)</f>
        <v>45385.46333333334</v>
      </c>
      <c r="AF449" s="24">
        <f t="shared" ref="AF449:AF477" si="623">AE449-AA449</f>
        <v>-15033.53666666666</v>
      </c>
      <c r="AG449" s="25">
        <f t="shared" ref="AG449:AG477" si="624">+AF449/AA449</f>
        <v>-0.24882134207230605</v>
      </c>
      <c r="AH449" s="77">
        <f t="shared" ref="AH449:AH477" si="625">+IF(AG449&lt;35%,AE449,"REVISAR PRECIO")</f>
        <v>45385.46333333334</v>
      </c>
      <c r="AI449" s="77">
        <f t="shared" ref="AI449:AI477" si="626">AE449</f>
        <v>45385.46333333334</v>
      </c>
      <c r="AJ449" s="73">
        <v>60419</v>
      </c>
      <c r="AK449" s="79">
        <v>56199.742499999993</v>
      </c>
      <c r="AL449" s="79">
        <f>38559*1.1</f>
        <v>42414.9</v>
      </c>
      <c r="AM449" s="127">
        <v>50897.880000000005</v>
      </c>
      <c r="AN449" s="128">
        <v>46000</v>
      </c>
      <c r="AO449" s="128">
        <v>45000</v>
      </c>
      <c r="AP449" s="133">
        <f t="shared" ref="AP449:AP477" si="627">AVERAGE(AK449,AL449,AM449,AN449,AO449)</f>
        <v>48102.504499999995</v>
      </c>
      <c r="AQ449" s="127">
        <f t="shared" ref="AQ449:AQ477" si="628">AP449-AJ449</f>
        <v>-12316.495500000005</v>
      </c>
      <c r="AR449" s="134">
        <f t="shared" ref="AR449:AR477" si="629">+AQ449/AJ449</f>
        <v>-0.20385136298184353</v>
      </c>
      <c r="AS449" s="132">
        <f t="shared" ref="AS449:AS470" si="630">AP449</f>
        <v>48102.504499999995</v>
      </c>
      <c r="AT449" s="10">
        <v>59234</v>
      </c>
      <c r="AU449" s="10">
        <v>42415</v>
      </c>
      <c r="AV449" s="167">
        <v>84830</v>
      </c>
      <c r="AW449" s="168">
        <v>65680</v>
      </c>
      <c r="AX449" s="29">
        <f t="shared" ref="AX449:AX452" si="631">AVERAGE(AU449,AW449)</f>
        <v>54047.5</v>
      </c>
      <c r="AY449" s="24">
        <f t="shared" ref="AY449:AY452" si="632">AX449-AT449</f>
        <v>-5186.5</v>
      </c>
      <c r="AZ449" s="25">
        <f t="shared" ref="AZ449:AZ452" si="633">+AY449/AT449</f>
        <v>-8.7559509741027108E-2</v>
      </c>
      <c r="BA449" s="24">
        <f t="shared" ref="BA449:BA452" si="634">AV449-AT449</f>
        <v>25596</v>
      </c>
      <c r="BB449" s="169">
        <f t="shared" ref="BB449:BB452" si="635">+BA449/AT449</f>
        <v>0.43211668973900125</v>
      </c>
      <c r="BC449" s="170">
        <f t="shared" ref="BC449:BC452" si="636">AX449</f>
        <v>54047.5</v>
      </c>
      <c r="BD449" s="10">
        <v>53841</v>
      </c>
      <c r="BE449" s="10">
        <v>96000</v>
      </c>
      <c r="BF449" s="10"/>
      <c r="BG449" s="10"/>
      <c r="BH449" s="10">
        <v>120000</v>
      </c>
      <c r="BI449" s="76">
        <f t="shared" ref="BI449:BI450" si="637">AVERAGE(BE449,BF449,BG449,BH449)</f>
        <v>108000</v>
      </c>
      <c r="BJ449" s="24">
        <f t="shared" ref="BJ449:BJ450" si="638">BI449-BD449</f>
        <v>54159</v>
      </c>
      <c r="BK449" s="25">
        <f t="shared" ref="BK449:BK450" si="639">+BJ449/BD449</f>
        <v>1.0059062796010476</v>
      </c>
      <c r="BL449" s="259">
        <f t="shared" ref="BL449:BL450" si="640">BI449</f>
        <v>108000</v>
      </c>
      <c r="BM449" s="10">
        <v>60116</v>
      </c>
      <c r="BN449" s="45"/>
      <c r="BO449" s="45">
        <v>69887</v>
      </c>
      <c r="BP449" s="45">
        <v>43000</v>
      </c>
      <c r="BQ449" s="29">
        <f t="shared" ref="BQ449:BQ452" si="641">AVERAGE(BN449,BO449,BP449)</f>
        <v>56443.5</v>
      </c>
      <c r="BR449" s="24">
        <f t="shared" ref="BR449:BR452" si="642">BQ449-BM449</f>
        <v>-3672.5</v>
      </c>
      <c r="BS449" s="25">
        <f t="shared" ref="BS449:BS452" si="643">+BR449/BM449</f>
        <v>-6.1090225563909771E-2</v>
      </c>
      <c r="BT449" s="308">
        <f t="shared" ref="BT449:BT452" si="644">BQ449</f>
        <v>56443.5</v>
      </c>
    </row>
    <row r="450" spans="1:72" ht="48" customHeight="1">
      <c r="A450" s="91" t="s">
        <v>28</v>
      </c>
      <c r="B450" s="358" t="s">
        <v>2642</v>
      </c>
      <c r="C450" s="50" t="s">
        <v>239</v>
      </c>
      <c r="D450" s="99" t="s">
        <v>579</v>
      </c>
      <c r="E450" s="49" t="s">
        <v>14</v>
      </c>
      <c r="F450" s="10">
        <v>154890</v>
      </c>
      <c r="G450" s="31">
        <v>201447</v>
      </c>
      <c r="H450" s="31">
        <v>261881</v>
      </c>
      <c r="I450" s="35">
        <v>176079.6</v>
      </c>
      <c r="J450" s="29">
        <f t="shared" si="595"/>
        <v>213135.86666666667</v>
      </c>
      <c r="K450" s="24">
        <f t="shared" si="596"/>
        <v>58245.866666666669</v>
      </c>
      <c r="L450" s="25">
        <f t="shared" si="597"/>
        <v>0.37604665676716809</v>
      </c>
      <c r="M450" s="69" t="str">
        <f t="shared" si="598"/>
        <v>REVISAR PRECIO</v>
      </c>
      <c r="N450" s="77">
        <f t="shared" si="594"/>
        <v>213135.86666666667</v>
      </c>
      <c r="O450" s="73">
        <v>76784</v>
      </c>
      <c r="P450" s="74">
        <v>64400</v>
      </c>
      <c r="Q450" s="74">
        <v>200000</v>
      </c>
      <c r="R450" s="75">
        <v>74200</v>
      </c>
      <c r="S450" s="61">
        <v>97749.999999999985</v>
      </c>
      <c r="T450" s="60">
        <v>150000</v>
      </c>
      <c r="U450" s="74">
        <v>112412.49999999997</v>
      </c>
      <c r="V450" s="76">
        <f t="shared" si="617"/>
        <v>116460.41666666667</v>
      </c>
      <c r="W450" s="24">
        <f t="shared" si="618"/>
        <v>39676.416666666672</v>
      </c>
      <c r="X450" s="25">
        <f t="shared" si="619"/>
        <v>0.51672766027644657</v>
      </c>
      <c r="Y450" s="77" t="str">
        <f t="shared" si="620"/>
        <v>REVISAR PRECIO</v>
      </c>
      <c r="Z450" s="106">
        <f t="shared" si="621"/>
        <v>116460.41666666667</v>
      </c>
      <c r="AA450" s="73">
        <v>76784</v>
      </c>
      <c r="AB450" s="88">
        <v>68800</v>
      </c>
      <c r="AC450" s="116">
        <v>72500</v>
      </c>
      <c r="AD450" s="74">
        <v>61600</v>
      </c>
      <c r="AE450" s="76">
        <f t="shared" si="622"/>
        <v>67633.333333333328</v>
      </c>
      <c r="AF450" s="24">
        <f t="shared" si="623"/>
        <v>-9150.6666666666715</v>
      </c>
      <c r="AG450" s="25">
        <f t="shared" si="624"/>
        <v>-0.11917413350003479</v>
      </c>
      <c r="AH450" s="77">
        <f t="shared" si="625"/>
        <v>67633.333333333328</v>
      </c>
      <c r="AI450" s="77">
        <f t="shared" si="626"/>
        <v>67633.333333333328</v>
      </c>
      <c r="AJ450" s="73">
        <v>76784</v>
      </c>
      <c r="AK450" s="79">
        <v>74200</v>
      </c>
      <c r="AL450" s="79">
        <v>56000</v>
      </c>
      <c r="AM450" s="127">
        <v>67200</v>
      </c>
      <c r="AN450" s="128">
        <v>70000</v>
      </c>
      <c r="AO450" s="128">
        <v>60000</v>
      </c>
      <c r="AP450" s="133">
        <f t="shared" si="627"/>
        <v>65480</v>
      </c>
      <c r="AQ450" s="127">
        <f t="shared" si="628"/>
        <v>-11304</v>
      </c>
      <c r="AR450" s="134">
        <f t="shared" si="629"/>
        <v>-0.14721817045217753</v>
      </c>
      <c r="AS450" s="132">
        <f t="shared" si="630"/>
        <v>65480</v>
      </c>
      <c r="AT450" s="10">
        <v>75285</v>
      </c>
      <c r="AU450" s="10">
        <v>56000</v>
      </c>
      <c r="AV450" s="167">
        <v>112000</v>
      </c>
      <c r="AW450" s="168">
        <v>53655</v>
      </c>
      <c r="AX450" s="29">
        <f t="shared" si="631"/>
        <v>54827.5</v>
      </c>
      <c r="AY450" s="24">
        <f t="shared" si="632"/>
        <v>-20457.5</v>
      </c>
      <c r="AZ450" s="25">
        <f t="shared" si="633"/>
        <v>-0.2717340771734077</v>
      </c>
      <c r="BA450" s="24">
        <f t="shared" si="634"/>
        <v>36715</v>
      </c>
      <c r="BB450" s="169">
        <f t="shared" si="635"/>
        <v>0.48768014876801485</v>
      </c>
      <c r="BC450" s="170">
        <f t="shared" si="636"/>
        <v>54827.5</v>
      </c>
      <c r="BD450" s="10">
        <v>68421</v>
      </c>
      <c r="BE450" s="10">
        <v>70000</v>
      </c>
      <c r="BF450" s="10"/>
      <c r="BG450" s="10"/>
      <c r="BH450" s="10">
        <v>350000</v>
      </c>
      <c r="BI450" s="76">
        <f t="shared" si="637"/>
        <v>210000</v>
      </c>
      <c r="BJ450" s="24">
        <f t="shared" si="638"/>
        <v>141579</v>
      </c>
      <c r="BK450" s="25">
        <f t="shared" si="639"/>
        <v>2.069233130179331</v>
      </c>
      <c r="BL450" s="259">
        <f t="shared" si="640"/>
        <v>210000</v>
      </c>
      <c r="BM450" s="10">
        <v>76405</v>
      </c>
      <c r="BN450" s="45"/>
      <c r="BO450" s="45">
        <v>88823</v>
      </c>
      <c r="BP450" s="45">
        <v>55000</v>
      </c>
      <c r="BQ450" s="29">
        <f t="shared" si="641"/>
        <v>71911.5</v>
      </c>
      <c r="BR450" s="24">
        <f t="shared" si="642"/>
        <v>-4493.5</v>
      </c>
      <c r="BS450" s="25">
        <f t="shared" si="643"/>
        <v>-5.8811596099731696E-2</v>
      </c>
      <c r="BT450" s="308">
        <f t="shared" si="644"/>
        <v>71911.5</v>
      </c>
    </row>
    <row r="451" spans="1:72" ht="60" customHeight="1">
      <c r="A451" s="91" t="s">
        <v>28</v>
      </c>
      <c r="B451" s="358" t="s">
        <v>2643</v>
      </c>
      <c r="C451" s="50" t="s">
        <v>240</v>
      </c>
      <c r="D451" s="99" t="s">
        <v>580</v>
      </c>
      <c r="E451" s="49" t="s">
        <v>14</v>
      </c>
      <c r="F451" s="10">
        <v>194926</v>
      </c>
      <c r="G451" s="31">
        <v>253517</v>
      </c>
      <c r="H451" s="31">
        <v>329571</v>
      </c>
      <c r="I451" s="35">
        <v>221592.2</v>
      </c>
      <c r="J451" s="29">
        <f t="shared" si="595"/>
        <v>268226.73333333334</v>
      </c>
      <c r="K451" s="24">
        <f t="shared" si="596"/>
        <v>73300.733333333337</v>
      </c>
      <c r="L451" s="25">
        <f t="shared" si="597"/>
        <v>0.37604390042033048</v>
      </c>
      <c r="M451" s="69" t="str">
        <f t="shared" si="598"/>
        <v>REVISAR PRECIO</v>
      </c>
      <c r="N451" s="77">
        <f t="shared" si="594"/>
        <v>268226.73333333334</v>
      </c>
      <c r="O451" s="73">
        <v>132049</v>
      </c>
      <c r="P451" s="74">
        <v>460000</v>
      </c>
      <c r="Q451" s="74">
        <v>550000</v>
      </c>
      <c r="R451" s="75">
        <v>530000</v>
      </c>
      <c r="S451" s="61">
        <v>644000</v>
      </c>
      <c r="T451" s="60">
        <v>1800000</v>
      </c>
      <c r="U451" s="74">
        <v>740600</v>
      </c>
      <c r="V451" s="76">
        <f t="shared" si="617"/>
        <v>787433.33333333337</v>
      </c>
      <c r="W451" s="24">
        <f t="shared" si="618"/>
        <v>655384.33333333337</v>
      </c>
      <c r="X451" s="25">
        <f t="shared" si="619"/>
        <v>4.9631904318346471</v>
      </c>
      <c r="Y451" s="77" t="str">
        <f t="shared" si="620"/>
        <v>REVISAR PRECIO</v>
      </c>
      <c r="Z451" s="106">
        <f t="shared" si="621"/>
        <v>787433.33333333337</v>
      </c>
      <c r="AA451" s="73">
        <v>132049</v>
      </c>
      <c r="AB451" s="88">
        <v>450000</v>
      </c>
      <c r="AC451" s="116">
        <v>450000</v>
      </c>
      <c r="AD451" s="74">
        <v>440000</v>
      </c>
      <c r="AE451" s="76">
        <f t="shared" si="622"/>
        <v>446666.66666666669</v>
      </c>
      <c r="AF451" s="24">
        <f t="shared" si="623"/>
        <v>314617.66666666669</v>
      </c>
      <c r="AG451" s="25">
        <f t="shared" si="624"/>
        <v>2.3825827281286998</v>
      </c>
      <c r="AH451" s="77" t="str">
        <f t="shared" si="625"/>
        <v>REVISAR PRECIO</v>
      </c>
      <c r="AI451" s="77">
        <f t="shared" si="626"/>
        <v>446666.66666666669</v>
      </c>
      <c r="AJ451" s="73">
        <v>132049</v>
      </c>
      <c r="AK451" s="79">
        <v>530000</v>
      </c>
      <c r="AL451" s="79">
        <v>400000</v>
      </c>
      <c r="AM451" s="127">
        <v>440000</v>
      </c>
      <c r="AN451" s="128">
        <v>410000</v>
      </c>
      <c r="AO451" s="128">
        <v>400000</v>
      </c>
      <c r="AP451" s="133">
        <f t="shared" si="627"/>
        <v>436000</v>
      </c>
      <c r="AQ451" s="127">
        <f t="shared" si="628"/>
        <v>303951</v>
      </c>
      <c r="AR451" s="134">
        <f t="shared" si="629"/>
        <v>2.3018046331286115</v>
      </c>
      <c r="AS451" s="132">
        <f t="shared" si="630"/>
        <v>436000</v>
      </c>
      <c r="AT451" s="10">
        <v>129459</v>
      </c>
      <c r="AU451" s="10">
        <v>400000</v>
      </c>
      <c r="AV451" s="167">
        <v>1200000</v>
      </c>
      <c r="AW451" s="168">
        <v>385000</v>
      </c>
      <c r="AX451" s="29">
        <f t="shared" si="631"/>
        <v>392500</v>
      </c>
      <c r="AY451" s="24">
        <f t="shared" si="632"/>
        <v>263041</v>
      </c>
      <c r="AZ451" s="25">
        <f t="shared" si="633"/>
        <v>2.0318479209633939</v>
      </c>
      <c r="BA451" s="24">
        <f t="shared" si="634"/>
        <v>1070541</v>
      </c>
      <c r="BB451" s="169">
        <f t="shared" si="635"/>
        <v>8.2693439621810771</v>
      </c>
      <c r="BC451" s="170">
        <f t="shared" si="636"/>
        <v>392500</v>
      </c>
      <c r="BD451" s="10">
        <v>117667</v>
      </c>
      <c r="BE451" s="10"/>
      <c r="BF451" s="10"/>
      <c r="BG451" s="10"/>
      <c r="BH451" s="10" t="s">
        <v>1421</v>
      </c>
      <c r="BI451" s="76"/>
      <c r="BJ451" s="24"/>
      <c r="BK451" s="25"/>
      <c r="BL451" s="265" t="s">
        <v>807</v>
      </c>
      <c r="BM451" s="10">
        <v>131385</v>
      </c>
      <c r="BN451" s="45"/>
      <c r="BO451" s="45">
        <v>152743</v>
      </c>
      <c r="BP451" s="45">
        <v>380000</v>
      </c>
      <c r="BQ451" s="29">
        <f t="shared" si="641"/>
        <v>266371.5</v>
      </c>
      <c r="BR451" s="24">
        <f t="shared" si="642"/>
        <v>134986.5</v>
      </c>
      <c r="BS451" s="25">
        <f t="shared" si="643"/>
        <v>1.0274118050005709</v>
      </c>
      <c r="BT451" s="308">
        <f t="shared" si="644"/>
        <v>266371.5</v>
      </c>
    </row>
    <row r="452" spans="1:72" ht="60" customHeight="1">
      <c r="A452" s="91" t="s">
        <v>28</v>
      </c>
      <c r="B452" s="358" t="s">
        <v>2644</v>
      </c>
      <c r="C452" s="50" t="s">
        <v>241</v>
      </c>
      <c r="D452" s="99" t="s">
        <v>581</v>
      </c>
      <c r="E452" s="48" t="s">
        <v>13</v>
      </c>
      <c r="F452" s="10">
        <v>12508</v>
      </c>
      <c r="G452" s="31">
        <v>16268</v>
      </c>
      <c r="H452" s="31">
        <v>16268</v>
      </c>
      <c r="I452" s="35">
        <v>14219</v>
      </c>
      <c r="J452" s="29">
        <f t="shared" si="595"/>
        <v>15585</v>
      </c>
      <c r="K452" s="24">
        <f t="shared" si="596"/>
        <v>3077</v>
      </c>
      <c r="L452" s="25">
        <f t="shared" si="597"/>
        <v>0.24600255836264789</v>
      </c>
      <c r="M452" s="69">
        <f t="shared" si="598"/>
        <v>15585</v>
      </c>
      <c r="N452" s="77">
        <f t="shared" si="594"/>
        <v>15585</v>
      </c>
      <c r="O452" s="73">
        <v>8476</v>
      </c>
      <c r="P452" s="74">
        <v>74750</v>
      </c>
      <c r="Q452" s="74">
        <v>90000</v>
      </c>
      <c r="R452" s="75">
        <v>86125</v>
      </c>
      <c r="S452" s="61">
        <v>98899.999999999985</v>
      </c>
      <c r="T452" s="60">
        <v>160000</v>
      </c>
      <c r="U452" s="74">
        <v>113734.99999999997</v>
      </c>
      <c r="V452" s="76">
        <f t="shared" si="617"/>
        <v>103918.33333333333</v>
      </c>
      <c r="W452" s="24">
        <f t="shared" si="618"/>
        <v>95442.333333333328</v>
      </c>
      <c r="X452" s="25">
        <f t="shared" si="619"/>
        <v>11.260303602328142</v>
      </c>
      <c r="Y452" s="77" t="str">
        <f t="shared" si="620"/>
        <v>REVISAR PRECIO</v>
      </c>
      <c r="Z452" s="106">
        <f t="shared" si="621"/>
        <v>103918.33333333333</v>
      </c>
      <c r="AA452" s="73">
        <v>8476</v>
      </c>
      <c r="AB452" s="88">
        <v>70000</v>
      </c>
      <c r="AC452" s="116">
        <v>70000</v>
      </c>
      <c r="AD452" s="74">
        <v>71500</v>
      </c>
      <c r="AE452" s="76">
        <f t="shared" si="622"/>
        <v>70500</v>
      </c>
      <c r="AF452" s="24">
        <f t="shared" si="623"/>
        <v>62024</v>
      </c>
      <c r="AG452" s="25">
        <f t="shared" si="624"/>
        <v>7.3176026427560172</v>
      </c>
      <c r="AH452" s="77" t="str">
        <f t="shared" si="625"/>
        <v>REVISAR PRECIO</v>
      </c>
      <c r="AI452" s="77">
        <f t="shared" si="626"/>
        <v>70500</v>
      </c>
      <c r="AJ452" s="73">
        <v>8476</v>
      </c>
      <c r="AK452" s="79">
        <v>86125</v>
      </c>
      <c r="AL452" s="79">
        <v>65000</v>
      </c>
      <c r="AM452" s="127">
        <v>78000</v>
      </c>
      <c r="AN452" s="128">
        <v>71900</v>
      </c>
      <c r="AO452" s="128">
        <v>70000</v>
      </c>
      <c r="AP452" s="133">
        <f t="shared" si="627"/>
        <v>74205</v>
      </c>
      <c r="AQ452" s="127">
        <f t="shared" si="628"/>
        <v>65729</v>
      </c>
      <c r="AR452" s="134">
        <f t="shared" si="629"/>
        <v>7.7547192071731947</v>
      </c>
      <c r="AS452" s="132">
        <f t="shared" si="630"/>
        <v>74205</v>
      </c>
      <c r="AT452" s="10">
        <v>8307</v>
      </c>
      <c r="AU452" s="10">
        <v>65000</v>
      </c>
      <c r="AV452" s="167">
        <v>130000</v>
      </c>
      <c r="AW452" s="168">
        <v>7500</v>
      </c>
      <c r="AX452" s="29">
        <f t="shared" si="631"/>
        <v>36250</v>
      </c>
      <c r="AY452" s="24">
        <f t="shared" si="632"/>
        <v>27943</v>
      </c>
      <c r="AZ452" s="25">
        <f t="shared" si="633"/>
        <v>3.3637895750571807</v>
      </c>
      <c r="BA452" s="24">
        <f t="shared" si="634"/>
        <v>121693</v>
      </c>
      <c r="BB452" s="169">
        <f t="shared" si="635"/>
        <v>14.649452269170579</v>
      </c>
      <c r="BC452" s="170">
        <f t="shared" si="636"/>
        <v>36250</v>
      </c>
      <c r="BD452" s="150"/>
      <c r="BE452" s="150"/>
      <c r="BF452" s="150"/>
      <c r="BG452" s="150"/>
      <c r="BH452" s="150"/>
      <c r="BI452" s="150"/>
      <c r="BJ452" s="150"/>
      <c r="BK452" s="150"/>
      <c r="BL452" s="150"/>
      <c r="BM452" s="10">
        <v>8430</v>
      </c>
      <c r="BN452" s="45"/>
      <c r="BO452" s="45">
        <v>9802</v>
      </c>
      <c r="BP452" s="45">
        <v>60000</v>
      </c>
      <c r="BQ452" s="29">
        <f t="shared" si="641"/>
        <v>34901</v>
      </c>
      <c r="BR452" s="24">
        <f t="shared" si="642"/>
        <v>26471</v>
      </c>
      <c r="BS452" s="25">
        <f t="shared" si="643"/>
        <v>3.1400948991696325</v>
      </c>
      <c r="BT452" s="308">
        <f t="shared" si="644"/>
        <v>34901</v>
      </c>
    </row>
    <row r="453" spans="1:72" ht="60" customHeight="1">
      <c r="A453" s="91" t="s">
        <v>28</v>
      </c>
      <c r="B453" s="358" t="s">
        <v>2645</v>
      </c>
      <c r="C453" s="50" t="s">
        <v>242</v>
      </c>
      <c r="D453" s="99" t="s">
        <v>582</v>
      </c>
      <c r="E453" s="48" t="s">
        <v>14</v>
      </c>
      <c r="F453" s="10">
        <v>587560</v>
      </c>
      <c r="G453" s="31">
        <v>764168</v>
      </c>
      <c r="H453" s="31">
        <v>993418</v>
      </c>
      <c r="I453" s="35">
        <v>667939</v>
      </c>
      <c r="J453" s="29">
        <f t="shared" si="595"/>
        <v>808508.33333333337</v>
      </c>
      <c r="K453" s="24">
        <f t="shared" si="596"/>
        <v>220948.33333333337</v>
      </c>
      <c r="L453" s="25">
        <f t="shared" si="597"/>
        <v>0.37604386502371395</v>
      </c>
      <c r="M453" s="69" t="str">
        <f t="shared" si="598"/>
        <v>REVISAR PRECIO</v>
      </c>
      <c r="N453" s="77">
        <f t="shared" si="594"/>
        <v>808508.33333333337</v>
      </c>
      <c r="O453" s="73">
        <v>549051</v>
      </c>
      <c r="P453" s="74">
        <v>517500</v>
      </c>
      <c r="Q453" s="74">
        <v>650000</v>
      </c>
      <c r="R453" s="75">
        <v>596250</v>
      </c>
      <c r="S453" s="61">
        <v>1380000</v>
      </c>
      <c r="T453" s="60">
        <v>800000</v>
      </c>
      <c r="U453" s="74">
        <v>1586999.9999999998</v>
      </c>
      <c r="V453" s="76">
        <f t="shared" si="617"/>
        <v>921791.66666666663</v>
      </c>
      <c r="W453" s="24">
        <f t="shared" si="618"/>
        <v>372740.66666666663</v>
      </c>
      <c r="X453" s="25">
        <f t="shared" si="619"/>
        <v>0.67888168251522474</v>
      </c>
      <c r="Y453" s="77" t="str">
        <f t="shared" si="620"/>
        <v>REVISAR PRECIO</v>
      </c>
      <c r="Z453" s="106">
        <f t="shared" si="621"/>
        <v>921791.66666666663</v>
      </c>
      <c r="AA453" s="73">
        <v>549051</v>
      </c>
      <c r="AB453" s="88">
        <v>472500</v>
      </c>
      <c r="AC453" s="116">
        <v>500000</v>
      </c>
      <c r="AD453" s="74">
        <v>495000</v>
      </c>
      <c r="AE453" s="76">
        <f t="shared" si="622"/>
        <v>489166.66666666669</v>
      </c>
      <c r="AF453" s="24">
        <f t="shared" si="623"/>
        <v>-59884.333333333314</v>
      </c>
      <c r="AG453" s="25">
        <f t="shared" si="624"/>
        <v>-0.10906879931615335</v>
      </c>
      <c r="AH453" s="77">
        <f t="shared" si="625"/>
        <v>489166.66666666669</v>
      </c>
      <c r="AI453" s="77">
        <f t="shared" si="626"/>
        <v>489166.66666666669</v>
      </c>
      <c r="AJ453" s="73">
        <v>549051</v>
      </c>
      <c r="AK453" s="79">
        <v>596250</v>
      </c>
      <c r="AL453" s="79">
        <v>450000</v>
      </c>
      <c r="AM453" s="127">
        <v>495000</v>
      </c>
      <c r="AN453" s="128">
        <v>460000</v>
      </c>
      <c r="AO453" s="128">
        <v>440000</v>
      </c>
      <c r="AP453" s="133">
        <f t="shared" si="627"/>
        <v>488250</v>
      </c>
      <c r="AQ453" s="127">
        <f t="shared" si="628"/>
        <v>-60801</v>
      </c>
      <c r="AR453" s="134">
        <f t="shared" si="629"/>
        <v>-0.11073834671096128</v>
      </c>
      <c r="AS453" s="132">
        <f t="shared" si="630"/>
        <v>488250</v>
      </c>
      <c r="AT453" s="250"/>
      <c r="AU453" s="250"/>
      <c r="AV453" s="250"/>
      <c r="AW453" s="250"/>
      <c r="AX453" s="250"/>
      <c r="AY453" s="250"/>
      <c r="AZ453" s="250"/>
      <c r="BA453" s="250"/>
      <c r="BB453" s="250"/>
      <c r="BC453" s="251"/>
      <c r="BD453" s="150"/>
      <c r="BE453" s="150"/>
      <c r="BF453" s="150"/>
      <c r="BG453" s="150"/>
      <c r="BH453" s="150"/>
      <c r="BI453" s="150"/>
      <c r="BJ453" s="150"/>
      <c r="BK453" s="150"/>
      <c r="BL453" s="150"/>
      <c r="BM453" s="293"/>
      <c r="BN453" s="293"/>
      <c r="BO453" s="293"/>
      <c r="BP453" s="293"/>
      <c r="BQ453" s="293"/>
      <c r="BR453" s="293"/>
      <c r="BS453" s="293"/>
      <c r="BT453" s="293"/>
    </row>
    <row r="454" spans="1:72" ht="60" customHeight="1">
      <c r="A454" s="91" t="s">
        <v>28</v>
      </c>
      <c r="B454" s="358" t="s">
        <v>2646</v>
      </c>
      <c r="C454" s="50" t="s">
        <v>243</v>
      </c>
      <c r="D454" s="99" t="s">
        <v>583</v>
      </c>
      <c r="E454" s="48" t="s">
        <v>14</v>
      </c>
      <c r="F454" s="10">
        <v>392790</v>
      </c>
      <c r="G454" s="31">
        <v>510854</v>
      </c>
      <c r="H454" s="31">
        <v>664110</v>
      </c>
      <c r="I454" s="35">
        <v>446523.8</v>
      </c>
      <c r="J454" s="29">
        <f t="shared" si="595"/>
        <v>540495.93333333335</v>
      </c>
      <c r="K454" s="24">
        <f t="shared" si="596"/>
        <v>147705.93333333335</v>
      </c>
      <c r="L454" s="25">
        <f t="shared" si="597"/>
        <v>0.37604300856267558</v>
      </c>
      <c r="M454" s="69" t="str">
        <f t="shared" si="598"/>
        <v>REVISAR PRECIO</v>
      </c>
      <c r="N454" s="77">
        <f t="shared" si="594"/>
        <v>540495.93333333335</v>
      </c>
      <c r="O454" s="73">
        <v>269718</v>
      </c>
      <c r="P454" s="74">
        <v>143750</v>
      </c>
      <c r="Q454" s="74">
        <v>200000</v>
      </c>
      <c r="R454" s="75">
        <v>165625</v>
      </c>
      <c r="S454" s="61">
        <v>206999.99999999997</v>
      </c>
      <c r="T454" s="60">
        <v>300000</v>
      </c>
      <c r="U454" s="74">
        <v>238049.99999999994</v>
      </c>
      <c r="V454" s="76">
        <f t="shared" si="617"/>
        <v>209070.83333333334</v>
      </c>
      <c r="W454" s="24">
        <f t="shared" si="618"/>
        <v>-60647.166666666657</v>
      </c>
      <c r="X454" s="25">
        <f t="shared" si="619"/>
        <v>-0.22485398329613396</v>
      </c>
      <c r="Y454" s="77">
        <f t="shared" si="620"/>
        <v>209070.83333333334</v>
      </c>
      <c r="Z454" s="106">
        <f t="shared" si="621"/>
        <v>209070.83333333334</v>
      </c>
      <c r="AA454" s="73">
        <v>269718</v>
      </c>
      <c r="AB454" s="88">
        <v>132000</v>
      </c>
      <c r="AC454" s="116">
        <v>140000</v>
      </c>
      <c r="AD454" s="74">
        <v>137500</v>
      </c>
      <c r="AE454" s="76">
        <f t="shared" si="622"/>
        <v>136500</v>
      </c>
      <c r="AF454" s="24">
        <f t="shared" si="623"/>
        <v>-133218</v>
      </c>
      <c r="AG454" s="25">
        <f t="shared" si="624"/>
        <v>-0.49391586768402551</v>
      </c>
      <c r="AH454" s="77">
        <f t="shared" si="625"/>
        <v>136500</v>
      </c>
      <c r="AI454" s="77">
        <f t="shared" si="626"/>
        <v>136500</v>
      </c>
      <c r="AJ454" s="73">
        <v>269718</v>
      </c>
      <c r="AK454" s="79">
        <v>165625</v>
      </c>
      <c r="AL454" s="79">
        <v>125000</v>
      </c>
      <c r="AM454" s="127">
        <v>150000</v>
      </c>
      <c r="AN454" s="128">
        <v>130000</v>
      </c>
      <c r="AO454" s="128">
        <v>125000</v>
      </c>
      <c r="AP454" s="129">
        <f t="shared" si="627"/>
        <v>139125</v>
      </c>
      <c r="AQ454" s="130">
        <f t="shared" si="628"/>
        <v>-130593</v>
      </c>
      <c r="AR454" s="131">
        <f t="shared" si="629"/>
        <v>-0.48418348052410293</v>
      </c>
      <c r="AS454" s="132">
        <f t="shared" si="630"/>
        <v>139125</v>
      </c>
      <c r="AT454" s="250"/>
      <c r="AU454" s="250"/>
      <c r="AV454" s="250"/>
      <c r="AW454" s="250"/>
      <c r="AX454" s="250"/>
      <c r="AY454" s="250"/>
      <c r="AZ454" s="250"/>
      <c r="BA454" s="250"/>
      <c r="BB454" s="250"/>
      <c r="BC454" s="251"/>
      <c r="BD454" s="150"/>
      <c r="BE454" s="150"/>
      <c r="BF454" s="150"/>
      <c r="BG454" s="150"/>
      <c r="BH454" s="150"/>
      <c r="BI454" s="150"/>
      <c r="BJ454" s="150"/>
      <c r="BK454" s="150"/>
      <c r="BL454" s="150"/>
      <c r="BM454" s="293"/>
      <c r="BN454" s="293"/>
      <c r="BO454" s="293"/>
      <c r="BP454" s="293"/>
      <c r="BQ454" s="293"/>
      <c r="BR454" s="293"/>
      <c r="BS454" s="293"/>
      <c r="BT454" s="293"/>
    </row>
    <row r="455" spans="1:72" ht="60" customHeight="1">
      <c r="A455" s="91" t="s">
        <v>28</v>
      </c>
      <c r="B455" s="358" t="s">
        <v>2647</v>
      </c>
      <c r="C455" s="50" t="s">
        <v>244</v>
      </c>
      <c r="D455" s="99" t="s">
        <v>584</v>
      </c>
      <c r="E455" s="48" t="s">
        <v>13</v>
      </c>
      <c r="F455" s="10">
        <v>398156</v>
      </c>
      <c r="G455" s="31">
        <v>517833</v>
      </c>
      <c r="H455" s="31">
        <v>673183</v>
      </c>
      <c r="I455" s="35">
        <v>452624.4</v>
      </c>
      <c r="J455" s="29">
        <f t="shared" si="595"/>
        <v>547880.1333333333</v>
      </c>
      <c r="K455" s="24">
        <f t="shared" si="596"/>
        <v>149724.1333333333</v>
      </c>
      <c r="L455" s="25">
        <f t="shared" si="597"/>
        <v>0.37604389569247559</v>
      </c>
      <c r="M455" s="69" t="str">
        <f t="shared" si="598"/>
        <v>REVISAR PRECIO</v>
      </c>
      <c r="N455" s="77">
        <f t="shared" si="594"/>
        <v>547880.1333333333</v>
      </c>
      <c r="O455" s="73"/>
      <c r="P455" s="74">
        <v>164335</v>
      </c>
      <c r="Q455" s="74">
        <v>180000</v>
      </c>
      <c r="R455" s="75">
        <v>189342.5</v>
      </c>
      <c r="S455" s="61">
        <v>164335</v>
      </c>
      <c r="T455" s="60">
        <v>380000</v>
      </c>
      <c r="U455" s="74">
        <v>188985.24999999997</v>
      </c>
      <c r="V455" s="76">
        <f t="shared" si="617"/>
        <v>211166.29166666666</v>
      </c>
      <c r="W455" s="24">
        <f t="shared" si="618"/>
        <v>211166.29166666666</v>
      </c>
      <c r="X455" s="25"/>
      <c r="Y455" s="77">
        <f t="shared" si="620"/>
        <v>211166.29166666666</v>
      </c>
      <c r="Z455" s="106">
        <f t="shared" si="621"/>
        <v>211166.29166666666</v>
      </c>
      <c r="AA455" s="73"/>
      <c r="AB455" s="88">
        <v>175000</v>
      </c>
      <c r="AC455" s="116">
        <v>199000</v>
      </c>
      <c r="AD455" s="74">
        <v>157190</v>
      </c>
      <c r="AE455" s="76">
        <f t="shared" si="622"/>
        <v>177063.33333333334</v>
      </c>
      <c r="AF455" s="24">
        <f t="shared" si="623"/>
        <v>177063.33333333334</v>
      </c>
      <c r="AG455" s="25"/>
      <c r="AH455" s="77"/>
      <c r="AI455" s="77">
        <f t="shared" si="626"/>
        <v>177063.33333333334</v>
      </c>
      <c r="AJ455" s="73"/>
      <c r="AK455" s="79">
        <v>189342.5</v>
      </c>
      <c r="AL455" s="79">
        <v>142900</v>
      </c>
      <c r="AM455" s="127">
        <v>157190</v>
      </c>
      <c r="AN455" s="128">
        <v>155000</v>
      </c>
      <c r="AO455" s="128">
        <v>150000</v>
      </c>
      <c r="AP455" s="133">
        <f t="shared" si="627"/>
        <v>158886.5</v>
      </c>
      <c r="AQ455" s="127">
        <f t="shared" si="628"/>
        <v>158886.5</v>
      </c>
      <c r="AR455" s="134"/>
      <c r="AS455" s="132">
        <f t="shared" si="630"/>
        <v>158886.5</v>
      </c>
      <c r="AT455" s="250"/>
      <c r="AU455" s="250"/>
      <c r="AV455" s="250"/>
      <c r="AW455" s="250"/>
      <c r="AX455" s="250"/>
      <c r="AY455" s="250"/>
      <c r="AZ455" s="250"/>
      <c r="BA455" s="250"/>
      <c r="BB455" s="250"/>
      <c r="BC455" s="251"/>
      <c r="BD455" s="150"/>
      <c r="BE455" s="150"/>
      <c r="BF455" s="150"/>
      <c r="BG455" s="150"/>
      <c r="BH455" s="150"/>
      <c r="BI455" s="150"/>
      <c r="BJ455" s="150"/>
      <c r="BK455" s="150"/>
      <c r="BL455" s="150"/>
      <c r="BM455" s="293"/>
      <c r="BN455" s="293"/>
      <c r="BO455" s="293"/>
      <c r="BP455" s="293"/>
      <c r="BQ455" s="293"/>
      <c r="BR455" s="293"/>
      <c r="BS455" s="293"/>
      <c r="BT455" s="293"/>
    </row>
    <row r="456" spans="1:72" ht="60" customHeight="1">
      <c r="A456" s="91" t="s">
        <v>28</v>
      </c>
      <c r="B456" s="358" t="s">
        <v>2648</v>
      </c>
      <c r="C456" s="50" t="s">
        <v>245</v>
      </c>
      <c r="D456" s="99" t="s">
        <v>585</v>
      </c>
      <c r="E456" s="48" t="s">
        <v>13</v>
      </c>
      <c r="F456" s="10">
        <v>267555</v>
      </c>
      <c r="G456" s="31">
        <v>347976</v>
      </c>
      <c r="H456" s="31">
        <v>452369</v>
      </c>
      <c r="I456" s="35">
        <v>304156.79999999999</v>
      </c>
      <c r="J456" s="29">
        <f t="shared" si="595"/>
        <v>368167.26666666666</v>
      </c>
      <c r="K456" s="24">
        <f t="shared" si="596"/>
        <v>100612.26666666666</v>
      </c>
      <c r="L456" s="25">
        <f t="shared" si="597"/>
        <v>0.37604330573776107</v>
      </c>
      <c r="M456" s="69" t="str">
        <f t="shared" si="598"/>
        <v>REVISAR PRECIO</v>
      </c>
      <c r="N456" s="77">
        <f t="shared" si="594"/>
        <v>368167.26666666666</v>
      </c>
      <c r="O456" s="73">
        <v>181239</v>
      </c>
      <c r="P456" s="74">
        <v>288687.71999999997</v>
      </c>
      <c r="Q456" s="74">
        <v>430000</v>
      </c>
      <c r="R456" s="75">
        <v>332618.45999999996</v>
      </c>
      <c r="S456" s="61">
        <v>288687.71999999997</v>
      </c>
      <c r="T456" s="60">
        <v>450000</v>
      </c>
      <c r="U456" s="74">
        <v>331990.87799999997</v>
      </c>
      <c r="V456" s="76">
        <f t="shared" si="617"/>
        <v>353664.12966666667</v>
      </c>
      <c r="W456" s="24">
        <f t="shared" si="618"/>
        <v>172425.12966666667</v>
      </c>
      <c r="X456" s="25">
        <f t="shared" si="619"/>
        <v>0.9513687984742063</v>
      </c>
      <c r="Y456" s="77" t="str">
        <f t="shared" si="620"/>
        <v>REVISAR PRECIO</v>
      </c>
      <c r="Z456" s="106">
        <f t="shared" si="621"/>
        <v>353664.12966666667</v>
      </c>
      <c r="AA456" s="73">
        <v>181239</v>
      </c>
      <c r="AB456" s="88">
        <v>265000</v>
      </c>
      <c r="AC456" s="116">
        <v>290000</v>
      </c>
      <c r="AD456" s="74">
        <v>276136.07999999996</v>
      </c>
      <c r="AE456" s="76">
        <f t="shared" si="622"/>
        <v>277045.36</v>
      </c>
      <c r="AF456" s="24">
        <f t="shared" si="623"/>
        <v>95806.359999999986</v>
      </c>
      <c r="AG456" s="25">
        <f t="shared" si="624"/>
        <v>0.52861889549158836</v>
      </c>
      <c r="AH456" s="77" t="str">
        <f t="shared" si="625"/>
        <v>REVISAR PRECIO</v>
      </c>
      <c r="AI456" s="77">
        <f t="shared" si="626"/>
        <v>277045.36</v>
      </c>
      <c r="AJ456" s="73">
        <v>181239</v>
      </c>
      <c r="AK456" s="79">
        <v>332618.45999999996</v>
      </c>
      <c r="AL456" s="79">
        <f>209194*1.2</f>
        <v>251032.8</v>
      </c>
      <c r="AM456" s="127">
        <v>288687.71999999997</v>
      </c>
      <c r="AN456" s="128">
        <v>330600</v>
      </c>
      <c r="AO456" s="128">
        <v>310000</v>
      </c>
      <c r="AP456" s="124">
        <f t="shared" si="627"/>
        <v>302587.79599999997</v>
      </c>
      <c r="AQ456" s="125">
        <f t="shared" si="628"/>
        <v>121348.79599999997</v>
      </c>
      <c r="AR456" s="126">
        <f t="shared" si="629"/>
        <v>0.66955123345416812</v>
      </c>
      <c r="AS456" s="132">
        <f t="shared" si="630"/>
        <v>302587.79599999997</v>
      </c>
      <c r="AT456" s="10">
        <v>177689</v>
      </c>
      <c r="AU456" s="10">
        <v>501332.5</v>
      </c>
      <c r="AV456" s="167">
        <v>1503997.5</v>
      </c>
      <c r="AW456" s="168">
        <v>485690</v>
      </c>
      <c r="AX456" s="29">
        <f t="shared" ref="AX456:AX458" si="645">AVERAGE(AU456,AW456)</f>
        <v>493511.25</v>
      </c>
      <c r="AY456" s="24">
        <f t="shared" ref="AY456:AY458" si="646">AX456-AT456</f>
        <v>315822.25</v>
      </c>
      <c r="AZ456" s="25">
        <f t="shared" ref="AZ456:AZ458" si="647">+AY456/AT456</f>
        <v>1.7773877392522892</v>
      </c>
      <c r="BA456" s="24">
        <f t="shared" ref="BA456:BA458" si="648">AV456-AT456</f>
        <v>1326308.5</v>
      </c>
      <c r="BB456" s="169">
        <f t="shared" ref="BB456:BB458" si="649">+BA456/AT456</f>
        <v>7.4642127537439009</v>
      </c>
      <c r="BC456" s="170">
        <f t="shared" ref="BC456:BC458" si="650">AX456</f>
        <v>493511.25</v>
      </c>
      <c r="BD456" s="10">
        <v>161504</v>
      </c>
      <c r="BE456" s="10"/>
      <c r="BF456" s="10"/>
      <c r="BG456" s="10"/>
      <c r="BH456" s="10"/>
      <c r="BI456" s="76"/>
      <c r="BJ456" s="24"/>
      <c r="BK456" s="25"/>
      <c r="BL456" s="259" t="s">
        <v>894</v>
      </c>
      <c r="BM456" s="319">
        <v>180347</v>
      </c>
      <c r="BN456" s="317"/>
      <c r="BO456" s="317">
        <v>209654</v>
      </c>
      <c r="BP456" s="45">
        <v>247000</v>
      </c>
      <c r="BQ456" s="29">
        <f t="shared" ref="BQ456:BQ458" si="651">AVERAGE(BN456,BO456,BP456)</f>
        <v>228327</v>
      </c>
      <c r="BR456" s="24">
        <f t="shared" ref="BR456:BR458" si="652">BQ456-BM456</f>
        <v>47980</v>
      </c>
      <c r="BS456" s="25">
        <f t="shared" ref="BS456:BS458" si="653">+BR456/BM456</f>
        <v>0.26604268438066614</v>
      </c>
      <c r="BT456" s="308">
        <f t="shared" ref="BT456:BT458" si="654">BQ456</f>
        <v>228327</v>
      </c>
    </row>
    <row r="457" spans="1:72" ht="64.349999999999994" customHeight="1">
      <c r="A457" s="91" t="s">
        <v>28</v>
      </c>
      <c r="B457" s="358" t="s">
        <v>2649</v>
      </c>
      <c r="C457" s="50" t="s">
        <v>246</v>
      </c>
      <c r="D457" s="99" t="s">
        <v>586</v>
      </c>
      <c r="E457" s="48" t="s">
        <v>13</v>
      </c>
      <c r="F457" s="10">
        <v>155700</v>
      </c>
      <c r="G457" s="31">
        <v>202500</v>
      </c>
      <c r="H457" s="31">
        <v>263250</v>
      </c>
      <c r="I457" s="35">
        <v>177000</v>
      </c>
      <c r="J457" s="29">
        <f t="shared" si="595"/>
        <v>214250</v>
      </c>
      <c r="K457" s="24">
        <f t="shared" si="596"/>
        <v>58550</v>
      </c>
      <c r="L457" s="25">
        <f t="shared" si="597"/>
        <v>0.37604367373153502</v>
      </c>
      <c r="M457" s="69" t="str">
        <f t="shared" si="598"/>
        <v>REVISAR PRECIO</v>
      </c>
      <c r="N457" s="77">
        <f t="shared" si="594"/>
        <v>214250</v>
      </c>
      <c r="O457" s="73">
        <v>128176</v>
      </c>
      <c r="P457" s="74">
        <v>57801.3</v>
      </c>
      <c r="Q457" s="74">
        <v>80000</v>
      </c>
      <c r="R457" s="75">
        <v>66597.149999999994</v>
      </c>
      <c r="S457" s="61">
        <v>57801.299999999996</v>
      </c>
      <c r="T457" s="60">
        <v>380000</v>
      </c>
      <c r="U457" s="74">
        <v>66471.494999999995</v>
      </c>
      <c r="V457" s="76">
        <f t="shared" si="617"/>
        <v>118111.87416666666</v>
      </c>
      <c r="W457" s="24">
        <f t="shared" si="618"/>
        <v>-10064.125833333339</v>
      </c>
      <c r="X457" s="25">
        <f t="shared" si="619"/>
        <v>-7.8518020794324517E-2</v>
      </c>
      <c r="Y457" s="77">
        <f t="shared" si="620"/>
        <v>118111.87416666666</v>
      </c>
      <c r="Z457" s="106">
        <f t="shared" si="621"/>
        <v>118111.87416666666</v>
      </c>
      <c r="AA457" s="73">
        <v>128176</v>
      </c>
      <c r="AB457" s="88">
        <v>53000</v>
      </c>
      <c r="AC457" s="116">
        <v>53000</v>
      </c>
      <c r="AD457" s="74">
        <v>55288.2</v>
      </c>
      <c r="AE457" s="76">
        <f t="shared" si="622"/>
        <v>53762.733333333337</v>
      </c>
      <c r="AF457" s="24">
        <f t="shared" si="623"/>
        <v>-74413.266666666663</v>
      </c>
      <c r="AG457" s="25">
        <f t="shared" si="624"/>
        <v>-0.58055538218283187</v>
      </c>
      <c r="AH457" s="77">
        <f t="shared" si="625"/>
        <v>53762.733333333337</v>
      </c>
      <c r="AI457" s="77">
        <f t="shared" si="626"/>
        <v>53762.733333333337</v>
      </c>
      <c r="AJ457" s="73">
        <v>128176</v>
      </c>
      <c r="AK457" s="79">
        <v>66597.149999999994</v>
      </c>
      <c r="AL457" s="79">
        <v>50262</v>
      </c>
      <c r="AM457" s="127">
        <v>60314.400000000001</v>
      </c>
      <c r="AN457" s="128">
        <v>52000</v>
      </c>
      <c r="AO457" s="128">
        <v>50000</v>
      </c>
      <c r="AP457" s="133">
        <f t="shared" si="627"/>
        <v>55834.71</v>
      </c>
      <c r="AQ457" s="127">
        <f t="shared" si="628"/>
        <v>-72341.290000000008</v>
      </c>
      <c r="AR457" s="134">
        <f t="shared" si="629"/>
        <v>-0.56439029147422304</v>
      </c>
      <c r="AS457" s="132">
        <f t="shared" si="630"/>
        <v>55834.71</v>
      </c>
      <c r="AT457" s="10">
        <v>1256644</v>
      </c>
      <c r="AU457" s="10">
        <v>50262</v>
      </c>
      <c r="AV457" s="167">
        <v>150786</v>
      </c>
      <c r="AW457" s="168">
        <v>85600</v>
      </c>
      <c r="AX457" s="29">
        <f t="shared" si="645"/>
        <v>67931</v>
      </c>
      <c r="AY457" s="24">
        <f t="shared" si="646"/>
        <v>-1188713</v>
      </c>
      <c r="AZ457" s="25">
        <f t="shared" si="647"/>
        <v>-0.94594252628429376</v>
      </c>
      <c r="BA457" s="24">
        <f t="shared" si="648"/>
        <v>-1105858</v>
      </c>
      <c r="BB457" s="169">
        <f t="shared" si="649"/>
        <v>-0.88000897628922747</v>
      </c>
      <c r="BC457" s="170">
        <f t="shared" si="650"/>
        <v>67931</v>
      </c>
      <c r="BD457" s="10">
        <v>1142174</v>
      </c>
      <c r="BE457" s="10"/>
      <c r="BF457" s="10"/>
      <c r="BG457" s="10"/>
      <c r="BH457" s="10"/>
      <c r="BI457" s="76"/>
      <c r="BJ457" s="24"/>
      <c r="BK457" s="25"/>
      <c r="BL457" s="259" t="s">
        <v>894</v>
      </c>
      <c r="BM457" s="10">
        <v>1275400</v>
      </c>
      <c r="BN457" s="45"/>
      <c r="BO457" s="45">
        <v>1482696</v>
      </c>
      <c r="BP457" s="45">
        <v>60000</v>
      </c>
      <c r="BQ457" s="29">
        <f t="shared" si="651"/>
        <v>771348</v>
      </c>
      <c r="BR457" s="24">
        <f t="shared" si="652"/>
        <v>-504052</v>
      </c>
      <c r="BS457" s="25">
        <f t="shared" si="653"/>
        <v>-0.39521091422298887</v>
      </c>
      <c r="BT457" s="308">
        <f t="shared" si="654"/>
        <v>771348</v>
      </c>
    </row>
    <row r="458" spans="1:72" ht="39.6" customHeight="1">
      <c r="A458" s="91" t="s">
        <v>28</v>
      </c>
      <c r="B458" s="358" t="s">
        <v>2650</v>
      </c>
      <c r="C458" s="50" t="s">
        <v>247</v>
      </c>
      <c r="D458" s="99" t="s">
        <v>587</v>
      </c>
      <c r="E458" s="48" t="s">
        <v>14</v>
      </c>
      <c r="F458" s="10">
        <v>149887</v>
      </c>
      <c r="G458" s="31">
        <v>194940</v>
      </c>
      <c r="H458" s="31">
        <v>253422</v>
      </c>
      <c r="I458" s="35">
        <v>170392</v>
      </c>
      <c r="J458" s="29">
        <f t="shared" si="595"/>
        <v>206251.33333333334</v>
      </c>
      <c r="K458" s="24">
        <f t="shared" si="596"/>
        <v>56364.333333333343</v>
      </c>
      <c r="L458" s="25">
        <f t="shared" si="597"/>
        <v>0.37604550983963481</v>
      </c>
      <c r="M458" s="69" t="str">
        <f t="shared" si="598"/>
        <v>REVISAR PRECIO</v>
      </c>
      <c r="N458" s="77">
        <f t="shared" si="594"/>
        <v>206251.33333333334</v>
      </c>
      <c r="O458" s="73">
        <v>69741</v>
      </c>
      <c r="P458" s="74">
        <v>74750</v>
      </c>
      <c r="Q458" s="74">
        <v>120000</v>
      </c>
      <c r="R458" s="75">
        <v>86125</v>
      </c>
      <c r="S458" s="61">
        <v>100049.99999999999</v>
      </c>
      <c r="T458" s="60">
        <v>120000</v>
      </c>
      <c r="U458" s="74">
        <v>115057.49999999997</v>
      </c>
      <c r="V458" s="76">
        <f t="shared" si="617"/>
        <v>102663.75</v>
      </c>
      <c r="W458" s="24">
        <f t="shared" si="618"/>
        <v>32922.75</v>
      </c>
      <c r="X458" s="25">
        <f t="shared" si="619"/>
        <v>0.47207166516109605</v>
      </c>
      <c r="Y458" s="77" t="str">
        <f t="shared" si="620"/>
        <v>REVISAR PRECIO</v>
      </c>
      <c r="Z458" s="106">
        <f t="shared" si="621"/>
        <v>102663.75</v>
      </c>
      <c r="AA458" s="73">
        <v>69741</v>
      </c>
      <c r="AB458" s="88">
        <v>70000</v>
      </c>
      <c r="AC458" s="116">
        <v>70000</v>
      </c>
      <c r="AD458" s="74">
        <v>71500</v>
      </c>
      <c r="AE458" s="76">
        <f t="shared" si="622"/>
        <v>70500</v>
      </c>
      <c r="AF458" s="24">
        <f t="shared" si="623"/>
        <v>759</v>
      </c>
      <c r="AG458" s="25">
        <f t="shared" si="624"/>
        <v>1.0883124704262916E-2</v>
      </c>
      <c r="AH458" s="77">
        <f t="shared" si="625"/>
        <v>70500</v>
      </c>
      <c r="AI458" s="77">
        <f t="shared" si="626"/>
        <v>70500</v>
      </c>
      <c r="AJ458" s="73">
        <v>69741</v>
      </c>
      <c r="AK458" s="79">
        <v>86125</v>
      </c>
      <c r="AL458" s="79">
        <v>65000</v>
      </c>
      <c r="AM458" s="127">
        <v>78000</v>
      </c>
      <c r="AN458" s="128">
        <v>72000</v>
      </c>
      <c r="AO458" s="128">
        <v>65000</v>
      </c>
      <c r="AP458" s="133">
        <f t="shared" si="627"/>
        <v>73225</v>
      </c>
      <c r="AQ458" s="127">
        <f t="shared" si="628"/>
        <v>3484</v>
      </c>
      <c r="AR458" s="134">
        <f t="shared" si="629"/>
        <v>4.9956266758434779E-2</v>
      </c>
      <c r="AS458" s="132">
        <f t="shared" si="630"/>
        <v>73225</v>
      </c>
      <c r="AT458" s="10">
        <v>68375</v>
      </c>
      <c r="AU458" s="10">
        <v>65000</v>
      </c>
      <c r="AV458" s="167">
        <v>130000</v>
      </c>
      <c r="AW458" s="168">
        <v>60000</v>
      </c>
      <c r="AX458" s="29">
        <f t="shared" si="645"/>
        <v>62500</v>
      </c>
      <c r="AY458" s="24">
        <f t="shared" si="646"/>
        <v>-5875</v>
      </c>
      <c r="AZ458" s="25">
        <f t="shared" si="647"/>
        <v>-8.5923217550274225E-2</v>
      </c>
      <c r="BA458" s="24">
        <f t="shared" si="648"/>
        <v>61625</v>
      </c>
      <c r="BB458" s="169">
        <f t="shared" si="649"/>
        <v>0.90127970749542963</v>
      </c>
      <c r="BC458" s="170">
        <f t="shared" si="650"/>
        <v>62500</v>
      </c>
      <c r="BD458" s="10">
        <v>62147</v>
      </c>
      <c r="BE458" s="10">
        <v>60000</v>
      </c>
      <c r="BF458" s="10"/>
      <c r="BG458" s="10"/>
      <c r="BH458" s="10"/>
      <c r="BI458" s="76">
        <f t="shared" ref="BI458" si="655">AVERAGE(BE458,BF458,BG458,BH458)</f>
        <v>60000</v>
      </c>
      <c r="BJ458" s="24">
        <f t="shared" ref="BJ458" si="656">BI458-BD458</f>
        <v>-2147</v>
      </c>
      <c r="BK458" s="25">
        <f t="shared" ref="BK458" si="657">+BJ458/BD458</f>
        <v>-3.4547122145879933E-2</v>
      </c>
      <c r="BL458" s="259">
        <f t="shared" ref="BL458" si="658">BI458</f>
        <v>60000</v>
      </c>
      <c r="BM458" s="10">
        <v>69389</v>
      </c>
      <c r="BN458" s="45"/>
      <c r="BO458" s="45">
        <v>80669</v>
      </c>
      <c r="BP458" s="45">
        <v>65000</v>
      </c>
      <c r="BQ458" s="29">
        <f t="shared" si="651"/>
        <v>72834.5</v>
      </c>
      <c r="BR458" s="24">
        <f t="shared" si="652"/>
        <v>3445.5</v>
      </c>
      <c r="BS458" s="25">
        <f t="shared" si="653"/>
        <v>4.9654844427791146E-2</v>
      </c>
      <c r="BT458" s="308">
        <f t="shared" si="654"/>
        <v>72834.5</v>
      </c>
    </row>
    <row r="459" spans="1:72" ht="54" customHeight="1">
      <c r="A459" s="91" t="s">
        <v>28</v>
      </c>
      <c r="B459" s="358" t="s">
        <v>2651</v>
      </c>
      <c r="C459" s="50" t="s">
        <v>248</v>
      </c>
      <c r="D459" s="99" t="s">
        <v>588</v>
      </c>
      <c r="E459" s="48" t="s">
        <v>10</v>
      </c>
      <c r="F459" s="10">
        <v>490320</v>
      </c>
      <c r="G459" s="31">
        <v>637700</v>
      </c>
      <c r="H459" s="31">
        <v>829009</v>
      </c>
      <c r="I459" s="35">
        <v>557396.6</v>
      </c>
      <c r="J459" s="29">
        <f t="shared" si="595"/>
        <v>674701.8666666667</v>
      </c>
      <c r="K459" s="24">
        <f t="shared" si="596"/>
        <v>184381.8666666667</v>
      </c>
      <c r="L459" s="25">
        <f t="shared" si="597"/>
        <v>0.37604394409093389</v>
      </c>
      <c r="M459" s="69" t="str">
        <f t="shared" si="598"/>
        <v>REVISAR PRECIO</v>
      </c>
      <c r="N459" s="77">
        <f t="shared" si="594"/>
        <v>674701.8666666667</v>
      </c>
      <c r="O459" s="73">
        <v>332149</v>
      </c>
      <c r="P459" s="74">
        <v>532335.17249999999</v>
      </c>
      <c r="Q459" s="74">
        <v>600000</v>
      </c>
      <c r="R459" s="75">
        <v>613342.69874999998</v>
      </c>
      <c r="S459" s="61">
        <v>532335.17249999999</v>
      </c>
      <c r="T459" s="60">
        <v>450000</v>
      </c>
      <c r="U459" s="74">
        <v>612185.44837499992</v>
      </c>
      <c r="V459" s="76">
        <f t="shared" si="617"/>
        <v>556699.74868750002</v>
      </c>
      <c r="W459" s="24">
        <f t="shared" si="618"/>
        <v>224550.74868750002</v>
      </c>
      <c r="X459" s="25">
        <f t="shared" si="619"/>
        <v>0.67605426687269876</v>
      </c>
      <c r="Y459" s="77" t="str">
        <f t="shared" si="620"/>
        <v>REVISAR PRECIO</v>
      </c>
      <c r="Z459" s="106">
        <f t="shared" si="621"/>
        <v>556699.74868750002</v>
      </c>
      <c r="AA459" s="73">
        <v>332149</v>
      </c>
      <c r="AB459" s="88">
        <v>510000</v>
      </c>
      <c r="AC459" s="116">
        <v>510000</v>
      </c>
      <c r="AD459" s="74">
        <v>509190.16500000004</v>
      </c>
      <c r="AE459" s="76">
        <f t="shared" si="622"/>
        <v>509730.05499999999</v>
      </c>
      <c r="AF459" s="24">
        <f t="shared" si="623"/>
        <v>177581.05499999999</v>
      </c>
      <c r="AG459" s="25">
        <f t="shared" si="624"/>
        <v>0.53464275069321299</v>
      </c>
      <c r="AH459" s="77" t="str">
        <f t="shared" si="625"/>
        <v>REVISAR PRECIO</v>
      </c>
      <c r="AI459" s="77">
        <f t="shared" si="626"/>
        <v>509730.05499999999</v>
      </c>
      <c r="AJ459" s="73">
        <v>332149</v>
      </c>
      <c r="AK459" s="79">
        <v>613342.69874999998</v>
      </c>
      <c r="AL459" s="79">
        <f>342889*1.35</f>
        <v>462900.15</v>
      </c>
      <c r="AM459" s="127">
        <v>555480.18000000005</v>
      </c>
      <c r="AN459" s="128">
        <v>450000</v>
      </c>
      <c r="AO459" s="128">
        <v>500000</v>
      </c>
      <c r="AP459" s="133">
        <f t="shared" si="627"/>
        <v>516344.60574999999</v>
      </c>
      <c r="AQ459" s="127">
        <f t="shared" si="628"/>
        <v>184195.60574999999</v>
      </c>
      <c r="AR459" s="134">
        <f t="shared" si="629"/>
        <v>0.55455715883534196</v>
      </c>
      <c r="AS459" s="132">
        <f t="shared" si="630"/>
        <v>516344.60574999999</v>
      </c>
      <c r="AT459" s="250"/>
      <c r="AU459" s="250"/>
      <c r="AV459" s="250"/>
      <c r="AW459" s="250"/>
      <c r="AX459" s="250"/>
      <c r="AY459" s="250"/>
      <c r="AZ459" s="250"/>
      <c r="BA459" s="250"/>
      <c r="BB459" s="250"/>
      <c r="BC459" s="251"/>
      <c r="BD459" s="150"/>
      <c r="BE459" s="150"/>
      <c r="BF459" s="150"/>
      <c r="BG459" s="150"/>
      <c r="BH459" s="150"/>
      <c r="BI459" s="150"/>
      <c r="BJ459" s="150"/>
      <c r="BK459" s="150"/>
      <c r="BL459" s="150"/>
      <c r="BM459" s="293"/>
      <c r="BN459" s="293"/>
      <c r="BO459" s="293"/>
      <c r="BP459" s="293"/>
      <c r="BQ459" s="293"/>
      <c r="BR459" s="293"/>
      <c r="BS459" s="293"/>
      <c r="BT459" s="293"/>
    </row>
    <row r="460" spans="1:72" ht="54" customHeight="1">
      <c r="A460" s="91" t="s">
        <v>28</v>
      </c>
      <c r="B460" s="358" t="s">
        <v>2652</v>
      </c>
      <c r="C460" s="50" t="s">
        <v>249</v>
      </c>
      <c r="D460" s="99" t="s">
        <v>589</v>
      </c>
      <c r="E460" s="48" t="s">
        <v>10</v>
      </c>
      <c r="F460" s="10">
        <v>555704</v>
      </c>
      <c r="G460" s="31">
        <v>722736</v>
      </c>
      <c r="H460" s="31">
        <v>939557</v>
      </c>
      <c r="I460" s="35">
        <v>631724.80000000005</v>
      </c>
      <c r="J460" s="29">
        <f t="shared" si="595"/>
        <v>764672.6</v>
      </c>
      <c r="K460" s="24">
        <f t="shared" si="596"/>
        <v>208968.59999999998</v>
      </c>
      <c r="L460" s="25">
        <f t="shared" si="597"/>
        <v>0.37604300131004992</v>
      </c>
      <c r="M460" s="69" t="str">
        <f t="shared" si="598"/>
        <v>REVISAR PRECIO</v>
      </c>
      <c r="N460" s="77">
        <f t="shared" si="594"/>
        <v>764672.6</v>
      </c>
      <c r="O460" s="73">
        <v>376431</v>
      </c>
      <c r="P460" s="74">
        <v>593044.13250000007</v>
      </c>
      <c r="Q460" s="74">
        <v>600000</v>
      </c>
      <c r="R460" s="75">
        <v>683289.97875000001</v>
      </c>
      <c r="S460" s="61">
        <v>593044.13250000007</v>
      </c>
      <c r="T460" s="60">
        <v>800000</v>
      </c>
      <c r="U460" s="74">
        <v>682000.75237500004</v>
      </c>
      <c r="V460" s="76">
        <f t="shared" si="617"/>
        <v>658563.16602083342</v>
      </c>
      <c r="W460" s="24">
        <f t="shared" si="618"/>
        <v>282132.16602083342</v>
      </c>
      <c r="X460" s="25">
        <f t="shared" si="619"/>
        <v>0.74949237980090222</v>
      </c>
      <c r="Y460" s="77" t="str">
        <f t="shared" si="620"/>
        <v>REVISAR PRECIO</v>
      </c>
      <c r="Z460" s="106">
        <f t="shared" si="621"/>
        <v>658563.16602083342</v>
      </c>
      <c r="AA460" s="73">
        <v>376431</v>
      </c>
      <c r="AB460" s="88">
        <v>541500</v>
      </c>
      <c r="AC460" s="116">
        <v>550000</v>
      </c>
      <c r="AD460" s="74">
        <v>567259.6050000001</v>
      </c>
      <c r="AE460" s="76">
        <f t="shared" si="622"/>
        <v>552919.86833333329</v>
      </c>
      <c r="AF460" s="24">
        <f t="shared" si="623"/>
        <v>176488.86833333329</v>
      </c>
      <c r="AG460" s="25">
        <f t="shared" si="624"/>
        <v>0.46884785879306773</v>
      </c>
      <c r="AH460" s="77" t="str">
        <f t="shared" si="625"/>
        <v>REVISAR PRECIO</v>
      </c>
      <c r="AI460" s="77">
        <f t="shared" si="626"/>
        <v>552919.86833333329</v>
      </c>
      <c r="AJ460" s="73">
        <v>376431</v>
      </c>
      <c r="AK460" s="79">
        <v>683289.97875000001</v>
      </c>
      <c r="AL460" s="79">
        <f>381993*1.35</f>
        <v>515690.55000000005</v>
      </c>
      <c r="AM460" s="127">
        <v>618828.66</v>
      </c>
      <c r="AN460" s="128">
        <v>460000</v>
      </c>
      <c r="AO460" s="128">
        <v>500000</v>
      </c>
      <c r="AP460" s="133">
        <f t="shared" si="627"/>
        <v>555561.83775000006</v>
      </c>
      <c r="AQ460" s="127">
        <f t="shared" si="628"/>
        <v>179130.83775000006</v>
      </c>
      <c r="AR460" s="134">
        <f t="shared" si="629"/>
        <v>0.47586632809200108</v>
      </c>
      <c r="AS460" s="132">
        <f t="shared" si="630"/>
        <v>555561.83775000006</v>
      </c>
      <c r="AT460" s="250"/>
      <c r="AU460" s="250"/>
      <c r="AV460" s="250"/>
      <c r="AW460" s="250"/>
      <c r="AX460" s="250"/>
      <c r="AY460" s="250"/>
      <c r="AZ460" s="250"/>
      <c r="BA460" s="250"/>
      <c r="BB460" s="250"/>
      <c r="BC460" s="251"/>
      <c r="BD460" s="150"/>
      <c r="BE460" s="150"/>
      <c r="BF460" s="150"/>
      <c r="BG460" s="150"/>
      <c r="BH460" s="150"/>
      <c r="BI460" s="150"/>
      <c r="BJ460" s="150"/>
      <c r="BK460" s="150"/>
      <c r="BL460" s="150"/>
      <c r="BM460" s="293"/>
      <c r="BN460" s="293"/>
      <c r="BO460" s="293"/>
      <c r="BP460" s="293"/>
      <c r="BQ460" s="293"/>
      <c r="BR460" s="293"/>
      <c r="BS460" s="293"/>
      <c r="BT460" s="293"/>
    </row>
    <row r="461" spans="1:72" ht="54" customHeight="1">
      <c r="A461" s="91" t="s">
        <v>28</v>
      </c>
      <c r="B461" s="358" t="s">
        <v>2653</v>
      </c>
      <c r="C461" s="50" t="s">
        <v>250</v>
      </c>
      <c r="D461" s="99" t="s">
        <v>590</v>
      </c>
      <c r="E461" s="48" t="s">
        <v>13</v>
      </c>
      <c r="F461" s="10">
        <v>548033</v>
      </c>
      <c r="G461" s="31">
        <v>712760</v>
      </c>
      <c r="H461" s="31">
        <v>712760</v>
      </c>
      <c r="I461" s="35">
        <v>623004.6</v>
      </c>
      <c r="J461" s="29">
        <f t="shared" si="595"/>
        <v>682841.53333333333</v>
      </c>
      <c r="K461" s="24">
        <f t="shared" si="596"/>
        <v>134808.53333333333</v>
      </c>
      <c r="L461" s="25">
        <f t="shared" si="597"/>
        <v>0.24598616020081515</v>
      </c>
      <c r="M461" s="69">
        <f t="shared" si="598"/>
        <v>682841.53333333333</v>
      </c>
      <c r="N461" s="77">
        <f t="shared" si="594"/>
        <v>682841.53333333333</v>
      </c>
      <c r="O461" s="73">
        <v>371238</v>
      </c>
      <c r="P461" s="74">
        <v>287500</v>
      </c>
      <c r="Q461" s="74">
        <v>380000</v>
      </c>
      <c r="R461" s="75">
        <v>331250</v>
      </c>
      <c r="S461" s="61">
        <v>287500</v>
      </c>
      <c r="T461" s="60">
        <v>380000</v>
      </c>
      <c r="U461" s="74">
        <v>330625</v>
      </c>
      <c r="V461" s="76">
        <f t="shared" si="617"/>
        <v>332812.5</v>
      </c>
      <c r="W461" s="24">
        <f t="shared" si="618"/>
        <v>-38425.5</v>
      </c>
      <c r="X461" s="25">
        <f t="shared" si="619"/>
        <v>-0.10350637596366752</v>
      </c>
      <c r="Y461" s="77">
        <f t="shared" si="620"/>
        <v>332812.5</v>
      </c>
      <c r="Z461" s="106">
        <f t="shared" si="621"/>
        <v>332812.5</v>
      </c>
      <c r="AA461" s="73">
        <v>371238</v>
      </c>
      <c r="AB461" s="88">
        <v>275000</v>
      </c>
      <c r="AC461" s="116">
        <v>275000</v>
      </c>
      <c r="AD461" s="74">
        <v>275000</v>
      </c>
      <c r="AE461" s="76">
        <f t="shared" si="622"/>
        <v>275000</v>
      </c>
      <c r="AF461" s="24">
        <f t="shared" si="623"/>
        <v>-96238</v>
      </c>
      <c r="AG461" s="25">
        <f t="shared" si="624"/>
        <v>-0.25923531535026045</v>
      </c>
      <c r="AH461" s="77">
        <f t="shared" si="625"/>
        <v>275000</v>
      </c>
      <c r="AI461" s="77">
        <f t="shared" si="626"/>
        <v>275000</v>
      </c>
      <c r="AJ461" s="73">
        <v>371238</v>
      </c>
      <c r="AK461" s="79">
        <v>331250</v>
      </c>
      <c r="AL461" s="79">
        <v>250000</v>
      </c>
      <c r="AM461" s="127">
        <v>275000</v>
      </c>
      <c r="AN461" s="128">
        <v>260000</v>
      </c>
      <c r="AO461" s="128">
        <v>250000</v>
      </c>
      <c r="AP461" s="133">
        <f t="shared" si="627"/>
        <v>273250</v>
      </c>
      <c r="AQ461" s="127">
        <f t="shared" si="628"/>
        <v>-97988</v>
      </c>
      <c r="AR461" s="134">
        <f t="shared" si="629"/>
        <v>-0.2639492724343952</v>
      </c>
      <c r="AS461" s="132">
        <f t="shared" si="630"/>
        <v>273250</v>
      </c>
      <c r="AT461" s="250"/>
      <c r="AU461" s="250"/>
      <c r="AV461" s="250"/>
      <c r="AW461" s="250"/>
      <c r="AX461" s="250"/>
      <c r="AY461" s="250"/>
      <c r="AZ461" s="250"/>
      <c r="BA461" s="250"/>
      <c r="BB461" s="250"/>
      <c r="BC461" s="251"/>
      <c r="BD461" s="150"/>
      <c r="BE461" s="150"/>
      <c r="BF461" s="150"/>
      <c r="BG461" s="150"/>
      <c r="BH461" s="150"/>
      <c r="BI461" s="150"/>
      <c r="BJ461" s="150"/>
      <c r="BK461" s="150"/>
      <c r="BL461" s="150"/>
      <c r="BM461" s="293"/>
      <c r="BN461" s="293"/>
      <c r="BO461" s="293"/>
      <c r="BP461" s="293"/>
      <c r="BQ461" s="293"/>
      <c r="BR461" s="293"/>
      <c r="BS461" s="293"/>
      <c r="BT461" s="293"/>
    </row>
    <row r="462" spans="1:72" s="1" customFormat="1" ht="50.1" customHeight="1">
      <c r="A462" s="91" t="s">
        <v>28</v>
      </c>
      <c r="B462" s="358" t="s">
        <v>2654</v>
      </c>
      <c r="C462" s="50" t="s">
        <v>251</v>
      </c>
      <c r="D462" s="99" t="s">
        <v>591</v>
      </c>
      <c r="E462" s="48" t="s">
        <v>10</v>
      </c>
      <c r="F462" s="10">
        <v>57277</v>
      </c>
      <c r="G462" s="31">
        <v>74493</v>
      </c>
      <c r="H462" s="31">
        <v>96841</v>
      </c>
      <c r="I462" s="35">
        <v>65112.4</v>
      </c>
      <c r="J462" s="29">
        <f t="shared" si="595"/>
        <v>78815.46666666666</v>
      </c>
      <c r="K462" s="24">
        <f t="shared" si="596"/>
        <v>21538.46666666666</v>
      </c>
      <c r="L462" s="25">
        <f t="shared" si="597"/>
        <v>0.37604041179996611</v>
      </c>
      <c r="M462" s="69" t="str">
        <f t="shared" si="598"/>
        <v>REVISAR PRECIO</v>
      </c>
      <c r="N462" s="77">
        <f t="shared" si="594"/>
        <v>78815.46666666666</v>
      </c>
      <c r="O462" s="73">
        <v>38805</v>
      </c>
      <c r="P462" s="74">
        <v>64705.095000000001</v>
      </c>
      <c r="Q462" s="74">
        <v>150000</v>
      </c>
      <c r="R462" s="75">
        <v>74551.522499999992</v>
      </c>
      <c r="S462" s="61">
        <v>64705.095000000001</v>
      </c>
      <c r="T462" s="60">
        <v>420000</v>
      </c>
      <c r="U462" s="74">
        <v>74410.859249999994</v>
      </c>
      <c r="V462" s="76">
        <f t="shared" si="617"/>
        <v>141395.428625</v>
      </c>
      <c r="W462" s="24">
        <f t="shared" si="618"/>
        <v>102590.428625</v>
      </c>
      <c r="X462" s="25">
        <f t="shared" si="619"/>
        <v>2.6437425235150109</v>
      </c>
      <c r="Y462" s="77" t="str">
        <f t="shared" si="620"/>
        <v>REVISAR PRECIO</v>
      </c>
      <c r="Z462" s="106">
        <f t="shared" si="621"/>
        <v>141395.428625</v>
      </c>
      <c r="AA462" s="73">
        <v>38805</v>
      </c>
      <c r="AB462" s="88">
        <v>60000</v>
      </c>
      <c r="AC462" s="116">
        <v>60000</v>
      </c>
      <c r="AD462" s="74">
        <v>61891.83</v>
      </c>
      <c r="AE462" s="76">
        <f t="shared" si="622"/>
        <v>60630.610000000008</v>
      </c>
      <c r="AF462" s="24">
        <f t="shared" si="623"/>
        <v>21825.610000000008</v>
      </c>
      <c r="AG462" s="25">
        <f t="shared" si="624"/>
        <v>0.56244324185027728</v>
      </c>
      <c r="AH462" s="77" t="str">
        <f t="shared" si="625"/>
        <v>REVISAR PRECIO</v>
      </c>
      <c r="AI462" s="77">
        <f t="shared" si="626"/>
        <v>60630.610000000008</v>
      </c>
      <c r="AJ462" s="73">
        <v>38805</v>
      </c>
      <c r="AK462" s="79">
        <v>74551.522499999992</v>
      </c>
      <c r="AL462" s="79">
        <f>43281*1.3</f>
        <v>56265.3</v>
      </c>
      <c r="AM462" s="127">
        <v>67518.36</v>
      </c>
      <c r="AN462" s="128">
        <v>65900</v>
      </c>
      <c r="AO462" s="128">
        <v>60000</v>
      </c>
      <c r="AP462" s="133">
        <f t="shared" si="627"/>
        <v>64847.036500000002</v>
      </c>
      <c r="AQ462" s="127">
        <f t="shared" si="628"/>
        <v>26042.036500000002</v>
      </c>
      <c r="AR462" s="134">
        <f t="shared" si="629"/>
        <v>0.67110002576987504</v>
      </c>
      <c r="AS462" s="132">
        <f t="shared" si="630"/>
        <v>64847.036500000002</v>
      </c>
      <c r="AT462" s="10">
        <v>38806</v>
      </c>
      <c r="AU462" s="10">
        <v>56265</v>
      </c>
      <c r="AV462" s="167">
        <v>56265</v>
      </c>
      <c r="AW462" s="168">
        <v>108600</v>
      </c>
      <c r="AX462" s="29">
        <f t="shared" ref="AX462:AX463" si="659">AVERAGE(AU462,AW462)</f>
        <v>82432.5</v>
      </c>
      <c r="AY462" s="24">
        <f t="shared" ref="AY462:AY463" si="660">AX462-AT462</f>
        <v>43626.5</v>
      </c>
      <c r="AZ462" s="25">
        <f t="shared" ref="AZ462:AZ463" si="661">+AY462/AT462</f>
        <v>1.1242204813688605</v>
      </c>
      <c r="BA462" s="24">
        <f t="shared" ref="BA462:BA463" si="662">AV462-AT462</f>
        <v>17459</v>
      </c>
      <c r="BB462" s="169">
        <f t="shared" ref="BB462:BB463" si="663">+BA462/AT462</f>
        <v>0.44990465391949697</v>
      </c>
      <c r="BC462" s="170">
        <f t="shared" ref="BC462:BC463" si="664">AX462</f>
        <v>82432.5</v>
      </c>
      <c r="BD462" s="10">
        <v>34116</v>
      </c>
      <c r="BE462" s="10">
        <v>60000</v>
      </c>
      <c r="BF462" s="10"/>
      <c r="BG462" s="10"/>
      <c r="BH462" s="10"/>
      <c r="BI462" s="76">
        <f t="shared" ref="BI462:BI463" si="665">AVERAGE(BE462,BF462,BG462,BH462)</f>
        <v>60000</v>
      </c>
      <c r="BJ462" s="24">
        <f t="shared" ref="BJ462:BJ463" si="666">BI462-BD462</f>
        <v>25884</v>
      </c>
      <c r="BK462" s="25">
        <f t="shared" ref="BK462:BK463" si="667">+BJ462/BD462</f>
        <v>0.75870559268378468</v>
      </c>
      <c r="BL462" s="259">
        <f t="shared" ref="BL462:BL463" si="668">BI462</f>
        <v>60000</v>
      </c>
      <c r="BM462" s="10">
        <v>38805</v>
      </c>
      <c r="BN462" s="45"/>
      <c r="BO462" s="45">
        <v>45780</v>
      </c>
      <c r="BP462" s="45">
        <v>60000</v>
      </c>
      <c r="BQ462" s="29">
        <f t="shared" ref="BQ462:BQ463" si="669">AVERAGE(BN462,BO462,BP462)</f>
        <v>52890</v>
      </c>
      <c r="BR462" s="24">
        <f t="shared" ref="BR462:BR463" si="670">BQ462-BM462</f>
        <v>14085</v>
      </c>
      <c r="BS462" s="25">
        <f t="shared" ref="BS462:BS463" si="671">+BR462/BM462</f>
        <v>0.36296868960185541</v>
      </c>
      <c r="BT462" s="308">
        <f t="shared" ref="BT462:BT463" si="672">BQ462</f>
        <v>52890</v>
      </c>
    </row>
    <row r="463" spans="1:72" ht="58.35" customHeight="1">
      <c r="A463" s="91" t="s">
        <v>28</v>
      </c>
      <c r="B463" s="358" t="s">
        <v>2655</v>
      </c>
      <c r="C463" s="50" t="s">
        <v>252</v>
      </c>
      <c r="D463" s="99" t="s">
        <v>592</v>
      </c>
      <c r="E463" s="48" t="s">
        <v>10</v>
      </c>
      <c r="F463" s="10">
        <v>29573</v>
      </c>
      <c r="G463" s="31">
        <v>38462</v>
      </c>
      <c r="H463" s="31">
        <v>50000</v>
      </c>
      <c r="I463" s="35">
        <v>33618.199999999997</v>
      </c>
      <c r="J463" s="29">
        <f t="shared" si="595"/>
        <v>40693.4</v>
      </c>
      <c r="K463" s="24">
        <f t="shared" si="596"/>
        <v>11120.400000000001</v>
      </c>
      <c r="L463" s="25">
        <f t="shared" si="597"/>
        <v>0.37603219152605422</v>
      </c>
      <c r="M463" s="69" t="str">
        <f t="shared" si="598"/>
        <v>REVISAR PRECIO</v>
      </c>
      <c r="N463" s="77">
        <f t="shared" si="594"/>
        <v>40693.4</v>
      </c>
      <c r="O463" s="73">
        <v>20039</v>
      </c>
      <c r="P463" s="74">
        <v>32315.919999999998</v>
      </c>
      <c r="Q463" s="74">
        <v>130000</v>
      </c>
      <c r="R463" s="75">
        <v>37233.56</v>
      </c>
      <c r="S463" s="61">
        <v>32315.919999999998</v>
      </c>
      <c r="T463" s="60">
        <v>420000</v>
      </c>
      <c r="U463" s="74">
        <v>37163.307999999997</v>
      </c>
      <c r="V463" s="76">
        <f t="shared" si="617"/>
        <v>114838.11799999997</v>
      </c>
      <c r="W463" s="24">
        <f t="shared" si="618"/>
        <v>94799.117999999973</v>
      </c>
      <c r="X463" s="25">
        <f t="shared" si="619"/>
        <v>4.7307309745995294</v>
      </c>
      <c r="Y463" s="77" t="str">
        <f t="shared" si="620"/>
        <v>REVISAR PRECIO</v>
      </c>
      <c r="Z463" s="106">
        <f t="shared" si="621"/>
        <v>114838.11799999997</v>
      </c>
      <c r="AA463" s="73">
        <v>20039</v>
      </c>
      <c r="AB463" s="88">
        <v>30000</v>
      </c>
      <c r="AC463" s="116">
        <v>30000</v>
      </c>
      <c r="AD463" s="74">
        <v>30910.879999999997</v>
      </c>
      <c r="AE463" s="76">
        <f t="shared" si="622"/>
        <v>30303.626666666667</v>
      </c>
      <c r="AF463" s="24">
        <f t="shared" si="623"/>
        <v>10264.626666666667</v>
      </c>
      <c r="AG463" s="25">
        <f t="shared" si="624"/>
        <v>0.51223247999733856</v>
      </c>
      <c r="AH463" s="77" t="str">
        <f t="shared" si="625"/>
        <v>REVISAR PRECIO</v>
      </c>
      <c r="AI463" s="77">
        <f t="shared" si="626"/>
        <v>30303.626666666667</v>
      </c>
      <c r="AJ463" s="73">
        <v>20039</v>
      </c>
      <c r="AK463" s="79">
        <v>37233.56</v>
      </c>
      <c r="AL463" s="79">
        <f>21616*1.3</f>
        <v>28100.799999999999</v>
      </c>
      <c r="AM463" s="127">
        <v>33720.959999999999</v>
      </c>
      <c r="AN463" s="128">
        <v>27500</v>
      </c>
      <c r="AO463" s="128">
        <v>30000</v>
      </c>
      <c r="AP463" s="133">
        <f t="shared" si="627"/>
        <v>31311.064000000002</v>
      </c>
      <c r="AQ463" s="127">
        <f t="shared" si="628"/>
        <v>11272.064000000002</v>
      </c>
      <c r="AR463" s="134">
        <f t="shared" si="629"/>
        <v>0.56250631269025408</v>
      </c>
      <c r="AS463" s="132">
        <f t="shared" si="630"/>
        <v>31311.064000000002</v>
      </c>
      <c r="AT463" s="10">
        <v>20039</v>
      </c>
      <c r="AU463" s="10">
        <v>28101</v>
      </c>
      <c r="AV463" s="167">
        <v>56202</v>
      </c>
      <c r="AW463" s="168">
        <v>35600</v>
      </c>
      <c r="AX463" s="29">
        <f t="shared" si="659"/>
        <v>31850.5</v>
      </c>
      <c r="AY463" s="24">
        <f t="shared" si="660"/>
        <v>11811.5</v>
      </c>
      <c r="AZ463" s="25">
        <f t="shared" si="661"/>
        <v>0.58942562004092025</v>
      </c>
      <c r="BA463" s="24">
        <f t="shared" si="662"/>
        <v>36163</v>
      </c>
      <c r="BB463" s="169">
        <f t="shared" si="663"/>
        <v>1.8046309696092619</v>
      </c>
      <c r="BC463" s="170">
        <f t="shared" si="664"/>
        <v>31850.5</v>
      </c>
      <c r="BD463" s="10">
        <v>17314</v>
      </c>
      <c r="BE463" s="10">
        <v>100000</v>
      </c>
      <c r="BF463" s="10"/>
      <c r="BG463" s="10"/>
      <c r="BH463" s="10"/>
      <c r="BI463" s="76">
        <f t="shared" si="665"/>
        <v>100000</v>
      </c>
      <c r="BJ463" s="24">
        <f t="shared" si="666"/>
        <v>82686</v>
      </c>
      <c r="BK463" s="25">
        <f t="shared" si="667"/>
        <v>4.7756728658888763</v>
      </c>
      <c r="BL463" s="259">
        <f t="shared" si="668"/>
        <v>100000</v>
      </c>
      <c r="BM463" s="10">
        <v>21661</v>
      </c>
      <c r="BN463" s="45"/>
      <c r="BO463" s="45">
        <v>23639</v>
      </c>
      <c r="BP463" s="45">
        <v>35000</v>
      </c>
      <c r="BQ463" s="29">
        <f t="shared" si="669"/>
        <v>29319.5</v>
      </c>
      <c r="BR463" s="24">
        <f t="shared" si="670"/>
        <v>7658.5</v>
      </c>
      <c r="BS463" s="25">
        <f t="shared" si="671"/>
        <v>0.35356170075250448</v>
      </c>
      <c r="BT463" s="308">
        <f t="shared" si="672"/>
        <v>29319.5</v>
      </c>
    </row>
    <row r="464" spans="1:72" ht="33.6" customHeight="1">
      <c r="A464" s="91" t="s">
        <v>28</v>
      </c>
      <c r="B464" s="358" t="s">
        <v>2656</v>
      </c>
      <c r="C464" s="50" t="s">
        <v>253</v>
      </c>
      <c r="D464" s="99" t="s">
        <v>593</v>
      </c>
      <c r="E464" s="48" t="s">
        <v>12</v>
      </c>
      <c r="F464" s="10">
        <v>70065</v>
      </c>
      <c r="G464" s="31">
        <v>91125</v>
      </c>
      <c r="H464" s="31">
        <v>118463</v>
      </c>
      <c r="I464" s="35">
        <v>79650</v>
      </c>
      <c r="J464" s="29">
        <f t="shared" si="595"/>
        <v>96412.666666666672</v>
      </c>
      <c r="K464" s="24">
        <f t="shared" si="596"/>
        <v>26347.666666666672</v>
      </c>
      <c r="L464" s="25">
        <f t="shared" si="597"/>
        <v>0.37604605247508271</v>
      </c>
      <c r="M464" s="69" t="str">
        <f t="shared" si="598"/>
        <v>REVISAR PRECIO</v>
      </c>
      <c r="N464" s="77">
        <f t="shared" si="594"/>
        <v>96412.666666666672</v>
      </c>
      <c r="O464" s="73">
        <v>42716</v>
      </c>
      <c r="P464" s="74"/>
      <c r="Q464" s="74"/>
      <c r="R464" s="75"/>
      <c r="S464" s="61"/>
      <c r="T464" s="60"/>
      <c r="U464" s="74"/>
      <c r="V464" s="76"/>
      <c r="W464" s="24"/>
      <c r="X464" s="25"/>
      <c r="Y464" s="77">
        <f t="shared" si="620"/>
        <v>0</v>
      </c>
      <c r="Z464" s="106">
        <f t="shared" si="621"/>
        <v>0</v>
      </c>
      <c r="AA464" s="73">
        <v>42716</v>
      </c>
      <c r="AB464" s="88">
        <v>75000</v>
      </c>
      <c r="AC464" s="116">
        <v>75000</v>
      </c>
      <c r="AD464" s="74"/>
      <c r="AE464" s="76">
        <f t="shared" si="622"/>
        <v>75000</v>
      </c>
      <c r="AF464" s="24">
        <f t="shared" si="623"/>
        <v>32284</v>
      </c>
      <c r="AG464" s="25">
        <f t="shared" si="624"/>
        <v>0.75578237662702497</v>
      </c>
      <c r="AH464" s="77" t="str">
        <f t="shared" si="625"/>
        <v>REVISAR PRECIO</v>
      </c>
      <c r="AI464" s="77">
        <f t="shared" si="626"/>
        <v>75000</v>
      </c>
      <c r="AJ464" s="73">
        <v>42716</v>
      </c>
      <c r="AK464" s="79"/>
      <c r="AL464" s="79"/>
      <c r="AM464" s="127"/>
      <c r="AN464" s="128">
        <v>141000</v>
      </c>
      <c r="AO464" s="128"/>
      <c r="AP464" s="129">
        <f t="shared" si="627"/>
        <v>141000</v>
      </c>
      <c r="AQ464" s="130">
        <f t="shared" si="628"/>
        <v>98284</v>
      </c>
      <c r="AR464" s="131">
        <f t="shared" si="629"/>
        <v>2.3008708680588068</v>
      </c>
      <c r="AS464" s="132">
        <f t="shared" si="630"/>
        <v>141000</v>
      </c>
      <c r="AT464" s="250"/>
      <c r="AU464" s="250"/>
      <c r="AV464" s="250"/>
      <c r="AW464" s="250"/>
      <c r="AX464" s="250"/>
      <c r="AY464" s="250"/>
      <c r="AZ464" s="250"/>
      <c r="BA464" s="250"/>
      <c r="BB464" s="250"/>
      <c r="BC464" s="251"/>
      <c r="BD464" s="150"/>
      <c r="BE464" s="150"/>
      <c r="BF464" s="150"/>
      <c r="BG464" s="150"/>
      <c r="BH464" s="150"/>
      <c r="BI464" s="150"/>
      <c r="BJ464" s="150"/>
      <c r="BK464" s="150"/>
      <c r="BL464" s="150"/>
      <c r="BM464" s="293"/>
      <c r="BN464" s="293"/>
      <c r="BO464" s="293"/>
      <c r="BP464" s="293"/>
      <c r="BQ464" s="293"/>
      <c r="BR464" s="293"/>
      <c r="BS464" s="293"/>
      <c r="BT464" s="293"/>
    </row>
    <row r="465" spans="1:72" ht="23.1" customHeight="1">
      <c r="A465" s="91" t="s">
        <v>28</v>
      </c>
      <c r="B465" s="358" t="s">
        <v>2657</v>
      </c>
      <c r="C465" s="50" t="s">
        <v>254</v>
      </c>
      <c r="D465" s="99" t="s">
        <v>594</v>
      </c>
      <c r="E465" s="48" t="s">
        <v>12</v>
      </c>
      <c r="F465" s="10">
        <v>42818</v>
      </c>
      <c r="G465" s="33">
        <v>55688</v>
      </c>
      <c r="H465" s="31">
        <v>72394</v>
      </c>
      <c r="I465" s="35">
        <v>48675</v>
      </c>
      <c r="J465" s="29">
        <f t="shared" si="595"/>
        <v>58919</v>
      </c>
      <c r="K465" s="24">
        <f t="shared" si="596"/>
        <v>16101</v>
      </c>
      <c r="L465" s="25">
        <f t="shared" si="597"/>
        <v>0.3760334438787426</v>
      </c>
      <c r="M465" s="69" t="str">
        <f t="shared" si="598"/>
        <v>REVISAR PRECIO</v>
      </c>
      <c r="N465" s="77">
        <f t="shared" si="594"/>
        <v>58919</v>
      </c>
      <c r="O465" s="73"/>
      <c r="P465" s="74">
        <v>40250</v>
      </c>
      <c r="Q465" s="74">
        <v>55000</v>
      </c>
      <c r="R465" s="75">
        <v>46375</v>
      </c>
      <c r="S465" s="61">
        <v>40250</v>
      </c>
      <c r="T465" s="60"/>
      <c r="U465" s="74">
        <v>46287.5</v>
      </c>
      <c r="V465" s="76">
        <f t="shared" si="617"/>
        <v>45632.5</v>
      </c>
      <c r="W465" s="24">
        <f t="shared" si="618"/>
        <v>45632.5</v>
      </c>
      <c r="X465" s="25"/>
      <c r="Y465" s="77">
        <f t="shared" si="620"/>
        <v>45632.5</v>
      </c>
      <c r="Z465" s="106">
        <f t="shared" si="621"/>
        <v>45632.5</v>
      </c>
      <c r="AA465" s="73"/>
      <c r="AB465" s="88">
        <v>39000</v>
      </c>
      <c r="AC465" s="116">
        <v>39000</v>
      </c>
      <c r="AD465" s="74">
        <v>38500</v>
      </c>
      <c r="AE465" s="76">
        <f t="shared" si="622"/>
        <v>38833.333333333336</v>
      </c>
      <c r="AF465" s="24">
        <f t="shared" si="623"/>
        <v>38833.333333333336</v>
      </c>
      <c r="AG465" s="25"/>
      <c r="AH465" s="77"/>
      <c r="AI465" s="77">
        <f t="shared" si="626"/>
        <v>38833.333333333336</v>
      </c>
      <c r="AJ465" s="73"/>
      <c r="AK465" s="79">
        <v>46375</v>
      </c>
      <c r="AL465" s="79">
        <v>35000</v>
      </c>
      <c r="AM465" s="127">
        <v>42000</v>
      </c>
      <c r="AN465" s="128">
        <v>32000</v>
      </c>
      <c r="AO465" s="128">
        <v>32000</v>
      </c>
      <c r="AP465" s="133">
        <f t="shared" si="627"/>
        <v>37475</v>
      </c>
      <c r="AQ465" s="127">
        <f t="shared" si="628"/>
        <v>37475</v>
      </c>
      <c r="AR465" s="134"/>
      <c r="AS465" s="132">
        <f t="shared" si="630"/>
        <v>37475</v>
      </c>
      <c r="AT465" s="250"/>
      <c r="AU465" s="250"/>
      <c r="AV465" s="250"/>
      <c r="AW465" s="250"/>
      <c r="AX465" s="250"/>
      <c r="AY465" s="250"/>
      <c r="AZ465" s="250"/>
      <c r="BA465" s="250"/>
      <c r="BB465" s="250"/>
      <c r="BC465" s="251"/>
      <c r="BD465" s="150"/>
      <c r="BE465" s="150"/>
      <c r="BF465" s="150"/>
      <c r="BG465" s="150"/>
      <c r="BH465" s="150"/>
      <c r="BI465" s="150"/>
      <c r="BJ465" s="150"/>
      <c r="BK465" s="150"/>
      <c r="BL465" s="150"/>
      <c r="BM465" s="293"/>
      <c r="BN465" s="293"/>
      <c r="BO465" s="293"/>
      <c r="BP465" s="293"/>
      <c r="BQ465" s="293"/>
      <c r="BR465" s="293"/>
      <c r="BS465" s="293"/>
      <c r="BT465" s="293"/>
    </row>
    <row r="466" spans="1:72" ht="23.1" customHeight="1">
      <c r="A466" s="91" t="s">
        <v>28</v>
      </c>
      <c r="B466" s="358" t="s">
        <v>2658</v>
      </c>
      <c r="C466" s="50" t="s">
        <v>255</v>
      </c>
      <c r="D466" s="99" t="s">
        <v>595</v>
      </c>
      <c r="E466" s="48" t="s">
        <v>11</v>
      </c>
      <c r="F466" s="10">
        <v>34254</v>
      </c>
      <c r="G466" s="33">
        <v>44550</v>
      </c>
      <c r="H466" s="31">
        <v>57915</v>
      </c>
      <c r="I466" s="35">
        <v>38940</v>
      </c>
      <c r="J466" s="29">
        <f t="shared" si="595"/>
        <v>47135</v>
      </c>
      <c r="K466" s="24">
        <f t="shared" si="596"/>
        <v>12881</v>
      </c>
      <c r="L466" s="25">
        <f t="shared" si="597"/>
        <v>0.37604367373153502</v>
      </c>
      <c r="M466" s="69" t="str">
        <f t="shared" si="598"/>
        <v>REVISAR PRECIO</v>
      </c>
      <c r="N466" s="77">
        <f t="shared" si="594"/>
        <v>47135</v>
      </c>
      <c r="O466" s="73"/>
      <c r="P466" s="74">
        <v>27234.415000000001</v>
      </c>
      <c r="Q466" s="74">
        <v>130000</v>
      </c>
      <c r="R466" s="75">
        <v>31378.782500000001</v>
      </c>
      <c r="S466" s="61">
        <v>64859.999999999993</v>
      </c>
      <c r="T466" s="60"/>
      <c r="U466" s="74">
        <v>74588.999999999985</v>
      </c>
      <c r="V466" s="76">
        <f t="shared" si="617"/>
        <v>65612.439500000008</v>
      </c>
      <c r="W466" s="24">
        <f t="shared" si="618"/>
        <v>65612.439500000008</v>
      </c>
      <c r="X466" s="25"/>
      <c r="Y466" s="77">
        <f t="shared" si="620"/>
        <v>65612.439500000008</v>
      </c>
      <c r="Z466" s="106">
        <f t="shared" si="621"/>
        <v>65612.439500000008</v>
      </c>
      <c r="AA466" s="73"/>
      <c r="AB466" s="88">
        <v>30000</v>
      </c>
      <c r="AC466" s="116">
        <v>30000</v>
      </c>
      <c r="AD466" s="74">
        <v>26050.31</v>
      </c>
      <c r="AE466" s="76">
        <f t="shared" si="622"/>
        <v>28683.436666666665</v>
      </c>
      <c r="AF466" s="24">
        <f t="shared" si="623"/>
        <v>28683.436666666665</v>
      </c>
      <c r="AG466" s="25"/>
      <c r="AH466" s="77"/>
      <c r="AI466" s="77">
        <f t="shared" si="626"/>
        <v>28683.436666666665</v>
      </c>
      <c r="AJ466" s="73"/>
      <c r="AK466" s="79">
        <v>31378.782500000001</v>
      </c>
      <c r="AL466" s="79">
        <f>18217*1.3</f>
        <v>23682.100000000002</v>
      </c>
      <c r="AM466" s="127">
        <v>28418.520000000004</v>
      </c>
      <c r="AN466" s="128">
        <v>20900</v>
      </c>
      <c r="AO466" s="128">
        <v>30000</v>
      </c>
      <c r="AP466" s="133">
        <f t="shared" si="627"/>
        <v>26875.880500000007</v>
      </c>
      <c r="AQ466" s="127">
        <f t="shared" si="628"/>
        <v>26875.880500000007</v>
      </c>
      <c r="AR466" s="134"/>
      <c r="AS466" s="132">
        <f t="shared" si="630"/>
        <v>26875.880500000007</v>
      </c>
      <c r="AT466" s="250"/>
      <c r="AU466" s="250"/>
      <c r="AV466" s="250"/>
      <c r="AW466" s="250"/>
      <c r="AX466" s="250"/>
      <c r="AY466" s="250"/>
      <c r="AZ466" s="250"/>
      <c r="BA466" s="250"/>
      <c r="BB466" s="250"/>
      <c r="BC466" s="251"/>
      <c r="BD466" s="150"/>
      <c r="BE466" s="150"/>
      <c r="BF466" s="150"/>
      <c r="BG466" s="150"/>
      <c r="BH466" s="150"/>
      <c r="BI466" s="150"/>
      <c r="BJ466" s="150"/>
      <c r="BK466" s="150"/>
      <c r="BL466" s="150"/>
      <c r="BM466" s="293"/>
      <c r="BN466" s="293"/>
      <c r="BO466" s="293"/>
      <c r="BP466" s="293"/>
      <c r="BQ466" s="293"/>
      <c r="BR466" s="293"/>
      <c r="BS466" s="293"/>
      <c r="BT466" s="293"/>
    </row>
    <row r="467" spans="1:72" ht="36" customHeight="1">
      <c r="A467" s="91" t="s">
        <v>28</v>
      </c>
      <c r="B467" s="358" t="s">
        <v>2659</v>
      </c>
      <c r="C467" s="50" t="s">
        <v>256</v>
      </c>
      <c r="D467" s="99" t="s">
        <v>596</v>
      </c>
      <c r="E467" s="48" t="s">
        <v>11</v>
      </c>
      <c r="F467" s="10">
        <v>22577</v>
      </c>
      <c r="G467" s="33">
        <v>29363</v>
      </c>
      <c r="H467" s="33">
        <v>38171</v>
      </c>
      <c r="I467" s="35">
        <v>25665</v>
      </c>
      <c r="J467" s="29">
        <f t="shared" si="595"/>
        <v>31066.333333333332</v>
      </c>
      <c r="K467" s="24">
        <f t="shared" si="596"/>
        <v>8489.3333333333321</v>
      </c>
      <c r="L467" s="25">
        <f t="shared" si="597"/>
        <v>0.3760168903456319</v>
      </c>
      <c r="M467" s="69" t="str">
        <f t="shared" si="598"/>
        <v>REVISAR PRECIO</v>
      </c>
      <c r="N467" s="77">
        <f t="shared" si="594"/>
        <v>31066.333333333332</v>
      </c>
      <c r="O467" s="73">
        <v>13764</v>
      </c>
      <c r="P467" s="74">
        <v>178250</v>
      </c>
      <c r="Q467" s="74">
        <v>160000</v>
      </c>
      <c r="R467" s="75">
        <v>205375</v>
      </c>
      <c r="S467" s="61"/>
      <c r="T467" s="60"/>
      <c r="U467" s="74"/>
      <c r="V467" s="76">
        <f t="shared" si="617"/>
        <v>181208.33333333334</v>
      </c>
      <c r="W467" s="24">
        <f t="shared" si="618"/>
        <v>167444.33333333334</v>
      </c>
      <c r="X467" s="25">
        <f t="shared" si="619"/>
        <v>12.165383125060545</v>
      </c>
      <c r="Y467" s="77" t="str">
        <f t="shared" si="620"/>
        <v>REVISAR PRECIO</v>
      </c>
      <c r="Z467" s="106">
        <f t="shared" si="621"/>
        <v>181208.33333333334</v>
      </c>
      <c r="AA467" s="73">
        <v>13764</v>
      </c>
      <c r="AB467" s="88">
        <v>163000</v>
      </c>
      <c r="AC467" s="116">
        <v>170000</v>
      </c>
      <c r="AD467" s="74">
        <v>170500</v>
      </c>
      <c r="AE467" s="76">
        <f t="shared" si="622"/>
        <v>167833.33333333334</v>
      </c>
      <c r="AF467" s="24">
        <f t="shared" si="623"/>
        <v>154069.33333333334</v>
      </c>
      <c r="AG467" s="25">
        <f t="shared" si="624"/>
        <v>11.193645258161387</v>
      </c>
      <c r="AH467" s="77" t="str">
        <f t="shared" si="625"/>
        <v>REVISAR PRECIO</v>
      </c>
      <c r="AI467" s="77">
        <f t="shared" si="626"/>
        <v>167833.33333333334</v>
      </c>
      <c r="AJ467" s="73">
        <v>13764</v>
      </c>
      <c r="AK467" s="79">
        <v>205375</v>
      </c>
      <c r="AL467" s="79">
        <v>155000</v>
      </c>
      <c r="AM467" s="127">
        <v>186000</v>
      </c>
      <c r="AN467" s="128">
        <v>173000</v>
      </c>
      <c r="AO467" s="128"/>
      <c r="AP467" s="124">
        <f t="shared" si="627"/>
        <v>179843.75</v>
      </c>
      <c r="AQ467" s="125">
        <f t="shared" si="628"/>
        <v>166079.75</v>
      </c>
      <c r="AR467" s="126">
        <f t="shared" si="629"/>
        <v>12.066241644870678</v>
      </c>
      <c r="AS467" s="132">
        <f t="shared" si="630"/>
        <v>179843.75</v>
      </c>
      <c r="AT467" s="250"/>
      <c r="AU467" s="250"/>
      <c r="AV467" s="250"/>
      <c r="AW467" s="250"/>
      <c r="AX467" s="250"/>
      <c r="AY467" s="250"/>
      <c r="AZ467" s="250"/>
      <c r="BA467" s="250"/>
      <c r="BB467" s="250"/>
      <c r="BC467" s="251"/>
      <c r="BD467" s="150"/>
      <c r="BE467" s="150"/>
      <c r="BF467" s="150"/>
      <c r="BG467" s="150"/>
      <c r="BH467" s="150"/>
      <c r="BI467" s="150"/>
      <c r="BJ467" s="150"/>
      <c r="BK467" s="150"/>
      <c r="BL467" s="150"/>
      <c r="BM467" s="293"/>
      <c r="BN467" s="293"/>
      <c r="BO467" s="293"/>
      <c r="BP467" s="293"/>
      <c r="BQ467" s="293"/>
      <c r="BR467" s="293"/>
      <c r="BS467" s="293"/>
      <c r="BT467" s="293"/>
    </row>
    <row r="468" spans="1:72" ht="36" customHeight="1">
      <c r="A468" s="91" t="s">
        <v>28</v>
      </c>
      <c r="B468" s="358" t="s">
        <v>2660</v>
      </c>
      <c r="C468" s="50" t="s">
        <v>257</v>
      </c>
      <c r="D468" s="99" t="s">
        <v>597</v>
      </c>
      <c r="E468" s="48" t="s">
        <v>740</v>
      </c>
      <c r="F468" s="10">
        <v>280260</v>
      </c>
      <c r="G468" s="31">
        <v>364500</v>
      </c>
      <c r="H468" s="31">
        <v>473850</v>
      </c>
      <c r="I468" s="35">
        <v>318600</v>
      </c>
      <c r="J468" s="29">
        <f t="shared" si="595"/>
        <v>385650</v>
      </c>
      <c r="K468" s="24">
        <f t="shared" si="596"/>
        <v>105390</v>
      </c>
      <c r="L468" s="25">
        <f t="shared" si="597"/>
        <v>0.37604367373153502</v>
      </c>
      <c r="M468" s="69" t="str">
        <f t="shared" si="598"/>
        <v>REVISAR PRECIO</v>
      </c>
      <c r="N468" s="77">
        <f t="shared" si="594"/>
        <v>385650</v>
      </c>
      <c r="O468" s="73">
        <v>66779</v>
      </c>
      <c r="P468" s="74">
        <v>243549.3</v>
      </c>
      <c r="Q468" s="74">
        <v>450000</v>
      </c>
      <c r="R468" s="75">
        <v>280611.15000000002</v>
      </c>
      <c r="S468" s="61">
        <v>345000</v>
      </c>
      <c r="T468" s="60"/>
      <c r="U468" s="74">
        <v>396749.99999999994</v>
      </c>
      <c r="V468" s="76">
        <f t="shared" si="617"/>
        <v>343182.09</v>
      </c>
      <c r="W468" s="24">
        <f t="shared" si="618"/>
        <v>276403.09000000003</v>
      </c>
      <c r="X468" s="25">
        <f t="shared" si="619"/>
        <v>4.1390720136569881</v>
      </c>
      <c r="Y468" s="77" t="str">
        <f t="shared" si="620"/>
        <v>REVISAR PRECIO</v>
      </c>
      <c r="Z468" s="106">
        <f t="shared" si="621"/>
        <v>343182.09</v>
      </c>
      <c r="AA468" s="73">
        <v>66779</v>
      </c>
      <c r="AB468" s="88">
        <v>240000</v>
      </c>
      <c r="AC468" s="116">
        <v>240000</v>
      </c>
      <c r="AD468" s="74">
        <v>232960.2</v>
      </c>
      <c r="AE468" s="76">
        <f t="shared" si="622"/>
        <v>237653.4</v>
      </c>
      <c r="AF468" s="24">
        <f t="shared" si="623"/>
        <v>170874.4</v>
      </c>
      <c r="AG468" s="25">
        <f t="shared" si="624"/>
        <v>2.5588044145614637</v>
      </c>
      <c r="AH468" s="77" t="str">
        <f t="shared" si="625"/>
        <v>REVISAR PRECIO</v>
      </c>
      <c r="AI468" s="77">
        <f t="shared" si="626"/>
        <v>237653.4</v>
      </c>
      <c r="AJ468" s="73">
        <v>66779</v>
      </c>
      <c r="AK468" s="79">
        <v>280611.15000000002</v>
      </c>
      <c r="AL468" s="79">
        <f>176485*1.2</f>
        <v>211782</v>
      </c>
      <c r="AM468" s="127">
        <v>254138.4</v>
      </c>
      <c r="AN468" s="128">
        <v>191800</v>
      </c>
      <c r="AO468" s="128">
        <v>200000</v>
      </c>
      <c r="AP468" s="133">
        <f t="shared" si="627"/>
        <v>227666.31</v>
      </c>
      <c r="AQ468" s="127">
        <f t="shared" si="628"/>
        <v>160887.31</v>
      </c>
      <c r="AR468" s="134">
        <f t="shared" si="629"/>
        <v>2.4092500636427618</v>
      </c>
      <c r="AS468" s="132">
        <f t="shared" si="630"/>
        <v>227666.31</v>
      </c>
      <c r="AT468" s="250"/>
      <c r="AU468" s="250"/>
      <c r="AV468" s="250"/>
      <c r="AW468" s="250"/>
      <c r="AX468" s="250"/>
      <c r="AY468" s="250"/>
      <c r="AZ468" s="250"/>
      <c r="BA468" s="250"/>
      <c r="BB468" s="250"/>
      <c r="BC468" s="251"/>
      <c r="BD468" s="150"/>
      <c r="BE468" s="150"/>
      <c r="BF468" s="150"/>
      <c r="BG468" s="150"/>
      <c r="BH468" s="150"/>
      <c r="BI468" s="150"/>
      <c r="BJ468" s="150"/>
      <c r="BK468" s="150"/>
      <c r="BL468" s="150"/>
      <c r="BM468" s="293"/>
      <c r="BN468" s="293"/>
      <c r="BO468" s="293"/>
      <c r="BP468" s="293"/>
      <c r="BQ468" s="293"/>
      <c r="BR468" s="293"/>
      <c r="BS468" s="293"/>
      <c r="BT468" s="293"/>
    </row>
    <row r="469" spans="1:72" ht="23.1" customHeight="1">
      <c r="A469" s="91" t="s">
        <v>28</v>
      </c>
      <c r="B469" s="358" t="s">
        <v>2661</v>
      </c>
      <c r="C469" s="50" t="s">
        <v>258</v>
      </c>
      <c r="D469" s="99" t="s">
        <v>598</v>
      </c>
      <c r="E469" s="48" t="s">
        <v>740</v>
      </c>
      <c r="F469" s="10">
        <v>3114</v>
      </c>
      <c r="G469" s="33">
        <v>4050</v>
      </c>
      <c r="H469" s="31">
        <v>5265</v>
      </c>
      <c r="I469" s="35">
        <v>3540</v>
      </c>
      <c r="J469" s="29">
        <f t="shared" si="595"/>
        <v>4285</v>
      </c>
      <c r="K469" s="24">
        <f t="shared" si="596"/>
        <v>1171</v>
      </c>
      <c r="L469" s="25">
        <f t="shared" si="597"/>
        <v>0.37604367373153502</v>
      </c>
      <c r="M469" s="69" t="str">
        <f t="shared" si="598"/>
        <v>REVISAR PRECIO</v>
      </c>
      <c r="N469" s="77">
        <f t="shared" si="594"/>
        <v>4285</v>
      </c>
      <c r="O469" s="73">
        <v>1898</v>
      </c>
      <c r="P469" s="74">
        <v>17250</v>
      </c>
      <c r="Q469" s="74">
        <v>30000</v>
      </c>
      <c r="R469" s="75">
        <v>19875</v>
      </c>
      <c r="S469" s="61">
        <v>17250</v>
      </c>
      <c r="T469" s="60"/>
      <c r="U469" s="74">
        <v>19837.5</v>
      </c>
      <c r="V469" s="76">
        <f t="shared" si="617"/>
        <v>20842.5</v>
      </c>
      <c r="W469" s="24">
        <f t="shared" si="618"/>
        <v>18944.5</v>
      </c>
      <c r="X469" s="25">
        <f t="shared" si="619"/>
        <v>9.9812961011591153</v>
      </c>
      <c r="Y469" s="77" t="str">
        <f t="shared" si="620"/>
        <v>REVISAR PRECIO</v>
      </c>
      <c r="Z469" s="106">
        <f t="shared" si="621"/>
        <v>20842.5</v>
      </c>
      <c r="AA469" s="73">
        <v>1898</v>
      </c>
      <c r="AB469" s="88">
        <v>15000</v>
      </c>
      <c r="AC469" s="116">
        <v>15000</v>
      </c>
      <c r="AD469" s="74">
        <v>16500</v>
      </c>
      <c r="AE469" s="76">
        <f t="shared" si="622"/>
        <v>15500</v>
      </c>
      <c r="AF469" s="24">
        <f t="shared" si="623"/>
        <v>13602</v>
      </c>
      <c r="AG469" s="25">
        <f t="shared" si="624"/>
        <v>7.1664910432033722</v>
      </c>
      <c r="AH469" s="77" t="str">
        <f t="shared" si="625"/>
        <v>REVISAR PRECIO</v>
      </c>
      <c r="AI469" s="77">
        <f t="shared" si="626"/>
        <v>15500</v>
      </c>
      <c r="AJ469" s="73">
        <v>1898</v>
      </c>
      <c r="AK469" s="79">
        <v>19875</v>
      </c>
      <c r="AL469" s="79">
        <v>15000</v>
      </c>
      <c r="AM469" s="127">
        <v>18000</v>
      </c>
      <c r="AN469" s="128">
        <v>18000</v>
      </c>
      <c r="AO469" s="128">
        <v>15000</v>
      </c>
      <c r="AP469" s="129">
        <f t="shared" si="627"/>
        <v>17175</v>
      </c>
      <c r="AQ469" s="130">
        <f t="shared" si="628"/>
        <v>15277</v>
      </c>
      <c r="AR469" s="131">
        <f t="shared" si="629"/>
        <v>8.0489989462592195</v>
      </c>
      <c r="AS469" s="132">
        <f t="shared" si="630"/>
        <v>17175</v>
      </c>
      <c r="AT469" s="250"/>
      <c r="AU469" s="250"/>
      <c r="AV469" s="250"/>
      <c r="AW469" s="250"/>
      <c r="AX469" s="250"/>
      <c r="AY469" s="250"/>
      <c r="AZ469" s="250"/>
      <c r="BA469" s="250"/>
      <c r="BB469" s="250"/>
      <c r="BC469" s="251"/>
      <c r="BD469" s="150"/>
      <c r="BE469" s="150"/>
      <c r="BF469" s="150"/>
      <c r="BG469" s="150"/>
      <c r="BH469" s="150"/>
      <c r="BI469" s="150"/>
      <c r="BJ469" s="150"/>
      <c r="BK469" s="150"/>
      <c r="BL469" s="150"/>
      <c r="BM469" s="293"/>
      <c r="BN469" s="293"/>
      <c r="BO469" s="293"/>
      <c r="BP469" s="293"/>
      <c r="BQ469" s="293"/>
      <c r="BR469" s="293"/>
      <c r="BS469" s="293"/>
      <c r="BT469" s="293"/>
    </row>
    <row r="470" spans="1:72" ht="48.6" customHeight="1">
      <c r="A470" s="91" t="s">
        <v>28</v>
      </c>
      <c r="B470" s="358" t="s">
        <v>2662</v>
      </c>
      <c r="C470" s="50" t="s">
        <v>259</v>
      </c>
      <c r="D470" s="99" t="s">
        <v>599</v>
      </c>
      <c r="E470" s="48" t="s">
        <v>11</v>
      </c>
      <c r="F470" s="10">
        <v>38925</v>
      </c>
      <c r="G470" s="31">
        <v>50625</v>
      </c>
      <c r="H470" s="31">
        <v>50625</v>
      </c>
      <c r="I470" s="35">
        <v>44250</v>
      </c>
      <c r="J470" s="29">
        <f t="shared" si="595"/>
        <v>48500</v>
      </c>
      <c r="K470" s="24">
        <f t="shared" si="596"/>
        <v>9575</v>
      </c>
      <c r="L470" s="25">
        <f t="shared" si="597"/>
        <v>0.24598587026332691</v>
      </c>
      <c r="M470" s="69">
        <f t="shared" si="598"/>
        <v>48500</v>
      </c>
      <c r="N470" s="77">
        <f t="shared" si="594"/>
        <v>48500</v>
      </c>
      <c r="O470" s="73"/>
      <c r="P470" s="74">
        <v>21275</v>
      </c>
      <c r="Q470" s="74">
        <v>50000</v>
      </c>
      <c r="R470" s="75">
        <v>24512.5</v>
      </c>
      <c r="S470" s="61">
        <v>29439.999999999996</v>
      </c>
      <c r="T470" s="60"/>
      <c r="U470" s="74">
        <v>33855.999999999993</v>
      </c>
      <c r="V470" s="76">
        <f t="shared" si="617"/>
        <v>31816.7</v>
      </c>
      <c r="W470" s="24">
        <f t="shared" si="618"/>
        <v>31816.7</v>
      </c>
      <c r="X470" s="25"/>
      <c r="Y470" s="77">
        <f t="shared" si="620"/>
        <v>31816.7</v>
      </c>
      <c r="Z470" s="106">
        <f t="shared" si="621"/>
        <v>31816.7</v>
      </c>
      <c r="AA470" s="73"/>
      <c r="AB470" s="88">
        <v>20000</v>
      </c>
      <c r="AC470" s="116">
        <v>20000</v>
      </c>
      <c r="AD470" s="74">
        <v>20350</v>
      </c>
      <c r="AE470" s="76">
        <f t="shared" si="622"/>
        <v>20116.666666666668</v>
      </c>
      <c r="AF470" s="24">
        <f t="shared" si="623"/>
        <v>20116.666666666668</v>
      </c>
      <c r="AG470" s="25"/>
      <c r="AH470" s="77"/>
      <c r="AI470" s="77">
        <f t="shared" si="626"/>
        <v>20116.666666666668</v>
      </c>
      <c r="AJ470" s="73"/>
      <c r="AK470" s="79">
        <v>24512.5</v>
      </c>
      <c r="AL470" s="79">
        <v>18500</v>
      </c>
      <c r="AM470" s="127">
        <v>22200</v>
      </c>
      <c r="AN470" s="128">
        <v>28000</v>
      </c>
      <c r="AO470" s="128">
        <v>20000</v>
      </c>
      <c r="AP470" s="133">
        <f t="shared" si="627"/>
        <v>22642.5</v>
      </c>
      <c r="AQ470" s="127">
        <f t="shared" si="628"/>
        <v>22642.5</v>
      </c>
      <c r="AR470" s="134"/>
      <c r="AS470" s="132">
        <f t="shared" si="630"/>
        <v>22642.5</v>
      </c>
      <c r="AT470" s="250"/>
      <c r="AU470" s="250"/>
      <c r="AV470" s="250"/>
      <c r="AW470" s="250"/>
      <c r="AX470" s="250"/>
      <c r="AY470" s="250"/>
      <c r="AZ470" s="250"/>
      <c r="BA470" s="250"/>
      <c r="BB470" s="250"/>
      <c r="BC470" s="251"/>
      <c r="BD470" s="150"/>
      <c r="BE470" s="150"/>
      <c r="BF470" s="150"/>
      <c r="BG470" s="150"/>
      <c r="BH470" s="150"/>
      <c r="BI470" s="150"/>
      <c r="BJ470" s="150"/>
      <c r="BK470" s="150"/>
      <c r="BL470" s="150"/>
      <c r="BM470" s="293"/>
      <c r="BN470" s="293"/>
      <c r="BO470" s="293"/>
      <c r="BP470" s="293"/>
      <c r="BQ470" s="293"/>
      <c r="BR470" s="293"/>
      <c r="BS470" s="293"/>
      <c r="BT470" s="293"/>
    </row>
    <row r="471" spans="1:72" ht="48.6" customHeight="1">
      <c r="A471" s="91" t="s">
        <v>28</v>
      </c>
      <c r="B471" s="358" t="s">
        <v>2663</v>
      </c>
      <c r="C471" s="50" t="s">
        <v>260</v>
      </c>
      <c r="D471" s="99" t="s">
        <v>600</v>
      </c>
      <c r="E471" s="48" t="s">
        <v>11</v>
      </c>
      <c r="F471" s="10">
        <v>151340</v>
      </c>
      <c r="G471" s="31">
        <v>196830</v>
      </c>
      <c r="H471" s="31">
        <v>255879</v>
      </c>
      <c r="I471" s="35">
        <v>172044</v>
      </c>
      <c r="J471" s="29">
        <f t="shared" si="595"/>
        <v>208251</v>
      </c>
      <c r="K471" s="24">
        <f t="shared" si="596"/>
        <v>56911</v>
      </c>
      <c r="L471" s="25">
        <f t="shared" si="597"/>
        <v>0.37604731069115899</v>
      </c>
      <c r="M471" s="69" t="str">
        <f t="shared" si="598"/>
        <v>REVISAR PRECIO</v>
      </c>
      <c r="N471" s="77">
        <f t="shared" si="594"/>
        <v>208251</v>
      </c>
      <c r="O471" s="73"/>
      <c r="P471" s="74"/>
      <c r="Q471" s="74"/>
      <c r="R471" s="75"/>
      <c r="S471" s="61"/>
      <c r="T471" s="60"/>
      <c r="U471" s="74"/>
      <c r="V471" s="76"/>
      <c r="W471" s="24"/>
      <c r="X471" s="25"/>
      <c r="Y471" s="77"/>
      <c r="Z471" s="109" t="s">
        <v>807</v>
      </c>
      <c r="AA471" s="73"/>
      <c r="AB471" s="88"/>
      <c r="AC471" s="116"/>
      <c r="AD471" s="74">
        <v>0</v>
      </c>
      <c r="AE471" s="76">
        <f t="shared" si="622"/>
        <v>0</v>
      </c>
      <c r="AF471" s="24">
        <f t="shared" si="623"/>
        <v>0</v>
      </c>
      <c r="AG471" s="25"/>
      <c r="AH471" s="77"/>
      <c r="AI471" s="77">
        <f t="shared" si="626"/>
        <v>0</v>
      </c>
      <c r="AJ471" s="73"/>
      <c r="AK471" s="79"/>
      <c r="AL471" s="79"/>
      <c r="AM471" s="127"/>
      <c r="AN471" s="128">
        <v>213000</v>
      </c>
      <c r="AO471" s="128"/>
      <c r="AP471" s="133">
        <f t="shared" si="627"/>
        <v>213000</v>
      </c>
      <c r="AQ471" s="127">
        <f t="shared" si="628"/>
        <v>213000</v>
      </c>
      <c r="AR471" s="134"/>
      <c r="AS471" s="151" t="s">
        <v>807</v>
      </c>
      <c r="AT471" s="250"/>
      <c r="AU471" s="250"/>
      <c r="AV471" s="250"/>
      <c r="AW471" s="250"/>
      <c r="AX471" s="250"/>
      <c r="AY471" s="250"/>
      <c r="AZ471" s="250"/>
      <c r="BA471" s="250"/>
      <c r="BB471" s="250"/>
      <c r="BC471" s="251"/>
      <c r="BD471" s="150"/>
      <c r="BE471" s="150"/>
      <c r="BF471" s="150"/>
      <c r="BG471" s="150"/>
      <c r="BH471" s="150"/>
      <c r="BI471" s="150"/>
      <c r="BJ471" s="150"/>
      <c r="BK471" s="150"/>
      <c r="BL471" s="150"/>
      <c r="BM471" s="293"/>
      <c r="BN471" s="293"/>
      <c r="BO471" s="293"/>
      <c r="BP471" s="293"/>
      <c r="BQ471" s="293"/>
      <c r="BR471" s="293"/>
      <c r="BS471" s="293"/>
      <c r="BT471" s="293"/>
    </row>
    <row r="472" spans="1:72" ht="24.6" customHeight="1">
      <c r="A472" s="91" t="s">
        <v>28</v>
      </c>
      <c r="B472" s="358" t="s">
        <v>2664</v>
      </c>
      <c r="C472" s="50" t="s">
        <v>261</v>
      </c>
      <c r="D472" s="99" t="s">
        <v>601</v>
      </c>
      <c r="E472" s="48" t="s">
        <v>11</v>
      </c>
      <c r="F472" s="10">
        <v>274032</v>
      </c>
      <c r="G472" s="33">
        <v>356400</v>
      </c>
      <c r="H472" s="31">
        <v>463320</v>
      </c>
      <c r="I472" s="35">
        <v>311520</v>
      </c>
      <c r="J472" s="29">
        <f t="shared" si="595"/>
        <v>377080</v>
      </c>
      <c r="K472" s="24">
        <f t="shared" si="596"/>
        <v>103048</v>
      </c>
      <c r="L472" s="25">
        <f t="shared" si="597"/>
        <v>0.37604367373153502</v>
      </c>
      <c r="M472" s="69" t="str">
        <f t="shared" si="598"/>
        <v>REVISAR PRECIO</v>
      </c>
      <c r="N472" s="77">
        <f t="shared" si="594"/>
        <v>377080</v>
      </c>
      <c r="O472" s="73">
        <v>125917</v>
      </c>
      <c r="P472" s="74">
        <v>174009.95</v>
      </c>
      <c r="Q472" s="74">
        <v>180000</v>
      </c>
      <c r="R472" s="75">
        <v>200489.72499999998</v>
      </c>
      <c r="S472" s="61">
        <v>174009.94999999998</v>
      </c>
      <c r="T472" s="60"/>
      <c r="U472" s="74">
        <v>200111.44249999998</v>
      </c>
      <c r="V472" s="76">
        <f t="shared" si="617"/>
        <v>185724.21350000001</v>
      </c>
      <c r="W472" s="24">
        <f t="shared" si="618"/>
        <v>59807.213500000013</v>
      </c>
      <c r="X472" s="25">
        <f t="shared" si="619"/>
        <v>0.47497330384300779</v>
      </c>
      <c r="Y472" s="77" t="str">
        <f t="shared" si="620"/>
        <v>REVISAR PRECIO</v>
      </c>
      <c r="Z472" s="106">
        <f t="shared" si="621"/>
        <v>185724.21350000001</v>
      </c>
      <c r="AA472" s="73">
        <v>125917</v>
      </c>
      <c r="AB472" s="88">
        <v>195000</v>
      </c>
      <c r="AC472" s="116">
        <v>195000</v>
      </c>
      <c r="AD472" s="74">
        <v>166444.29999999999</v>
      </c>
      <c r="AE472" s="76">
        <f t="shared" si="622"/>
        <v>185481.43333333335</v>
      </c>
      <c r="AF472" s="24">
        <f t="shared" si="623"/>
        <v>59564.433333333349</v>
      </c>
      <c r="AG472" s="25">
        <f t="shared" si="624"/>
        <v>0.47304520702791003</v>
      </c>
      <c r="AH472" s="77" t="str">
        <f t="shared" si="625"/>
        <v>REVISAR PRECIO</v>
      </c>
      <c r="AI472" s="77">
        <f t="shared" si="626"/>
        <v>185481.43333333335</v>
      </c>
      <c r="AJ472" s="73">
        <v>125917</v>
      </c>
      <c r="AK472" s="79">
        <v>200489.72499999998</v>
      </c>
      <c r="AL472" s="79">
        <v>151313</v>
      </c>
      <c r="AM472" s="127">
        <v>181575.6</v>
      </c>
      <c r="AN472" s="128">
        <v>120900</v>
      </c>
      <c r="AO472" s="128">
        <v>160000</v>
      </c>
      <c r="AP472" s="124">
        <f t="shared" si="627"/>
        <v>162855.66499999998</v>
      </c>
      <c r="AQ472" s="125">
        <f t="shared" si="628"/>
        <v>36938.664999999979</v>
      </c>
      <c r="AR472" s="126">
        <f t="shared" si="629"/>
        <v>0.29335725120515876</v>
      </c>
      <c r="AS472" s="132">
        <f t="shared" ref="AS472:AS477" si="673">AP472</f>
        <v>162855.66499999998</v>
      </c>
      <c r="AT472" s="250"/>
      <c r="AU472" s="250"/>
      <c r="AV472" s="250"/>
      <c r="AW472" s="250"/>
      <c r="AX472" s="250"/>
      <c r="AY472" s="250"/>
      <c r="AZ472" s="250"/>
      <c r="BA472" s="250"/>
      <c r="BB472" s="250"/>
      <c r="BC472" s="251"/>
      <c r="BD472" s="150"/>
      <c r="BE472" s="150"/>
      <c r="BF472" s="150"/>
      <c r="BG472" s="150"/>
      <c r="BH472" s="150"/>
      <c r="BI472" s="150"/>
      <c r="BJ472" s="150"/>
      <c r="BK472" s="150"/>
      <c r="BL472" s="150"/>
      <c r="BM472" s="293"/>
      <c r="BN472" s="293"/>
      <c r="BO472" s="293"/>
      <c r="BP472" s="293"/>
      <c r="BQ472" s="293"/>
      <c r="BR472" s="293"/>
      <c r="BS472" s="293"/>
      <c r="BT472" s="293"/>
    </row>
    <row r="473" spans="1:72" ht="40.35" customHeight="1">
      <c r="A473" s="91" t="s">
        <v>28</v>
      </c>
      <c r="B473" s="358" t="s">
        <v>2665</v>
      </c>
      <c r="C473" s="50" t="s">
        <v>262</v>
      </c>
      <c r="D473" s="99" t="s">
        <v>602</v>
      </c>
      <c r="E473" s="48" t="s">
        <v>11</v>
      </c>
      <c r="F473" s="10">
        <v>101205</v>
      </c>
      <c r="G473" s="31">
        <v>131625</v>
      </c>
      <c r="H473" s="33">
        <v>171113</v>
      </c>
      <c r="I473" s="35">
        <v>115050</v>
      </c>
      <c r="J473" s="29">
        <f t="shared" si="595"/>
        <v>139262.66666666666</v>
      </c>
      <c r="K473" s="24">
        <f t="shared" si="596"/>
        <v>38057.666666666657</v>
      </c>
      <c r="L473" s="25">
        <f t="shared" si="597"/>
        <v>0.37604532055399098</v>
      </c>
      <c r="M473" s="69" t="str">
        <f t="shared" si="598"/>
        <v>REVISAR PRECIO</v>
      </c>
      <c r="N473" s="77">
        <f t="shared" si="594"/>
        <v>139262.66666666666</v>
      </c>
      <c r="O473" s="73">
        <v>40438</v>
      </c>
      <c r="P473" s="74">
        <v>14375</v>
      </c>
      <c r="Q473" s="74">
        <v>25000</v>
      </c>
      <c r="R473" s="75">
        <v>16562.5</v>
      </c>
      <c r="S473" s="61">
        <v>21505</v>
      </c>
      <c r="T473" s="60"/>
      <c r="U473" s="74">
        <v>24730.749999999996</v>
      </c>
      <c r="V473" s="76">
        <f t="shared" si="617"/>
        <v>20434.650000000001</v>
      </c>
      <c r="W473" s="24">
        <f t="shared" si="618"/>
        <v>-20003.349999999999</v>
      </c>
      <c r="X473" s="25">
        <f t="shared" si="619"/>
        <v>-0.49466714476482515</v>
      </c>
      <c r="Y473" s="77">
        <f t="shared" si="620"/>
        <v>20434.650000000001</v>
      </c>
      <c r="Z473" s="106">
        <f t="shared" si="621"/>
        <v>20434.650000000001</v>
      </c>
      <c r="AA473" s="73">
        <v>40438</v>
      </c>
      <c r="AB473" s="88">
        <v>15000</v>
      </c>
      <c r="AC473" s="116">
        <v>15000</v>
      </c>
      <c r="AD473" s="74">
        <v>13750</v>
      </c>
      <c r="AE473" s="76">
        <f t="shared" si="622"/>
        <v>14583.333333333334</v>
      </c>
      <c r="AF473" s="24">
        <f t="shared" si="623"/>
        <v>-25854.666666666664</v>
      </c>
      <c r="AG473" s="25">
        <f t="shared" si="624"/>
        <v>-0.63936561320210361</v>
      </c>
      <c r="AH473" s="77">
        <f t="shared" si="625"/>
        <v>14583.333333333334</v>
      </c>
      <c r="AI473" s="77">
        <f t="shared" si="626"/>
        <v>14583.333333333334</v>
      </c>
      <c r="AJ473" s="73">
        <v>40438</v>
      </c>
      <c r="AK473" s="79">
        <v>16562.5</v>
      </c>
      <c r="AL473" s="79">
        <v>12500</v>
      </c>
      <c r="AM473" s="127">
        <v>15000</v>
      </c>
      <c r="AN473" s="128">
        <v>18200</v>
      </c>
      <c r="AO473" s="128">
        <v>15000</v>
      </c>
      <c r="AP473" s="129">
        <f t="shared" si="627"/>
        <v>15452.5</v>
      </c>
      <c r="AQ473" s="130">
        <f t="shared" si="628"/>
        <v>-24985.5</v>
      </c>
      <c r="AR473" s="131">
        <f t="shared" si="629"/>
        <v>-0.61787180374894901</v>
      </c>
      <c r="AS473" s="132">
        <f t="shared" si="673"/>
        <v>15452.5</v>
      </c>
      <c r="AT473" s="250"/>
      <c r="AU473" s="250"/>
      <c r="AV473" s="250"/>
      <c r="AW473" s="250"/>
      <c r="AX473" s="250"/>
      <c r="AY473" s="250"/>
      <c r="AZ473" s="250"/>
      <c r="BA473" s="250"/>
      <c r="BB473" s="250"/>
      <c r="BC473" s="251"/>
      <c r="BD473" s="150"/>
      <c r="BE473" s="150"/>
      <c r="BF473" s="150"/>
      <c r="BG473" s="150"/>
      <c r="BH473" s="150"/>
      <c r="BI473" s="150"/>
      <c r="BJ473" s="150"/>
      <c r="BK473" s="150"/>
      <c r="BL473" s="150"/>
      <c r="BM473" s="293"/>
      <c r="BN473" s="293"/>
      <c r="BO473" s="293"/>
      <c r="BP473" s="293"/>
      <c r="BQ473" s="293"/>
      <c r="BR473" s="293"/>
      <c r="BS473" s="293"/>
      <c r="BT473" s="293"/>
    </row>
    <row r="474" spans="1:72" ht="30" customHeight="1">
      <c r="A474" s="91" t="s">
        <v>28</v>
      </c>
      <c r="B474" s="358" t="s">
        <v>2666</v>
      </c>
      <c r="C474" s="50" t="s">
        <v>263</v>
      </c>
      <c r="D474" s="99" t="s">
        <v>603</v>
      </c>
      <c r="E474" s="48" t="s">
        <v>743</v>
      </c>
      <c r="F474" s="10">
        <v>24912</v>
      </c>
      <c r="G474" s="33">
        <v>32400</v>
      </c>
      <c r="H474" s="33">
        <v>42120</v>
      </c>
      <c r="I474" s="35">
        <v>28320</v>
      </c>
      <c r="J474" s="29">
        <f t="shared" si="595"/>
        <v>34280</v>
      </c>
      <c r="K474" s="24">
        <f t="shared" si="596"/>
        <v>9368</v>
      </c>
      <c r="L474" s="25">
        <f t="shared" si="597"/>
        <v>0.37604367373153502</v>
      </c>
      <c r="M474" s="69" t="str">
        <f t="shared" si="598"/>
        <v>REVISAR PRECIO</v>
      </c>
      <c r="N474" s="77">
        <f t="shared" si="594"/>
        <v>34280</v>
      </c>
      <c r="O474" s="73"/>
      <c r="P474" s="74">
        <v>15525</v>
      </c>
      <c r="Q474" s="74">
        <v>14500</v>
      </c>
      <c r="R474" s="75">
        <v>17887.5</v>
      </c>
      <c r="S474" s="61">
        <v>21505</v>
      </c>
      <c r="T474" s="60"/>
      <c r="U474" s="74">
        <v>24730.749999999996</v>
      </c>
      <c r="V474" s="76">
        <f t="shared" si="617"/>
        <v>18829.650000000001</v>
      </c>
      <c r="W474" s="24">
        <f t="shared" si="618"/>
        <v>18829.650000000001</v>
      </c>
      <c r="X474" s="25"/>
      <c r="Y474" s="77">
        <f t="shared" si="620"/>
        <v>18829.650000000001</v>
      </c>
      <c r="Z474" s="106">
        <f t="shared" si="621"/>
        <v>18829.650000000001</v>
      </c>
      <c r="AA474" s="73"/>
      <c r="AB474" s="88">
        <v>16000</v>
      </c>
      <c r="AC474" s="116">
        <v>16000</v>
      </c>
      <c r="AD474" s="74">
        <v>14850</v>
      </c>
      <c r="AE474" s="76">
        <f t="shared" si="622"/>
        <v>15616.666666666666</v>
      </c>
      <c r="AF474" s="24">
        <f t="shared" si="623"/>
        <v>15616.666666666666</v>
      </c>
      <c r="AG474" s="25"/>
      <c r="AH474" s="77"/>
      <c r="AI474" s="77">
        <f t="shared" si="626"/>
        <v>15616.666666666666</v>
      </c>
      <c r="AJ474" s="73"/>
      <c r="AK474" s="79">
        <v>17887.5</v>
      </c>
      <c r="AL474" s="79">
        <v>13500</v>
      </c>
      <c r="AM474" s="127">
        <v>16200</v>
      </c>
      <c r="AN474" s="128">
        <v>12000</v>
      </c>
      <c r="AO474" s="128">
        <v>13000</v>
      </c>
      <c r="AP474" s="133">
        <f t="shared" si="627"/>
        <v>14517.5</v>
      </c>
      <c r="AQ474" s="127">
        <f t="shared" si="628"/>
        <v>14517.5</v>
      </c>
      <c r="AR474" s="134"/>
      <c r="AS474" s="132">
        <f t="shared" si="673"/>
        <v>14517.5</v>
      </c>
      <c r="AT474" s="250"/>
      <c r="AU474" s="250"/>
      <c r="AV474" s="250"/>
      <c r="AW474" s="250"/>
      <c r="AX474" s="250"/>
      <c r="AY474" s="250"/>
      <c r="AZ474" s="250"/>
      <c r="BA474" s="250"/>
      <c r="BB474" s="250"/>
      <c r="BC474" s="251"/>
      <c r="BD474" s="150"/>
      <c r="BE474" s="150"/>
      <c r="BF474" s="150"/>
      <c r="BG474" s="150"/>
      <c r="BH474" s="150"/>
      <c r="BI474" s="150"/>
      <c r="BJ474" s="150"/>
      <c r="BK474" s="150"/>
      <c r="BL474" s="150"/>
      <c r="BM474" s="293"/>
      <c r="BN474" s="293"/>
      <c r="BO474" s="293"/>
      <c r="BP474" s="293"/>
      <c r="BQ474" s="293"/>
      <c r="BR474" s="293"/>
      <c r="BS474" s="293"/>
      <c r="BT474" s="293"/>
    </row>
    <row r="475" spans="1:72" ht="41.45" customHeight="1">
      <c r="A475" s="91" t="s">
        <v>28</v>
      </c>
      <c r="B475" s="358" t="s">
        <v>2667</v>
      </c>
      <c r="C475" s="50" t="s">
        <v>264</v>
      </c>
      <c r="D475" s="99" t="s">
        <v>604</v>
      </c>
      <c r="E475" s="48" t="s">
        <v>740</v>
      </c>
      <c r="F475" s="10">
        <v>29583</v>
      </c>
      <c r="G475" s="33">
        <v>38475</v>
      </c>
      <c r="H475" s="31">
        <v>50018</v>
      </c>
      <c r="I475" s="35">
        <v>33630</v>
      </c>
      <c r="J475" s="29">
        <f t="shared" si="595"/>
        <v>40707.666666666664</v>
      </c>
      <c r="K475" s="24">
        <f t="shared" si="596"/>
        <v>11124.666666666664</v>
      </c>
      <c r="L475" s="25">
        <f t="shared" si="597"/>
        <v>0.37604930759783201</v>
      </c>
      <c r="M475" s="69" t="str">
        <f t="shared" si="598"/>
        <v>REVISAR PRECIO</v>
      </c>
      <c r="N475" s="77">
        <f t="shared" si="594"/>
        <v>40707.666666666664</v>
      </c>
      <c r="O475" s="73">
        <v>18036</v>
      </c>
      <c r="P475" s="74">
        <v>64400</v>
      </c>
      <c r="Q475" s="74">
        <v>70000</v>
      </c>
      <c r="R475" s="75">
        <v>74200</v>
      </c>
      <c r="S475" s="61">
        <v>64399.999999999993</v>
      </c>
      <c r="T475" s="60"/>
      <c r="U475" s="74">
        <v>74059.999999999985</v>
      </c>
      <c r="V475" s="76">
        <f t="shared" si="617"/>
        <v>69412</v>
      </c>
      <c r="W475" s="24">
        <f t="shared" si="618"/>
        <v>51376</v>
      </c>
      <c r="X475" s="25">
        <f t="shared" si="619"/>
        <v>2.8485251718784652</v>
      </c>
      <c r="Y475" s="77" t="str">
        <f t="shared" si="620"/>
        <v>REVISAR PRECIO</v>
      </c>
      <c r="Z475" s="106">
        <f t="shared" si="621"/>
        <v>69412</v>
      </c>
      <c r="AA475" s="73">
        <v>18036</v>
      </c>
      <c r="AB475" s="88">
        <v>60000</v>
      </c>
      <c r="AC475" s="116">
        <v>60000</v>
      </c>
      <c r="AD475" s="74">
        <v>61600</v>
      </c>
      <c r="AE475" s="76">
        <f t="shared" si="622"/>
        <v>60533.333333333336</v>
      </c>
      <c r="AF475" s="24">
        <f t="shared" si="623"/>
        <v>42497.333333333336</v>
      </c>
      <c r="AG475" s="25">
        <f t="shared" si="624"/>
        <v>2.3562504620388851</v>
      </c>
      <c r="AH475" s="77" t="str">
        <f t="shared" si="625"/>
        <v>REVISAR PRECIO</v>
      </c>
      <c r="AI475" s="77">
        <f t="shared" si="626"/>
        <v>60533.333333333336</v>
      </c>
      <c r="AJ475" s="73">
        <v>18036</v>
      </c>
      <c r="AK475" s="79">
        <v>74200</v>
      </c>
      <c r="AL475" s="79">
        <v>56000</v>
      </c>
      <c r="AM475" s="127">
        <v>67200</v>
      </c>
      <c r="AN475" s="128">
        <v>51000</v>
      </c>
      <c r="AO475" s="128">
        <v>60000</v>
      </c>
      <c r="AP475" s="124">
        <f t="shared" si="627"/>
        <v>61680</v>
      </c>
      <c r="AQ475" s="125">
        <f t="shared" si="628"/>
        <v>43644</v>
      </c>
      <c r="AR475" s="126">
        <f t="shared" si="629"/>
        <v>2.4198270126413841</v>
      </c>
      <c r="AS475" s="132">
        <f t="shared" si="673"/>
        <v>61680</v>
      </c>
      <c r="AT475" s="250"/>
      <c r="AU475" s="250"/>
      <c r="AV475" s="250"/>
      <c r="AW475" s="250"/>
      <c r="AX475" s="250"/>
      <c r="AY475" s="250"/>
      <c r="AZ475" s="250"/>
      <c r="BA475" s="250"/>
      <c r="BB475" s="250"/>
      <c r="BC475" s="251"/>
      <c r="BD475" s="150"/>
      <c r="BE475" s="150"/>
      <c r="BF475" s="150"/>
      <c r="BG475" s="150"/>
      <c r="BH475" s="150"/>
      <c r="BI475" s="150"/>
      <c r="BJ475" s="150"/>
      <c r="BK475" s="150"/>
      <c r="BL475" s="150"/>
      <c r="BM475" s="293"/>
      <c r="BN475" s="293"/>
      <c r="BO475" s="293"/>
      <c r="BP475" s="293"/>
      <c r="BQ475" s="293"/>
      <c r="BR475" s="293"/>
      <c r="BS475" s="293"/>
      <c r="BT475" s="293"/>
    </row>
    <row r="476" spans="1:72" ht="27" customHeight="1">
      <c r="A476" s="91" t="s">
        <v>28</v>
      </c>
      <c r="B476" s="358" t="s">
        <v>2668</v>
      </c>
      <c r="C476" s="50" t="s">
        <v>265</v>
      </c>
      <c r="D476" s="99" t="s">
        <v>605</v>
      </c>
      <c r="E476" s="48" t="s">
        <v>740</v>
      </c>
      <c r="F476" s="10">
        <v>19463</v>
      </c>
      <c r="G476" s="33">
        <v>25313</v>
      </c>
      <c r="H476" s="31">
        <v>32906</v>
      </c>
      <c r="I476" s="35">
        <v>22125</v>
      </c>
      <c r="J476" s="29">
        <f t="shared" si="595"/>
        <v>26781.333333333332</v>
      </c>
      <c r="K476" s="24">
        <f t="shared" si="596"/>
        <v>7318.3333333333321</v>
      </c>
      <c r="L476" s="25">
        <f t="shared" si="597"/>
        <v>0.37601260511397688</v>
      </c>
      <c r="M476" s="69" t="str">
        <f t="shared" si="598"/>
        <v>REVISAR PRECIO</v>
      </c>
      <c r="N476" s="77">
        <f t="shared" si="594"/>
        <v>26781.333333333332</v>
      </c>
      <c r="O476" s="73">
        <v>11866</v>
      </c>
      <c r="P476" s="74"/>
      <c r="Q476" s="74"/>
      <c r="R476" s="75">
        <v>23850</v>
      </c>
      <c r="S476" s="61"/>
      <c r="T476" s="60"/>
      <c r="U476" s="74"/>
      <c r="V476" s="76">
        <f t="shared" si="617"/>
        <v>23850</v>
      </c>
      <c r="W476" s="24">
        <f t="shared" si="618"/>
        <v>11984</v>
      </c>
      <c r="X476" s="25">
        <f t="shared" si="619"/>
        <v>1.009944378897691</v>
      </c>
      <c r="Y476" s="77" t="str">
        <f t="shared" si="620"/>
        <v>REVISAR PRECIO</v>
      </c>
      <c r="Z476" s="106">
        <f t="shared" si="621"/>
        <v>23850</v>
      </c>
      <c r="AA476" s="73">
        <v>11866</v>
      </c>
      <c r="AB476" s="88">
        <v>75000</v>
      </c>
      <c r="AC476" s="116">
        <v>75000</v>
      </c>
      <c r="AD476" s="74"/>
      <c r="AE476" s="76">
        <f t="shared" si="622"/>
        <v>75000</v>
      </c>
      <c r="AF476" s="24">
        <f t="shared" si="623"/>
        <v>63134</v>
      </c>
      <c r="AG476" s="25">
        <f t="shared" si="624"/>
        <v>5.320579807854374</v>
      </c>
      <c r="AH476" s="77" t="str">
        <f t="shared" si="625"/>
        <v>REVISAR PRECIO</v>
      </c>
      <c r="AI476" s="77">
        <f t="shared" si="626"/>
        <v>75000</v>
      </c>
      <c r="AJ476" s="73">
        <v>11866</v>
      </c>
      <c r="AK476" s="79">
        <v>23850</v>
      </c>
      <c r="AL476" s="79"/>
      <c r="AM476" s="127"/>
      <c r="AN476" s="128">
        <v>37000</v>
      </c>
      <c r="AO476" s="128"/>
      <c r="AP476" s="133">
        <f t="shared" si="627"/>
        <v>30425</v>
      </c>
      <c r="AQ476" s="127">
        <f t="shared" si="628"/>
        <v>18559</v>
      </c>
      <c r="AR476" s="134">
        <f t="shared" si="629"/>
        <v>1.5640485420529244</v>
      </c>
      <c r="AS476" s="132">
        <f t="shared" si="673"/>
        <v>30425</v>
      </c>
      <c r="AT476" s="250"/>
      <c r="AU476" s="250"/>
      <c r="AV476" s="250"/>
      <c r="AW476" s="250"/>
      <c r="AX476" s="250"/>
      <c r="AY476" s="250"/>
      <c r="AZ476" s="250"/>
      <c r="BA476" s="250"/>
      <c r="BB476" s="250"/>
      <c r="BC476" s="251"/>
      <c r="BD476" s="150"/>
      <c r="BE476" s="150"/>
      <c r="BF476" s="150"/>
      <c r="BG476" s="150"/>
      <c r="BH476" s="150"/>
      <c r="BI476" s="150"/>
      <c r="BJ476" s="150"/>
      <c r="BK476" s="150"/>
      <c r="BL476" s="150"/>
      <c r="BM476" s="293"/>
      <c r="BN476" s="293"/>
      <c r="BO476" s="293"/>
      <c r="BP476" s="293"/>
      <c r="BQ476" s="293"/>
      <c r="BR476" s="293"/>
      <c r="BS476" s="293"/>
      <c r="BT476" s="293"/>
    </row>
    <row r="477" spans="1:72" s="1" customFormat="1" ht="27" customHeight="1">
      <c r="A477" s="91" t="s">
        <v>28</v>
      </c>
      <c r="B477" s="358" t="s">
        <v>2669</v>
      </c>
      <c r="C477" s="50" t="s">
        <v>266</v>
      </c>
      <c r="D477" s="99" t="s">
        <v>606</v>
      </c>
      <c r="E477" s="48" t="s">
        <v>740</v>
      </c>
      <c r="F477" s="10">
        <v>625395</v>
      </c>
      <c r="G477" s="39">
        <v>813375</v>
      </c>
      <c r="H477" s="39">
        <v>1057388</v>
      </c>
      <c r="I477" s="35">
        <v>710950</v>
      </c>
      <c r="J477" s="29">
        <f t="shared" si="595"/>
        <v>860571</v>
      </c>
      <c r="K477" s="24">
        <f t="shared" si="596"/>
        <v>235176</v>
      </c>
      <c r="L477" s="25">
        <f t="shared" si="597"/>
        <v>0.37604394022977478</v>
      </c>
      <c r="M477" s="69" t="str">
        <f t="shared" si="598"/>
        <v>REVISAR PRECIO</v>
      </c>
      <c r="N477" s="77">
        <f t="shared" si="594"/>
        <v>860571</v>
      </c>
      <c r="O477" s="73">
        <v>394884</v>
      </c>
      <c r="P477" s="74">
        <v>977500</v>
      </c>
      <c r="Q477" s="74">
        <v>1000000</v>
      </c>
      <c r="R477" s="75">
        <v>1126250</v>
      </c>
      <c r="S477" s="61">
        <v>977499.99999999988</v>
      </c>
      <c r="T477" s="60"/>
      <c r="U477" s="74">
        <v>1124124.9999999998</v>
      </c>
      <c r="V477" s="76">
        <f t="shared" si="617"/>
        <v>1041075</v>
      </c>
      <c r="W477" s="24">
        <f t="shared" si="618"/>
        <v>646191</v>
      </c>
      <c r="X477" s="25">
        <f t="shared" si="619"/>
        <v>1.6364071474154436</v>
      </c>
      <c r="Y477" s="77" t="str">
        <f t="shared" si="620"/>
        <v>REVISAR PRECIO</v>
      </c>
      <c r="Z477" s="106">
        <f t="shared" si="621"/>
        <v>1041075</v>
      </c>
      <c r="AA477" s="73">
        <v>394884</v>
      </c>
      <c r="AB477" s="88">
        <v>950000</v>
      </c>
      <c r="AC477" s="116">
        <v>950000</v>
      </c>
      <c r="AD477" s="74">
        <v>935000</v>
      </c>
      <c r="AE477" s="76">
        <f t="shared" si="622"/>
        <v>945000</v>
      </c>
      <c r="AF477" s="24">
        <f t="shared" si="623"/>
        <v>550116</v>
      </c>
      <c r="AG477" s="25">
        <f t="shared" si="624"/>
        <v>1.3931078493937461</v>
      </c>
      <c r="AH477" s="77" t="str">
        <f t="shared" si="625"/>
        <v>REVISAR PRECIO</v>
      </c>
      <c r="AI477" s="77">
        <f t="shared" si="626"/>
        <v>945000</v>
      </c>
      <c r="AJ477" s="73">
        <v>394884</v>
      </c>
      <c r="AK477" s="79">
        <v>1126250</v>
      </c>
      <c r="AL477" s="79">
        <v>850000</v>
      </c>
      <c r="AM477" s="127">
        <v>850000</v>
      </c>
      <c r="AN477" s="128">
        <v>809000</v>
      </c>
      <c r="AO477" s="128">
        <v>900000</v>
      </c>
      <c r="AP477" s="133">
        <f t="shared" si="627"/>
        <v>907050</v>
      </c>
      <c r="AQ477" s="127">
        <f t="shared" si="628"/>
        <v>512166</v>
      </c>
      <c r="AR477" s="134">
        <f t="shared" si="629"/>
        <v>1.2970036770292035</v>
      </c>
      <c r="AS477" s="132">
        <f t="shared" si="673"/>
        <v>907050</v>
      </c>
      <c r="AT477" s="250"/>
      <c r="AU477" s="250"/>
      <c r="AV477" s="250"/>
      <c r="AW477" s="250"/>
      <c r="AX477" s="250"/>
      <c r="AY477" s="250"/>
      <c r="AZ477" s="250"/>
      <c r="BA477" s="250"/>
      <c r="BB477" s="250"/>
      <c r="BC477" s="251"/>
      <c r="BD477" s="150"/>
      <c r="BE477" s="150"/>
      <c r="BF477" s="150"/>
      <c r="BG477" s="150"/>
      <c r="BH477" s="150"/>
      <c r="BI477" s="150"/>
      <c r="BJ477" s="150"/>
      <c r="BK477" s="150"/>
      <c r="BL477" s="150"/>
      <c r="BM477" s="293"/>
      <c r="BN477" s="293"/>
      <c r="BO477" s="293"/>
      <c r="BP477" s="293"/>
      <c r="BQ477" s="293"/>
      <c r="BR477" s="293"/>
      <c r="BS477" s="293"/>
      <c r="BT477" s="293"/>
    </row>
    <row r="478" spans="1:72" s="1" customFormat="1" ht="71.099999999999994" customHeight="1">
      <c r="A478" s="91"/>
      <c r="B478" s="358" t="s">
        <v>2670</v>
      </c>
      <c r="C478" s="50" t="s">
        <v>1027</v>
      </c>
      <c r="D478" s="177" t="s">
        <v>980</v>
      </c>
      <c r="E478" s="141" t="s">
        <v>13</v>
      </c>
      <c r="F478" s="10"/>
      <c r="G478" s="39"/>
      <c r="H478" s="39"/>
      <c r="I478" s="183"/>
      <c r="J478" s="29"/>
      <c r="K478" s="24"/>
      <c r="L478" s="25"/>
      <c r="M478" s="69"/>
      <c r="N478" s="77"/>
      <c r="O478" s="73"/>
      <c r="P478" s="74"/>
      <c r="Q478" s="74"/>
      <c r="R478" s="75"/>
      <c r="S478" s="61"/>
      <c r="T478" s="60"/>
      <c r="U478" s="74"/>
      <c r="V478" s="76"/>
      <c r="W478" s="24"/>
      <c r="X478" s="25"/>
      <c r="Y478" s="77"/>
      <c r="Z478" s="106"/>
      <c r="AA478" s="73"/>
      <c r="AB478" s="88"/>
      <c r="AC478" s="116"/>
      <c r="AD478" s="74"/>
      <c r="AE478" s="76"/>
      <c r="AF478" s="24"/>
      <c r="AG478" s="25"/>
      <c r="AH478" s="77"/>
      <c r="AI478" s="77"/>
      <c r="AJ478" s="73"/>
      <c r="AK478" s="79"/>
      <c r="AL478" s="79"/>
      <c r="AM478" s="127"/>
      <c r="AN478" s="128"/>
      <c r="AO478" s="128"/>
      <c r="AP478" s="133"/>
      <c r="AQ478" s="127"/>
      <c r="AR478" s="134"/>
      <c r="AS478" s="132"/>
      <c r="AT478" s="10">
        <v>418578</v>
      </c>
      <c r="AU478" s="10"/>
      <c r="AV478" s="167">
        <v>450000</v>
      </c>
      <c r="AW478" s="168">
        <v>350000</v>
      </c>
      <c r="AX478" s="29">
        <f t="shared" ref="AX478:AX523" si="674">AVERAGE(AU478,AW478)</f>
        <v>350000</v>
      </c>
      <c r="AY478" s="24">
        <f t="shared" ref="AY478:AY523" si="675">AX478-AT478</f>
        <v>-68578</v>
      </c>
      <c r="AZ478" s="25">
        <f t="shared" ref="AZ478:AZ523" si="676">+AY478/AT478</f>
        <v>-0.16383565309213574</v>
      </c>
      <c r="BA478" s="24">
        <f t="shared" ref="BA478:BA523" si="677">AV478-AT478</f>
        <v>31422</v>
      </c>
      <c r="BB478" s="169">
        <f t="shared" ref="BB478:BB523" si="678">+BA478/AT478</f>
        <v>7.5068446024396884E-2</v>
      </c>
      <c r="BC478" s="170">
        <f t="shared" ref="BC478:BC523" si="679">AX478</f>
        <v>350000</v>
      </c>
      <c r="BD478" s="10">
        <v>380446</v>
      </c>
      <c r="BE478" s="10"/>
      <c r="BF478" s="10"/>
      <c r="BG478" s="10"/>
      <c r="BH478" s="10"/>
      <c r="BI478" s="76"/>
      <c r="BJ478" s="24"/>
      <c r="BK478" s="25"/>
      <c r="BL478" s="259" t="s">
        <v>894</v>
      </c>
      <c r="BM478" s="10">
        <v>424823</v>
      </c>
      <c r="BN478" s="45"/>
      <c r="BO478" s="45">
        <v>493870</v>
      </c>
      <c r="BP478" s="45">
        <v>85000</v>
      </c>
      <c r="BQ478" s="29">
        <f t="shared" ref="BQ478:BQ490" si="680">AVERAGE(BN478,BO478,BP478)</f>
        <v>289435</v>
      </c>
      <c r="BR478" s="24">
        <f t="shared" ref="BR478:BR490" si="681">BQ478-BM478</f>
        <v>-135388</v>
      </c>
      <c r="BS478" s="25">
        <f t="shared" ref="BS478:BS490" si="682">+BR478/BM478</f>
        <v>-0.31869272614712479</v>
      </c>
      <c r="BT478" s="308">
        <f t="shared" ref="BT478:BT490" si="683">BQ478</f>
        <v>289435</v>
      </c>
    </row>
    <row r="479" spans="1:72" s="1" customFormat="1" ht="72.95" customHeight="1">
      <c r="A479" s="91"/>
      <c r="B479" s="358" t="s">
        <v>2671</v>
      </c>
      <c r="C479" s="50" t="s">
        <v>1028</v>
      </c>
      <c r="D479" s="177" t="s">
        <v>981</v>
      </c>
      <c r="E479" s="141" t="s">
        <v>13</v>
      </c>
      <c r="F479" s="10"/>
      <c r="G479" s="39"/>
      <c r="H479" s="39"/>
      <c r="I479" s="183"/>
      <c r="J479" s="29"/>
      <c r="K479" s="24"/>
      <c r="L479" s="25"/>
      <c r="M479" s="69"/>
      <c r="N479" s="77"/>
      <c r="O479" s="73"/>
      <c r="P479" s="74"/>
      <c r="Q479" s="74"/>
      <c r="R479" s="75"/>
      <c r="S479" s="61"/>
      <c r="T479" s="60"/>
      <c r="U479" s="74"/>
      <c r="V479" s="76"/>
      <c r="W479" s="24"/>
      <c r="X479" s="25"/>
      <c r="Y479" s="77"/>
      <c r="Z479" s="106"/>
      <c r="AA479" s="73"/>
      <c r="AB479" s="88"/>
      <c r="AC479" s="116"/>
      <c r="AD479" s="74"/>
      <c r="AE479" s="76"/>
      <c r="AF479" s="24"/>
      <c r="AG479" s="25"/>
      <c r="AH479" s="77"/>
      <c r="AI479" s="77"/>
      <c r="AJ479" s="73"/>
      <c r="AK479" s="79"/>
      <c r="AL479" s="79"/>
      <c r="AM479" s="127"/>
      <c r="AN479" s="128"/>
      <c r="AO479" s="128"/>
      <c r="AP479" s="133"/>
      <c r="AQ479" s="127"/>
      <c r="AR479" s="134"/>
      <c r="AS479" s="132"/>
      <c r="AT479" s="10">
        <v>171661</v>
      </c>
      <c r="AU479" s="10">
        <v>520000</v>
      </c>
      <c r="AV479" s="167">
        <v>450000</v>
      </c>
      <c r="AW479" s="168">
        <v>485000</v>
      </c>
      <c r="AX479" s="29">
        <f t="shared" si="674"/>
        <v>502500</v>
      </c>
      <c r="AY479" s="24">
        <f t="shared" si="675"/>
        <v>330839</v>
      </c>
      <c r="AZ479" s="25">
        <f t="shared" si="676"/>
        <v>1.9272810947157479</v>
      </c>
      <c r="BA479" s="24">
        <f t="shared" si="677"/>
        <v>278339</v>
      </c>
      <c r="BB479" s="169">
        <f t="shared" si="678"/>
        <v>1.6214457564618638</v>
      </c>
      <c r="BC479" s="170">
        <f t="shared" si="679"/>
        <v>502500</v>
      </c>
      <c r="BD479" s="10">
        <v>156026</v>
      </c>
      <c r="BE479" s="10"/>
      <c r="BF479" s="10"/>
      <c r="BG479" s="10"/>
      <c r="BH479" s="10"/>
      <c r="BI479" s="76"/>
      <c r="BJ479" s="24"/>
      <c r="BK479" s="25"/>
      <c r="BL479" s="259" t="s">
        <v>894</v>
      </c>
      <c r="BM479" s="10">
        <v>174224</v>
      </c>
      <c r="BN479" s="45"/>
      <c r="BO479" s="45">
        <v>202544</v>
      </c>
      <c r="BP479" s="45">
        <v>80000</v>
      </c>
      <c r="BQ479" s="29">
        <f t="shared" si="680"/>
        <v>141272</v>
      </c>
      <c r="BR479" s="24">
        <f t="shared" si="681"/>
        <v>-32952</v>
      </c>
      <c r="BS479" s="25">
        <f t="shared" si="682"/>
        <v>-0.18913582514464139</v>
      </c>
      <c r="BT479" s="308">
        <f t="shared" si="683"/>
        <v>141272</v>
      </c>
    </row>
    <row r="480" spans="1:72" s="1" customFormat="1" ht="50.1" customHeight="1">
      <c r="A480" s="91"/>
      <c r="B480" s="358" t="s">
        <v>2672</v>
      </c>
      <c r="C480" s="50" t="s">
        <v>1029</v>
      </c>
      <c r="D480" s="177" t="s">
        <v>982</v>
      </c>
      <c r="E480" s="141" t="s">
        <v>13</v>
      </c>
      <c r="F480" s="10"/>
      <c r="G480" s="39"/>
      <c r="H480" s="39"/>
      <c r="I480" s="183"/>
      <c r="J480" s="29"/>
      <c r="K480" s="24"/>
      <c r="L480" s="25"/>
      <c r="M480" s="69"/>
      <c r="N480" s="77"/>
      <c r="O480" s="73"/>
      <c r="P480" s="74"/>
      <c r="Q480" s="74"/>
      <c r="R480" s="75"/>
      <c r="S480" s="61"/>
      <c r="T480" s="60"/>
      <c r="U480" s="74"/>
      <c r="V480" s="76"/>
      <c r="W480" s="24"/>
      <c r="X480" s="25"/>
      <c r="Y480" s="77"/>
      <c r="Z480" s="106"/>
      <c r="AA480" s="73"/>
      <c r="AB480" s="88"/>
      <c r="AC480" s="116"/>
      <c r="AD480" s="74"/>
      <c r="AE480" s="76"/>
      <c r="AF480" s="24"/>
      <c r="AG480" s="25"/>
      <c r="AH480" s="77"/>
      <c r="AI480" s="77"/>
      <c r="AJ480" s="73"/>
      <c r="AK480" s="79"/>
      <c r="AL480" s="79"/>
      <c r="AM480" s="127"/>
      <c r="AN480" s="128"/>
      <c r="AO480" s="128"/>
      <c r="AP480" s="133"/>
      <c r="AQ480" s="127"/>
      <c r="AR480" s="134"/>
      <c r="AS480" s="132"/>
      <c r="AT480" s="10">
        <v>193418</v>
      </c>
      <c r="AU480" s="10">
        <v>280000</v>
      </c>
      <c r="AV480" s="167">
        <v>403332.5</v>
      </c>
      <c r="AW480" s="168">
        <v>255600</v>
      </c>
      <c r="AX480" s="29">
        <f t="shared" si="674"/>
        <v>267800</v>
      </c>
      <c r="AY480" s="24">
        <f t="shared" si="675"/>
        <v>74382</v>
      </c>
      <c r="AZ480" s="25">
        <f t="shared" si="676"/>
        <v>0.38456606934204673</v>
      </c>
      <c r="BA480" s="24">
        <f t="shared" si="677"/>
        <v>209914.5</v>
      </c>
      <c r="BB480" s="169">
        <f t="shared" si="678"/>
        <v>1.0852893732744626</v>
      </c>
      <c r="BC480" s="170">
        <f t="shared" si="679"/>
        <v>267800</v>
      </c>
      <c r="BD480" s="10">
        <v>175800</v>
      </c>
      <c r="BE480" s="10"/>
      <c r="BF480" s="10"/>
      <c r="BG480" s="10"/>
      <c r="BH480" s="10"/>
      <c r="BI480" s="76"/>
      <c r="BJ480" s="24"/>
      <c r="BK480" s="25"/>
      <c r="BL480" s="259" t="s">
        <v>894</v>
      </c>
      <c r="BM480" s="10">
        <v>196303</v>
      </c>
      <c r="BN480" s="45"/>
      <c r="BO480" s="45">
        <v>228206</v>
      </c>
      <c r="BP480" s="45">
        <v>70000</v>
      </c>
      <c r="BQ480" s="29">
        <f t="shared" si="680"/>
        <v>149103</v>
      </c>
      <c r="BR480" s="24">
        <f t="shared" si="681"/>
        <v>-47200</v>
      </c>
      <c r="BS480" s="25">
        <f t="shared" si="682"/>
        <v>-0.24044461877811343</v>
      </c>
      <c r="BT480" s="308">
        <f t="shared" si="683"/>
        <v>149103</v>
      </c>
    </row>
    <row r="481" spans="1:72" s="1" customFormat="1" ht="50.1" customHeight="1">
      <c r="A481" s="91"/>
      <c r="B481" s="358" t="s">
        <v>2673</v>
      </c>
      <c r="C481" s="50" t="s">
        <v>1030</v>
      </c>
      <c r="D481" s="177" t="s">
        <v>983</v>
      </c>
      <c r="E481" s="141" t="s">
        <v>14</v>
      </c>
      <c r="F481" s="10"/>
      <c r="G481" s="39"/>
      <c r="H481" s="39"/>
      <c r="I481" s="183"/>
      <c r="J481" s="29"/>
      <c r="K481" s="24"/>
      <c r="L481" s="25"/>
      <c r="M481" s="69"/>
      <c r="N481" s="77"/>
      <c r="O481" s="73"/>
      <c r="P481" s="74"/>
      <c r="Q481" s="74"/>
      <c r="R481" s="75"/>
      <c r="S481" s="61"/>
      <c r="T481" s="60"/>
      <c r="U481" s="74"/>
      <c r="V481" s="76"/>
      <c r="W481" s="24"/>
      <c r="X481" s="25"/>
      <c r="Y481" s="77"/>
      <c r="Z481" s="106"/>
      <c r="AA481" s="73"/>
      <c r="AB481" s="88"/>
      <c r="AC481" s="116"/>
      <c r="AD481" s="74"/>
      <c r="AE481" s="76"/>
      <c r="AF481" s="24"/>
      <c r="AG481" s="25"/>
      <c r="AH481" s="77"/>
      <c r="AI481" s="77"/>
      <c r="AJ481" s="73"/>
      <c r="AK481" s="79"/>
      <c r="AL481" s="79"/>
      <c r="AM481" s="127"/>
      <c r="AN481" s="128"/>
      <c r="AO481" s="128"/>
      <c r="AP481" s="133"/>
      <c r="AQ481" s="127"/>
      <c r="AR481" s="134"/>
      <c r="AS481" s="132"/>
      <c r="AT481" s="10">
        <v>538287</v>
      </c>
      <c r="AU481" s="10">
        <v>453119.65</v>
      </c>
      <c r="AV481" s="167">
        <v>1359358.9500000002</v>
      </c>
      <c r="AW481" s="168">
        <v>495800</v>
      </c>
      <c r="AX481" s="29">
        <f t="shared" si="674"/>
        <v>474459.82500000001</v>
      </c>
      <c r="AY481" s="24">
        <f t="shared" si="675"/>
        <v>-63827.174999999988</v>
      </c>
      <c r="AZ481" s="25">
        <f t="shared" si="676"/>
        <v>-0.11857461725807977</v>
      </c>
      <c r="BA481" s="24">
        <f t="shared" si="677"/>
        <v>821071.95000000019</v>
      </c>
      <c r="BB481" s="169">
        <f t="shared" si="678"/>
        <v>1.5253423359657583</v>
      </c>
      <c r="BC481" s="170">
        <f t="shared" si="679"/>
        <v>474459.82500000001</v>
      </c>
      <c r="BD481" s="10">
        <v>489248</v>
      </c>
      <c r="BE481" s="10"/>
      <c r="BF481" s="10"/>
      <c r="BG481" s="10"/>
      <c r="BH481" s="10"/>
      <c r="BI481" s="76"/>
      <c r="BJ481" s="24"/>
      <c r="BK481" s="25"/>
      <c r="BL481" s="259" t="s">
        <v>894</v>
      </c>
      <c r="BM481" s="10">
        <v>546316</v>
      </c>
      <c r="BN481" s="45"/>
      <c r="BO481" s="45">
        <v>635113</v>
      </c>
      <c r="BP481" s="45">
        <v>350000</v>
      </c>
      <c r="BQ481" s="29">
        <f t="shared" si="680"/>
        <v>492556.5</v>
      </c>
      <c r="BR481" s="24">
        <f t="shared" si="681"/>
        <v>-53759.5</v>
      </c>
      <c r="BS481" s="25">
        <f t="shared" si="682"/>
        <v>-9.8403671135386853E-2</v>
      </c>
      <c r="BT481" s="308">
        <f t="shared" si="683"/>
        <v>492556.5</v>
      </c>
    </row>
    <row r="482" spans="1:72" s="1" customFormat="1" ht="54" customHeight="1">
      <c r="A482" s="91"/>
      <c r="B482" s="358" t="s">
        <v>2674</v>
      </c>
      <c r="C482" s="50" t="s">
        <v>1031</v>
      </c>
      <c r="D482" s="177" t="s">
        <v>984</v>
      </c>
      <c r="E482" s="141" t="s">
        <v>14</v>
      </c>
      <c r="F482" s="10"/>
      <c r="G482" s="39"/>
      <c r="H482" s="39"/>
      <c r="I482" s="183"/>
      <c r="J482" s="29"/>
      <c r="K482" s="24"/>
      <c r="L482" s="25"/>
      <c r="M482" s="69"/>
      <c r="N482" s="77"/>
      <c r="O482" s="73"/>
      <c r="P482" s="74"/>
      <c r="Q482" s="74"/>
      <c r="R482" s="75"/>
      <c r="S482" s="61"/>
      <c r="T482" s="60"/>
      <c r="U482" s="74"/>
      <c r="V482" s="76"/>
      <c r="W482" s="24"/>
      <c r="X482" s="25"/>
      <c r="Y482" s="77"/>
      <c r="Z482" s="106"/>
      <c r="AA482" s="73"/>
      <c r="AB482" s="88"/>
      <c r="AC482" s="116"/>
      <c r="AD482" s="74"/>
      <c r="AE482" s="76"/>
      <c r="AF482" s="24"/>
      <c r="AG482" s="25"/>
      <c r="AH482" s="77"/>
      <c r="AI482" s="77"/>
      <c r="AJ482" s="73"/>
      <c r="AK482" s="79"/>
      <c r="AL482" s="79"/>
      <c r="AM482" s="127"/>
      <c r="AN482" s="128"/>
      <c r="AO482" s="128"/>
      <c r="AP482" s="133"/>
      <c r="AQ482" s="127"/>
      <c r="AR482" s="134"/>
      <c r="AS482" s="132"/>
      <c r="AT482" s="10">
        <v>555800</v>
      </c>
      <c r="AU482" s="10">
        <v>475506.3</v>
      </c>
      <c r="AV482" s="167">
        <v>1426518.9</v>
      </c>
      <c r="AW482" s="168">
        <v>455600</v>
      </c>
      <c r="AX482" s="29">
        <f t="shared" si="674"/>
        <v>465553.15</v>
      </c>
      <c r="AY482" s="24">
        <f t="shared" si="675"/>
        <v>-90246.849999999977</v>
      </c>
      <c r="AZ482" s="25">
        <f t="shared" si="676"/>
        <v>-0.16237288593019067</v>
      </c>
      <c r="BA482" s="24">
        <f t="shared" si="677"/>
        <v>870718.89999999991</v>
      </c>
      <c r="BB482" s="169">
        <f t="shared" si="678"/>
        <v>1.5666047139258725</v>
      </c>
      <c r="BC482" s="170">
        <f t="shared" si="679"/>
        <v>465553.15</v>
      </c>
      <c r="BD482" s="10">
        <v>505167</v>
      </c>
      <c r="BE482" s="10">
        <v>420000</v>
      </c>
      <c r="BF482" s="10"/>
      <c r="BG482" s="10"/>
      <c r="BH482" s="10"/>
      <c r="BI482" s="76">
        <f t="shared" ref="BI482:BI487" si="684">AVERAGE(BE482,BF482,BG482,BH482)</f>
        <v>420000</v>
      </c>
      <c r="BJ482" s="24">
        <f t="shared" ref="BJ482:BJ487" si="685">BI482-BD482</f>
        <v>-85167</v>
      </c>
      <c r="BK482" s="25">
        <f t="shared" ref="BK482:BK487" si="686">+BJ482/BD482</f>
        <v>-0.16859177262172706</v>
      </c>
      <c r="BL482" s="259">
        <f t="shared" ref="BL482:BL487" si="687">BI482</f>
        <v>420000</v>
      </c>
      <c r="BM482" s="10">
        <v>564096</v>
      </c>
      <c r="BN482" s="45"/>
      <c r="BO482" s="45">
        <v>655780</v>
      </c>
      <c r="BP482" s="45">
        <v>250000</v>
      </c>
      <c r="BQ482" s="29">
        <f t="shared" si="680"/>
        <v>452890</v>
      </c>
      <c r="BR482" s="24">
        <f t="shared" si="681"/>
        <v>-111206</v>
      </c>
      <c r="BS482" s="25">
        <f t="shared" si="682"/>
        <v>-0.19714020308599955</v>
      </c>
      <c r="BT482" s="308">
        <f t="shared" si="683"/>
        <v>452890</v>
      </c>
    </row>
    <row r="483" spans="1:72" s="1" customFormat="1" ht="45.95" customHeight="1">
      <c r="A483" s="91"/>
      <c r="B483" s="358" t="s">
        <v>2675</v>
      </c>
      <c r="C483" s="50" t="s">
        <v>1032</v>
      </c>
      <c r="D483" s="177" t="s">
        <v>985</v>
      </c>
      <c r="E483" s="141" t="s">
        <v>14</v>
      </c>
      <c r="F483" s="10"/>
      <c r="G483" s="39"/>
      <c r="H483" s="39"/>
      <c r="I483" s="183"/>
      <c r="J483" s="29"/>
      <c r="K483" s="24"/>
      <c r="L483" s="25"/>
      <c r="M483" s="69"/>
      <c r="N483" s="77"/>
      <c r="O483" s="73"/>
      <c r="P483" s="74"/>
      <c r="Q483" s="74"/>
      <c r="R483" s="75"/>
      <c r="S483" s="61"/>
      <c r="T483" s="60"/>
      <c r="U483" s="74"/>
      <c r="V483" s="76"/>
      <c r="W483" s="24"/>
      <c r="X483" s="25"/>
      <c r="Y483" s="77"/>
      <c r="Z483" s="106"/>
      <c r="AA483" s="73"/>
      <c r="AB483" s="88"/>
      <c r="AC483" s="116"/>
      <c r="AD483" s="74"/>
      <c r="AE483" s="76"/>
      <c r="AF483" s="24"/>
      <c r="AG483" s="25"/>
      <c r="AH483" s="77"/>
      <c r="AI483" s="77"/>
      <c r="AJ483" s="73"/>
      <c r="AK483" s="79"/>
      <c r="AL483" s="79"/>
      <c r="AM483" s="127"/>
      <c r="AN483" s="128"/>
      <c r="AO483" s="128"/>
      <c r="AP483" s="133"/>
      <c r="AQ483" s="127"/>
      <c r="AR483" s="134"/>
      <c r="AS483" s="132"/>
      <c r="AT483" s="10">
        <v>597016</v>
      </c>
      <c r="AU483" s="10">
        <v>430733</v>
      </c>
      <c r="AV483" s="167">
        <v>1722932</v>
      </c>
      <c r="AW483" s="168">
        <v>430000</v>
      </c>
      <c r="AX483" s="29">
        <f t="shared" si="674"/>
        <v>430366.5</v>
      </c>
      <c r="AY483" s="24">
        <f t="shared" si="675"/>
        <v>-166649.5</v>
      </c>
      <c r="AZ483" s="25">
        <f t="shared" si="676"/>
        <v>-0.27913741005266191</v>
      </c>
      <c r="BA483" s="24">
        <f t="shared" si="677"/>
        <v>1125916</v>
      </c>
      <c r="BB483" s="169">
        <f t="shared" si="678"/>
        <v>1.8859059053693703</v>
      </c>
      <c r="BC483" s="170">
        <f t="shared" si="679"/>
        <v>430366.5</v>
      </c>
      <c r="BD483" s="10">
        <v>542633</v>
      </c>
      <c r="BE483" s="10">
        <v>420000</v>
      </c>
      <c r="BF483" s="10"/>
      <c r="BG483" s="10"/>
      <c r="BH483" s="10"/>
      <c r="BI483" s="76">
        <f t="shared" si="684"/>
        <v>420000</v>
      </c>
      <c r="BJ483" s="24">
        <f t="shared" si="685"/>
        <v>-122633</v>
      </c>
      <c r="BK483" s="25">
        <f t="shared" si="686"/>
        <v>-0.22599620738141618</v>
      </c>
      <c r="BL483" s="259">
        <f t="shared" si="687"/>
        <v>420000</v>
      </c>
      <c r="BM483" s="10">
        <v>605929</v>
      </c>
      <c r="BN483" s="45"/>
      <c r="BO483" s="45">
        <v>704412</v>
      </c>
      <c r="BP483" s="45">
        <v>270000</v>
      </c>
      <c r="BQ483" s="29">
        <f t="shared" si="680"/>
        <v>487206</v>
      </c>
      <c r="BR483" s="24">
        <f t="shared" si="681"/>
        <v>-118723</v>
      </c>
      <c r="BS483" s="25">
        <f t="shared" si="682"/>
        <v>-0.19593549739325894</v>
      </c>
      <c r="BT483" s="308">
        <f t="shared" si="683"/>
        <v>487206</v>
      </c>
    </row>
    <row r="484" spans="1:72" s="1" customFormat="1" ht="41.1" customHeight="1">
      <c r="A484" s="91"/>
      <c r="B484" s="358" t="s">
        <v>2676</v>
      </c>
      <c r="C484" s="50" t="s">
        <v>1033</v>
      </c>
      <c r="D484" s="177" t="s">
        <v>986</v>
      </c>
      <c r="E484" s="141" t="s">
        <v>14</v>
      </c>
      <c r="F484" s="10"/>
      <c r="G484" s="39"/>
      <c r="H484" s="39"/>
      <c r="I484" s="183"/>
      <c r="J484" s="29"/>
      <c r="K484" s="24"/>
      <c r="L484" s="25"/>
      <c r="M484" s="69"/>
      <c r="N484" s="77"/>
      <c r="O484" s="73"/>
      <c r="P484" s="74"/>
      <c r="Q484" s="74"/>
      <c r="R484" s="75"/>
      <c r="S484" s="61"/>
      <c r="T484" s="60"/>
      <c r="U484" s="74"/>
      <c r="V484" s="76"/>
      <c r="W484" s="24"/>
      <c r="X484" s="25"/>
      <c r="Y484" s="77"/>
      <c r="Z484" s="106"/>
      <c r="AA484" s="73"/>
      <c r="AB484" s="88"/>
      <c r="AC484" s="116"/>
      <c r="AD484" s="74"/>
      <c r="AE484" s="76"/>
      <c r="AF484" s="24"/>
      <c r="AG484" s="25"/>
      <c r="AH484" s="77"/>
      <c r="AI484" s="77"/>
      <c r="AJ484" s="73"/>
      <c r="AK484" s="79"/>
      <c r="AL484" s="79"/>
      <c r="AM484" s="127"/>
      <c r="AN484" s="128"/>
      <c r="AO484" s="128"/>
      <c r="AP484" s="133"/>
      <c r="AQ484" s="127"/>
      <c r="AR484" s="134"/>
      <c r="AS484" s="132"/>
      <c r="AT484" s="10">
        <v>260853</v>
      </c>
      <c r="AU484" s="10">
        <v>450000</v>
      </c>
      <c r="AV484" s="167">
        <v>450000</v>
      </c>
      <c r="AW484" s="168">
        <v>445000</v>
      </c>
      <c r="AX484" s="29">
        <f t="shared" si="674"/>
        <v>447500</v>
      </c>
      <c r="AY484" s="24">
        <f t="shared" si="675"/>
        <v>186647</v>
      </c>
      <c r="AZ484" s="25">
        <f t="shared" si="676"/>
        <v>0.71552560254242814</v>
      </c>
      <c r="BA484" s="24">
        <f t="shared" si="677"/>
        <v>189147</v>
      </c>
      <c r="BB484" s="169">
        <f t="shared" si="678"/>
        <v>0.72510954445607301</v>
      </c>
      <c r="BC484" s="170">
        <f t="shared" si="679"/>
        <v>447500</v>
      </c>
      <c r="BD484" s="10">
        <v>237092</v>
      </c>
      <c r="BE484" s="10">
        <v>420000</v>
      </c>
      <c r="BF484" s="10"/>
      <c r="BG484" s="10"/>
      <c r="BH484" s="10"/>
      <c r="BI484" s="76">
        <f t="shared" si="684"/>
        <v>420000</v>
      </c>
      <c r="BJ484" s="24">
        <f t="shared" si="685"/>
        <v>182908</v>
      </c>
      <c r="BK484" s="25">
        <f t="shared" si="686"/>
        <v>0.77146424172894912</v>
      </c>
      <c r="BL484" s="259">
        <f t="shared" si="687"/>
        <v>420000</v>
      </c>
      <c r="BM484" s="10">
        <v>264753</v>
      </c>
      <c r="BN484" s="45"/>
      <c r="BO484" s="45">
        <v>307780</v>
      </c>
      <c r="BP484" s="45">
        <v>150000</v>
      </c>
      <c r="BQ484" s="29">
        <f t="shared" si="680"/>
        <v>228890</v>
      </c>
      <c r="BR484" s="24">
        <f t="shared" si="681"/>
        <v>-35863</v>
      </c>
      <c r="BS484" s="25">
        <f t="shared" si="682"/>
        <v>-0.13545833286119516</v>
      </c>
      <c r="BT484" s="308">
        <f t="shared" si="683"/>
        <v>228890</v>
      </c>
    </row>
    <row r="485" spans="1:72" s="1" customFormat="1" ht="47.1" customHeight="1">
      <c r="A485" s="91"/>
      <c r="B485" s="358" t="s">
        <v>2677</v>
      </c>
      <c r="C485" s="50" t="s">
        <v>1034</v>
      </c>
      <c r="D485" s="177" t="s">
        <v>987</v>
      </c>
      <c r="E485" s="141" t="s">
        <v>13</v>
      </c>
      <c r="F485" s="10"/>
      <c r="G485" s="39"/>
      <c r="H485" s="39"/>
      <c r="I485" s="183"/>
      <c r="J485" s="29"/>
      <c r="K485" s="24"/>
      <c r="L485" s="25"/>
      <c r="M485" s="69"/>
      <c r="N485" s="77"/>
      <c r="O485" s="73"/>
      <c r="P485" s="74"/>
      <c r="Q485" s="74"/>
      <c r="R485" s="75"/>
      <c r="S485" s="61"/>
      <c r="T485" s="60"/>
      <c r="U485" s="74"/>
      <c r="V485" s="76"/>
      <c r="W485" s="24"/>
      <c r="X485" s="25"/>
      <c r="Y485" s="77"/>
      <c r="Z485" s="106"/>
      <c r="AA485" s="73"/>
      <c r="AB485" s="88"/>
      <c r="AC485" s="116"/>
      <c r="AD485" s="74"/>
      <c r="AE485" s="76"/>
      <c r="AF485" s="24"/>
      <c r="AG485" s="25"/>
      <c r="AH485" s="77"/>
      <c r="AI485" s="77"/>
      <c r="AJ485" s="73"/>
      <c r="AK485" s="79"/>
      <c r="AL485" s="79"/>
      <c r="AM485" s="127"/>
      <c r="AN485" s="128"/>
      <c r="AO485" s="128"/>
      <c r="AP485" s="133"/>
      <c r="AQ485" s="127"/>
      <c r="AR485" s="134"/>
      <c r="AS485" s="132"/>
      <c r="AT485" s="10">
        <v>264421</v>
      </c>
      <c r="AU485" s="10">
        <v>562105.80000000005</v>
      </c>
      <c r="AV485" s="167">
        <v>1124211.6000000001</v>
      </c>
      <c r="AW485" s="168">
        <v>495862</v>
      </c>
      <c r="AX485" s="29">
        <f t="shared" si="674"/>
        <v>528983.9</v>
      </c>
      <c r="AY485" s="24">
        <f t="shared" si="675"/>
        <v>264562.90000000002</v>
      </c>
      <c r="AZ485" s="25">
        <f t="shared" si="676"/>
        <v>1.0005366442150965</v>
      </c>
      <c r="BA485" s="24">
        <f t="shared" si="677"/>
        <v>859790.60000000009</v>
      </c>
      <c r="BB485" s="169">
        <f t="shared" si="678"/>
        <v>3.2515972634548698</v>
      </c>
      <c r="BC485" s="170">
        <f t="shared" si="679"/>
        <v>528983.9</v>
      </c>
      <c r="BD485" s="10">
        <v>240338</v>
      </c>
      <c r="BE485" s="10">
        <v>550000</v>
      </c>
      <c r="BF485" s="10"/>
      <c r="BG485" s="10"/>
      <c r="BH485" s="10"/>
      <c r="BI485" s="76">
        <f t="shared" si="684"/>
        <v>550000</v>
      </c>
      <c r="BJ485" s="24">
        <f t="shared" si="685"/>
        <v>309662</v>
      </c>
      <c r="BK485" s="25">
        <f t="shared" si="686"/>
        <v>1.2884437750168514</v>
      </c>
      <c r="BL485" s="259">
        <f t="shared" si="687"/>
        <v>550000</v>
      </c>
      <c r="BM485" s="10">
        <v>268369</v>
      </c>
      <c r="BN485" s="45"/>
      <c r="BO485" s="45">
        <v>311992</v>
      </c>
      <c r="BP485" s="45">
        <v>450000</v>
      </c>
      <c r="BQ485" s="29">
        <f t="shared" si="680"/>
        <v>380996</v>
      </c>
      <c r="BR485" s="24">
        <f t="shared" si="681"/>
        <v>112627</v>
      </c>
      <c r="BS485" s="25">
        <f t="shared" si="682"/>
        <v>0.41967216779881433</v>
      </c>
      <c r="BT485" s="308">
        <f t="shared" si="683"/>
        <v>380996</v>
      </c>
    </row>
    <row r="486" spans="1:72" s="1" customFormat="1" ht="33" customHeight="1">
      <c r="A486" s="91"/>
      <c r="B486" s="358" t="s">
        <v>2678</v>
      </c>
      <c r="C486" s="50" t="s">
        <v>1035</v>
      </c>
      <c r="D486" s="177" t="s">
        <v>988</v>
      </c>
      <c r="E486" s="141" t="s">
        <v>13</v>
      </c>
      <c r="F486" s="10"/>
      <c r="G486" s="39"/>
      <c r="H486" s="39"/>
      <c r="I486" s="183"/>
      <c r="J486" s="29"/>
      <c r="K486" s="24"/>
      <c r="L486" s="25"/>
      <c r="M486" s="69"/>
      <c r="N486" s="77"/>
      <c r="O486" s="73"/>
      <c r="P486" s="74"/>
      <c r="Q486" s="74"/>
      <c r="R486" s="75"/>
      <c r="S486" s="61"/>
      <c r="T486" s="60"/>
      <c r="U486" s="74"/>
      <c r="V486" s="76"/>
      <c r="W486" s="24"/>
      <c r="X486" s="25"/>
      <c r="Y486" s="77"/>
      <c r="Z486" s="106"/>
      <c r="AA486" s="73"/>
      <c r="AB486" s="88"/>
      <c r="AC486" s="116"/>
      <c r="AD486" s="74"/>
      <c r="AE486" s="76"/>
      <c r="AF486" s="24"/>
      <c r="AG486" s="25"/>
      <c r="AH486" s="77"/>
      <c r="AI486" s="77"/>
      <c r="AJ486" s="73"/>
      <c r="AK486" s="79"/>
      <c r="AL486" s="79"/>
      <c r="AM486" s="127"/>
      <c r="AN486" s="128"/>
      <c r="AO486" s="128"/>
      <c r="AP486" s="133"/>
      <c r="AQ486" s="127"/>
      <c r="AR486" s="134"/>
      <c r="AS486" s="132"/>
      <c r="AT486" s="10">
        <v>4604</v>
      </c>
      <c r="AU486" s="10">
        <v>2387.94</v>
      </c>
      <c r="AV486" s="167">
        <v>2387.94</v>
      </c>
      <c r="AW486" s="168">
        <v>1500</v>
      </c>
      <c r="AX486" s="29">
        <f t="shared" si="674"/>
        <v>1943.97</v>
      </c>
      <c r="AY486" s="24">
        <f t="shared" si="675"/>
        <v>-2660.0299999999997</v>
      </c>
      <c r="AZ486" s="25">
        <f t="shared" si="676"/>
        <v>-0.57776498696785394</v>
      </c>
      <c r="BA486" s="24">
        <f t="shared" si="677"/>
        <v>-2216.06</v>
      </c>
      <c r="BB486" s="169">
        <f t="shared" si="678"/>
        <v>-0.48133362293657689</v>
      </c>
      <c r="BC486" s="170">
        <f t="shared" si="679"/>
        <v>1943.97</v>
      </c>
      <c r="BD486" s="10">
        <v>4176</v>
      </c>
      <c r="BE486" s="10">
        <v>50000</v>
      </c>
      <c r="BF486" s="10"/>
      <c r="BG486" s="10"/>
      <c r="BH486" s="10"/>
      <c r="BI486" s="76">
        <f t="shared" si="684"/>
        <v>50000</v>
      </c>
      <c r="BJ486" s="24">
        <f t="shared" si="685"/>
        <v>45824</v>
      </c>
      <c r="BK486" s="25">
        <f t="shared" si="686"/>
        <v>10.973180076628353</v>
      </c>
      <c r="BL486" s="259">
        <f t="shared" si="687"/>
        <v>50000</v>
      </c>
      <c r="BM486" s="10">
        <v>4670</v>
      </c>
      <c r="BN486" s="45"/>
      <c r="BO486" s="45">
        <v>5426</v>
      </c>
      <c r="BP486" s="45">
        <v>45000</v>
      </c>
      <c r="BQ486" s="29">
        <f t="shared" si="680"/>
        <v>25213</v>
      </c>
      <c r="BR486" s="24">
        <f t="shared" si="681"/>
        <v>20543</v>
      </c>
      <c r="BS486" s="25">
        <f t="shared" si="682"/>
        <v>4.398929336188437</v>
      </c>
      <c r="BT486" s="308">
        <f t="shared" si="683"/>
        <v>25213</v>
      </c>
    </row>
    <row r="487" spans="1:72" s="1" customFormat="1" ht="50.1" customHeight="1">
      <c r="A487" s="91"/>
      <c r="B487" s="358" t="s">
        <v>2679</v>
      </c>
      <c r="C487" s="50" t="s">
        <v>1036</v>
      </c>
      <c r="D487" s="177" t="s">
        <v>989</v>
      </c>
      <c r="E487" s="141" t="s">
        <v>13</v>
      </c>
      <c r="F487" s="10"/>
      <c r="G487" s="39"/>
      <c r="H487" s="39"/>
      <c r="I487" s="183"/>
      <c r="J487" s="29"/>
      <c r="K487" s="24"/>
      <c r="L487" s="25"/>
      <c r="M487" s="69"/>
      <c r="N487" s="77"/>
      <c r="O487" s="73"/>
      <c r="P487" s="74"/>
      <c r="Q487" s="74"/>
      <c r="R487" s="75"/>
      <c r="S487" s="61"/>
      <c r="T487" s="60"/>
      <c r="U487" s="74"/>
      <c r="V487" s="76"/>
      <c r="W487" s="24"/>
      <c r="X487" s="25"/>
      <c r="Y487" s="77"/>
      <c r="Z487" s="106"/>
      <c r="AA487" s="73"/>
      <c r="AB487" s="88"/>
      <c r="AC487" s="116"/>
      <c r="AD487" s="74"/>
      <c r="AE487" s="76"/>
      <c r="AF487" s="24"/>
      <c r="AG487" s="25"/>
      <c r="AH487" s="77"/>
      <c r="AI487" s="77"/>
      <c r="AJ487" s="73"/>
      <c r="AK487" s="79"/>
      <c r="AL487" s="79"/>
      <c r="AM487" s="127"/>
      <c r="AN487" s="128"/>
      <c r="AO487" s="128"/>
      <c r="AP487" s="133"/>
      <c r="AQ487" s="127"/>
      <c r="AR487" s="134"/>
      <c r="AS487" s="132"/>
      <c r="AT487" s="10">
        <v>189489</v>
      </c>
      <c r="AU487" s="10">
        <v>75666.69</v>
      </c>
      <c r="AV487" s="167">
        <v>227000.07</v>
      </c>
      <c r="AW487" s="168">
        <v>95800</v>
      </c>
      <c r="AX487" s="29">
        <f t="shared" si="674"/>
        <v>85733.345000000001</v>
      </c>
      <c r="AY487" s="24">
        <f t="shared" si="675"/>
        <v>-103755.655</v>
      </c>
      <c r="AZ487" s="25">
        <f t="shared" si="676"/>
        <v>-0.54755502957955338</v>
      </c>
      <c r="BA487" s="24">
        <f t="shared" si="677"/>
        <v>37511.070000000007</v>
      </c>
      <c r="BB487" s="169">
        <f t="shared" si="678"/>
        <v>0.19795908997356051</v>
      </c>
      <c r="BC487" s="170">
        <f t="shared" si="679"/>
        <v>85733.345000000001</v>
      </c>
      <c r="BD487" s="10">
        <v>172230</v>
      </c>
      <c r="BE487" s="10">
        <v>480000</v>
      </c>
      <c r="BF487" s="10"/>
      <c r="BG487" s="10"/>
      <c r="BH487" s="10"/>
      <c r="BI487" s="76">
        <f t="shared" si="684"/>
        <v>480000</v>
      </c>
      <c r="BJ487" s="24">
        <f t="shared" si="685"/>
        <v>307770</v>
      </c>
      <c r="BK487" s="25">
        <f t="shared" si="686"/>
        <v>1.7869709109911165</v>
      </c>
      <c r="BL487" s="259">
        <f t="shared" si="687"/>
        <v>480000</v>
      </c>
      <c r="BM487" s="10">
        <v>192316</v>
      </c>
      <c r="BN487" s="45"/>
      <c r="BO487" s="45">
        <v>223579</v>
      </c>
      <c r="BP487" s="45">
        <v>180000</v>
      </c>
      <c r="BQ487" s="29">
        <f t="shared" si="680"/>
        <v>201789.5</v>
      </c>
      <c r="BR487" s="24">
        <f t="shared" si="681"/>
        <v>9473.5</v>
      </c>
      <c r="BS487" s="25">
        <f t="shared" si="682"/>
        <v>4.9260071964891114E-2</v>
      </c>
      <c r="BT487" s="308">
        <f t="shared" si="683"/>
        <v>201789.5</v>
      </c>
    </row>
    <row r="488" spans="1:72" s="1" customFormat="1" ht="47.1" customHeight="1">
      <c r="A488" s="91"/>
      <c r="B488" s="358" t="s">
        <v>2680</v>
      </c>
      <c r="C488" s="50" t="s">
        <v>1037</v>
      </c>
      <c r="D488" s="177" t="s">
        <v>990</v>
      </c>
      <c r="E488" s="141" t="s">
        <v>10</v>
      </c>
      <c r="F488" s="10"/>
      <c r="G488" s="39"/>
      <c r="H488" s="39"/>
      <c r="I488" s="183"/>
      <c r="J488" s="29"/>
      <c r="K488" s="24"/>
      <c r="L488" s="25"/>
      <c r="M488" s="69"/>
      <c r="N488" s="77"/>
      <c r="O488" s="73"/>
      <c r="P488" s="74"/>
      <c r="Q488" s="74"/>
      <c r="R488" s="75"/>
      <c r="S488" s="61"/>
      <c r="T488" s="60"/>
      <c r="U488" s="74"/>
      <c r="V488" s="76"/>
      <c r="W488" s="24"/>
      <c r="X488" s="25"/>
      <c r="Y488" s="77"/>
      <c r="Z488" s="106"/>
      <c r="AA488" s="73"/>
      <c r="AB488" s="88"/>
      <c r="AC488" s="116"/>
      <c r="AD488" s="74"/>
      <c r="AE488" s="76"/>
      <c r="AF488" s="24"/>
      <c r="AG488" s="25"/>
      <c r="AH488" s="77"/>
      <c r="AI488" s="77"/>
      <c r="AJ488" s="73"/>
      <c r="AK488" s="79"/>
      <c r="AL488" s="79"/>
      <c r="AM488" s="127"/>
      <c r="AN488" s="128"/>
      <c r="AO488" s="128"/>
      <c r="AP488" s="133"/>
      <c r="AQ488" s="127"/>
      <c r="AR488" s="134"/>
      <c r="AS488" s="132"/>
      <c r="AT488" s="10">
        <v>325638</v>
      </c>
      <c r="AU488" s="10">
        <v>462900</v>
      </c>
      <c r="AV488" s="167">
        <v>462900</v>
      </c>
      <c r="AW488" s="168">
        <v>456300</v>
      </c>
      <c r="AX488" s="29">
        <f t="shared" si="674"/>
        <v>459600</v>
      </c>
      <c r="AY488" s="24">
        <f t="shared" si="675"/>
        <v>133962</v>
      </c>
      <c r="AZ488" s="25">
        <f t="shared" si="676"/>
        <v>0.41138319237926779</v>
      </c>
      <c r="BA488" s="24">
        <f t="shared" si="677"/>
        <v>137262</v>
      </c>
      <c r="BB488" s="169">
        <f t="shared" si="678"/>
        <v>0.42151714480496749</v>
      </c>
      <c r="BC488" s="170">
        <f t="shared" si="679"/>
        <v>459600</v>
      </c>
      <c r="BD488" s="10">
        <v>295974</v>
      </c>
      <c r="BE488" s="10"/>
      <c r="BF488" s="10"/>
      <c r="BG488" s="10"/>
      <c r="BH488" s="10"/>
      <c r="BI488" s="76"/>
      <c r="BJ488" s="24"/>
      <c r="BK488" s="25"/>
      <c r="BL488" s="265" t="s">
        <v>807</v>
      </c>
      <c r="BM488" s="10">
        <v>330497</v>
      </c>
      <c r="BN488" s="45"/>
      <c r="BO488" s="45">
        <v>384212</v>
      </c>
      <c r="BP488" s="45">
        <v>120000</v>
      </c>
      <c r="BQ488" s="29">
        <f t="shared" si="680"/>
        <v>252106</v>
      </c>
      <c r="BR488" s="24">
        <f t="shared" si="681"/>
        <v>-78391</v>
      </c>
      <c r="BS488" s="25">
        <f t="shared" si="682"/>
        <v>-0.23719126043504177</v>
      </c>
      <c r="BT488" s="308">
        <f t="shared" si="683"/>
        <v>252106</v>
      </c>
    </row>
    <row r="489" spans="1:72" s="1" customFormat="1" ht="53.1" customHeight="1">
      <c r="A489" s="91"/>
      <c r="B489" s="358" t="s">
        <v>2681</v>
      </c>
      <c r="C489" s="50" t="s">
        <v>1038</v>
      </c>
      <c r="D489" s="177" t="s">
        <v>991</v>
      </c>
      <c r="E489" s="141" t="s">
        <v>10</v>
      </c>
      <c r="F489" s="10"/>
      <c r="G489" s="39"/>
      <c r="H489" s="39"/>
      <c r="I489" s="183"/>
      <c r="J489" s="29"/>
      <c r="K489" s="24"/>
      <c r="L489" s="25"/>
      <c r="M489" s="69"/>
      <c r="N489" s="77"/>
      <c r="O489" s="73"/>
      <c r="P489" s="74"/>
      <c r="Q489" s="74"/>
      <c r="R489" s="75"/>
      <c r="S489" s="61"/>
      <c r="T489" s="60"/>
      <c r="U489" s="74"/>
      <c r="V489" s="76"/>
      <c r="W489" s="24"/>
      <c r="X489" s="25"/>
      <c r="Y489" s="77"/>
      <c r="Z489" s="106"/>
      <c r="AA489" s="73"/>
      <c r="AB489" s="88"/>
      <c r="AC489" s="116"/>
      <c r="AD489" s="74"/>
      <c r="AE489" s="76"/>
      <c r="AF489" s="24"/>
      <c r="AG489" s="25"/>
      <c r="AH489" s="77"/>
      <c r="AI489" s="77"/>
      <c r="AJ489" s="73"/>
      <c r="AK489" s="79"/>
      <c r="AL489" s="79"/>
      <c r="AM489" s="127"/>
      <c r="AN489" s="128"/>
      <c r="AO489" s="128"/>
      <c r="AP489" s="133"/>
      <c r="AQ489" s="127"/>
      <c r="AR489" s="134"/>
      <c r="AS489" s="132"/>
      <c r="AT489" s="10">
        <v>369056</v>
      </c>
      <c r="AU489" s="10">
        <v>515691</v>
      </c>
      <c r="AV489" s="167">
        <v>1031382</v>
      </c>
      <c r="AW489" s="168">
        <v>500051</v>
      </c>
      <c r="AX489" s="29">
        <f t="shared" si="674"/>
        <v>507871</v>
      </c>
      <c r="AY489" s="24">
        <f t="shared" si="675"/>
        <v>138815</v>
      </c>
      <c r="AZ489" s="25">
        <f t="shared" si="676"/>
        <v>0.37613532905575303</v>
      </c>
      <c r="BA489" s="24">
        <f t="shared" si="677"/>
        <v>662326</v>
      </c>
      <c r="BB489" s="169">
        <f t="shared" si="678"/>
        <v>1.7946490505505939</v>
      </c>
      <c r="BC489" s="170">
        <f t="shared" si="679"/>
        <v>507871</v>
      </c>
      <c r="BD489" s="150"/>
      <c r="BE489" s="150"/>
      <c r="BF489" s="150"/>
      <c r="BG489" s="150"/>
      <c r="BH489" s="150"/>
      <c r="BI489" s="150"/>
      <c r="BJ489" s="150"/>
      <c r="BK489" s="150"/>
      <c r="BL489" s="150"/>
      <c r="BM489" s="10">
        <v>374561</v>
      </c>
      <c r="BN489" s="45"/>
      <c r="BO489" s="45">
        <v>435440</v>
      </c>
      <c r="BP489" s="45">
        <v>145000</v>
      </c>
      <c r="BQ489" s="29">
        <f t="shared" si="680"/>
        <v>290220</v>
      </c>
      <c r="BR489" s="24">
        <f t="shared" si="681"/>
        <v>-84341</v>
      </c>
      <c r="BS489" s="25">
        <f t="shared" si="682"/>
        <v>-0.22517293578349054</v>
      </c>
      <c r="BT489" s="308">
        <f t="shared" si="683"/>
        <v>290220</v>
      </c>
    </row>
    <row r="490" spans="1:72" s="1" customFormat="1" ht="45.95" customHeight="1">
      <c r="A490" s="91"/>
      <c r="B490" s="358" t="s">
        <v>2682</v>
      </c>
      <c r="C490" s="50" t="s">
        <v>1039</v>
      </c>
      <c r="D490" s="177" t="s">
        <v>992</v>
      </c>
      <c r="E490" s="141" t="s">
        <v>13</v>
      </c>
      <c r="F490" s="10"/>
      <c r="G490" s="39"/>
      <c r="H490" s="39"/>
      <c r="I490" s="183"/>
      <c r="J490" s="29"/>
      <c r="K490" s="24"/>
      <c r="L490" s="25"/>
      <c r="M490" s="69"/>
      <c r="N490" s="77"/>
      <c r="O490" s="73"/>
      <c r="P490" s="74"/>
      <c r="Q490" s="74"/>
      <c r="R490" s="75"/>
      <c r="S490" s="61"/>
      <c r="T490" s="60"/>
      <c r="U490" s="74"/>
      <c r="V490" s="76"/>
      <c r="W490" s="24"/>
      <c r="X490" s="25"/>
      <c r="Y490" s="77"/>
      <c r="Z490" s="106"/>
      <c r="AA490" s="73"/>
      <c r="AB490" s="88"/>
      <c r="AC490" s="116"/>
      <c r="AD490" s="74"/>
      <c r="AE490" s="76"/>
      <c r="AF490" s="24"/>
      <c r="AG490" s="25"/>
      <c r="AH490" s="77"/>
      <c r="AI490" s="77"/>
      <c r="AJ490" s="73"/>
      <c r="AK490" s="79"/>
      <c r="AL490" s="79"/>
      <c r="AM490" s="127"/>
      <c r="AN490" s="128"/>
      <c r="AO490" s="128"/>
      <c r="AP490" s="133"/>
      <c r="AQ490" s="127"/>
      <c r="AR490" s="134"/>
      <c r="AS490" s="132"/>
      <c r="AT490" s="10">
        <v>363958</v>
      </c>
      <c r="AU490" s="10">
        <v>250000</v>
      </c>
      <c r="AV490" s="167">
        <v>750000</v>
      </c>
      <c r="AW490" s="168">
        <v>235863</v>
      </c>
      <c r="AX490" s="29">
        <f t="shared" si="674"/>
        <v>242931.5</v>
      </c>
      <c r="AY490" s="24">
        <f t="shared" si="675"/>
        <v>-121026.5</v>
      </c>
      <c r="AZ490" s="25">
        <f t="shared" si="676"/>
        <v>-0.3325287533176905</v>
      </c>
      <c r="BA490" s="24">
        <f t="shared" si="677"/>
        <v>386042</v>
      </c>
      <c r="BB490" s="169">
        <f t="shared" si="678"/>
        <v>1.0606773309008182</v>
      </c>
      <c r="BC490" s="170">
        <f t="shared" si="679"/>
        <v>242931.5</v>
      </c>
      <c r="BD490" s="150"/>
      <c r="BE490" s="150"/>
      <c r="BF490" s="150"/>
      <c r="BG490" s="150"/>
      <c r="BH490" s="150"/>
      <c r="BI490" s="150"/>
      <c r="BJ490" s="150"/>
      <c r="BK490" s="150"/>
      <c r="BL490" s="150"/>
      <c r="BM490" s="10">
        <v>378481</v>
      </c>
      <c r="BN490" s="45"/>
      <c r="BO490" s="45">
        <v>429432</v>
      </c>
      <c r="BP490" s="45">
        <v>255000</v>
      </c>
      <c r="BQ490" s="29">
        <f t="shared" si="680"/>
        <v>342216</v>
      </c>
      <c r="BR490" s="24">
        <f t="shared" si="681"/>
        <v>-36265</v>
      </c>
      <c r="BS490" s="25">
        <f t="shared" si="682"/>
        <v>-9.5817227284857101E-2</v>
      </c>
      <c r="BT490" s="308">
        <f t="shared" si="683"/>
        <v>342216</v>
      </c>
    </row>
    <row r="491" spans="1:72" s="1" customFormat="1" ht="45.95" customHeight="1">
      <c r="A491" s="91"/>
      <c r="B491" s="358" t="s">
        <v>2683</v>
      </c>
      <c r="C491" s="50" t="s">
        <v>1040</v>
      </c>
      <c r="D491" s="177" t="s">
        <v>993</v>
      </c>
      <c r="E491" s="141" t="s">
        <v>13</v>
      </c>
      <c r="F491" s="10"/>
      <c r="G491" s="39"/>
      <c r="H491" s="39"/>
      <c r="I491" s="183"/>
      <c r="J491" s="29"/>
      <c r="K491" s="24"/>
      <c r="L491" s="25"/>
      <c r="M491" s="69"/>
      <c r="N491" s="77"/>
      <c r="O491" s="73"/>
      <c r="P491" s="74"/>
      <c r="Q491" s="74"/>
      <c r="R491" s="75"/>
      <c r="S491" s="61"/>
      <c r="T491" s="60"/>
      <c r="U491" s="74"/>
      <c r="V491" s="76"/>
      <c r="W491" s="24"/>
      <c r="X491" s="25"/>
      <c r="Y491" s="77"/>
      <c r="Z491" s="106"/>
      <c r="AA491" s="73"/>
      <c r="AB491" s="88"/>
      <c r="AC491" s="116"/>
      <c r="AD491" s="74"/>
      <c r="AE491" s="76"/>
      <c r="AF491" s="24"/>
      <c r="AG491" s="25"/>
      <c r="AH491" s="77"/>
      <c r="AI491" s="77"/>
      <c r="AJ491" s="73"/>
      <c r="AK491" s="79"/>
      <c r="AL491" s="79"/>
      <c r="AM491" s="127"/>
      <c r="AN491" s="128"/>
      <c r="AO491" s="128"/>
      <c r="AP491" s="133"/>
      <c r="AQ491" s="127"/>
      <c r="AR491" s="134"/>
      <c r="AS491" s="132"/>
      <c r="AT491" s="10">
        <v>41217</v>
      </c>
      <c r="AU491" s="10"/>
      <c r="AV491" s="167">
        <v>45000</v>
      </c>
      <c r="AW491" s="168">
        <v>67800</v>
      </c>
      <c r="AX491" s="29">
        <f t="shared" si="674"/>
        <v>67800</v>
      </c>
      <c r="AY491" s="24">
        <f t="shared" si="675"/>
        <v>26583</v>
      </c>
      <c r="AZ491" s="25">
        <f t="shared" si="676"/>
        <v>0.64495232549676107</v>
      </c>
      <c r="BA491" s="24">
        <f t="shared" si="677"/>
        <v>3783</v>
      </c>
      <c r="BB491" s="169">
        <f t="shared" si="678"/>
        <v>9.1782516922629009E-2</v>
      </c>
      <c r="BC491" s="170">
        <f t="shared" si="679"/>
        <v>67800</v>
      </c>
      <c r="BD491" s="150"/>
      <c r="BE491" s="150"/>
      <c r="BF491" s="150"/>
      <c r="BG491" s="150"/>
      <c r="BH491" s="150"/>
      <c r="BI491" s="150"/>
      <c r="BJ491" s="150"/>
      <c r="BK491" s="150"/>
      <c r="BL491" s="150"/>
      <c r="BM491" s="293"/>
      <c r="BN491" s="293"/>
      <c r="BO491" s="293"/>
      <c r="BP491" s="293"/>
      <c r="BQ491" s="293"/>
      <c r="BR491" s="293"/>
      <c r="BS491" s="293"/>
      <c r="BT491" s="293"/>
    </row>
    <row r="492" spans="1:72" s="1" customFormat="1" ht="62.1" customHeight="1">
      <c r="A492" s="91"/>
      <c r="B492" s="358" t="s">
        <v>2684</v>
      </c>
      <c r="C492" s="50" t="s">
        <v>1041</v>
      </c>
      <c r="D492" s="177" t="s">
        <v>994</v>
      </c>
      <c r="E492" s="141" t="s">
        <v>14</v>
      </c>
      <c r="F492" s="10"/>
      <c r="G492" s="39"/>
      <c r="H492" s="39"/>
      <c r="I492" s="183"/>
      <c r="J492" s="29"/>
      <c r="K492" s="24"/>
      <c r="L492" s="25"/>
      <c r="M492" s="69"/>
      <c r="N492" s="77"/>
      <c r="O492" s="73"/>
      <c r="P492" s="74"/>
      <c r="Q492" s="74"/>
      <c r="R492" s="75"/>
      <c r="S492" s="61"/>
      <c r="T492" s="60"/>
      <c r="U492" s="74"/>
      <c r="V492" s="76"/>
      <c r="W492" s="24"/>
      <c r="X492" s="25"/>
      <c r="Y492" s="77"/>
      <c r="Z492" s="106"/>
      <c r="AA492" s="73"/>
      <c r="AB492" s="88"/>
      <c r="AC492" s="116"/>
      <c r="AD492" s="74"/>
      <c r="AE492" s="76"/>
      <c r="AF492" s="24"/>
      <c r="AG492" s="25"/>
      <c r="AH492" s="77"/>
      <c r="AI492" s="77"/>
      <c r="AJ492" s="73"/>
      <c r="AK492" s="79"/>
      <c r="AL492" s="79"/>
      <c r="AM492" s="127"/>
      <c r="AN492" s="128"/>
      <c r="AO492" s="128"/>
      <c r="AP492" s="133"/>
      <c r="AQ492" s="127"/>
      <c r="AR492" s="134"/>
      <c r="AS492" s="132"/>
      <c r="AT492" s="10">
        <v>1856991</v>
      </c>
      <c r="AU492" s="10"/>
      <c r="AV492" s="167">
        <v>45000</v>
      </c>
      <c r="AW492" s="168">
        <v>2050000</v>
      </c>
      <c r="AX492" s="29">
        <f t="shared" si="674"/>
        <v>2050000</v>
      </c>
      <c r="AY492" s="24">
        <f t="shared" si="675"/>
        <v>193009</v>
      </c>
      <c r="AZ492" s="25">
        <f t="shared" si="676"/>
        <v>0.10393642187818897</v>
      </c>
      <c r="BA492" s="24">
        <f t="shared" si="677"/>
        <v>-1811991</v>
      </c>
      <c r="BB492" s="169">
        <f t="shared" si="678"/>
        <v>-0.97576724927584468</v>
      </c>
      <c r="BC492" s="170">
        <f t="shared" si="679"/>
        <v>2050000</v>
      </c>
      <c r="BD492" s="150"/>
      <c r="BE492" s="150"/>
      <c r="BF492" s="150"/>
      <c r="BG492" s="150"/>
      <c r="BH492" s="150"/>
      <c r="BI492" s="150"/>
      <c r="BJ492" s="150"/>
      <c r="BK492" s="150"/>
      <c r="BL492" s="150"/>
      <c r="BM492" s="293"/>
      <c r="BN492" s="293"/>
      <c r="BO492" s="293"/>
      <c r="BP492" s="293"/>
      <c r="BQ492" s="293"/>
      <c r="BR492" s="293"/>
      <c r="BS492" s="293"/>
      <c r="BT492" s="293"/>
    </row>
    <row r="493" spans="1:72" s="1" customFormat="1" ht="45.95" customHeight="1">
      <c r="A493" s="91"/>
      <c r="B493" s="358" t="s">
        <v>2685</v>
      </c>
      <c r="C493" s="50" t="s">
        <v>1042</v>
      </c>
      <c r="D493" s="177" t="s">
        <v>995</v>
      </c>
      <c r="E493" s="141" t="s">
        <v>14</v>
      </c>
      <c r="F493" s="10"/>
      <c r="G493" s="39"/>
      <c r="H493" s="39"/>
      <c r="I493" s="183"/>
      <c r="J493" s="29"/>
      <c r="K493" s="24"/>
      <c r="L493" s="25"/>
      <c r="M493" s="69"/>
      <c r="N493" s="77"/>
      <c r="O493" s="73"/>
      <c r="P493" s="74"/>
      <c r="Q493" s="74"/>
      <c r="R493" s="75"/>
      <c r="S493" s="61"/>
      <c r="T493" s="60"/>
      <c r="U493" s="74"/>
      <c r="V493" s="76"/>
      <c r="W493" s="24"/>
      <c r="X493" s="25"/>
      <c r="Y493" s="77"/>
      <c r="Z493" s="106"/>
      <c r="AA493" s="73"/>
      <c r="AB493" s="88"/>
      <c r="AC493" s="116"/>
      <c r="AD493" s="74"/>
      <c r="AE493" s="76"/>
      <c r="AF493" s="24"/>
      <c r="AG493" s="25"/>
      <c r="AH493" s="77"/>
      <c r="AI493" s="77"/>
      <c r="AJ493" s="73"/>
      <c r="AK493" s="79"/>
      <c r="AL493" s="79"/>
      <c r="AM493" s="127"/>
      <c r="AN493" s="128"/>
      <c r="AO493" s="128"/>
      <c r="AP493" s="133"/>
      <c r="AQ493" s="127"/>
      <c r="AR493" s="134"/>
      <c r="AS493" s="132"/>
      <c r="AT493" s="10">
        <v>70321</v>
      </c>
      <c r="AU493" s="10">
        <v>12000</v>
      </c>
      <c r="AV493" s="167">
        <v>36000</v>
      </c>
      <c r="AW493" s="168">
        <v>85400</v>
      </c>
      <c r="AX493" s="29">
        <f t="shared" si="674"/>
        <v>48700</v>
      </c>
      <c r="AY493" s="24">
        <f t="shared" si="675"/>
        <v>-21621</v>
      </c>
      <c r="AZ493" s="25">
        <f t="shared" si="676"/>
        <v>-0.30746149798779882</v>
      </c>
      <c r="BA493" s="24">
        <f t="shared" si="677"/>
        <v>-34321</v>
      </c>
      <c r="BB493" s="169">
        <f t="shared" si="678"/>
        <v>-0.48806188762958436</v>
      </c>
      <c r="BC493" s="170">
        <f t="shared" si="679"/>
        <v>48700</v>
      </c>
      <c r="BD493" s="150"/>
      <c r="BE493" s="150"/>
      <c r="BF493" s="150"/>
      <c r="BG493" s="150"/>
      <c r="BH493" s="150"/>
      <c r="BI493" s="150"/>
      <c r="BJ493" s="150"/>
      <c r="BK493" s="150"/>
      <c r="BL493" s="150"/>
      <c r="BM493" s="293"/>
      <c r="BN493" s="293"/>
      <c r="BO493" s="293"/>
      <c r="BP493" s="293"/>
      <c r="BQ493" s="293"/>
      <c r="BR493" s="293"/>
      <c r="BS493" s="293"/>
      <c r="BT493" s="293"/>
    </row>
    <row r="494" spans="1:72" s="1" customFormat="1" ht="45.95" customHeight="1">
      <c r="A494" s="91"/>
      <c r="B494" s="358" t="s">
        <v>2686</v>
      </c>
      <c r="C494" s="50" t="s">
        <v>1043</v>
      </c>
      <c r="D494" s="177" t="s">
        <v>996</v>
      </c>
      <c r="E494" s="141" t="s">
        <v>14</v>
      </c>
      <c r="F494" s="10"/>
      <c r="G494" s="39"/>
      <c r="H494" s="39"/>
      <c r="I494" s="183"/>
      <c r="J494" s="29"/>
      <c r="K494" s="24"/>
      <c r="L494" s="25"/>
      <c r="M494" s="69"/>
      <c r="N494" s="77"/>
      <c r="O494" s="73"/>
      <c r="P494" s="74"/>
      <c r="Q494" s="74"/>
      <c r="R494" s="75"/>
      <c r="S494" s="61"/>
      <c r="T494" s="60"/>
      <c r="U494" s="74"/>
      <c r="V494" s="76"/>
      <c r="W494" s="24"/>
      <c r="X494" s="25"/>
      <c r="Y494" s="77"/>
      <c r="Z494" s="106"/>
      <c r="AA494" s="73"/>
      <c r="AB494" s="88"/>
      <c r="AC494" s="116"/>
      <c r="AD494" s="74"/>
      <c r="AE494" s="76"/>
      <c r="AF494" s="24"/>
      <c r="AG494" s="25"/>
      <c r="AH494" s="77"/>
      <c r="AI494" s="77"/>
      <c r="AJ494" s="73"/>
      <c r="AK494" s="79"/>
      <c r="AL494" s="79"/>
      <c r="AM494" s="127"/>
      <c r="AN494" s="128"/>
      <c r="AO494" s="128"/>
      <c r="AP494" s="133"/>
      <c r="AQ494" s="127"/>
      <c r="AR494" s="134"/>
      <c r="AS494" s="132"/>
      <c r="AT494" s="10">
        <v>25668</v>
      </c>
      <c r="AU494" s="10"/>
      <c r="AV494" s="167">
        <v>7000</v>
      </c>
      <c r="AW494" s="168">
        <v>10000</v>
      </c>
      <c r="AX494" s="29">
        <f t="shared" si="674"/>
        <v>10000</v>
      </c>
      <c r="AY494" s="24">
        <f t="shared" si="675"/>
        <v>-15668</v>
      </c>
      <c r="AZ494" s="25">
        <f t="shared" si="676"/>
        <v>-0.61040984883902139</v>
      </c>
      <c r="BA494" s="24">
        <f t="shared" si="677"/>
        <v>-18668</v>
      </c>
      <c r="BB494" s="169">
        <f t="shared" si="678"/>
        <v>-0.72728689418731496</v>
      </c>
      <c r="BC494" s="170">
        <f t="shared" si="679"/>
        <v>10000</v>
      </c>
      <c r="BD494" s="150"/>
      <c r="BE494" s="150"/>
      <c r="BF494" s="150"/>
      <c r="BG494" s="150"/>
      <c r="BH494" s="150"/>
      <c r="BI494" s="150"/>
      <c r="BJ494" s="150"/>
      <c r="BK494" s="150"/>
      <c r="BL494" s="150"/>
      <c r="BM494" s="293"/>
      <c r="BN494" s="293"/>
      <c r="BO494" s="293"/>
      <c r="BP494" s="293"/>
      <c r="BQ494" s="293"/>
      <c r="BR494" s="293"/>
      <c r="BS494" s="293"/>
      <c r="BT494" s="293"/>
    </row>
    <row r="495" spans="1:72" s="1" customFormat="1" ht="45.95" customHeight="1">
      <c r="A495" s="91"/>
      <c r="B495" s="358" t="s">
        <v>2687</v>
      </c>
      <c r="C495" s="50" t="s">
        <v>1044</v>
      </c>
      <c r="D495" s="177" t="s">
        <v>997</v>
      </c>
      <c r="E495" s="141" t="s">
        <v>14</v>
      </c>
      <c r="F495" s="10"/>
      <c r="G495" s="39"/>
      <c r="H495" s="39"/>
      <c r="I495" s="183"/>
      <c r="J495" s="29"/>
      <c r="K495" s="24"/>
      <c r="L495" s="25"/>
      <c r="M495" s="69"/>
      <c r="N495" s="77"/>
      <c r="O495" s="73"/>
      <c r="P495" s="74"/>
      <c r="Q495" s="74"/>
      <c r="R495" s="75"/>
      <c r="S495" s="61"/>
      <c r="T495" s="60"/>
      <c r="U495" s="74"/>
      <c r="V495" s="76"/>
      <c r="W495" s="24"/>
      <c r="X495" s="25"/>
      <c r="Y495" s="77"/>
      <c r="Z495" s="106"/>
      <c r="AA495" s="73"/>
      <c r="AB495" s="88"/>
      <c r="AC495" s="116"/>
      <c r="AD495" s="74"/>
      <c r="AE495" s="76"/>
      <c r="AF495" s="24"/>
      <c r="AG495" s="25"/>
      <c r="AH495" s="77"/>
      <c r="AI495" s="77"/>
      <c r="AJ495" s="73"/>
      <c r="AK495" s="79"/>
      <c r="AL495" s="79"/>
      <c r="AM495" s="127"/>
      <c r="AN495" s="128"/>
      <c r="AO495" s="128"/>
      <c r="AP495" s="133"/>
      <c r="AQ495" s="127"/>
      <c r="AR495" s="134"/>
      <c r="AS495" s="132"/>
      <c r="AT495" s="10">
        <v>129136</v>
      </c>
      <c r="AU495" s="10">
        <v>73000</v>
      </c>
      <c r="AV495" s="167">
        <v>292000</v>
      </c>
      <c r="AW495" s="168">
        <v>85600</v>
      </c>
      <c r="AX495" s="29">
        <f t="shared" si="674"/>
        <v>79300</v>
      </c>
      <c r="AY495" s="24">
        <f t="shared" si="675"/>
        <v>-49836</v>
      </c>
      <c r="AZ495" s="25">
        <f t="shared" si="676"/>
        <v>-0.38591872134803618</v>
      </c>
      <c r="BA495" s="24">
        <f t="shared" si="677"/>
        <v>162864</v>
      </c>
      <c r="BB495" s="169">
        <f t="shared" si="678"/>
        <v>1.2611820096642299</v>
      </c>
      <c r="BC495" s="170">
        <f t="shared" si="679"/>
        <v>79300</v>
      </c>
      <c r="BD495" s="150"/>
      <c r="BE495" s="150"/>
      <c r="BF495" s="150"/>
      <c r="BG495" s="150"/>
      <c r="BH495" s="150"/>
      <c r="BI495" s="150"/>
      <c r="BJ495" s="150"/>
      <c r="BK495" s="150"/>
      <c r="BL495" s="150"/>
      <c r="BM495" s="293"/>
      <c r="BN495" s="293"/>
      <c r="BO495" s="293"/>
      <c r="BP495" s="293"/>
      <c r="BQ495" s="293"/>
      <c r="BR495" s="293"/>
      <c r="BS495" s="293"/>
      <c r="BT495" s="293"/>
    </row>
    <row r="496" spans="1:72" s="1" customFormat="1" ht="45.95" customHeight="1">
      <c r="A496" s="91"/>
      <c r="B496" s="358" t="s">
        <v>2688</v>
      </c>
      <c r="C496" s="50" t="s">
        <v>1045</v>
      </c>
      <c r="D496" s="177" t="s">
        <v>998</v>
      </c>
      <c r="E496" s="141" t="s">
        <v>999</v>
      </c>
      <c r="F496" s="10"/>
      <c r="G496" s="39"/>
      <c r="H496" s="39"/>
      <c r="I496" s="183"/>
      <c r="J496" s="29"/>
      <c r="K496" s="24"/>
      <c r="L496" s="25"/>
      <c r="M496" s="69"/>
      <c r="N496" s="77"/>
      <c r="O496" s="73"/>
      <c r="P496" s="74"/>
      <c r="Q496" s="74"/>
      <c r="R496" s="75"/>
      <c r="S496" s="61"/>
      <c r="T496" s="60"/>
      <c r="U496" s="74"/>
      <c r="V496" s="76"/>
      <c r="W496" s="24"/>
      <c r="X496" s="25"/>
      <c r="Y496" s="77"/>
      <c r="Z496" s="106"/>
      <c r="AA496" s="73"/>
      <c r="AB496" s="88"/>
      <c r="AC496" s="116"/>
      <c r="AD496" s="74"/>
      <c r="AE496" s="76"/>
      <c r="AF496" s="24"/>
      <c r="AG496" s="25"/>
      <c r="AH496" s="77"/>
      <c r="AI496" s="77"/>
      <c r="AJ496" s="73"/>
      <c r="AK496" s="79"/>
      <c r="AL496" s="79"/>
      <c r="AM496" s="127"/>
      <c r="AN496" s="128"/>
      <c r="AO496" s="128"/>
      <c r="AP496" s="133"/>
      <c r="AQ496" s="127"/>
      <c r="AR496" s="134"/>
      <c r="AS496" s="132"/>
      <c r="AT496" s="10">
        <v>102690</v>
      </c>
      <c r="AU496" s="10"/>
      <c r="AV496" s="167">
        <v>28000</v>
      </c>
      <c r="AW496" s="168">
        <v>78000</v>
      </c>
      <c r="AX496" s="29">
        <f t="shared" si="674"/>
        <v>78000</v>
      </c>
      <c r="AY496" s="24">
        <f t="shared" si="675"/>
        <v>-24690</v>
      </c>
      <c r="AZ496" s="25">
        <f t="shared" si="676"/>
        <v>-0.24043236926672509</v>
      </c>
      <c r="BA496" s="24">
        <f t="shared" si="677"/>
        <v>-74690</v>
      </c>
      <c r="BB496" s="169">
        <f t="shared" si="678"/>
        <v>-0.72733469665985007</v>
      </c>
      <c r="BC496" s="170">
        <f t="shared" si="679"/>
        <v>78000</v>
      </c>
      <c r="BD496" s="150"/>
      <c r="BE496" s="150"/>
      <c r="BF496" s="150"/>
      <c r="BG496" s="150"/>
      <c r="BH496" s="150"/>
      <c r="BI496" s="150"/>
      <c r="BJ496" s="150"/>
      <c r="BK496" s="150"/>
      <c r="BL496" s="150"/>
      <c r="BM496" s="293"/>
      <c r="BN496" s="293"/>
      <c r="BO496" s="293"/>
      <c r="BP496" s="293"/>
      <c r="BQ496" s="293"/>
      <c r="BR496" s="293"/>
      <c r="BS496" s="293"/>
      <c r="BT496" s="293"/>
    </row>
    <row r="497" spans="1:72" s="1" customFormat="1" ht="45.95" customHeight="1">
      <c r="A497" s="91"/>
      <c r="B497" s="358" t="s">
        <v>2689</v>
      </c>
      <c r="C497" s="50" t="s">
        <v>1046</v>
      </c>
      <c r="D497" s="177" t="s">
        <v>1000</v>
      </c>
      <c r="E497" s="141" t="s">
        <v>14</v>
      </c>
      <c r="F497" s="10"/>
      <c r="G497" s="39"/>
      <c r="H497" s="39"/>
      <c r="I497" s="183"/>
      <c r="J497" s="29"/>
      <c r="K497" s="24"/>
      <c r="L497" s="25"/>
      <c r="M497" s="69"/>
      <c r="N497" s="77"/>
      <c r="O497" s="73"/>
      <c r="P497" s="74"/>
      <c r="Q497" s="74"/>
      <c r="R497" s="75"/>
      <c r="S497" s="61"/>
      <c r="T497" s="60"/>
      <c r="U497" s="74"/>
      <c r="V497" s="76"/>
      <c r="W497" s="24"/>
      <c r="X497" s="25"/>
      <c r="Y497" s="77"/>
      <c r="Z497" s="106"/>
      <c r="AA497" s="73"/>
      <c r="AB497" s="88"/>
      <c r="AC497" s="116"/>
      <c r="AD497" s="74"/>
      <c r="AE497" s="76"/>
      <c r="AF497" s="24"/>
      <c r="AG497" s="25"/>
      <c r="AH497" s="77"/>
      <c r="AI497" s="77"/>
      <c r="AJ497" s="73"/>
      <c r="AK497" s="79"/>
      <c r="AL497" s="79"/>
      <c r="AM497" s="127"/>
      <c r="AN497" s="128"/>
      <c r="AO497" s="128"/>
      <c r="AP497" s="133"/>
      <c r="AQ497" s="127"/>
      <c r="AR497" s="134"/>
      <c r="AS497" s="132"/>
      <c r="AT497" s="10">
        <v>89961</v>
      </c>
      <c r="AU497" s="10">
        <v>76900</v>
      </c>
      <c r="AV497" s="167">
        <v>230700</v>
      </c>
      <c r="AW497" s="168">
        <v>85600</v>
      </c>
      <c r="AX497" s="29">
        <f t="shared" si="674"/>
        <v>81250</v>
      </c>
      <c r="AY497" s="24">
        <f t="shared" si="675"/>
        <v>-8711</v>
      </c>
      <c r="AZ497" s="25">
        <f t="shared" si="676"/>
        <v>-9.6830848923422377E-2</v>
      </c>
      <c r="BA497" s="24">
        <f t="shared" si="677"/>
        <v>140739</v>
      </c>
      <c r="BB497" s="169">
        <f t="shared" si="678"/>
        <v>1.564444592656818</v>
      </c>
      <c r="BC497" s="170">
        <f t="shared" si="679"/>
        <v>81250</v>
      </c>
      <c r="BD497" s="150"/>
      <c r="BE497" s="150"/>
      <c r="BF497" s="150"/>
      <c r="BG497" s="150"/>
      <c r="BH497" s="150"/>
      <c r="BI497" s="150"/>
      <c r="BJ497" s="150"/>
      <c r="BK497" s="150"/>
      <c r="BL497" s="150"/>
      <c r="BM497" s="293"/>
      <c r="BN497" s="293"/>
      <c r="BO497" s="293"/>
      <c r="BP497" s="293"/>
      <c r="BQ497" s="293"/>
      <c r="BR497" s="293"/>
      <c r="BS497" s="293"/>
      <c r="BT497" s="293"/>
    </row>
    <row r="498" spans="1:72" s="1" customFormat="1" ht="45.95" customHeight="1">
      <c r="A498" s="91"/>
      <c r="B498" s="358" t="s">
        <v>2690</v>
      </c>
      <c r="C498" s="50" t="s">
        <v>1047</v>
      </c>
      <c r="D498" s="177" t="s">
        <v>1001</v>
      </c>
      <c r="E498" s="141" t="s">
        <v>14</v>
      </c>
      <c r="F498" s="10"/>
      <c r="G498" s="39"/>
      <c r="H498" s="39"/>
      <c r="I498" s="183"/>
      <c r="J498" s="29"/>
      <c r="K498" s="24"/>
      <c r="L498" s="25"/>
      <c r="M498" s="69"/>
      <c r="N498" s="77"/>
      <c r="O498" s="73"/>
      <c r="P498" s="74"/>
      <c r="Q498" s="74"/>
      <c r="R498" s="75"/>
      <c r="S498" s="61"/>
      <c r="T498" s="60"/>
      <c r="U498" s="74"/>
      <c r="V498" s="76"/>
      <c r="W498" s="24"/>
      <c r="X498" s="25"/>
      <c r="Y498" s="77"/>
      <c r="Z498" s="106"/>
      <c r="AA498" s="73"/>
      <c r="AB498" s="88"/>
      <c r="AC498" s="116"/>
      <c r="AD498" s="74"/>
      <c r="AE498" s="76"/>
      <c r="AF498" s="24"/>
      <c r="AG498" s="25"/>
      <c r="AH498" s="77"/>
      <c r="AI498" s="77"/>
      <c r="AJ498" s="73"/>
      <c r="AK498" s="79"/>
      <c r="AL498" s="79"/>
      <c r="AM498" s="127"/>
      <c r="AN498" s="128"/>
      <c r="AO498" s="128"/>
      <c r="AP498" s="133"/>
      <c r="AQ498" s="127"/>
      <c r="AR498" s="134"/>
      <c r="AS498" s="132"/>
      <c r="AT498" s="10">
        <v>14392</v>
      </c>
      <c r="AU498" s="10">
        <v>5000</v>
      </c>
      <c r="AV498" s="167">
        <v>10000</v>
      </c>
      <c r="AW498" s="168">
        <v>15600</v>
      </c>
      <c r="AX498" s="29">
        <f t="shared" si="674"/>
        <v>10300</v>
      </c>
      <c r="AY498" s="24">
        <f t="shared" si="675"/>
        <v>-4092</v>
      </c>
      <c r="AZ498" s="25">
        <f t="shared" si="676"/>
        <v>-0.28432462479155085</v>
      </c>
      <c r="BA498" s="24">
        <f t="shared" si="677"/>
        <v>-4392</v>
      </c>
      <c r="BB498" s="169">
        <f t="shared" si="678"/>
        <v>-0.30516953863257368</v>
      </c>
      <c r="BC498" s="170">
        <f t="shared" si="679"/>
        <v>10300</v>
      </c>
      <c r="BD498" s="150"/>
      <c r="BE498" s="150"/>
      <c r="BF498" s="150"/>
      <c r="BG498" s="150"/>
      <c r="BH498" s="150"/>
      <c r="BI498" s="150"/>
      <c r="BJ498" s="150"/>
      <c r="BK498" s="150"/>
      <c r="BL498" s="150"/>
      <c r="BM498" s="293"/>
      <c r="BN498" s="293"/>
      <c r="BO498" s="293"/>
      <c r="BP498" s="293"/>
      <c r="BQ498" s="293"/>
      <c r="BR498" s="293"/>
      <c r="BS498" s="293"/>
      <c r="BT498" s="293"/>
    </row>
    <row r="499" spans="1:72" s="1" customFormat="1" ht="45.95" customHeight="1">
      <c r="A499" s="91"/>
      <c r="B499" s="358" t="s">
        <v>2691</v>
      </c>
      <c r="C499" s="50" t="s">
        <v>1048</v>
      </c>
      <c r="D499" s="177" t="s">
        <v>1002</v>
      </c>
      <c r="E499" s="141" t="s">
        <v>14</v>
      </c>
      <c r="F499" s="10"/>
      <c r="G499" s="39"/>
      <c r="H499" s="39"/>
      <c r="I499" s="183"/>
      <c r="J499" s="29"/>
      <c r="K499" s="24"/>
      <c r="L499" s="25"/>
      <c r="M499" s="69"/>
      <c r="N499" s="77"/>
      <c r="O499" s="73"/>
      <c r="P499" s="74"/>
      <c r="Q499" s="74"/>
      <c r="R499" s="75"/>
      <c r="S499" s="61"/>
      <c r="T499" s="60"/>
      <c r="U499" s="74"/>
      <c r="V499" s="76"/>
      <c r="W499" s="24"/>
      <c r="X499" s="25"/>
      <c r="Y499" s="77"/>
      <c r="Z499" s="106"/>
      <c r="AA499" s="73"/>
      <c r="AB499" s="88"/>
      <c r="AC499" s="116"/>
      <c r="AD499" s="74"/>
      <c r="AE499" s="76"/>
      <c r="AF499" s="24"/>
      <c r="AG499" s="25"/>
      <c r="AH499" s="77"/>
      <c r="AI499" s="77"/>
      <c r="AJ499" s="73"/>
      <c r="AK499" s="79"/>
      <c r="AL499" s="79"/>
      <c r="AM499" s="127"/>
      <c r="AN499" s="128"/>
      <c r="AO499" s="128"/>
      <c r="AP499" s="133"/>
      <c r="AQ499" s="127"/>
      <c r="AR499" s="134"/>
      <c r="AS499" s="132"/>
      <c r="AT499" s="10">
        <v>56699</v>
      </c>
      <c r="AU499" s="10">
        <v>18000</v>
      </c>
      <c r="AV499" s="167">
        <v>18000</v>
      </c>
      <c r="AW499" s="168">
        <v>36000</v>
      </c>
      <c r="AX499" s="29">
        <f t="shared" si="674"/>
        <v>27000</v>
      </c>
      <c r="AY499" s="24">
        <f t="shared" si="675"/>
        <v>-29699</v>
      </c>
      <c r="AZ499" s="25">
        <f t="shared" si="676"/>
        <v>-0.52380112524030409</v>
      </c>
      <c r="BA499" s="24">
        <f t="shared" si="677"/>
        <v>-38699</v>
      </c>
      <c r="BB499" s="169">
        <f t="shared" si="678"/>
        <v>-0.68253408349353606</v>
      </c>
      <c r="BC499" s="170">
        <f t="shared" si="679"/>
        <v>27000</v>
      </c>
      <c r="BD499" s="150"/>
      <c r="BE499" s="150"/>
      <c r="BF499" s="150"/>
      <c r="BG499" s="150"/>
      <c r="BH499" s="150"/>
      <c r="BI499" s="150"/>
      <c r="BJ499" s="150"/>
      <c r="BK499" s="150"/>
      <c r="BL499" s="150"/>
      <c r="BM499" s="293"/>
      <c r="BN499" s="293"/>
      <c r="BO499" s="293"/>
      <c r="BP499" s="293"/>
      <c r="BQ499" s="293"/>
      <c r="BR499" s="293"/>
      <c r="BS499" s="293"/>
      <c r="BT499" s="293"/>
    </row>
    <row r="500" spans="1:72" s="1" customFormat="1" ht="45.95" customHeight="1">
      <c r="A500" s="91"/>
      <c r="B500" s="358" t="s">
        <v>2692</v>
      </c>
      <c r="C500" s="50" t="s">
        <v>1049</v>
      </c>
      <c r="D500" s="177" t="s">
        <v>1003</v>
      </c>
      <c r="E500" s="141" t="s">
        <v>14</v>
      </c>
      <c r="F500" s="10"/>
      <c r="G500" s="39"/>
      <c r="H500" s="39"/>
      <c r="I500" s="183"/>
      <c r="J500" s="29"/>
      <c r="K500" s="24"/>
      <c r="L500" s="25"/>
      <c r="M500" s="69"/>
      <c r="N500" s="77"/>
      <c r="O500" s="73"/>
      <c r="P500" s="74"/>
      <c r="Q500" s="74"/>
      <c r="R500" s="75"/>
      <c r="S500" s="61"/>
      <c r="T500" s="60"/>
      <c r="U500" s="74"/>
      <c r="V500" s="76"/>
      <c r="W500" s="24"/>
      <c r="X500" s="25"/>
      <c r="Y500" s="77"/>
      <c r="Z500" s="106"/>
      <c r="AA500" s="73"/>
      <c r="AB500" s="88"/>
      <c r="AC500" s="116"/>
      <c r="AD500" s="74"/>
      <c r="AE500" s="76"/>
      <c r="AF500" s="24"/>
      <c r="AG500" s="25"/>
      <c r="AH500" s="77"/>
      <c r="AI500" s="77"/>
      <c r="AJ500" s="73"/>
      <c r="AK500" s="79"/>
      <c r="AL500" s="79"/>
      <c r="AM500" s="127"/>
      <c r="AN500" s="128"/>
      <c r="AO500" s="128"/>
      <c r="AP500" s="133"/>
      <c r="AQ500" s="127"/>
      <c r="AR500" s="134"/>
      <c r="AS500" s="132"/>
      <c r="AT500" s="10">
        <v>36461</v>
      </c>
      <c r="AU500" s="10">
        <v>18000</v>
      </c>
      <c r="AV500" s="167">
        <v>54000</v>
      </c>
      <c r="AW500" s="168">
        <v>30000</v>
      </c>
      <c r="AX500" s="29">
        <f t="shared" si="674"/>
        <v>24000</v>
      </c>
      <c r="AY500" s="24">
        <f t="shared" si="675"/>
        <v>-12461</v>
      </c>
      <c r="AZ500" s="25">
        <f t="shared" si="676"/>
        <v>-0.34176243109075449</v>
      </c>
      <c r="BA500" s="24">
        <f t="shared" si="677"/>
        <v>17539</v>
      </c>
      <c r="BB500" s="169">
        <f t="shared" si="678"/>
        <v>0.48103453004580238</v>
      </c>
      <c r="BC500" s="170">
        <f t="shared" si="679"/>
        <v>24000</v>
      </c>
      <c r="BD500" s="150"/>
      <c r="BE500" s="150"/>
      <c r="BF500" s="150"/>
      <c r="BG500" s="150"/>
      <c r="BH500" s="150"/>
      <c r="BI500" s="150"/>
      <c r="BJ500" s="150"/>
      <c r="BK500" s="150"/>
      <c r="BL500" s="150"/>
      <c r="BM500" s="293"/>
      <c r="BN500" s="293"/>
      <c r="BO500" s="293"/>
      <c r="BP500" s="293"/>
      <c r="BQ500" s="293"/>
      <c r="BR500" s="293"/>
      <c r="BS500" s="293"/>
      <c r="BT500" s="293"/>
    </row>
    <row r="501" spans="1:72" s="1" customFormat="1" ht="45.95" customHeight="1">
      <c r="A501" s="91"/>
      <c r="B501" s="358" t="s">
        <v>2693</v>
      </c>
      <c r="C501" s="50" t="s">
        <v>1050</v>
      </c>
      <c r="D501" s="177" t="s">
        <v>1004</v>
      </c>
      <c r="E501" s="141" t="s">
        <v>10</v>
      </c>
      <c r="F501" s="10"/>
      <c r="G501" s="39"/>
      <c r="H501" s="39"/>
      <c r="I501" s="183"/>
      <c r="J501" s="29"/>
      <c r="K501" s="24"/>
      <c r="L501" s="25"/>
      <c r="M501" s="69"/>
      <c r="N501" s="77"/>
      <c r="O501" s="73"/>
      <c r="P501" s="74"/>
      <c r="Q501" s="74"/>
      <c r="R501" s="75"/>
      <c r="S501" s="61"/>
      <c r="T501" s="60"/>
      <c r="U501" s="74"/>
      <c r="V501" s="76"/>
      <c r="W501" s="24"/>
      <c r="X501" s="25"/>
      <c r="Y501" s="77"/>
      <c r="Z501" s="106"/>
      <c r="AA501" s="73"/>
      <c r="AB501" s="88"/>
      <c r="AC501" s="116"/>
      <c r="AD501" s="74"/>
      <c r="AE501" s="76"/>
      <c r="AF501" s="24"/>
      <c r="AG501" s="25"/>
      <c r="AH501" s="77"/>
      <c r="AI501" s="77"/>
      <c r="AJ501" s="73"/>
      <c r="AK501" s="79"/>
      <c r="AL501" s="79"/>
      <c r="AM501" s="127"/>
      <c r="AN501" s="128"/>
      <c r="AO501" s="128"/>
      <c r="AP501" s="133"/>
      <c r="AQ501" s="127"/>
      <c r="AR501" s="134"/>
      <c r="AS501" s="132"/>
      <c r="AT501" s="10">
        <v>22100</v>
      </c>
      <c r="AU501" s="10">
        <v>56000</v>
      </c>
      <c r="AV501" s="167">
        <v>112000</v>
      </c>
      <c r="AW501" s="168">
        <v>35000</v>
      </c>
      <c r="AX501" s="29">
        <f t="shared" si="674"/>
        <v>45500</v>
      </c>
      <c r="AY501" s="24">
        <f t="shared" si="675"/>
        <v>23400</v>
      </c>
      <c r="AZ501" s="25">
        <f t="shared" si="676"/>
        <v>1.0588235294117647</v>
      </c>
      <c r="BA501" s="24">
        <f t="shared" si="677"/>
        <v>89900</v>
      </c>
      <c r="BB501" s="169">
        <f t="shared" si="678"/>
        <v>4.0678733031674206</v>
      </c>
      <c r="BC501" s="170">
        <f t="shared" si="679"/>
        <v>45500</v>
      </c>
      <c r="BD501" s="150"/>
      <c r="BE501" s="150"/>
      <c r="BF501" s="150"/>
      <c r="BG501" s="150"/>
      <c r="BH501" s="150"/>
      <c r="BI501" s="150"/>
      <c r="BJ501" s="150"/>
      <c r="BK501" s="150"/>
      <c r="BL501" s="150"/>
      <c r="BM501" s="293"/>
      <c r="BN501" s="293"/>
      <c r="BO501" s="293"/>
      <c r="BP501" s="293"/>
      <c r="BQ501" s="293"/>
      <c r="BR501" s="293"/>
      <c r="BS501" s="293"/>
      <c r="BT501" s="293"/>
    </row>
    <row r="502" spans="1:72" s="1" customFormat="1" ht="45.95" customHeight="1">
      <c r="A502" s="91"/>
      <c r="B502" s="358" t="s">
        <v>2694</v>
      </c>
      <c r="C502" s="50" t="s">
        <v>1051</v>
      </c>
      <c r="D502" s="177" t="s">
        <v>1005</v>
      </c>
      <c r="E502" s="141" t="s">
        <v>13</v>
      </c>
      <c r="F502" s="10"/>
      <c r="G502" s="39"/>
      <c r="H502" s="39"/>
      <c r="I502" s="183"/>
      <c r="J502" s="29"/>
      <c r="K502" s="24"/>
      <c r="L502" s="25"/>
      <c r="M502" s="69"/>
      <c r="N502" s="77"/>
      <c r="O502" s="73"/>
      <c r="P502" s="74"/>
      <c r="Q502" s="74"/>
      <c r="R502" s="75"/>
      <c r="S502" s="61"/>
      <c r="T502" s="60"/>
      <c r="U502" s="74"/>
      <c r="V502" s="76"/>
      <c r="W502" s="24"/>
      <c r="X502" s="25"/>
      <c r="Y502" s="77"/>
      <c r="Z502" s="106"/>
      <c r="AA502" s="73"/>
      <c r="AB502" s="88"/>
      <c r="AC502" s="116"/>
      <c r="AD502" s="74"/>
      <c r="AE502" s="76"/>
      <c r="AF502" s="24"/>
      <c r="AG502" s="25"/>
      <c r="AH502" s="77"/>
      <c r="AI502" s="77"/>
      <c r="AJ502" s="73"/>
      <c r="AK502" s="79"/>
      <c r="AL502" s="79"/>
      <c r="AM502" s="127"/>
      <c r="AN502" s="128"/>
      <c r="AO502" s="128"/>
      <c r="AP502" s="133"/>
      <c r="AQ502" s="127"/>
      <c r="AR502" s="134"/>
      <c r="AS502" s="132"/>
      <c r="AT502" s="10">
        <v>12142</v>
      </c>
      <c r="AU502" s="10">
        <v>56265</v>
      </c>
      <c r="AV502" s="167">
        <v>56265</v>
      </c>
      <c r="AW502" s="168">
        <v>55600</v>
      </c>
      <c r="AX502" s="29">
        <f t="shared" si="674"/>
        <v>55932.5</v>
      </c>
      <c r="AY502" s="24">
        <f t="shared" si="675"/>
        <v>43790.5</v>
      </c>
      <c r="AZ502" s="25">
        <f t="shared" si="676"/>
        <v>3.6065310492505351</v>
      </c>
      <c r="BA502" s="24">
        <f t="shared" si="677"/>
        <v>44123</v>
      </c>
      <c r="BB502" s="169">
        <f t="shared" si="678"/>
        <v>3.6339153352001317</v>
      </c>
      <c r="BC502" s="170">
        <f t="shared" si="679"/>
        <v>55932.5</v>
      </c>
      <c r="BD502" s="150"/>
      <c r="BE502" s="150"/>
      <c r="BF502" s="150"/>
      <c r="BG502" s="150"/>
      <c r="BH502" s="150"/>
      <c r="BI502" s="150"/>
      <c r="BJ502" s="150"/>
      <c r="BK502" s="150"/>
      <c r="BL502" s="150"/>
      <c r="BM502" s="293"/>
      <c r="BN502" s="293"/>
      <c r="BO502" s="293"/>
      <c r="BP502" s="293"/>
      <c r="BQ502" s="293"/>
      <c r="BR502" s="293"/>
      <c r="BS502" s="293"/>
      <c r="BT502" s="293"/>
    </row>
    <row r="503" spans="1:72" s="1" customFormat="1" ht="45.95" customHeight="1">
      <c r="A503" s="91"/>
      <c r="B503" s="358" t="s">
        <v>2695</v>
      </c>
      <c r="C503" s="50" t="s">
        <v>1052</v>
      </c>
      <c r="D503" s="177" t="s">
        <v>1006</v>
      </c>
      <c r="E503" s="141" t="s">
        <v>13</v>
      </c>
      <c r="F503" s="10"/>
      <c r="G503" s="39"/>
      <c r="H503" s="39"/>
      <c r="I503" s="183"/>
      <c r="J503" s="29"/>
      <c r="K503" s="24"/>
      <c r="L503" s="25"/>
      <c r="M503" s="69"/>
      <c r="N503" s="77"/>
      <c r="O503" s="73"/>
      <c r="P503" s="74"/>
      <c r="Q503" s="74"/>
      <c r="R503" s="75"/>
      <c r="S503" s="61"/>
      <c r="T503" s="60"/>
      <c r="U503" s="74"/>
      <c r="V503" s="76"/>
      <c r="W503" s="24"/>
      <c r="X503" s="25"/>
      <c r="Y503" s="77"/>
      <c r="Z503" s="106"/>
      <c r="AA503" s="73"/>
      <c r="AB503" s="88"/>
      <c r="AC503" s="116"/>
      <c r="AD503" s="74"/>
      <c r="AE503" s="76"/>
      <c r="AF503" s="24"/>
      <c r="AG503" s="25"/>
      <c r="AH503" s="77"/>
      <c r="AI503" s="77"/>
      <c r="AJ503" s="73"/>
      <c r="AK503" s="79"/>
      <c r="AL503" s="79"/>
      <c r="AM503" s="127"/>
      <c r="AN503" s="128"/>
      <c r="AO503" s="128"/>
      <c r="AP503" s="133"/>
      <c r="AQ503" s="127"/>
      <c r="AR503" s="134"/>
      <c r="AS503" s="132"/>
      <c r="AT503" s="10">
        <v>9000</v>
      </c>
      <c r="AU503" s="10">
        <v>28101</v>
      </c>
      <c r="AV503" s="167">
        <v>56202</v>
      </c>
      <c r="AW503" s="168">
        <v>22500</v>
      </c>
      <c r="AX503" s="29">
        <f t="shared" si="674"/>
        <v>25300.5</v>
      </c>
      <c r="AY503" s="24">
        <f t="shared" si="675"/>
        <v>16300.5</v>
      </c>
      <c r="AZ503" s="25">
        <f t="shared" si="676"/>
        <v>1.8111666666666666</v>
      </c>
      <c r="BA503" s="24">
        <f t="shared" si="677"/>
        <v>47202</v>
      </c>
      <c r="BB503" s="169">
        <f t="shared" si="678"/>
        <v>5.2446666666666664</v>
      </c>
      <c r="BC503" s="170">
        <f t="shared" si="679"/>
        <v>25300.5</v>
      </c>
      <c r="BD503" s="150"/>
      <c r="BE503" s="150"/>
      <c r="BF503" s="150"/>
      <c r="BG503" s="150"/>
      <c r="BH503" s="150"/>
      <c r="BI503" s="150"/>
      <c r="BJ503" s="150"/>
      <c r="BK503" s="150"/>
      <c r="BL503" s="150"/>
      <c r="BM503" s="293"/>
      <c r="BN503" s="293"/>
      <c r="BO503" s="293"/>
      <c r="BP503" s="293"/>
      <c r="BQ503" s="293"/>
      <c r="BR503" s="293"/>
      <c r="BS503" s="293"/>
      <c r="BT503" s="293"/>
    </row>
    <row r="504" spans="1:72" s="1" customFormat="1" ht="45.95" customHeight="1">
      <c r="A504" s="91"/>
      <c r="B504" s="358" t="s">
        <v>2696</v>
      </c>
      <c r="C504" s="50" t="s">
        <v>1053</v>
      </c>
      <c r="D504" s="177" t="s">
        <v>1007</v>
      </c>
      <c r="E504" s="141" t="s">
        <v>14</v>
      </c>
      <c r="F504" s="10"/>
      <c r="G504" s="39"/>
      <c r="H504" s="39"/>
      <c r="I504" s="183"/>
      <c r="J504" s="29"/>
      <c r="K504" s="24"/>
      <c r="L504" s="25"/>
      <c r="M504" s="69"/>
      <c r="N504" s="77"/>
      <c r="O504" s="73"/>
      <c r="P504" s="74"/>
      <c r="Q504" s="74"/>
      <c r="R504" s="75"/>
      <c r="S504" s="61"/>
      <c r="T504" s="60"/>
      <c r="U504" s="74"/>
      <c r="V504" s="76"/>
      <c r="W504" s="24"/>
      <c r="X504" s="25"/>
      <c r="Y504" s="77"/>
      <c r="Z504" s="106"/>
      <c r="AA504" s="73"/>
      <c r="AB504" s="88"/>
      <c r="AC504" s="116"/>
      <c r="AD504" s="74"/>
      <c r="AE504" s="76"/>
      <c r="AF504" s="24"/>
      <c r="AG504" s="25"/>
      <c r="AH504" s="77"/>
      <c r="AI504" s="77"/>
      <c r="AJ504" s="73"/>
      <c r="AK504" s="79"/>
      <c r="AL504" s="79"/>
      <c r="AM504" s="127"/>
      <c r="AN504" s="128"/>
      <c r="AO504" s="128"/>
      <c r="AP504" s="133"/>
      <c r="AQ504" s="127"/>
      <c r="AR504" s="134"/>
      <c r="AS504" s="132"/>
      <c r="AT504" s="10">
        <v>113360</v>
      </c>
      <c r="AU504" s="10">
        <v>99000</v>
      </c>
      <c r="AV504" s="167">
        <v>297000</v>
      </c>
      <c r="AW504" s="168">
        <v>135600</v>
      </c>
      <c r="AX504" s="29">
        <f t="shared" si="674"/>
        <v>117300</v>
      </c>
      <c r="AY504" s="24">
        <f t="shared" si="675"/>
        <v>3940</v>
      </c>
      <c r="AZ504" s="25">
        <f t="shared" si="676"/>
        <v>3.4756527875793933E-2</v>
      </c>
      <c r="BA504" s="24">
        <f t="shared" si="677"/>
        <v>183640</v>
      </c>
      <c r="BB504" s="169">
        <f t="shared" si="678"/>
        <v>1.619971771347918</v>
      </c>
      <c r="BC504" s="170">
        <f t="shared" si="679"/>
        <v>117300</v>
      </c>
      <c r="BD504" s="150"/>
      <c r="BE504" s="150"/>
      <c r="BF504" s="150"/>
      <c r="BG504" s="150"/>
      <c r="BH504" s="150"/>
      <c r="BI504" s="150"/>
      <c r="BJ504" s="150"/>
      <c r="BK504" s="150"/>
      <c r="BL504" s="150"/>
      <c r="BM504" s="293"/>
      <c r="BN504" s="293"/>
      <c r="BO504" s="293"/>
      <c r="BP504" s="293"/>
      <c r="BQ504" s="293"/>
      <c r="BR504" s="293"/>
      <c r="BS504" s="293"/>
      <c r="BT504" s="293"/>
    </row>
    <row r="505" spans="1:72" s="1" customFormat="1" ht="45.95" customHeight="1">
      <c r="A505" s="91"/>
      <c r="B505" s="358" t="s">
        <v>2697</v>
      </c>
      <c r="C505" s="50" t="s">
        <v>1054</v>
      </c>
      <c r="D505" s="177" t="s">
        <v>1008</v>
      </c>
      <c r="E505" s="141" t="s">
        <v>14</v>
      </c>
      <c r="F505" s="10"/>
      <c r="G505" s="39"/>
      <c r="H505" s="39"/>
      <c r="I505" s="183"/>
      <c r="J505" s="29"/>
      <c r="K505" s="24"/>
      <c r="L505" s="25"/>
      <c r="M505" s="69"/>
      <c r="N505" s="77"/>
      <c r="O505" s="73"/>
      <c r="P505" s="74"/>
      <c r="Q505" s="74"/>
      <c r="R505" s="75"/>
      <c r="S505" s="61"/>
      <c r="T505" s="60"/>
      <c r="U505" s="74"/>
      <c r="V505" s="76"/>
      <c r="W505" s="24"/>
      <c r="X505" s="25"/>
      <c r="Y505" s="77"/>
      <c r="Z505" s="106"/>
      <c r="AA505" s="73"/>
      <c r="AB505" s="88"/>
      <c r="AC505" s="116"/>
      <c r="AD505" s="74"/>
      <c r="AE505" s="76"/>
      <c r="AF505" s="24"/>
      <c r="AG505" s="25"/>
      <c r="AH505" s="77"/>
      <c r="AI505" s="77"/>
      <c r="AJ505" s="73"/>
      <c r="AK505" s="79"/>
      <c r="AL505" s="79"/>
      <c r="AM505" s="127"/>
      <c r="AN505" s="128"/>
      <c r="AO505" s="128"/>
      <c r="AP505" s="133"/>
      <c r="AQ505" s="127"/>
      <c r="AR505" s="134"/>
      <c r="AS505" s="132"/>
      <c r="AT505" s="10">
        <v>13718</v>
      </c>
      <c r="AU505" s="10">
        <v>27000</v>
      </c>
      <c r="AV505" s="167">
        <v>54000</v>
      </c>
      <c r="AW505" s="168">
        <v>18500</v>
      </c>
      <c r="AX505" s="29">
        <f t="shared" si="674"/>
        <v>22750</v>
      </c>
      <c r="AY505" s="24">
        <f t="shared" si="675"/>
        <v>9032</v>
      </c>
      <c r="AZ505" s="25">
        <f t="shared" si="676"/>
        <v>0.65840501530835394</v>
      </c>
      <c r="BA505" s="24">
        <f t="shared" si="677"/>
        <v>40282</v>
      </c>
      <c r="BB505" s="169">
        <f t="shared" si="678"/>
        <v>2.9364338824901588</v>
      </c>
      <c r="BC505" s="170">
        <f t="shared" si="679"/>
        <v>22750</v>
      </c>
      <c r="BD505" s="150"/>
      <c r="BE505" s="150"/>
      <c r="BF505" s="150"/>
      <c r="BG505" s="150"/>
      <c r="BH505" s="150"/>
      <c r="BI505" s="150"/>
      <c r="BJ505" s="150"/>
      <c r="BK505" s="150"/>
      <c r="BL505" s="150"/>
      <c r="BM505" s="293"/>
      <c r="BN505" s="293"/>
      <c r="BO505" s="293"/>
      <c r="BP505" s="293"/>
      <c r="BQ505" s="293"/>
      <c r="BR505" s="293"/>
      <c r="BS505" s="293"/>
      <c r="BT505" s="293"/>
    </row>
    <row r="506" spans="1:72" s="1" customFormat="1" ht="45.95" customHeight="1">
      <c r="A506" s="91"/>
      <c r="B506" s="358" t="s">
        <v>2698</v>
      </c>
      <c r="C506" s="50" t="s">
        <v>1055</v>
      </c>
      <c r="D506" s="177" t="s">
        <v>1009</v>
      </c>
      <c r="E506" s="141" t="s">
        <v>14</v>
      </c>
      <c r="F506" s="10"/>
      <c r="G506" s="39"/>
      <c r="H506" s="39"/>
      <c r="I506" s="183"/>
      <c r="J506" s="29"/>
      <c r="K506" s="24"/>
      <c r="L506" s="25"/>
      <c r="M506" s="69"/>
      <c r="N506" s="77"/>
      <c r="O506" s="73"/>
      <c r="P506" s="74"/>
      <c r="Q506" s="74"/>
      <c r="R506" s="75"/>
      <c r="S506" s="61"/>
      <c r="T506" s="60"/>
      <c r="U506" s="74"/>
      <c r="V506" s="76"/>
      <c r="W506" s="24"/>
      <c r="X506" s="25"/>
      <c r="Y506" s="77"/>
      <c r="Z506" s="106"/>
      <c r="AA506" s="73"/>
      <c r="AB506" s="88"/>
      <c r="AC506" s="116"/>
      <c r="AD506" s="74"/>
      <c r="AE506" s="76"/>
      <c r="AF506" s="24"/>
      <c r="AG506" s="25"/>
      <c r="AH506" s="77"/>
      <c r="AI506" s="77"/>
      <c r="AJ506" s="73"/>
      <c r="AK506" s="79"/>
      <c r="AL506" s="79"/>
      <c r="AM506" s="127"/>
      <c r="AN506" s="128"/>
      <c r="AO506" s="128"/>
      <c r="AP506" s="133"/>
      <c r="AQ506" s="127"/>
      <c r="AR506" s="134"/>
      <c r="AS506" s="132"/>
      <c r="AT506" s="10">
        <v>27814</v>
      </c>
      <c r="AU506" s="10">
        <v>10100</v>
      </c>
      <c r="AV506" s="167">
        <v>10100</v>
      </c>
      <c r="AW506" s="168">
        <v>19860</v>
      </c>
      <c r="AX506" s="29">
        <f t="shared" si="674"/>
        <v>14980</v>
      </c>
      <c r="AY506" s="24">
        <f t="shared" si="675"/>
        <v>-12834</v>
      </c>
      <c r="AZ506" s="25">
        <f t="shared" si="676"/>
        <v>-0.46142230531387074</v>
      </c>
      <c r="BA506" s="24">
        <f t="shared" si="677"/>
        <v>-17714</v>
      </c>
      <c r="BB506" s="169">
        <f t="shared" si="678"/>
        <v>-0.63687351693391814</v>
      </c>
      <c r="BC506" s="170">
        <f t="shared" si="679"/>
        <v>14980</v>
      </c>
      <c r="BD506" s="150"/>
      <c r="BE506" s="150"/>
      <c r="BF506" s="150"/>
      <c r="BG506" s="150"/>
      <c r="BH506" s="150"/>
      <c r="BI506" s="150"/>
      <c r="BJ506" s="150"/>
      <c r="BK506" s="150"/>
      <c r="BL506" s="150"/>
      <c r="BM506" s="293"/>
      <c r="BN506" s="293"/>
      <c r="BO506" s="293"/>
      <c r="BP506" s="293"/>
      <c r="BQ506" s="293"/>
      <c r="BR506" s="293"/>
      <c r="BS506" s="293"/>
      <c r="BT506" s="293"/>
    </row>
    <row r="507" spans="1:72" s="1" customFormat="1" ht="45.95" customHeight="1">
      <c r="A507" s="91"/>
      <c r="B507" s="358" t="s">
        <v>2699</v>
      </c>
      <c r="C507" s="50" t="s">
        <v>1056</v>
      </c>
      <c r="D507" s="177" t="s">
        <v>1010</v>
      </c>
      <c r="E507" s="141" t="s">
        <v>10</v>
      </c>
      <c r="F507" s="10"/>
      <c r="G507" s="39"/>
      <c r="H507" s="39"/>
      <c r="I507" s="183"/>
      <c r="J507" s="29"/>
      <c r="K507" s="24"/>
      <c r="L507" s="25"/>
      <c r="M507" s="69"/>
      <c r="N507" s="77"/>
      <c r="O507" s="73"/>
      <c r="P507" s="74"/>
      <c r="Q507" s="74"/>
      <c r="R507" s="75"/>
      <c r="S507" s="61"/>
      <c r="T507" s="60"/>
      <c r="U507" s="74"/>
      <c r="V507" s="76"/>
      <c r="W507" s="24"/>
      <c r="X507" s="25"/>
      <c r="Y507" s="77"/>
      <c r="Z507" s="106"/>
      <c r="AA507" s="73"/>
      <c r="AB507" s="88"/>
      <c r="AC507" s="116"/>
      <c r="AD507" s="74"/>
      <c r="AE507" s="76"/>
      <c r="AF507" s="24"/>
      <c r="AG507" s="25"/>
      <c r="AH507" s="77"/>
      <c r="AI507" s="77"/>
      <c r="AJ507" s="73"/>
      <c r="AK507" s="79"/>
      <c r="AL507" s="79"/>
      <c r="AM507" s="127"/>
      <c r="AN507" s="128"/>
      <c r="AO507" s="128"/>
      <c r="AP507" s="133"/>
      <c r="AQ507" s="127"/>
      <c r="AR507" s="134"/>
      <c r="AS507" s="132"/>
      <c r="AT507" s="10">
        <v>11563</v>
      </c>
      <c r="AU507" s="10">
        <v>11200</v>
      </c>
      <c r="AV507" s="167">
        <v>33600</v>
      </c>
      <c r="AW507" s="168">
        <v>19600</v>
      </c>
      <c r="AX507" s="29">
        <f t="shared" si="674"/>
        <v>15400</v>
      </c>
      <c r="AY507" s="24">
        <f t="shared" si="675"/>
        <v>3837</v>
      </c>
      <c r="AZ507" s="25">
        <f t="shared" si="676"/>
        <v>0.33183429905733808</v>
      </c>
      <c r="BA507" s="24">
        <f t="shared" si="677"/>
        <v>22037</v>
      </c>
      <c r="BB507" s="169">
        <f t="shared" si="678"/>
        <v>1.9058202888523739</v>
      </c>
      <c r="BC507" s="170">
        <f t="shared" si="679"/>
        <v>15400</v>
      </c>
      <c r="BD507" s="150"/>
      <c r="BE507" s="150"/>
      <c r="BF507" s="150"/>
      <c r="BG507" s="150"/>
      <c r="BH507" s="150"/>
      <c r="BI507" s="150"/>
      <c r="BJ507" s="150"/>
      <c r="BK507" s="150"/>
      <c r="BL507" s="150"/>
      <c r="BM507" s="293"/>
      <c r="BN507" s="293"/>
      <c r="BO507" s="293"/>
      <c r="BP507" s="293"/>
      <c r="BQ507" s="293"/>
      <c r="BR507" s="293"/>
      <c r="BS507" s="293"/>
      <c r="BT507" s="293"/>
    </row>
    <row r="508" spans="1:72" s="1" customFormat="1" ht="45.95" customHeight="1">
      <c r="A508" s="91"/>
      <c r="B508" s="358" t="s">
        <v>2700</v>
      </c>
      <c r="C508" s="50" t="s">
        <v>1057</v>
      </c>
      <c r="D508" s="177" t="s">
        <v>1011</v>
      </c>
      <c r="E508" s="141" t="s">
        <v>14</v>
      </c>
      <c r="F508" s="10"/>
      <c r="G508" s="39"/>
      <c r="H508" s="39"/>
      <c r="I508" s="183"/>
      <c r="J508" s="29"/>
      <c r="K508" s="24"/>
      <c r="L508" s="25"/>
      <c r="M508" s="69"/>
      <c r="N508" s="77"/>
      <c r="O508" s="73"/>
      <c r="P508" s="74"/>
      <c r="Q508" s="74"/>
      <c r="R508" s="75"/>
      <c r="S508" s="61"/>
      <c r="T508" s="60"/>
      <c r="U508" s="74"/>
      <c r="V508" s="76"/>
      <c r="W508" s="24"/>
      <c r="X508" s="25"/>
      <c r="Y508" s="77"/>
      <c r="Z508" s="106"/>
      <c r="AA508" s="73"/>
      <c r="AB508" s="88"/>
      <c r="AC508" s="116"/>
      <c r="AD508" s="74"/>
      <c r="AE508" s="76"/>
      <c r="AF508" s="24"/>
      <c r="AG508" s="25"/>
      <c r="AH508" s="77"/>
      <c r="AI508" s="77"/>
      <c r="AJ508" s="73"/>
      <c r="AK508" s="79"/>
      <c r="AL508" s="79"/>
      <c r="AM508" s="127"/>
      <c r="AN508" s="128"/>
      <c r="AO508" s="128"/>
      <c r="AP508" s="133"/>
      <c r="AQ508" s="127"/>
      <c r="AR508" s="134"/>
      <c r="AS508" s="132"/>
      <c r="AT508" s="10">
        <v>259552</v>
      </c>
      <c r="AU508" s="10">
        <v>330733</v>
      </c>
      <c r="AV508" s="167">
        <v>661466</v>
      </c>
      <c r="AW508" s="168">
        <v>286000</v>
      </c>
      <c r="AX508" s="29">
        <f t="shared" si="674"/>
        <v>308366.5</v>
      </c>
      <c r="AY508" s="24">
        <f t="shared" si="675"/>
        <v>48814.5</v>
      </c>
      <c r="AZ508" s="25">
        <f t="shared" si="676"/>
        <v>0.18807213968684502</v>
      </c>
      <c r="BA508" s="24">
        <f t="shared" si="677"/>
        <v>401914</v>
      </c>
      <c r="BB508" s="169">
        <f t="shared" si="678"/>
        <v>1.5484912464554308</v>
      </c>
      <c r="BC508" s="170">
        <f t="shared" si="679"/>
        <v>308366.5</v>
      </c>
      <c r="BD508" s="150"/>
      <c r="BE508" s="150"/>
      <c r="BF508" s="150"/>
      <c r="BG508" s="150"/>
      <c r="BH508" s="150"/>
      <c r="BI508" s="150"/>
      <c r="BJ508" s="150"/>
      <c r="BK508" s="150"/>
      <c r="BL508" s="150"/>
      <c r="BM508" s="293"/>
      <c r="BN508" s="293"/>
      <c r="BO508" s="293"/>
      <c r="BP508" s="293"/>
      <c r="BQ508" s="293"/>
      <c r="BR508" s="293"/>
      <c r="BS508" s="293"/>
      <c r="BT508" s="293"/>
    </row>
    <row r="509" spans="1:72" s="1" customFormat="1" ht="45.95" customHeight="1">
      <c r="A509" s="91"/>
      <c r="B509" s="358" t="s">
        <v>2701</v>
      </c>
      <c r="C509" s="50" t="s">
        <v>1058</v>
      </c>
      <c r="D509" s="177" t="s">
        <v>1012</v>
      </c>
      <c r="E509" s="141" t="s">
        <v>14</v>
      </c>
      <c r="F509" s="10"/>
      <c r="G509" s="39"/>
      <c r="H509" s="39"/>
      <c r="I509" s="183"/>
      <c r="J509" s="29"/>
      <c r="K509" s="24"/>
      <c r="L509" s="25"/>
      <c r="M509" s="69"/>
      <c r="N509" s="77"/>
      <c r="O509" s="73"/>
      <c r="P509" s="74"/>
      <c r="Q509" s="74"/>
      <c r="R509" s="75"/>
      <c r="S509" s="61"/>
      <c r="T509" s="60"/>
      <c r="U509" s="74"/>
      <c r="V509" s="76"/>
      <c r="W509" s="24"/>
      <c r="X509" s="25"/>
      <c r="Y509" s="77"/>
      <c r="Z509" s="106"/>
      <c r="AA509" s="73"/>
      <c r="AB509" s="88"/>
      <c r="AC509" s="116"/>
      <c r="AD509" s="74"/>
      <c r="AE509" s="76"/>
      <c r="AF509" s="24"/>
      <c r="AG509" s="25"/>
      <c r="AH509" s="77"/>
      <c r="AI509" s="77"/>
      <c r="AJ509" s="73"/>
      <c r="AK509" s="79"/>
      <c r="AL509" s="79"/>
      <c r="AM509" s="127"/>
      <c r="AN509" s="128"/>
      <c r="AO509" s="128"/>
      <c r="AP509" s="133"/>
      <c r="AQ509" s="127"/>
      <c r="AR509" s="134"/>
      <c r="AS509" s="132"/>
      <c r="AT509" s="10">
        <v>259552</v>
      </c>
      <c r="AU509" s="10">
        <v>65000</v>
      </c>
      <c r="AV509" s="167">
        <v>130000</v>
      </c>
      <c r="AW509" s="168">
        <v>78000</v>
      </c>
      <c r="AX509" s="29">
        <f t="shared" si="674"/>
        <v>71500</v>
      </c>
      <c r="AY509" s="24">
        <f t="shared" si="675"/>
        <v>-188052</v>
      </c>
      <c r="AZ509" s="25">
        <f t="shared" si="676"/>
        <v>-0.72452533596350632</v>
      </c>
      <c r="BA509" s="24">
        <f t="shared" si="677"/>
        <v>-129552</v>
      </c>
      <c r="BB509" s="169">
        <f t="shared" si="678"/>
        <v>-0.49913697447910244</v>
      </c>
      <c r="BC509" s="170">
        <f t="shared" si="679"/>
        <v>71500</v>
      </c>
      <c r="BD509" s="150"/>
      <c r="BE509" s="150"/>
      <c r="BF509" s="150"/>
      <c r="BG509" s="150"/>
      <c r="BH509" s="150"/>
      <c r="BI509" s="150"/>
      <c r="BJ509" s="150"/>
      <c r="BK509" s="150"/>
      <c r="BL509" s="150"/>
      <c r="BM509" s="293"/>
      <c r="BN509" s="293"/>
      <c r="BO509" s="293"/>
      <c r="BP509" s="293"/>
      <c r="BQ509" s="293"/>
      <c r="BR509" s="293"/>
      <c r="BS509" s="293"/>
      <c r="BT509" s="293"/>
    </row>
    <row r="510" spans="1:72" s="1" customFormat="1" ht="45.95" customHeight="1">
      <c r="A510" s="91"/>
      <c r="B510" s="358" t="s">
        <v>2702</v>
      </c>
      <c r="C510" s="50" t="s">
        <v>1059</v>
      </c>
      <c r="D510" s="177" t="s">
        <v>1013</v>
      </c>
      <c r="E510" s="141" t="s">
        <v>10</v>
      </c>
      <c r="F510" s="10"/>
      <c r="G510" s="39"/>
      <c r="H510" s="39"/>
      <c r="I510" s="183"/>
      <c r="J510" s="29"/>
      <c r="K510" s="24"/>
      <c r="L510" s="25"/>
      <c r="M510" s="69"/>
      <c r="N510" s="77"/>
      <c r="O510" s="73"/>
      <c r="P510" s="74"/>
      <c r="Q510" s="74"/>
      <c r="R510" s="75"/>
      <c r="S510" s="61"/>
      <c r="T510" s="60"/>
      <c r="U510" s="74"/>
      <c r="V510" s="76"/>
      <c r="W510" s="24"/>
      <c r="X510" s="25"/>
      <c r="Y510" s="77"/>
      <c r="Z510" s="106"/>
      <c r="AA510" s="73"/>
      <c r="AB510" s="88"/>
      <c r="AC510" s="116"/>
      <c r="AD510" s="74"/>
      <c r="AE510" s="76"/>
      <c r="AF510" s="24"/>
      <c r="AG510" s="25"/>
      <c r="AH510" s="77"/>
      <c r="AI510" s="77"/>
      <c r="AJ510" s="73"/>
      <c r="AK510" s="79"/>
      <c r="AL510" s="79"/>
      <c r="AM510" s="127"/>
      <c r="AN510" s="128"/>
      <c r="AO510" s="128"/>
      <c r="AP510" s="133"/>
      <c r="AQ510" s="127"/>
      <c r="AR510" s="134"/>
      <c r="AS510" s="132"/>
      <c r="AT510" s="10">
        <v>190989</v>
      </c>
      <c r="AU510" s="10">
        <v>1500</v>
      </c>
      <c r="AV510" s="167">
        <v>3000</v>
      </c>
      <c r="AW510" s="168">
        <v>18500</v>
      </c>
      <c r="AX510" s="29">
        <f t="shared" si="674"/>
        <v>10000</v>
      </c>
      <c r="AY510" s="24">
        <f t="shared" si="675"/>
        <v>-180989</v>
      </c>
      <c r="AZ510" s="25">
        <f t="shared" si="676"/>
        <v>-0.9476409636157056</v>
      </c>
      <c r="BA510" s="24">
        <f t="shared" si="677"/>
        <v>-187989</v>
      </c>
      <c r="BB510" s="169">
        <f t="shared" si="678"/>
        <v>-0.98429228908471167</v>
      </c>
      <c r="BC510" s="170">
        <f t="shared" si="679"/>
        <v>10000</v>
      </c>
      <c r="BD510" s="150"/>
      <c r="BE510" s="150"/>
      <c r="BF510" s="150"/>
      <c r="BG510" s="150"/>
      <c r="BH510" s="150"/>
      <c r="BI510" s="150"/>
      <c r="BJ510" s="150"/>
      <c r="BK510" s="150"/>
      <c r="BL510" s="150"/>
      <c r="BM510" s="293"/>
      <c r="BN510" s="293"/>
      <c r="BO510" s="293"/>
      <c r="BP510" s="293"/>
      <c r="BQ510" s="293"/>
      <c r="BR510" s="293"/>
      <c r="BS510" s="293"/>
      <c r="BT510" s="293"/>
    </row>
    <row r="511" spans="1:72" s="1" customFormat="1" ht="45.95" customHeight="1">
      <c r="A511" s="91"/>
      <c r="B511" s="358" t="s">
        <v>2703</v>
      </c>
      <c r="C511" s="50" t="s">
        <v>1060</v>
      </c>
      <c r="D511" s="177" t="s">
        <v>1014</v>
      </c>
      <c r="E511" s="141" t="s">
        <v>14</v>
      </c>
      <c r="F511" s="10"/>
      <c r="G511" s="39"/>
      <c r="H511" s="39"/>
      <c r="I511" s="183"/>
      <c r="J511" s="29"/>
      <c r="K511" s="24"/>
      <c r="L511" s="25"/>
      <c r="M511" s="69"/>
      <c r="N511" s="77"/>
      <c r="O511" s="73"/>
      <c r="P511" s="74"/>
      <c r="Q511" s="74"/>
      <c r="R511" s="75"/>
      <c r="S511" s="61"/>
      <c r="T511" s="60"/>
      <c r="U511" s="74"/>
      <c r="V511" s="76"/>
      <c r="W511" s="24"/>
      <c r="X511" s="25"/>
      <c r="Y511" s="77"/>
      <c r="Z511" s="106"/>
      <c r="AA511" s="73"/>
      <c r="AB511" s="88"/>
      <c r="AC511" s="116"/>
      <c r="AD511" s="74"/>
      <c r="AE511" s="76"/>
      <c r="AF511" s="24"/>
      <c r="AG511" s="25"/>
      <c r="AH511" s="77"/>
      <c r="AI511" s="77"/>
      <c r="AJ511" s="73"/>
      <c r="AK511" s="79"/>
      <c r="AL511" s="79"/>
      <c r="AM511" s="127"/>
      <c r="AN511" s="128"/>
      <c r="AO511" s="128"/>
      <c r="AP511" s="133"/>
      <c r="AQ511" s="127"/>
      <c r="AR511" s="134"/>
      <c r="AS511" s="132"/>
      <c r="AT511" s="10">
        <v>416262</v>
      </c>
      <c r="AU511" s="10"/>
      <c r="AV511" s="167">
        <v>350000</v>
      </c>
      <c r="AW511" s="168">
        <v>189000</v>
      </c>
      <c r="AX511" s="29">
        <f t="shared" si="674"/>
        <v>189000</v>
      </c>
      <c r="AY511" s="24">
        <f t="shared" si="675"/>
        <v>-227262</v>
      </c>
      <c r="AZ511" s="25">
        <f t="shared" si="676"/>
        <v>-0.54595903541519519</v>
      </c>
      <c r="BA511" s="24">
        <f t="shared" si="677"/>
        <v>-66262</v>
      </c>
      <c r="BB511" s="169">
        <f t="shared" si="678"/>
        <v>-0.15918339891702821</v>
      </c>
      <c r="BC511" s="170">
        <f t="shared" si="679"/>
        <v>189000</v>
      </c>
      <c r="BD511" s="150"/>
      <c r="BE511" s="150"/>
      <c r="BF511" s="150"/>
      <c r="BG511" s="150"/>
      <c r="BH511" s="150"/>
      <c r="BI511" s="150"/>
      <c r="BJ511" s="150"/>
      <c r="BK511" s="150"/>
      <c r="BL511" s="150"/>
      <c r="BM511" s="293"/>
      <c r="BN511" s="293"/>
      <c r="BO511" s="293"/>
      <c r="BP511" s="293"/>
      <c r="BQ511" s="293"/>
      <c r="BR511" s="293"/>
      <c r="BS511" s="293"/>
      <c r="BT511" s="293"/>
    </row>
    <row r="512" spans="1:72" s="1" customFormat="1" ht="45.95" customHeight="1">
      <c r="A512" s="91"/>
      <c r="B512" s="358" t="s">
        <v>2704</v>
      </c>
      <c r="C512" s="50" t="s">
        <v>1061</v>
      </c>
      <c r="D512" s="177" t="s">
        <v>1015</v>
      </c>
      <c r="E512" s="141" t="s">
        <v>10</v>
      </c>
      <c r="F512" s="10"/>
      <c r="G512" s="39"/>
      <c r="H512" s="39"/>
      <c r="I512" s="183"/>
      <c r="J512" s="29"/>
      <c r="K512" s="24"/>
      <c r="L512" s="25"/>
      <c r="M512" s="69"/>
      <c r="N512" s="77"/>
      <c r="O512" s="73"/>
      <c r="P512" s="74"/>
      <c r="Q512" s="74"/>
      <c r="R512" s="75"/>
      <c r="S512" s="61"/>
      <c r="T512" s="60"/>
      <c r="U512" s="74"/>
      <c r="V512" s="76"/>
      <c r="W512" s="24"/>
      <c r="X512" s="25"/>
      <c r="Y512" s="77"/>
      <c r="Z512" s="106"/>
      <c r="AA512" s="73"/>
      <c r="AB512" s="88"/>
      <c r="AC512" s="116"/>
      <c r="AD512" s="74"/>
      <c r="AE512" s="76"/>
      <c r="AF512" s="24"/>
      <c r="AG512" s="25"/>
      <c r="AH512" s="77"/>
      <c r="AI512" s="77"/>
      <c r="AJ512" s="73"/>
      <c r="AK512" s="79"/>
      <c r="AL512" s="79"/>
      <c r="AM512" s="127"/>
      <c r="AN512" s="128"/>
      <c r="AO512" s="128"/>
      <c r="AP512" s="133"/>
      <c r="AQ512" s="127"/>
      <c r="AR512" s="134"/>
      <c r="AS512" s="132"/>
      <c r="AT512" s="10">
        <v>47016</v>
      </c>
      <c r="AU512" s="10">
        <v>400000</v>
      </c>
      <c r="AV512" s="167">
        <v>1200000</v>
      </c>
      <c r="AW512" s="168">
        <v>150000</v>
      </c>
      <c r="AX512" s="29">
        <f t="shared" si="674"/>
        <v>275000</v>
      </c>
      <c r="AY512" s="24">
        <f t="shared" si="675"/>
        <v>227984</v>
      </c>
      <c r="AZ512" s="25">
        <f t="shared" si="676"/>
        <v>4.8490726561170669</v>
      </c>
      <c r="BA512" s="24">
        <f t="shared" si="677"/>
        <v>1152984</v>
      </c>
      <c r="BB512" s="169">
        <f t="shared" si="678"/>
        <v>24.523226135783563</v>
      </c>
      <c r="BC512" s="170">
        <f t="shared" si="679"/>
        <v>275000</v>
      </c>
      <c r="BD512" s="150"/>
      <c r="BE512" s="150"/>
      <c r="BF512" s="150"/>
      <c r="BG512" s="150"/>
      <c r="BH512" s="150"/>
      <c r="BI512" s="150"/>
      <c r="BJ512" s="150"/>
      <c r="BK512" s="150"/>
      <c r="BL512" s="150"/>
      <c r="BM512" s="293"/>
      <c r="BN512" s="293"/>
      <c r="BO512" s="293"/>
      <c r="BP512" s="293"/>
      <c r="BQ512" s="293"/>
      <c r="BR512" s="293"/>
      <c r="BS512" s="293"/>
      <c r="BT512" s="293"/>
    </row>
    <row r="513" spans="1:72" s="1" customFormat="1" ht="45.95" customHeight="1">
      <c r="A513" s="91"/>
      <c r="B513" s="358" t="s">
        <v>2705</v>
      </c>
      <c r="C513" s="50" t="s">
        <v>1062</v>
      </c>
      <c r="D513" s="177" t="s">
        <v>1016</v>
      </c>
      <c r="E513" s="141" t="s">
        <v>14</v>
      </c>
      <c r="F513" s="10"/>
      <c r="G513" s="39"/>
      <c r="H513" s="39"/>
      <c r="I513" s="183"/>
      <c r="J513" s="29"/>
      <c r="K513" s="24"/>
      <c r="L513" s="25"/>
      <c r="M513" s="69"/>
      <c r="N513" s="77"/>
      <c r="O513" s="73"/>
      <c r="P513" s="74"/>
      <c r="Q513" s="74"/>
      <c r="R513" s="75"/>
      <c r="S513" s="61"/>
      <c r="T513" s="60"/>
      <c r="U513" s="74"/>
      <c r="V513" s="76"/>
      <c r="W513" s="24"/>
      <c r="X513" s="25"/>
      <c r="Y513" s="77"/>
      <c r="Z513" s="106"/>
      <c r="AA513" s="73"/>
      <c r="AB513" s="88"/>
      <c r="AC513" s="116"/>
      <c r="AD513" s="74"/>
      <c r="AE513" s="76"/>
      <c r="AF513" s="24"/>
      <c r="AG513" s="25"/>
      <c r="AH513" s="77"/>
      <c r="AI513" s="77"/>
      <c r="AJ513" s="73"/>
      <c r="AK513" s="79"/>
      <c r="AL513" s="79"/>
      <c r="AM513" s="127"/>
      <c r="AN513" s="128"/>
      <c r="AO513" s="128"/>
      <c r="AP513" s="133"/>
      <c r="AQ513" s="127"/>
      <c r="AR513" s="134"/>
      <c r="AS513" s="132"/>
      <c r="AT513" s="10">
        <v>25659</v>
      </c>
      <c r="AU513" s="10">
        <v>300506</v>
      </c>
      <c r="AV513" s="167">
        <v>901518</v>
      </c>
      <c r="AW513" s="168">
        <v>156000</v>
      </c>
      <c r="AX513" s="29">
        <f t="shared" si="674"/>
        <v>228253</v>
      </c>
      <c r="AY513" s="24">
        <f t="shared" si="675"/>
        <v>202594</v>
      </c>
      <c r="AZ513" s="25">
        <f t="shared" si="676"/>
        <v>7.8956311625550493</v>
      </c>
      <c r="BA513" s="24">
        <f t="shared" si="677"/>
        <v>875859</v>
      </c>
      <c r="BB513" s="169">
        <f t="shared" si="678"/>
        <v>34.134572664562143</v>
      </c>
      <c r="BC513" s="170">
        <f t="shared" si="679"/>
        <v>228253</v>
      </c>
      <c r="BD513" s="150"/>
      <c r="BE513" s="150"/>
      <c r="BF513" s="150"/>
      <c r="BG513" s="150"/>
      <c r="BH513" s="150"/>
      <c r="BI513" s="150"/>
      <c r="BJ513" s="150"/>
      <c r="BK513" s="150"/>
      <c r="BL513" s="150"/>
      <c r="BM513" s="293"/>
      <c r="BN513" s="293"/>
      <c r="BO513" s="293"/>
      <c r="BP513" s="293"/>
      <c r="BQ513" s="293"/>
      <c r="BR513" s="293"/>
      <c r="BS513" s="293"/>
      <c r="BT513" s="293"/>
    </row>
    <row r="514" spans="1:72" s="1" customFormat="1" ht="45.95" customHeight="1">
      <c r="A514" s="91"/>
      <c r="B514" s="358" t="s">
        <v>2706</v>
      </c>
      <c r="C514" s="50" t="s">
        <v>1063</v>
      </c>
      <c r="D514" s="177" t="s">
        <v>1017</v>
      </c>
      <c r="E514" s="141" t="s">
        <v>13</v>
      </c>
      <c r="F514" s="10"/>
      <c r="G514" s="39"/>
      <c r="H514" s="39"/>
      <c r="I514" s="183"/>
      <c r="J514" s="29"/>
      <c r="K514" s="24"/>
      <c r="L514" s="25"/>
      <c r="M514" s="69"/>
      <c r="N514" s="77"/>
      <c r="O514" s="73"/>
      <c r="P514" s="74"/>
      <c r="Q514" s="74"/>
      <c r="R514" s="75"/>
      <c r="S514" s="61"/>
      <c r="T514" s="60"/>
      <c r="U514" s="74"/>
      <c r="V514" s="76"/>
      <c r="W514" s="24"/>
      <c r="X514" s="25"/>
      <c r="Y514" s="77"/>
      <c r="Z514" s="106"/>
      <c r="AA514" s="73"/>
      <c r="AB514" s="88"/>
      <c r="AC514" s="116"/>
      <c r="AD514" s="74"/>
      <c r="AE514" s="76"/>
      <c r="AF514" s="24"/>
      <c r="AG514" s="25"/>
      <c r="AH514" s="77"/>
      <c r="AI514" s="77"/>
      <c r="AJ514" s="73"/>
      <c r="AK514" s="79"/>
      <c r="AL514" s="79"/>
      <c r="AM514" s="127"/>
      <c r="AN514" s="128"/>
      <c r="AO514" s="128"/>
      <c r="AP514" s="133"/>
      <c r="AQ514" s="127"/>
      <c r="AR514" s="134"/>
      <c r="AS514" s="132"/>
      <c r="AT514" s="10">
        <v>65081</v>
      </c>
      <c r="AU514" s="10">
        <v>250000</v>
      </c>
      <c r="AV514" s="167">
        <v>500000</v>
      </c>
      <c r="AW514" s="168">
        <v>385000</v>
      </c>
      <c r="AX514" s="29">
        <f t="shared" si="674"/>
        <v>317500</v>
      </c>
      <c r="AY514" s="24">
        <f t="shared" si="675"/>
        <v>252419</v>
      </c>
      <c r="AZ514" s="25">
        <f t="shared" si="676"/>
        <v>3.878535978242498</v>
      </c>
      <c r="BA514" s="24">
        <f t="shared" si="677"/>
        <v>434919</v>
      </c>
      <c r="BB514" s="169">
        <f t="shared" si="678"/>
        <v>6.6827338240039333</v>
      </c>
      <c r="BC514" s="170">
        <f t="shared" si="679"/>
        <v>317500</v>
      </c>
      <c r="BD514" s="150"/>
      <c r="BE514" s="150"/>
      <c r="BF514" s="150"/>
      <c r="BG514" s="150"/>
      <c r="BH514" s="150"/>
      <c r="BI514" s="150"/>
      <c r="BJ514" s="150"/>
      <c r="BK514" s="150"/>
      <c r="BL514" s="150"/>
      <c r="BM514" s="293"/>
      <c r="BN514" s="293"/>
      <c r="BO514" s="293"/>
      <c r="BP514" s="293"/>
      <c r="BQ514" s="293"/>
      <c r="BR514" s="293"/>
      <c r="BS514" s="293"/>
      <c r="BT514" s="293"/>
    </row>
    <row r="515" spans="1:72" s="1" customFormat="1" ht="45.95" customHeight="1">
      <c r="A515" s="91"/>
      <c r="B515" s="358" t="s">
        <v>2707</v>
      </c>
      <c r="C515" s="50" t="s">
        <v>1064</v>
      </c>
      <c r="D515" s="177" t="s">
        <v>1018</v>
      </c>
      <c r="E515" s="141" t="s">
        <v>13</v>
      </c>
      <c r="F515" s="10"/>
      <c r="G515" s="39"/>
      <c r="H515" s="39"/>
      <c r="I515" s="183"/>
      <c r="J515" s="29"/>
      <c r="K515" s="24"/>
      <c r="L515" s="25"/>
      <c r="M515" s="69"/>
      <c r="N515" s="77"/>
      <c r="O515" s="73"/>
      <c r="P515" s="74"/>
      <c r="Q515" s="74"/>
      <c r="R515" s="75"/>
      <c r="S515" s="61"/>
      <c r="T515" s="60"/>
      <c r="U515" s="74"/>
      <c r="V515" s="76"/>
      <c r="W515" s="24"/>
      <c r="X515" s="25"/>
      <c r="Y515" s="77"/>
      <c r="Z515" s="106"/>
      <c r="AA515" s="73"/>
      <c r="AB515" s="88"/>
      <c r="AC515" s="116"/>
      <c r="AD515" s="74"/>
      <c r="AE515" s="76"/>
      <c r="AF515" s="24"/>
      <c r="AG515" s="25"/>
      <c r="AH515" s="77"/>
      <c r="AI515" s="77"/>
      <c r="AJ515" s="73"/>
      <c r="AK515" s="79"/>
      <c r="AL515" s="79"/>
      <c r="AM515" s="127"/>
      <c r="AN515" s="128"/>
      <c r="AO515" s="128"/>
      <c r="AP515" s="133"/>
      <c r="AQ515" s="127"/>
      <c r="AR515" s="134"/>
      <c r="AS515" s="132"/>
      <c r="AT515" s="10">
        <v>35265</v>
      </c>
      <c r="AU515" s="10"/>
      <c r="AV515" s="167">
        <v>250000</v>
      </c>
      <c r="AW515" s="168">
        <v>35000</v>
      </c>
      <c r="AX515" s="29">
        <f t="shared" si="674"/>
        <v>35000</v>
      </c>
      <c r="AY515" s="24">
        <f t="shared" si="675"/>
        <v>-265</v>
      </c>
      <c r="AZ515" s="25">
        <f t="shared" si="676"/>
        <v>-7.5145328229122357E-3</v>
      </c>
      <c r="BA515" s="24">
        <f t="shared" si="677"/>
        <v>214735</v>
      </c>
      <c r="BB515" s="169">
        <f t="shared" si="678"/>
        <v>6.0891819084077694</v>
      </c>
      <c r="BC515" s="170">
        <f t="shared" si="679"/>
        <v>35000</v>
      </c>
      <c r="BD515" s="150"/>
      <c r="BE515" s="150"/>
      <c r="BF515" s="150"/>
      <c r="BG515" s="150"/>
      <c r="BH515" s="150"/>
      <c r="BI515" s="150"/>
      <c r="BJ515" s="150"/>
      <c r="BK515" s="150"/>
      <c r="BL515" s="150"/>
      <c r="BM515" s="293"/>
      <c r="BN515" s="293"/>
      <c r="BO515" s="293"/>
      <c r="BP515" s="293"/>
      <c r="BQ515" s="293"/>
      <c r="BR515" s="293"/>
      <c r="BS515" s="293"/>
      <c r="BT515" s="293"/>
    </row>
    <row r="516" spans="1:72" s="1" customFormat="1" ht="45.95" customHeight="1">
      <c r="A516" s="91"/>
      <c r="B516" s="358" t="s">
        <v>2708</v>
      </c>
      <c r="C516" s="50" t="s">
        <v>1065</v>
      </c>
      <c r="D516" s="177" t="s">
        <v>1019</v>
      </c>
      <c r="E516" s="141" t="s">
        <v>13</v>
      </c>
      <c r="F516" s="10"/>
      <c r="G516" s="39"/>
      <c r="H516" s="39"/>
      <c r="I516" s="183"/>
      <c r="J516" s="29"/>
      <c r="K516" s="24"/>
      <c r="L516" s="25"/>
      <c r="M516" s="69"/>
      <c r="N516" s="77"/>
      <c r="O516" s="73"/>
      <c r="P516" s="74"/>
      <c r="Q516" s="74"/>
      <c r="R516" s="75"/>
      <c r="S516" s="61"/>
      <c r="T516" s="60"/>
      <c r="U516" s="74"/>
      <c r="V516" s="76"/>
      <c r="W516" s="24"/>
      <c r="X516" s="25"/>
      <c r="Y516" s="77"/>
      <c r="Z516" s="106"/>
      <c r="AA516" s="73"/>
      <c r="AB516" s="88"/>
      <c r="AC516" s="116"/>
      <c r="AD516" s="74"/>
      <c r="AE516" s="76"/>
      <c r="AF516" s="24"/>
      <c r="AG516" s="25"/>
      <c r="AH516" s="77"/>
      <c r="AI516" s="77"/>
      <c r="AJ516" s="73"/>
      <c r="AK516" s="79"/>
      <c r="AL516" s="79"/>
      <c r="AM516" s="127"/>
      <c r="AN516" s="128"/>
      <c r="AO516" s="128"/>
      <c r="AP516" s="133"/>
      <c r="AQ516" s="127"/>
      <c r="AR516" s="134"/>
      <c r="AS516" s="132"/>
      <c r="AT516" s="10">
        <v>84218</v>
      </c>
      <c r="AU516" s="10">
        <v>155000</v>
      </c>
      <c r="AV516" s="167">
        <v>310000</v>
      </c>
      <c r="AW516" s="168">
        <v>195000</v>
      </c>
      <c r="AX516" s="29">
        <f t="shared" si="674"/>
        <v>175000</v>
      </c>
      <c r="AY516" s="24">
        <f t="shared" si="675"/>
        <v>90782</v>
      </c>
      <c r="AZ516" s="25">
        <f t="shared" si="676"/>
        <v>1.0779405827732789</v>
      </c>
      <c r="BA516" s="24">
        <f t="shared" si="677"/>
        <v>225782</v>
      </c>
      <c r="BB516" s="169">
        <f t="shared" si="678"/>
        <v>2.6809233180555228</v>
      </c>
      <c r="BC516" s="170">
        <f t="shared" si="679"/>
        <v>175000</v>
      </c>
      <c r="BD516" s="150"/>
      <c r="BE516" s="150"/>
      <c r="BF516" s="150"/>
      <c r="BG516" s="150"/>
      <c r="BH516" s="150"/>
      <c r="BI516" s="150"/>
      <c r="BJ516" s="150"/>
      <c r="BK516" s="150"/>
      <c r="BL516" s="150"/>
      <c r="BM516" s="293"/>
      <c r="BN516" s="293"/>
      <c r="BO516" s="293"/>
      <c r="BP516" s="293"/>
      <c r="BQ516" s="293"/>
      <c r="BR516" s="293"/>
      <c r="BS516" s="293"/>
      <c r="BT516" s="293"/>
    </row>
    <row r="517" spans="1:72" s="1" customFormat="1" ht="45.95" customHeight="1">
      <c r="A517" s="91"/>
      <c r="B517" s="358" t="s">
        <v>2709</v>
      </c>
      <c r="C517" s="50" t="s">
        <v>1066</v>
      </c>
      <c r="D517" s="177" t="s">
        <v>1020</v>
      </c>
      <c r="E517" s="141" t="s">
        <v>14</v>
      </c>
      <c r="F517" s="10"/>
      <c r="G517" s="39"/>
      <c r="H517" s="39"/>
      <c r="I517" s="183"/>
      <c r="J517" s="29"/>
      <c r="K517" s="24"/>
      <c r="L517" s="25"/>
      <c r="M517" s="69"/>
      <c r="N517" s="77"/>
      <c r="O517" s="73"/>
      <c r="P517" s="74"/>
      <c r="Q517" s="74"/>
      <c r="R517" s="75"/>
      <c r="S517" s="61"/>
      <c r="T517" s="60"/>
      <c r="U517" s="74"/>
      <c r="V517" s="76"/>
      <c r="W517" s="24"/>
      <c r="X517" s="25"/>
      <c r="Y517" s="77"/>
      <c r="Z517" s="106"/>
      <c r="AA517" s="73"/>
      <c r="AB517" s="88"/>
      <c r="AC517" s="116"/>
      <c r="AD517" s="74"/>
      <c r="AE517" s="76"/>
      <c r="AF517" s="24"/>
      <c r="AG517" s="25"/>
      <c r="AH517" s="77"/>
      <c r="AI517" s="77"/>
      <c r="AJ517" s="73"/>
      <c r="AK517" s="79"/>
      <c r="AL517" s="79"/>
      <c r="AM517" s="127"/>
      <c r="AN517" s="128"/>
      <c r="AO517" s="128"/>
      <c r="AP517" s="133"/>
      <c r="AQ517" s="127"/>
      <c r="AR517" s="134"/>
      <c r="AS517" s="132"/>
      <c r="AT517" s="10">
        <v>61550</v>
      </c>
      <c r="AU517" s="10">
        <v>65000</v>
      </c>
      <c r="AV517" s="167">
        <v>130000</v>
      </c>
      <c r="AW517" s="168">
        <v>58700</v>
      </c>
      <c r="AX517" s="29">
        <f t="shared" si="674"/>
        <v>61850</v>
      </c>
      <c r="AY517" s="24">
        <f t="shared" si="675"/>
        <v>300</v>
      </c>
      <c r="AZ517" s="25">
        <f t="shared" si="676"/>
        <v>4.87408610885459E-3</v>
      </c>
      <c r="BA517" s="24">
        <f t="shared" si="677"/>
        <v>68450</v>
      </c>
      <c r="BB517" s="169">
        <f t="shared" si="678"/>
        <v>1.1121039805036557</v>
      </c>
      <c r="BC517" s="170">
        <f t="shared" si="679"/>
        <v>61850</v>
      </c>
      <c r="BD517" s="150"/>
      <c r="BE517" s="150"/>
      <c r="BF517" s="150"/>
      <c r="BG517" s="150"/>
      <c r="BH517" s="150"/>
      <c r="BI517" s="150"/>
      <c r="BJ517" s="150"/>
      <c r="BK517" s="150"/>
      <c r="BL517" s="150"/>
      <c r="BM517" s="293"/>
      <c r="BN517" s="293"/>
      <c r="BO517" s="293"/>
      <c r="BP517" s="293"/>
      <c r="BQ517" s="293"/>
      <c r="BR517" s="293"/>
      <c r="BS517" s="293"/>
      <c r="BT517" s="293"/>
    </row>
    <row r="518" spans="1:72" s="1" customFormat="1" ht="45.95" customHeight="1">
      <c r="A518" s="91"/>
      <c r="B518" s="358" t="s">
        <v>2710</v>
      </c>
      <c r="C518" s="50" t="s">
        <v>1067</v>
      </c>
      <c r="D518" s="177" t="s">
        <v>1021</v>
      </c>
      <c r="E518" s="141" t="s">
        <v>14</v>
      </c>
      <c r="F518" s="10"/>
      <c r="G518" s="39"/>
      <c r="H518" s="39"/>
      <c r="I518" s="183"/>
      <c r="J518" s="29"/>
      <c r="K518" s="24"/>
      <c r="L518" s="25"/>
      <c r="M518" s="69"/>
      <c r="N518" s="77"/>
      <c r="O518" s="73"/>
      <c r="P518" s="74"/>
      <c r="Q518" s="74"/>
      <c r="R518" s="75"/>
      <c r="S518" s="61"/>
      <c r="T518" s="60"/>
      <c r="U518" s="74"/>
      <c r="V518" s="76"/>
      <c r="W518" s="24"/>
      <c r="X518" s="25"/>
      <c r="Y518" s="77"/>
      <c r="Z518" s="106"/>
      <c r="AA518" s="73"/>
      <c r="AB518" s="88"/>
      <c r="AC518" s="116"/>
      <c r="AD518" s="74"/>
      <c r="AE518" s="76"/>
      <c r="AF518" s="24"/>
      <c r="AG518" s="25"/>
      <c r="AH518" s="77"/>
      <c r="AI518" s="77"/>
      <c r="AJ518" s="73"/>
      <c r="AK518" s="79"/>
      <c r="AL518" s="79"/>
      <c r="AM518" s="127"/>
      <c r="AN518" s="128"/>
      <c r="AO518" s="128"/>
      <c r="AP518" s="133"/>
      <c r="AQ518" s="127"/>
      <c r="AR518" s="134"/>
      <c r="AS518" s="132"/>
      <c r="AT518" s="10">
        <v>179901</v>
      </c>
      <c r="AU518" s="10">
        <v>240000</v>
      </c>
      <c r="AV518" s="167">
        <v>240000</v>
      </c>
      <c r="AW518" s="168">
        <v>201200</v>
      </c>
      <c r="AX518" s="29">
        <f t="shared" si="674"/>
        <v>220600</v>
      </c>
      <c r="AY518" s="24">
        <f t="shared" si="675"/>
        <v>40699</v>
      </c>
      <c r="AZ518" s="25">
        <f t="shared" si="676"/>
        <v>0.22622998204568068</v>
      </c>
      <c r="BA518" s="24">
        <f t="shared" si="677"/>
        <v>60099</v>
      </c>
      <c r="BB518" s="169">
        <f t="shared" si="678"/>
        <v>0.33406707022195542</v>
      </c>
      <c r="BC518" s="170">
        <f t="shared" si="679"/>
        <v>220600</v>
      </c>
      <c r="BD518" s="150"/>
      <c r="BE518" s="150"/>
      <c r="BF518" s="150"/>
      <c r="BG518" s="150"/>
      <c r="BH518" s="150"/>
      <c r="BI518" s="150"/>
      <c r="BJ518" s="150"/>
      <c r="BK518" s="150"/>
      <c r="BL518" s="150"/>
      <c r="BM518" s="293"/>
      <c r="BN518" s="293"/>
      <c r="BO518" s="293"/>
      <c r="BP518" s="293"/>
      <c r="BQ518" s="293"/>
      <c r="BR518" s="293"/>
      <c r="BS518" s="293"/>
      <c r="BT518" s="293"/>
    </row>
    <row r="519" spans="1:72" s="1" customFormat="1" ht="45.95" customHeight="1">
      <c r="A519" s="91"/>
      <c r="B519" s="358" t="s">
        <v>2711</v>
      </c>
      <c r="C519" s="50" t="s">
        <v>1068</v>
      </c>
      <c r="D519" s="177" t="s">
        <v>1022</v>
      </c>
      <c r="E519" s="141" t="s">
        <v>13</v>
      </c>
      <c r="F519" s="10"/>
      <c r="G519" s="39"/>
      <c r="H519" s="39"/>
      <c r="I519" s="183"/>
      <c r="J519" s="29"/>
      <c r="K519" s="24"/>
      <c r="L519" s="25"/>
      <c r="M519" s="69"/>
      <c r="N519" s="77"/>
      <c r="O519" s="73"/>
      <c r="P519" s="74"/>
      <c r="Q519" s="74"/>
      <c r="R519" s="75"/>
      <c r="S519" s="61"/>
      <c r="T519" s="60"/>
      <c r="U519" s="74"/>
      <c r="V519" s="76"/>
      <c r="W519" s="24"/>
      <c r="X519" s="25"/>
      <c r="Y519" s="77"/>
      <c r="Z519" s="106"/>
      <c r="AA519" s="73"/>
      <c r="AB519" s="88"/>
      <c r="AC519" s="116"/>
      <c r="AD519" s="74"/>
      <c r="AE519" s="76"/>
      <c r="AF519" s="24"/>
      <c r="AG519" s="25"/>
      <c r="AH519" s="77"/>
      <c r="AI519" s="77"/>
      <c r="AJ519" s="73"/>
      <c r="AK519" s="79"/>
      <c r="AL519" s="79"/>
      <c r="AM519" s="127"/>
      <c r="AN519" s="128"/>
      <c r="AO519" s="128"/>
      <c r="AP519" s="133"/>
      <c r="AQ519" s="127"/>
      <c r="AR519" s="134"/>
      <c r="AS519" s="132"/>
      <c r="AT519" s="10">
        <v>119492</v>
      </c>
      <c r="AU519" s="10">
        <v>250000</v>
      </c>
      <c r="AV519" s="167">
        <v>250000</v>
      </c>
      <c r="AW519" s="168">
        <v>218900</v>
      </c>
      <c r="AX519" s="29">
        <f t="shared" si="674"/>
        <v>234450</v>
      </c>
      <c r="AY519" s="24">
        <f t="shared" si="675"/>
        <v>114958</v>
      </c>
      <c r="AZ519" s="25">
        <f t="shared" si="676"/>
        <v>0.96205603722424937</v>
      </c>
      <c r="BA519" s="24">
        <f t="shared" si="677"/>
        <v>130508</v>
      </c>
      <c r="BB519" s="169">
        <f t="shared" si="678"/>
        <v>1.0921902721521106</v>
      </c>
      <c r="BC519" s="170">
        <f t="shared" si="679"/>
        <v>234450</v>
      </c>
      <c r="BD519" s="150"/>
      <c r="BE519" s="150"/>
      <c r="BF519" s="150"/>
      <c r="BG519" s="150"/>
      <c r="BH519" s="150"/>
      <c r="BI519" s="150"/>
      <c r="BJ519" s="150"/>
      <c r="BK519" s="150"/>
      <c r="BL519" s="150"/>
      <c r="BM519" s="293"/>
      <c r="BN519" s="293"/>
      <c r="BO519" s="293"/>
      <c r="BP519" s="293"/>
      <c r="BQ519" s="293"/>
      <c r="BR519" s="293"/>
      <c r="BS519" s="293"/>
      <c r="BT519" s="293"/>
    </row>
    <row r="520" spans="1:72" s="1" customFormat="1" ht="45.95" customHeight="1">
      <c r="A520" s="91"/>
      <c r="B520" s="358" t="s">
        <v>2712</v>
      </c>
      <c r="C520" s="50" t="s">
        <v>1069</v>
      </c>
      <c r="D520" s="177" t="s">
        <v>1023</v>
      </c>
      <c r="E520" s="141" t="s">
        <v>14</v>
      </c>
      <c r="F520" s="10"/>
      <c r="G520" s="39"/>
      <c r="H520" s="39"/>
      <c r="I520" s="183"/>
      <c r="J520" s="29"/>
      <c r="K520" s="24"/>
      <c r="L520" s="25"/>
      <c r="M520" s="69"/>
      <c r="N520" s="77"/>
      <c r="O520" s="73"/>
      <c r="P520" s="74"/>
      <c r="Q520" s="74"/>
      <c r="R520" s="75"/>
      <c r="S520" s="61"/>
      <c r="T520" s="60"/>
      <c r="U520" s="74"/>
      <c r="V520" s="76"/>
      <c r="W520" s="24"/>
      <c r="X520" s="25"/>
      <c r="Y520" s="77"/>
      <c r="Z520" s="106"/>
      <c r="AA520" s="73"/>
      <c r="AB520" s="88"/>
      <c r="AC520" s="116"/>
      <c r="AD520" s="74"/>
      <c r="AE520" s="76"/>
      <c r="AF520" s="24"/>
      <c r="AG520" s="25"/>
      <c r="AH520" s="77"/>
      <c r="AI520" s="77"/>
      <c r="AJ520" s="73"/>
      <c r="AK520" s="79"/>
      <c r="AL520" s="79"/>
      <c r="AM520" s="127"/>
      <c r="AN520" s="128"/>
      <c r="AO520" s="128"/>
      <c r="AP520" s="133"/>
      <c r="AQ520" s="127"/>
      <c r="AR520" s="134"/>
      <c r="AS520" s="132"/>
      <c r="AT520" s="10">
        <v>121817</v>
      </c>
      <c r="AU520" s="10">
        <v>50132</v>
      </c>
      <c r="AV520" s="167">
        <v>50132</v>
      </c>
      <c r="AW520" s="168">
        <v>89000</v>
      </c>
      <c r="AX520" s="29">
        <f t="shared" si="674"/>
        <v>69566</v>
      </c>
      <c r="AY520" s="24">
        <f t="shared" si="675"/>
        <v>-52251</v>
      </c>
      <c r="AZ520" s="25">
        <f t="shared" si="676"/>
        <v>-0.42893028066690198</v>
      </c>
      <c r="BA520" s="24">
        <f t="shared" si="677"/>
        <v>-71685</v>
      </c>
      <c r="BB520" s="169">
        <f t="shared" si="678"/>
        <v>-0.58846466420942889</v>
      </c>
      <c r="BC520" s="170">
        <f t="shared" si="679"/>
        <v>69566</v>
      </c>
      <c r="BD520" s="150"/>
      <c r="BE520" s="150"/>
      <c r="BF520" s="150"/>
      <c r="BG520" s="150"/>
      <c r="BH520" s="150"/>
      <c r="BI520" s="150"/>
      <c r="BJ520" s="150"/>
      <c r="BK520" s="150"/>
      <c r="BL520" s="150"/>
      <c r="BM520" s="293"/>
      <c r="BN520" s="293"/>
      <c r="BO520" s="293"/>
      <c r="BP520" s="293"/>
      <c r="BQ520" s="293"/>
      <c r="BR520" s="293"/>
      <c r="BS520" s="293"/>
      <c r="BT520" s="293"/>
    </row>
    <row r="521" spans="1:72" s="1" customFormat="1" ht="45.95" customHeight="1">
      <c r="A521" s="91"/>
      <c r="B521" s="358" t="s">
        <v>2713</v>
      </c>
      <c r="C521" s="50" t="s">
        <v>1070</v>
      </c>
      <c r="D521" s="177" t="s">
        <v>1024</v>
      </c>
      <c r="E521" s="141" t="s">
        <v>13</v>
      </c>
      <c r="F521" s="10"/>
      <c r="G521" s="39"/>
      <c r="H521" s="39"/>
      <c r="I521" s="183"/>
      <c r="J521" s="29"/>
      <c r="K521" s="24"/>
      <c r="L521" s="25"/>
      <c r="M521" s="69"/>
      <c r="N521" s="77"/>
      <c r="O521" s="73"/>
      <c r="P521" s="74"/>
      <c r="Q521" s="74"/>
      <c r="R521" s="75"/>
      <c r="S521" s="61"/>
      <c r="T521" s="60"/>
      <c r="U521" s="74"/>
      <c r="V521" s="76"/>
      <c r="W521" s="24"/>
      <c r="X521" s="25"/>
      <c r="Y521" s="77"/>
      <c r="Z521" s="106"/>
      <c r="AA521" s="73"/>
      <c r="AB521" s="88"/>
      <c r="AC521" s="116"/>
      <c r="AD521" s="74"/>
      <c r="AE521" s="76"/>
      <c r="AF521" s="24"/>
      <c r="AG521" s="25"/>
      <c r="AH521" s="77"/>
      <c r="AI521" s="77"/>
      <c r="AJ521" s="73"/>
      <c r="AK521" s="79"/>
      <c r="AL521" s="79"/>
      <c r="AM521" s="127"/>
      <c r="AN521" s="128"/>
      <c r="AO521" s="128"/>
      <c r="AP521" s="133"/>
      <c r="AQ521" s="127"/>
      <c r="AR521" s="134"/>
      <c r="AS521" s="132"/>
      <c r="AT521" s="10">
        <v>57003</v>
      </c>
      <c r="AU521" s="10">
        <v>65000</v>
      </c>
      <c r="AV521" s="167">
        <v>195000</v>
      </c>
      <c r="AW521" s="168">
        <v>55000</v>
      </c>
      <c r="AX521" s="29">
        <f t="shared" si="674"/>
        <v>60000</v>
      </c>
      <c r="AY521" s="24">
        <f t="shared" si="675"/>
        <v>2997</v>
      </c>
      <c r="AZ521" s="25">
        <f t="shared" si="676"/>
        <v>5.2576180201042051E-2</v>
      </c>
      <c r="BA521" s="24">
        <f t="shared" si="677"/>
        <v>137997</v>
      </c>
      <c r="BB521" s="169">
        <f t="shared" si="678"/>
        <v>2.4208725856533868</v>
      </c>
      <c r="BC521" s="170">
        <f t="shared" si="679"/>
        <v>60000</v>
      </c>
      <c r="BD521" s="150"/>
      <c r="BE521" s="150"/>
      <c r="BF521" s="150"/>
      <c r="BG521" s="150"/>
      <c r="BH521" s="150"/>
      <c r="BI521" s="150"/>
      <c r="BJ521" s="150"/>
      <c r="BK521" s="150"/>
      <c r="BL521" s="150"/>
      <c r="BM521" s="293"/>
      <c r="BN521" s="293"/>
      <c r="BO521" s="293"/>
      <c r="BP521" s="293"/>
      <c r="BQ521" s="293"/>
      <c r="BR521" s="293"/>
      <c r="BS521" s="293"/>
      <c r="BT521" s="293"/>
    </row>
    <row r="522" spans="1:72" s="1" customFormat="1" ht="45.95" customHeight="1">
      <c r="A522" s="91"/>
      <c r="B522" s="358" t="s">
        <v>2714</v>
      </c>
      <c r="C522" s="50" t="s">
        <v>1071</v>
      </c>
      <c r="D522" s="177" t="s">
        <v>1025</v>
      </c>
      <c r="E522" s="141" t="s">
        <v>13</v>
      </c>
      <c r="F522" s="10"/>
      <c r="G522" s="39"/>
      <c r="H522" s="39"/>
      <c r="I522" s="183"/>
      <c r="J522" s="29"/>
      <c r="K522" s="24"/>
      <c r="L522" s="25"/>
      <c r="M522" s="69"/>
      <c r="N522" s="77"/>
      <c r="O522" s="73"/>
      <c r="P522" s="74"/>
      <c r="Q522" s="74"/>
      <c r="R522" s="75"/>
      <c r="S522" s="61"/>
      <c r="T522" s="60"/>
      <c r="U522" s="74"/>
      <c r="V522" s="76"/>
      <c r="W522" s="24"/>
      <c r="X522" s="25"/>
      <c r="Y522" s="77"/>
      <c r="Z522" s="106"/>
      <c r="AA522" s="73"/>
      <c r="AB522" s="88"/>
      <c r="AC522" s="116"/>
      <c r="AD522" s="74"/>
      <c r="AE522" s="76"/>
      <c r="AF522" s="24"/>
      <c r="AG522" s="25"/>
      <c r="AH522" s="77"/>
      <c r="AI522" s="77"/>
      <c r="AJ522" s="73"/>
      <c r="AK522" s="79"/>
      <c r="AL522" s="79"/>
      <c r="AM522" s="127"/>
      <c r="AN522" s="128"/>
      <c r="AO522" s="128"/>
      <c r="AP522" s="133"/>
      <c r="AQ522" s="127"/>
      <c r="AR522" s="134"/>
      <c r="AS522" s="132"/>
      <c r="AT522" s="10">
        <v>58959</v>
      </c>
      <c r="AU522" s="10">
        <v>14000</v>
      </c>
      <c r="AV522" s="167">
        <v>28000</v>
      </c>
      <c r="AW522" s="168">
        <v>18700</v>
      </c>
      <c r="AX522" s="29">
        <f t="shared" si="674"/>
        <v>16350</v>
      </c>
      <c r="AY522" s="24">
        <f t="shared" si="675"/>
        <v>-42609</v>
      </c>
      <c r="AZ522" s="25">
        <f t="shared" si="676"/>
        <v>-0.7226886480435557</v>
      </c>
      <c r="BA522" s="24">
        <f t="shared" si="677"/>
        <v>-30959</v>
      </c>
      <c r="BB522" s="169">
        <f t="shared" si="678"/>
        <v>-0.52509370918774068</v>
      </c>
      <c r="BC522" s="170">
        <f t="shared" si="679"/>
        <v>16350</v>
      </c>
      <c r="BD522" s="150"/>
      <c r="BE522" s="150"/>
      <c r="BF522" s="150"/>
      <c r="BG522" s="150"/>
      <c r="BH522" s="150"/>
      <c r="BI522" s="150"/>
      <c r="BJ522" s="150"/>
      <c r="BK522" s="150"/>
      <c r="BL522" s="150"/>
      <c r="BM522" s="293"/>
      <c r="BN522" s="293"/>
      <c r="BO522" s="293"/>
      <c r="BP522" s="293"/>
      <c r="BQ522" s="293"/>
      <c r="BR522" s="293"/>
      <c r="BS522" s="293"/>
      <c r="BT522" s="293"/>
    </row>
    <row r="523" spans="1:72" s="1" customFormat="1" ht="45.95" customHeight="1">
      <c r="A523" s="91"/>
      <c r="B523" s="358" t="s">
        <v>2715</v>
      </c>
      <c r="C523" s="50" t="s">
        <v>1072</v>
      </c>
      <c r="D523" s="177" t="s">
        <v>1026</v>
      </c>
      <c r="E523" s="141" t="s">
        <v>13</v>
      </c>
      <c r="F523" s="10"/>
      <c r="G523" s="39"/>
      <c r="H523" s="39"/>
      <c r="I523" s="183"/>
      <c r="J523" s="29"/>
      <c r="K523" s="24"/>
      <c r="L523" s="25"/>
      <c r="M523" s="69"/>
      <c r="N523" s="77"/>
      <c r="O523" s="73"/>
      <c r="P523" s="74"/>
      <c r="Q523" s="74"/>
      <c r="R523" s="75"/>
      <c r="S523" s="61"/>
      <c r="T523" s="60"/>
      <c r="U523" s="74"/>
      <c r="V523" s="76"/>
      <c r="W523" s="24"/>
      <c r="X523" s="25"/>
      <c r="Y523" s="77"/>
      <c r="Z523" s="106"/>
      <c r="AA523" s="73"/>
      <c r="AB523" s="88"/>
      <c r="AC523" s="116"/>
      <c r="AD523" s="74"/>
      <c r="AE523" s="76"/>
      <c r="AF523" s="24"/>
      <c r="AG523" s="25"/>
      <c r="AH523" s="77"/>
      <c r="AI523" s="77"/>
      <c r="AJ523" s="73"/>
      <c r="AK523" s="79"/>
      <c r="AL523" s="79"/>
      <c r="AM523" s="127"/>
      <c r="AN523" s="128"/>
      <c r="AO523" s="128"/>
      <c r="AP523" s="133"/>
      <c r="AQ523" s="127"/>
      <c r="AR523" s="134"/>
      <c r="AS523" s="132"/>
      <c r="AT523" s="10">
        <v>105253</v>
      </c>
      <c r="AU523" s="10">
        <v>25000</v>
      </c>
      <c r="AV523" s="167">
        <v>75000</v>
      </c>
      <c r="AW523" s="168">
        <v>185000</v>
      </c>
      <c r="AX523" s="29">
        <f t="shared" si="674"/>
        <v>105000</v>
      </c>
      <c r="AY523" s="24">
        <f t="shared" si="675"/>
        <v>-253</v>
      </c>
      <c r="AZ523" s="25">
        <f t="shared" si="676"/>
        <v>-2.4037319601341528E-3</v>
      </c>
      <c r="BA523" s="24">
        <f t="shared" si="677"/>
        <v>-30253</v>
      </c>
      <c r="BB523" s="169">
        <f t="shared" si="678"/>
        <v>-0.28743123711438151</v>
      </c>
      <c r="BC523" s="170">
        <f t="shared" si="679"/>
        <v>105000</v>
      </c>
      <c r="BD523" s="150"/>
      <c r="BE523" s="150"/>
      <c r="BF523" s="150"/>
      <c r="BG523" s="150"/>
      <c r="BH523" s="150"/>
      <c r="BI523" s="150"/>
      <c r="BJ523" s="150"/>
      <c r="BK523" s="150"/>
      <c r="BL523" s="150"/>
      <c r="BM523" s="293"/>
      <c r="BN523" s="293"/>
      <c r="BO523" s="293"/>
      <c r="BP523" s="293"/>
      <c r="BQ523" s="293"/>
      <c r="BR523" s="293"/>
      <c r="BS523" s="293"/>
      <c r="BT523" s="293"/>
    </row>
    <row r="524" spans="1:72" s="1" customFormat="1" ht="45.95" customHeight="1">
      <c r="A524" s="91"/>
      <c r="B524" s="358" t="s">
        <v>2716</v>
      </c>
      <c r="C524" s="50" t="s">
        <v>1708</v>
      </c>
      <c r="D524" s="264" t="s">
        <v>1691</v>
      </c>
      <c r="E524" s="262" t="s">
        <v>1399</v>
      </c>
      <c r="F524" s="10"/>
      <c r="G524" s="39"/>
      <c r="H524" s="39"/>
      <c r="I524" s="183"/>
      <c r="J524" s="29"/>
      <c r="K524" s="24"/>
      <c r="L524" s="25"/>
      <c r="M524" s="69"/>
      <c r="N524" s="77"/>
      <c r="O524" s="73"/>
      <c r="P524" s="74"/>
      <c r="Q524" s="74"/>
      <c r="R524" s="75"/>
      <c r="S524" s="61"/>
      <c r="T524" s="60"/>
      <c r="U524" s="74"/>
      <c r="V524" s="76"/>
      <c r="W524" s="24"/>
      <c r="X524" s="25"/>
      <c r="Y524" s="77"/>
      <c r="Z524" s="106"/>
      <c r="AA524" s="73"/>
      <c r="AB524" s="88"/>
      <c r="AC524" s="116"/>
      <c r="AD524" s="74"/>
      <c r="AE524" s="76"/>
      <c r="AF524" s="24"/>
      <c r="AG524" s="25"/>
      <c r="AH524" s="77"/>
      <c r="AI524" s="77"/>
      <c r="AJ524" s="73"/>
      <c r="AK524" s="79"/>
      <c r="AL524" s="79"/>
      <c r="AM524" s="127"/>
      <c r="AN524" s="128"/>
      <c r="AO524" s="128"/>
      <c r="AP524" s="133"/>
      <c r="AQ524" s="127"/>
      <c r="AR524" s="134"/>
      <c r="AS524" s="132"/>
      <c r="AT524" s="10"/>
      <c r="AU524" s="10"/>
      <c r="AV524" s="167"/>
      <c r="AW524" s="168"/>
      <c r="AX524" s="29"/>
      <c r="AY524" s="24"/>
      <c r="AZ524" s="25"/>
      <c r="BA524" s="24"/>
      <c r="BB524" s="169"/>
      <c r="BC524" s="170"/>
      <c r="BD524" s="10">
        <v>7556</v>
      </c>
      <c r="BE524" s="10">
        <v>90000</v>
      </c>
      <c r="BF524" s="10"/>
      <c r="BG524" s="10"/>
      <c r="BH524" s="10">
        <v>150000</v>
      </c>
      <c r="BI524" s="76">
        <f t="shared" ref="BI524" si="688">AVERAGE(BE524,BF524,BG524,BH524)</f>
        <v>120000</v>
      </c>
      <c r="BJ524" s="24">
        <f t="shared" ref="BJ524" si="689">BI524-BD524</f>
        <v>112444</v>
      </c>
      <c r="BK524" s="25">
        <f t="shared" ref="BK524" si="690">+BJ524/BD524</f>
        <v>14.881418740074114</v>
      </c>
      <c r="BL524" s="259">
        <f t="shared" ref="BL524" si="691">BI524</f>
        <v>120000</v>
      </c>
      <c r="BM524" s="10">
        <v>34801</v>
      </c>
      <c r="BN524" s="325"/>
      <c r="BO524" s="325"/>
      <c r="BP524" s="325">
        <v>25200</v>
      </c>
      <c r="BQ524" s="29">
        <f t="shared" ref="BQ524" si="692">AVERAGE(BN524,BO524,BP524)</f>
        <v>25200</v>
      </c>
      <c r="BR524" s="24">
        <f t="shared" ref="BR524" si="693">BQ524-BM524</f>
        <v>-9601</v>
      </c>
      <c r="BS524" s="25">
        <f t="shared" ref="BS524" si="694">+BR524/BM524</f>
        <v>-0.27588287692882391</v>
      </c>
      <c r="BT524" s="29">
        <f>AVERAGE(BP524,BM524)</f>
        <v>30000.5</v>
      </c>
    </row>
    <row r="525" spans="1:72" s="1" customFormat="1" ht="45.95" customHeight="1">
      <c r="A525" s="91"/>
      <c r="B525" s="358" t="s">
        <v>2717</v>
      </c>
      <c r="C525" s="50" t="s">
        <v>1709</v>
      </c>
      <c r="D525" s="264" t="s">
        <v>1692</v>
      </c>
      <c r="E525" s="262" t="s">
        <v>1399</v>
      </c>
      <c r="F525" s="10"/>
      <c r="G525" s="39"/>
      <c r="H525" s="39"/>
      <c r="I525" s="183"/>
      <c r="J525" s="29"/>
      <c r="K525" s="24"/>
      <c r="L525" s="25"/>
      <c r="M525" s="69"/>
      <c r="N525" s="77"/>
      <c r="O525" s="73"/>
      <c r="P525" s="74"/>
      <c r="Q525" s="74"/>
      <c r="R525" s="75"/>
      <c r="S525" s="61"/>
      <c r="T525" s="60"/>
      <c r="U525" s="74"/>
      <c r="V525" s="76"/>
      <c r="W525" s="24"/>
      <c r="X525" s="25"/>
      <c r="Y525" s="77"/>
      <c r="Z525" s="106"/>
      <c r="AA525" s="73"/>
      <c r="AB525" s="88"/>
      <c r="AC525" s="116"/>
      <c r="AD525" s="74"/>
      <c r="AE525" s="76"/>
      <c r="AF525" s="24"/>
      <c r="AG525" s="25"/>
      <c r="AH525" s="77"/>
      <c r="AI525" s="77"/>
      <c r="AJ525" s="73"/>
      <c r="AK525" s="79"/>
      <c r="AL525" s="79"/>
      <c r="AM525" s="127"/>
      <c r="AN525" s="128"/>
      <c r="AO525" s="128"/>
      <c r="AP525" s="133"/>
      <c r="AQ525" s="127"/>
      <c r="AR525" s="134"/>
      <c r="AS525" s="132"/>
      <c r="AT525" s="10"/>
      <c r="AU525" s="10"/>
      <c r="AV525" s="167"/>
      <c r="AW525" s="168"/>
      <c r="AX525" s="29"/>
      <c r="AY525" s="24"/>
      <c r="AZ525" s="25"/>
      <c r="BA525" s="24"/>
      <c r="BB525" s="169"/>
      <c r="BC525" s="170"/>
      <c r="BD525" s="10">
        <v>330811</v>
      </c>
      <c r="BE525" s="10"/>
      <c r="BF525" s="10"/>
      <c r="BG525" s="10"/>
      <c r="BH525" s="10"/>
      <c r="BI525" s="76"/>
      <c r="BJ525" s="24"/>
      <c r="BK525" s="25"/>
      <c r="BL525" s="310" t="s">
        <v>807</v>
      </c>
      <c r="BM525" s="293"/>
      <c r="BN525" s="293"/>
      <c r="BO525" s="293"/>
      <c r="BP525" s="293"/>
      <c r="BQ525" s="293"/>
      <c r="BR525" s="293"/>
      <c r="BS525" s="293"/>
      <c r="BT525" s="293"/>
    </row>
    <row r="526" spans="1:72" s="1" customFormat="1">
      <c r="A526" s="91"/>
      <c r="B526" s="358" t="s">
        <v>2718</v>
      </c>
      <c r="C526" s="50" t="s">
        <v>1710</v>
      </c>
      <c r="D526" s="264" t="s">
        <v>1693</v>
      </c>
      <c r="E526" s="262" t="s">
        <v>1466</v>
      </c>
      <c r="F526" s="10"/>
      <c r="G526" s="39"/>
      <c r="H526" s="39"/>
      <c r="I526" s="183"/>
      <c r="J526" s="29"/>
      <c r="K526" s="24"/>
      <c r="L526" s="25"/>
      <c r="M526" s="69"/>
      <c r="N526" s="77"/>
      <c r="O526" s="73"/>
      <c r="P526" s="74"/>
      <c r="Q526" s="74"/>
      <c r="R526" s="75"/>
      <c r="S526" s="61"/>
      <c r="T526" s="60"/>
      <c r="U526" s="74"/>
      <c r="V526" s="76"/>
      <c r="W526" s="24"/>
      <c r="X526" s="25"/>
      <c r="Y526" s="77"/>
      <c r="Z526" s="106"/>
      <c r="AA526" s="73"/>
      <c r="AB526" s="88"/>
      <c r="AC526" s="116"/>
      <c r="AD526" s="74"/>
      <c r="AE526" s="76"/>
      <c r="AF526" s="24"/>
      <c r="AG526" s="25"/>
      <c r="AH526" s="77"/>
      <c r="AI526" s="77"/>
      <c r="AJ526" s="73"/>
      <c r="AK526" s="79"/>
      <c r="AL526" s="79"/>
      <c r="AM526" s="127"/>
      <c r="AN526" s="128"/>
      <c r="AO526" s="128"/>
      <c r="AP526" s="133"/>
      <c r="AQ526" s="127"/>
      <c r="AR526" s="134"/>
      <c r="AS526" s="132"/>
      <c r="AT526" s="10"/>
      <c r="AU526" s="10"/>
      <c r="AV526" s="167"/>
      <c r="AW526" s="168"/>
      <c r="AX526" s="29"/>
      <c r="AY526" s="24"/>
      <c r="AZ526" s="25"/>
      <c r="BA526" s="24"/>
      <c r="BB526" s="169"/>
      <c r="BC526" s="170"/>
      <c r="BD526" s="10">
        <v>52362</v>
      </c>
      <c r="BE526" s="10"/>
      <c r="BF526" s="10"/>
      <c r="BG526" s="10"/>
      <c r="BH526" s="10">
        <v>350000</v>
      </c>
      <c r="BI526" s="76">
        <f t="shared" ref="BI526:BI540" si="695">AVERAGE(BE526,BF526,BG526,BH526)</f>
        <v>350000</v>
      </c>
      <c r="BJ526" s="24">
        <f t="shared" ref="BJ526:BJ528" si="696">BI526-BD526</f>
        <v>297638</v>
      </c>
      <c r="BK526" s="25">
        <f t="shared" ref="BK526:BK528" si="697">+BJ526/BD526</f>
        <v>5.6842366601734078</v>
      </c>
      <c r="BL526" s="309">
        <f t="shared" ref="BL526:BL540" si="698">BI526</f>
        <v>350000</v>
      </c>
      <c r="BM526" s="293"/>
      <c r="BN526" s="293"/>
      <c r="BO526" s="293"/>
      <c r="BP526" s="293"/>
      <c r="BQ526" s="293"/>
      <c r="BR526" s="293"/>
      <c r="BS526" s="293"/>
      <c r="BT526" s="293"/>
    </row>
    <row r="527" spans="1:72" s="1" customFormat="1">
      <c r="A527" s="91"/>
      <c r="B527" s="358" t="s">
        <v>2719</v>
      </c>
      <c r="C527" s="50" t="s">
        <v>1711</v>
      </c>
      <c r="D527" s="264" t="s">
        <v>1694</v>
      </c>
      <c r="E527" s="262" t="s">
        <v>1466</v>
      </c>
      <c r="F527" s="10"/>
      <c r="G527" s="39"/>
      <c r="H527" s="39"/>
      <c r="I527" s="183"/>
      <c r="J527" s="29"/>
      <c r="K527" s="24"/>
      <c r="L527" s="25"/>
      <c r="M527" s="69"/>
      <c r="N527" s="77"/>
      <c r="O527" s="73"/>
      <c r="P527" s="74"/>
      <c r="Q527" s="74"/>
      <c r="R527" s="75"/>
      <c r="S527" s="61"/>
      <c r="T527" s="60"/>
      <c r="U527" s="74"/>
      <c r="V527" s="76"/>
      <c r="W527" s="24"/>
      <c r="X527" s="25"/>
      <c r="Y527" s="77"/>
      <c r="Z527" s="106"/>
      <c r="AA527" s="73"/>
      <c r="AB527" s="88"/>
      <c r="AC527" s="116"/>
      <c r="AD527" s="74"/>
      <c r="AE527" s="76"/>
      <c r="AF527" s="24"/>
      <c r="AG527" s="25"/>
      <c r="AH527" s="77"/>
      <c r="AI527" s="77"/>
      <c r="AJ527" s="73"/>
      <c r="AK527" s="79"/>
      <c r="AL527" s="79"/>
      <c r="AM527" s="127"/>
      <c r="AN527" s="128"/>
      <c r="AO527" s="128"/>
      <c r="AP527" s="133"/>
      <c r="AQ527" s="127"/>
      <c r="AR527" s="134"/>
      <c r="AS527" s="132"/>
      <c r="AT527" s="10"/>
      <c r="AU527" s="10"/>
      <c r="AV527" s="167"/>
      <c r="AW527" s="168"/>
      <c r="AX527" s="29"/>
      <c r="AY527" s="24"/>
      <c r="AZ527" s="25"/>
      <c r="BA527" s="24"/>
      <c r="BB527" s="169"/>
      <c r="BC527" s="170"/>
      <c r="BD527" s="10">
        <v>491742</v>
      </c>
      <c r="BE527" s="10"/>
      <c r="BF527" s="10"/>
      <c r="BG527" s="10"/>
      <c r="BH527" s="10">
        <v>600000</v>
      </c>
      <c r="BI527" s="76">
        <f t="shared" si="695"/>
        <v>600000</v>
      </c>
      <c r="BJ527" s="24">
        <f t="shared" si="696"/>
        <v>108258</v>
      </c>
      <c r="BK527" s="25">
        <f t="shared" si="697"/>
        <v>0.22015203094305549</v>
      </c>
      <c r="BL527" s="309">
        <f t="shared" si="698"/>
        <v>600000</v>
      </c>
      <c r="BM527" s="293"/>
      <c r="BN527" s="293"/>
      <c r="BO527" s="293"/>
      <c r="BP527" s="293"/>
      <c r="BQ527" s="293"/>
      <c r="BR527" s="293"/>
      <c r="BS527" s="293"/>
      <c r="BT527" s="293"/>
    </row>
    <row r="528" spans="1:72" s="1" customFormat="1" ht="45.95" customHeight="1">
      <c r="A528" s="91"/>
      <c r="B528" s="358" t="s">
        <v>2720</v>
      </c>
      <c r="C528" s="50" t="s">
        <v>1712</v>
      </c>
      <c r="D528" s="264" t="s">
        <v>1695</v>
      </c>
      <c r="E528" s="262" t="s">
        <v>999</v>
      </c>
      <c r="F528" s="10"/>
      <c r="G528" s="39"/>
      <c r="H528" s="39"/>
      <c r="I528" s="183"/>
      <c r="J528" s="29"/>
      <c r="K528" s="24"/>
      <c r="L528" s="25"/>
      <c r="M528" s="69"/>
      <c r="N528" s="77"/>
      <c r="O528" s="73"/>
      <c r="P528" s="74"/>
      <c r="Q528" s="74"/>
      <c r="R528" s="75"/>
      <c r="S528" s="61"/>
      <c r="T528" s="60"/>
      <c r="U528" s="74"/>
      <c r="V528" s="76"/>
      <c r="W528" s="24"/>
      <c r="X528" s="25"/>
      <c r="Y528" s="77"/>
      <c r="Z528" s="106"/>
      <c r="AA528" s="73"/>
      <c r="AB528" s="88"/>
      <c r="AC528" s="116"/>
      <c r="AD528" s="74"/>
      <c r="AE528" s="76"/>
      <c r="AF528" s="24"/>
      <c r="AG528" s="25"/>
      <c r="AH528" s="77"/>
      <c r="AI528" s="77"/>
      <c r="AJ528" s="73"/>
      <c r="AK528" s="79"/>
      <c r="AL528" s="79"/>
      <c r="AM528" s="127"/>
      <c r="AN528" s="128"/>
      <c r="AO528" s="128"/>
      <c r="AP528" s="133"/>
      <c r="AQ528" s="127"/>
      <c r="AR528" s="134"/>
      <c r="AS528" s="132"/>
      <c r="AT528" s="10"/>
      <c r="AU528" s="10"/>
      <c r="AV528" s="167"/>
      <c r="AW528" s="168"/>
      <c r="AX528" s="29"/>
      <c r="AY528" s="24"/>
      <c r="AZ528" s="25"/>
      <c r="BA528" s="24"/>
      <c r="BB528" s="169"/>
      <c r="BC528" s="170"/>
      <c r="BD528" s="10">
        <v>2779034</v>
      </c>
      <c r="BE528" s="10"/>
      <c r="BF528" s="10"/>
      <c r="BG528" s="10"/>
      <c r="BH528" s="10">
        <v>1550000</v>
      </c>
      <c r="BI528" s="76">
        <f t="shared" si="695"/>
        <v>1550000</v>
      </c>
      <c r="BJ528" s="24">
        <f t="shared" si="696"/>
        <v>-1229034</v>
      </c>
      <c r="BK528" s="25">
        <f t="shared" si="697"/>
        <v>-0.4422522358488597</v>
      </c>
      <c r="BL528" s="309">
        <f t="shared" si="698"/>
        <v>1550000</v>
      </c>
      <c r="BM528" s="293"/>
      <c r="BN528" s="293"/>
      <c r="BO528" s="293"/>
      <c r="BP528" s="293"/>
      <c r="BQ528" s="293"/>
      <c r="BR528" s="293"/>
      <c r="BS528" s="293"/>
      <c r="BT528" s="293"/>
    </row>
    <row r="529" spans="1:72" s="1" customFormat="1" ht="32.1" customHeight="1">
      <c r="A529" s="91"/>
      <c r="B529" s="358" t="s">
        <v>2721</v>
      </c>
      <c r="C529" s="50" t="s">
        <v>1713</v>
      </c>
      <c r="D529" s="264" t="s">
        <v>1696</v>
      </c>
      <c r="E529" s="262" t="s">
        <v>1457</v>
      </c>
      <c r="F529" s="10"/>
      <c r="G529" s="39"/>
      <c r="H529" s="39"/>
      <c r="I529" s="183"/>
      <c r="J529" s="29"/>
      <c r="K529" s="24"/>
      <c r="L529" s="25"/>
      <c r="M529" s="69"/>
      <c r="N529" s="77"/>
      <c r="O529" s="73"/>
      <c r="P529" s="74"/>
      <c r="Q529" s="74"/>
      <c r="R529" s="75"/>
      <c r="S529" s="61"/>
      <c r="T529" s="60"/>
      <c r="U529" s="74"/>
      <c r="V529" s="76"/>
      <c r="W529" s="24"/>
      <c r="X529" s="25"/>
      <c r="Y529" s="77"/>
      <c r="Z529" s="106"/>
      <c r="AA529" s="73"/>
      <c r="AB529" s="88"/>
      <c r="AC529" s="116"/>
      <c r="AD529" s="74"/>
      <c r="AE529" s="76"/>
      <c r="AF529" s="24"/>
      <c r="AG529" s="25"/>
      <c r="AH529" s="77"/>
      <c r="AI529" s="77"/>
      <c r="AJ529" s="73"/>
      <c r="AK529" s="79"/>
      <c r="AL529" s="79"/>
      <c r="AM529" s="127"/>
      <c r="AN529" s="128"/>
      <c r="AO529" s="128"/>
      <c r="AP529" s="133"/>
      <c r="AQ529" s="127"/>
      <c r="AR529" s="134"/>
      <c r="AS529" s="132"/>
      <c r="AT529" s="10"/>
      <c r="AU529" s="10"/>
      <c r="AV529" s="167"/>
      <c r="AW529" s="168"/>
      <c r="AX529" s="29"/>
      <c r="AY529" s="24"/>
      <c r="AZ529" s="25"/>
      <c r="BA529" s="24"/>
      <c r="BB529" s="169"/>
      <c r="BC529" s="170"/>
      <c r="BD529" s="10">
        <v>81755</v>
      </c>
      <c r="BE529" s="10"/>
      <c r="BF529" s="10"/>
      <c r="BG529" s="10"/>
      <c r="BH529" s="10"/>
      <c r="BI529" s="76"/>
      <c r="BJ529" s="24"/>
      <c r="BK529" s="25"/>
      <c r="BL529" s="309" t="s">
        <v>894</v>
      </c>
      <c r="BM529" s="293"/>
      <c r="BN529" s="293"/>
      <c r="BO529" s="293"/>
      <c r="BP529" s="293"/>
      <c r="BQ529" s="293"/>
      <c r="BR529" s="293"/>
      <c r="BS529" s="293"/>
      <c r="BT529" s="293"/>
    </row>
    <row r="530" spans="1:72" s="1" customFormat="1" ht="42" customHeight="1">
      <c r="A530" s="91"/>
      <c r="B530" s="358" t="s">
        <v>2722</v>
      </c>
      <c r="C530" s="50" t="s">
        <v>1714</v>
      </c>
      <c r="D530" s="264" t="s">
        <v>1697</v>
      </c>
      <c r="E530" s="262" t="s">
        <v>1466</v>
      </c>
      <c r="F530" s="10"/>
      <c r="G530" s="39"/>
      <c r="H530" s="39"/>
      <c r="I530" s="183"/>
      <c r="J530" s="29"/>
      <c r="K530" s="24"/>
      <c r="L530" s="25"/>
      <c r="M530" s="69"/>
      <c r="N530" s="77"/>
      <c r="O530" s="73"/>
      <c r="P530" s="74"/>
      <c r="Q530" s="74"/>
      <c r="R530" s="75"/>
      <c r="S530" s="61"/>
      <c r="T530" s="60"/>
      <c r="U530" s="74"/>
      <c r="V530" s="76"/>
      <c r="W530" s="24"/>
      <c r="X530" s="25"/>
      <c r="Y530" s="77"/>
      <c r="Z530" s="106"/>
      <c r="AA530" s="73"/>
      <c r="AB530" s="88"/>
      <c r="AC530" s="116"/>
      <c r="AD530" s="74"/>
      <c r="AE530" s="76"/>
      <c r="AF530" s="24"/>
      <c r="AG530" s="25"/>
      <c r="AH530" s="77"/>
      <c r="AI530" s="77"/>
      <c r="AJ530" s="73"/>
      <c r="AK530" s="79"/>
      <c r="AL530" s="79"/>
      <c r="AM530" s="127"/>
      <c r="AN530" s="128"/>
      <c r="AO530" s="128"/>
      <c r="AP530" s="133"/>
      <c r="AQ530" s="127"/>
      <c r="AR530" s="134"/>
      <c r="AS530" s="132"/>
      <c r="AT530" s="10"/>
      <c r="AU530" s="10"/>
      <c r="AV530" s="167"/>
      <c r="AW530" s="168"/>
      <c r="AX530" s="29"/>
      <c r="AY530" s="24"/>
      <c r="AZ530" s="25"/>
      <c r="BA530" s="24"/>
      <c r="BB530" s="169"/>
      <c r="BC530" s="170"/>
      <c r="BD530" s="10">
        <v>16607</v>
      </c>
      <c r="BE530" s="10"/>
      <c r="BF530" s="10"/>
      <c r="BG530" s="10"/>
      <c r="BH530" s="10"/>
      <c r="BI530" s="76"/>
      <c r="BJ530" s="24"/>
      <c r="BK530" s="25"/>
      <c r="BL530" s="310" t="s">
        <v>807</v>
      </c>
      <c r="BM530" s="293"/>
      <c r="BN530" s="293"/>
      <c r="BO530" s="293"/>
      <c r="BP530" s="293"/>
      <c r="BQ530" s="293"/>
      <c r="BR530" s="293"/>
      <c r="BS530" s="293"/>
      <c r="BT530" s="293"/>
    </row>
    <row r="531" spans="1:72" s="1" customFormat="1" ht="39.950000000000003" customHeight="1">
      <c r="A531" s="91"/>
      <c r="B531" s="358" t="s">
        <v>2723</v>
      </c>
      <c r="C531" s="50" t="s">
        <v>1715</v>
      </c>
      <c r="D531" s="264" t="s">
        <v>1698</v>
      </c>
      <c r="E531" s="262" t="s">
        <v>999</v>
      </c>
      <c r="F531" s="10"/>
      <c r="G531" s="39"/>
      <c r="H531" s="39"/>
      <c r="I531" s="183"/>
      <c r="J531" s="29"/>
      <c r="K531" s="24"/>
      <c r="L531" s="25"/>
      <c r="M531" s="69"/>
      <c r="N531" s="77"/>
      <c r="O531" s="73"/>
      <c r="P531" s="74"/>
      <c r="Q531" s="74"/>
      <c r="R531" s="75"/>
      <c r="S531" s="61"/>
      <c r="T531" s="60"/>
      <c r="U531" s="74"/>
      <c r="V531" s="76"/>
      <c r="W531" s="24"/>
      <c r="X531" s="25"/>
      <c r="Y531" s="77"/>
      <c r="Z531" s="106"/>
      <c r="AA531" s="73"/>
      <c r="AB531" s="88"/>
      <c r="AC531" s="116"/>
      <c r="AD531" s="74"/>
      <c r="AE531" s="76"/>
      <c r="AF531" s="24"/>
      <c r="AG531" s="25"/>
      <c r="AH531" s="77"/>
      <c r="AI531" s="77"/>
      <c r="AJ531" s="73"/>
      <c r="AK531" s="79"/>
      <c r="AL531" s="79"/>
      <c r="AM531" s="127"/>
      <c r="AN531" s="128"/>
      <c r="AO531" s="128"/>
      <c r="AP531" s="133"/>
      <c r="AQ531" s="127"/>
      <c r="AR531" s="134"/>
      <c r="AS531" s="132"/>
      <c r="AT531" s="10"/>
      <c r="AU531" s="10"/>
      <c r="AV531" s="167"/>
      <c r="AW531" s="168"/>
      <c r="AX531" s="29"/>
      <c r="AY531" s="24"/>
      <c r="AZ531" s="25"/>
      <c r="BA531" s="24"/>
      <c r="BB531" s="169"/>
      <c r="BC531" s="170"/>
      <c r="BD531" s="10">
        <v>4628273</v>
      </c>
      <c r="BE531" s="10"/>
      <c r="BF531" s="10"/>
      <c r="BG531" s="10"/>
      <c r="BH531" s="10"/>
      <c r="BI531" s="76"/>
      <c r="BJ531" s="24"/>
      <c r="BK531" s="25"/>
      <c r="BL531" s="310" t="s">
        <v>807</v>
      </c>
      <c r="BM531" s="293"/>
      <c r="BN531" s="293"/>
      <c r="BO531" s="293"/>
      <c r="BP531" s="293"/>
      <c r="BQ531" s="293"/>
      <c r="BR531" s="293"/>
      <c r="BS531" s="293"/>
      <c r="BT531" s="293"/>
    </row>
    <row r="532" spans="1:72" s="1" customFormat="1" ht="30">
      <c r="A532" s="91"/>
      <c r="B532" s="358" t="s">
        <v>2724</v>
      </c>
      <c r="C532" s="50" t="s">
        <v>1716</v>
      </c>
      <c r="D532" s="264" t="s">
        <v>1699</v>
      </c>
      <c r="E532" s="262" t="s">
        <v>999</v>
      </c>
      <c r="F532" s="10"/>
      <c r="G532" s="39"/>
      <c r="H532" s="39"/>
      <c r="I532" s="183"/>
      <c r="J532" s="29"/>
      <c r="K532" s="24"/>
      <c r="L532" s="25"/>
      <c r="M532" s="69"/>
      <c r="N532" s="77"/>
      <c r="O532" s="73"/>
      <c r="P532" s="74"/>
      <c r="Q532" s="74"/>
      <c r="R532" s="75"/>
      <c r="S532" s="61"/>
      <c r="T532" s="60"/>
      <c r="U532" s="74"/>
      <c r="V532" s="76"/>
      <c r="W532" s="24"/>
      <c r="X532" s="25"/>
      <c r="Y532" s="77"/>
      <c r="Z532" s="106"/>
      <c r="AA532" s="73"/>
      <c r="AB532" s="88"/>
      <c r="AC532" s="116"/>
      <c r="AD532" s="74"/>
      <c r="AE532" s="76"/>
      <c r="AF532" s="24"/>
      <c r="AG532" s="25"/>
      <c r="AH532" s="77"/>
      <c r="AI532" s="77"/>
      <c r="AJ532" s="73"/>
      <c r="AK532" s="79"/>
      <c r="AL532" s="79"/>
      <c r="AM532" s="127"/>
      <c r="AN532" s="128"/>
      <c r="AO532" s="128"/>
      <c r="AP532" s="133"/>
      <c r="AQ532" s="127"/>
      <c r="AR532" s="134"/>
      <c r="AS532" s="132"/>
      <c r="AT532" s="10"/>
      <c r="AU532" s="10"/>
      <c r="AV532" s="167"/>
      <c r="AW532" s="168"/>
      <c r="AX532" s="29"/>
      <c r="AY532" s="24"/>
      <c r="AZ532" s="25"/>
      <c r="BA532" s="24"/>
      <c r="BB532" s="169"/>
      <c r="BC532" s="170"/>
      <c r="BD532" s="10">
        <v>1766905</v>
      </c>
      <c r="BE532" s="10"/>
      <c r="BF532" s="10"/>
      <c r="BG532" s="10"/>
      <c r="BH532" s="10"/>
      <c r="BI532" s="76"/>
      <c r="BJ532" s="24"/>
      <c r="BK532" s="25"/>
      <c r="BL532" s="310" t="s">
        <v>807</v>
      </c>
      <c r="BM532" s="293"/>
      <c r="BN532" s="293"/>
      <c r="BO532" s="293"/>
      <c r="BP532" s="293"/>
      <c r="BQ532" s="293"/>
      <c r="BR532" s="293"/>
      <c r="BS532" s="293"/>
      <c r="BT532" s="293"/>
    </row>
    <row r="533" spans="1:72" s="1" customFormat="1" ht="45.95" customHeight="1">
      <c r="A533" s="91"/>
      <c r="B533" s="358" t="s">
        <v>2725</v>
      </c>
      <c r="C533" s="50" t="s">
        <v>1717</v>
      </c>
      <c r="D533" s="264" t="s">
        <v>1700</v>
      </c>
      <c r="E533" s="262" t="s">
        <v>999</v>
      </c>
      <c r="F533" s="10"/>
      <c r="G533" s="39"/>
      <c r="H533" s="39"/>
      <c r="I533" s="183"/>
      <c r="J533" s="29"/>
      <c r="K533" s="24"/>
      <c r="L533" s="25"/>
      <c r="M533" s="69"/>
      <c r="N533" s="77"/>
      <c r="O533" s="73"/>
      <c r="P533" s="74"/>
      <c r="Q533" s="74"/>
      <c r="R533" s="75"/>
      <c r="S533" s="61"/>
      <c r="T533" s="60"/>
      <c r="U533" s="74"/>
      <c r="V533" s="76"/>
      <c r="W533" s="24"/>
      <c r="X533" s="25"/>
      <c r="Y533" s="77"/>
      <c r="Z533" s="106"/>
      <c r="AA533" s="73"/>
      <c r="AB533" s="88"/>
      <c r="AC533" s="116"/>
      <c r="AD533" s="74"/>
      <c r="AE533" s="76"/>
      <c r="AF533" s="24"/>
      <c r="AG533" s="25"/>
      <c r="AH533" s="77"/>
      <c r="AI533" s="77"/>
      <c r="AJ533" s="73"/>
      <c r="AK533" s="79"/>
      <c r="AL533" s="79"/>
      <c r="AM533" s="127"/>
      <c r="AN533" s="128"/>
      <c r="AO533" s="128"/>
      <c r="AP533" s="133"/>
      <c r="AQ533" s="127"/>
      <c r="AR533" s="134"/>
      <c r="AS533" s="132"/>
      <c r="AT533" s="10"/>
      <c r="AU533" s="10"/>
      <c r="AV533" s="167"/>
      <c r="AW533" s="168"/>
      <c r="AX533" s="29"/>
      <c r="AY533" s="24"/>
      <c r="AZ533" s="25"/>
      <c r="BA533" s="24"/>
      <c r="BB533" s="169"/>
      <c r="BC533" s="170"/>
      <c r="BD533" s="10">
        <v>360716</v>
      </c>
      <c r="BE533" s="10"/>
      <c r="BF533" s="10"/>
      <c r="BG533" s="10"/>
      <c r="BH533" s="10"/>
      <c r="BI533" s="76"/>
      <c r="BJ533" s="24"/>
      <c r="BK533" s="25"/>
      <c r="BL533" s="310" t="s">
        <v>807</v>
      </c>
      <c r="BM533" s="293"/>
      <c r="BN533" s="293"/>
      <c r="BO533" s="293"/>
      <c r="BP533" s="293"/>
      <c r="BQ533" s="293"/>
      <c r="BR533" s="293"/>
      <c r="BS533" s="293"/>
      <c r="BT533" s="293"/>
    </row>
    <row r="534" spans="1:72" s="1" customFormat="1">
      <c r="A534" s="91"/>
      <c r="B534" s="358" t="s">
        <v>2726</v>
      </c>
      <c r="C534" s="50" t="s">
        <v>1718</v>
      </c>
      <c r="D534" s="264" t="s">
        <v>1701</v>
      </c>
      <c r="E534" s="262" t="s">
        <v>1466</v>
      </c>
      <c r="F534" s="10"/>
      <c r="G534" s="39"/>
      <c r="H534" s="39"/>
      <c r="I534" s="183"/>
      <c r="J534" s="29"/>
      <c r="K534" s="24"/>
      <c r="L534" s="25"/>
      <c r="M534" s="69"/>
      <c r="N534" s="77"/>
      <c r="O534" s="73"/>
      <c r="P534" s="74"/>
      <c r="Q534" s="74"/>
      <c r="R534" s="75"/>
      <c r="S534" s="61"/>
      <c r="T534" s="60"/>
      <c r="U534" s="74"/>
      <c r="V534" s="76"/>
      <c r="W534" s="24"/>
      <c r="X534" s="25"/>
      <c r="Y534" s="77"/>
      <c r="Z534" s="106"/>
      <c r="AA534" s="73"/>
      <c r="AB534" s="88"/>
      <c r="AC534" s="116"/>
      <c r="AD534" s="74"/>
      <c r="AE534" s="76"/>
      <c r="AF534" s="24"/>
      <c r="AG534" s="25"/>
      <c r="AH534" s="77"/>
      <c r="AI534" s="77"/>
      <c r="AJ534" s="73"/>
      <c r="AK534" s="79"/>
      <c r="AL534" s="79"/>
      <c r="AM534" s="127"/>
      <c r="AN534" s="128"/>
      <c r="AO534" s="128"/>
      <c r="AP534" s="133"/>
      <c r="AQ534" s="127"/>
      <c r="AR534" s="134"/>
      <c r="AS534" s="132"/>
      <c r="AT534" s="10"/>
      <c r="AU534" s="10"/>
      <c r="AV534" s="167"/>
      <c r="AW534" s="168"/>
      <c r="AX534" s="29"/>
      <c r="AY534" s="24"/>
      <c r="AZ534" s="25"/>
      <c r="BA534" s="24"/>
      <c r="BB534" s="169"/>
      <c r="BC534" s="170"/>
      <c r="BD534" s="10">
        <v>145467</v>
      </c>
      <c r="BE534" s="10">
        <v>200000</v>
      </c>
      <c r="BF534" s="10"/>
      <c r="BG534" s="10"/>
      <c r="BH534" s="10"/>
      <c r="BI534" s="76">
        <f t="shared" si="695"/>
        <v>200000</v>
      </c>
      <c r="BJ534" s="24">
        <f t="shared" ref="BJ534:BJ540" si="699">BI534-BD534</f>
        <v>54533</v>
      </c>
      <c r="BK534" s="25">
        <f t="shared" ref="BK534:BK540" si="700">+BJ534/BD534</f>
        <v>0.37488227570514276</v>
      </c>
      <c r="BL534" s="309">
        <f t="shared" si="698"/>
        <v>200000</v>
      </c>
      <c r="BM534" s="293"/>
      <c r="BN534" s="293"/>
      <c r="BO534" s="293"/>
      <c r="BP534" s="293"/>
      <c r="BQ534" s="293"/>
      <c r="BR534" s="293"/>
      <c r="BS534" s="293"/>
      <c r="BT534" s="293"/>
    </row>
    <row r="535" spans="1:72" s="1" customFormat="1" ht="86.1" customHeight="1">
      <c r="A535" s="91"/>
      <c r="B535" s="358" t="s">
        <v>2727</v>
      </c>
      <c r="C535" s="50" t="s">
        <v>1719</v>
      </c>
      <c r="D535" s="264" t="s">
        <v>1702</v>
      </c>
      <c r="E535" s="262" t="s">
        <v>827</v>
      </c>
      <c r="F535" s="10"/>
      <c r="G535" s="39"/>
      <c r="H535" s="39"/>
      <c r="I535" s="183"/>
      <c r="J535" s="29"/>
      <c r="K535" s="24"/>
      <c r="L535" s="25"/>
      <c r="M535" s="69"/>
      <c r="N535" s="77"/>
      <c r="O535" s="73"/>
      <c r="P535" s="74"/>
      <c r="Q535" s="74"/>
      <c r="R535" s="75"/>
      <c r="S535" s="61"/>
      <c r="T535" s="60"/>
      <c r="U535" s="74"/>
      <c r="V535" s="76"/>
      <c r="W535" s="24"/>
      <c r="X535" s="25"/>
      <c r="Y535" s="77"/>
      <c r="Z535" s="106"/>
      <c r="AA535" s="73"/>
      <c r="AB535" s="88"/>
      <c r="AC535" s="116"/>
      <c r="AD535" s="74"/>
      <c r="AE535" s="76"/>
      <c r="AF535" s="24"/>
      <c r="AG535" s="25"/>
      <c r="AH535" s="77"/>
      <c r="AI535" s="77"/>
      <c r="AJ535" s="73"/>
      <c r="AK535" s="79"/>
      <c r="AL535" s="79"/>
      <c r="AM535" s="127"/>
      <c r="AN535" s="128"/>
      <c r="AO535" s="128"/>
      <c r="AP535" s="133"/>
      <c r="AQ535" s="127"/>
      <c r="AR535" s="134"/>
      <c r="AS535" s="132"/>
      <c r="AT535" s="10"/>
      <c r="AU535" s="10"/>
      <c r="AV535" s="167"/>
      <c r="AW535" s="168"/>
      <c r="AX535" s="29"/>
      <c r="AY535" s="24"/>
      <c r="AZ535" s="25"/>
      <c r="BA535" s="24"/>
      <c r="BB535" s="169"/>
      <c r="BC535" s="170"/>
      <c r="BD535" s="10">
        <v>337906</v>
      </c>
      <c r="BE535" s="10">
        <v>150000</v>
      </c>
      <c r="BF535" s="10"/>
      <c r="BG535" s="10"/>
      <c r="BH535" s="10"/>
      <c r="BI535" s="76">
        <f t="shared" si="695"/>
        <v>150000</v>
      </c>
      <c r="BJ535" s="24">
        <f t="shared" si="699"/>
        <v>-187906</v>
      </c>
      <c r="BK535" s="25">
        <f t="shared" si="700"/>
        <v>-0.55608956336969451</v>
      </c>
      <c r="BL535" s="309">
        <f t="shared" si="698"/>
        <v>150000</v>
      </c>
      <c r="BM535" s="293"/>
      <c r="BN535" s="293"/>
      <c r="BO535" s="293"/>
      <c r="BP535" s="293"/>
      <c r="BQ535" s="293"/>
      <c r="BR535" s="293"/>
      <c r="BS535" s="293"/>
      <c r="BT535" s="293"/>
    </row>
    <row r="536" spans="1:72" s="1" customFormat="1">
      <c r="A536" s="91"/>
      <c r="B536" s="358" t="s">
        <v>2728</v>
      </c>
      <c r="C536" s="50" t="s">
        <v>1720</v>
      </c>
      <c r="D536" s="264" t="s">
        <v>1703</v>
      </c>
      <c r="E536" s="262" t="s">
        <v>827</v>
      </c>
      <c r="F536" s="10"/>
      <c r="G536" s="39"/>
      <c r="H536" s="39"/>
      <c r="I536" s="183"/>
      <c r="J536" s="29"/>
      <c r="K536" s="24"/>
      <c r="L536" s="25"/>
      <c r="M536" s="69"/>
      <c r="N536" s="77"/>
      <c r="O536" s="73"/>
      <c r="P536" s="74"/>
      <c r="Q536" s="74"/>
      <c r="R536" s="75"/>
      <c r="S536" s="61"/>
      <c r="T536" s="60"/>
      <c r="U536" s="74"/>
      <c r="V536" s="76"/>
      <c r="W536" s="24"/>
      <c r="X536" s="25"/>
      <c r="Y536" s="77"/>
      <c r="Z536" s="106"/>
      <c r="AA536" s="73"/>
      <c r="AB536" s="88"/>
      <c r="AC536" s="116"/>
      <c r="AD536" s="74"/>
      <c r="AE536" s="76"/>
      <c r="AF536" s="24"/>
      <c r="AG536" s="25"/>
      <c r="AH536" s="77"/>
      <c r="AI536" s="77"/>
      <c r="AJ536" s="73"/>
      <c r="AK536" s="79"/>
      <c r="AL536" s="79"/>
      <c r="AM536" s="127"/>
      <c r="AN536" s="128"/>
      <c r="AO536" s="128"/>
      <c r="AP536" s="133"/>
      <c r="AQ536" s="127"/>
      <c r="AR536" s="134"/>
      <c r="AS536" s="132"/>
      <c r="AT536" s="10"/>
      <c r="AU536" s="10"/>
      <c r="AV536" s="167"/>
      <c r="AW536" s="168"/>
      <c r="AX536" s="29"/>
      <c r="AY536" s="24"/>
      <c r="AZ536" s="25"/>
      <c r="BA536" s="24"/>
      <c r="BB536" s="169"/>
      <c r="BC536" s="170"/>
      <c r="BD536" s="10">
        <v>160928</v>
      </c>
      <c r="BE536" s="10"/>
      <c r="BF536" s="10"/>
      <c r="BG536" s="10"/>
      <c r="BH536" s="10"/>
      <c r="BI536" s="76"/>
      <c r="BJ536" s="24"/>
      <c r="BK536" s="25"/>
      <c r="BL536" s="309">
        <f t="shared" si="698"/>
        <v>0</v>
      </c>
      <c r="BM536" s="293"/>
      <c r="BN536" s="293"/>
      <c r="BO536" s="293"/>
      <c r="BP536" s="293"/>
      <c r="BQ536" s="293"/>
      <c r="BR536" s="293"/>
      <c r="BS536" s="293"/>
      <c r="BT536" s="293"/>
    </row>
    <row r="537" spans="1:72" s="1" customFormat="1" ht="45.95" customHeight="1">
      <c r="A537" s="91"/>
      <c r="B537" s="358" t="s">
        <v>2729</v>
      </c>
      <c r="C537" s="50" t="s">
        <v>1721</v>
      </c>
      <c r="D537" s="264" t="s">
        <v>1704</v>
      </c>
      <c r="E537" s="262" t="s">
        <v>1426</v>
      </c>
      <c r="F537" s="10"/>
      <c r="G537" s="39"/>
      <c r="H537" s="39"/>
      <c r="I537" s="183"/>
      <c r="J537" s="29"/>
      <c r="K537" s="24"/>
      <c r="L537" s="25"/>
      <c r="M537" s="69"/>
      <c r="N537" s="77"/>
      <c r="O537" s="73"/>
      <c r="P537" s="74"/>
      <c r="Q537" s="74"/>
      <c r="R537" s="75"/>
      <c r="S537" s="61"/>
      <c r="T537" s="60"/>
      <c r="U537" s="74"/>
      <c r="V537" s="76"/>
      <c r="W537" s="24"/>
      <c r="X537" s="25"/>
      <c r="Y537" s="77"/>
      <c r="Z537" s="106"/>
      <c r="AA537" s="73"/>
      <c r="AB537" s="88"/>
      <c r="AC537" s="116"/>
      <c r="AD537" s="74"/>
      <c r="AE537" s="76"/>
      <c r="AF537" s="24"/>
      <c r="AG537" s="25"/>
      <c r="AH537" s="77"/>
      <c r="AI537" s="77"/>
      <c r="AJ537" s="73"/>
      <c r="AK537" s="79"/>
      <c r="AL537" s="79"/>
      <c r="AM537" s="127"/>
      <c r="AN537" s="128"/>
      <c r="AO537" s="128"/>
      <c r="AP537" s="133"/>
      <c r="AQ537" s="127"/>
      <c r="AR537" s="134"/>
      <c r="AS537" s="132"/>
      <c r="AT537" s="10"/>
      <c r="AU537" s="10"/>
      <c r="AV537" s="167"/>
      <c r="AW537" s="168"/>
      <c r="AX537" s="29"/>
      <c r="AY537" s="24"/>
      <c r="AZ537" s="25"/>
      <c r="BA537" s="24"/>
      <c r="BB537" s="169"/>
      <c r="BC537" s="170"/>
      <c r="BD537" s="10">
        <v>1153148</v>
      </c>
      <c r="BE537" s="10"/>
      <c r="BF537" s="10"/>
      <c r="BG537" s="10"/>
      <c r="BH537" s="10"/>
      <c r="BI537" s="76"/>
      <c r="BJ537" s="24"/>
      <c r="BK537" s="25"/>
      <c r="BL537" s="310" t="s">
        <v>807</v>
      </c>
      <c r="BM537" s="293"/>
      <c r="BN537" s="293"/>
      <c r="BO537" s="293"/>
      <c r="BP537" s="293"/>
      <c r="BQ537" s="293"/>
      <c r="BR537" s="293"/>
      <c r="BS537" s="293"/>
      <c r="BT537" s="293"/>
    </row>
    <row r="538" spans="1:72" s="1" customFormat="1" ht="45.95" customHeight="1">
      <c r="A538" s="91"/>
      <c r="B538" s="358" t="s">
        <v>2730</v>
      </c>
      <c r="C538" s="50" t="s">
        <v>1722</v>
      </c>
      <c r="D538" s="264" t="s">
        <v>1705</v>
      </c>
      <c r="E538" s="262" t="s">
        <v>1426</v>
      </c>
      <c r="F538" s="10"/>
      <c r="G538" s="39"/>
      <c r="H538" s="39"/>
      <c r="I538" s="183"/>
      <c r="J538" s="29"/>
      <c r="K538" s="24"/>
      <c r="L538" s="25"/>
      <c r="M538" s="69"/>
      <c r="N538" s="77"/>
      <c r="O538" s="73"/>
      <c r="P538" s="74"/>
      <c r="Q538" s="74"/>
      <c r="R538" s="75"/>
      <c r="S538" s="61"/>
      <c r="T538" s="60"/>
      <c r="U538" s="74"/>
      <c r="V538" s="76"/>
      <c r="W538" s="24"/>
      <c r="X538" s="25"/>
      <c r="Y538" s="77"/>
      <c r="Z538" s="106"/>
      <c r="AA538" s="73"/>
      <c r="AB538" s="88"/>
      <c r="AC538" s="116"/>
      <c r="AD538" s="74"/>
      <c r="AE538" s="76"/>
      <c r="AF538" s="24"/>
      <c r="AG538" s="25"/>
      <c r="AH538" s="77"/>
      <c r="AI538" s="77"/>
      <c r="AJ538" s="73"/>
      <c r="AK538" s="79"/>
      <c r="AL538" s="79"/>
      <c r="AM538" s="127"/>
      <c r="AN538" s="128"/>
      <c r="AO538" s="128"/>
      <c r="AP538" s="133"/>
      <c r="AQ538" s="127"/>
      <c r="AR538" s="134"/>
      <c r="AS538" s="132"/>
      <c r="AT538" s="10"/>
      <c r="AU538" s="10"/>
      <c r="AV538" s="167"/>
      <c r="AW538" s="168"/>
      <c r="AX538" s="29"/>
      <c r="AY538" s="24"/>
      <c r="AZ538" s="25"/>
      <c r="BA538" s="24"/>
      <c r="BB538" s="169"/>
      <c r="BC538" s="170"/>
      <c r="BD538" s="10">
        <v>1673328</v>
      </c>
      <c r="BE538" s="10"/>
      <c r="BF538" s="10"/>
      <c r="BG538" s="10"/>
      <c r="BH538" s="10"/>
      <c r="BI538" s="76"/>
      <c r="BJ538" s="24"/>
      <c r="BK538" s="25"/>
      <c r="BL538" s="310" t="s">
        <v>807</v>
      </c>
      <c r="BM538" s="293"/>
      <c r="BN538" s="293"/>
      <c r="BO538" s="293"/>
      <c r="BP538" s="293"/>
      <c r="BQ538" s="293"/>
      <c r="BR538" s="293"/>
      <c r="BS538" s="293"/>
      <c r="BT538" s="293"/>
    </row>
    <row r="539" spans="1:72" s="1" customFormat="1" ht="45.95" customHeight="1">
      <c r="A539" s="91"/>
      <c r="B539" s="358" t="s">
        <v>2731</v>
      </c>
      <c r="C539" s="50" t="s">
        <v>1723</v>
      </c>
      <c r="D539" s="264" t="s">
        <v>1706</v>
      </c>
      <c r="E539" s="262" t="s">
        <v>1426</v>
      </c>
      <c r="F539" s="10"/>
      <c r="G539" s="39"/>
      <c r="H539" s="39"/>
      <c r="I539" s="183"/>
      <c r="J539" s="29"/>
      <c r="K539" s="24"/>
      <c r="L539" s="25"/>
      <c r="M539" s="69"/>
      <c r="N539" s="77"/>
      <c r="O539" s="73"/>
      <c r="P539" s="74"/>
      <c r="Q539" s="74"/>
      <c r="R539" s="75"/>
      <c r="S539" s="61"/>
      <c r="T539" s="60"/>
      <c r="U539" s="74"/>
      <c r="V539" s="76"/>
      <c r="W539" s="24"/>
      <c r="X539" s="25"/>
      <c r="Y539" s="77"/>
      <c r="Z539" s="106"/>
      <c r="AA539" s="73"/>
      <c r="AB539" s="88"/>
      <c r="AC539" s="116"/>
      <c r="AD539" s="74"/>
      <c r="AE539" s="76"/>
      <c r="AF539" s="24"/>
      <c r="AG539" s="25"/>
      <c r="AH539" s="77"/>
      <c r="AI539" s="77"/>
      <c r="AJ539" s="73"/>
      <c r="AK539" s="79"/>
      <c r="AL539" s="79"/>
      <c r="AM539" s="127"/>
      <c r="AN539" s="128"/>
      <c r="AO539" s="128"/>
      <c r="AP539" s="133"/>
      <c r="AQ539" s="127"/>
      <c r="AR539" s="134"/>
      <c r="AS539" s="132"/>
      <c r="AT539" s="10"/>
      <c r="AU539" s="10"/>
      <c r="AV539" s="167"/>
      <c r="AW539" s="168"/>
      <c r="AX539" s="29"/>
      <c r="AY539" s="24"/>
      <c r="AZ539" s="25"/>
      <c r="BA539" s="24"/>
      <c r="BB539" s="169"/>
      <c r="BC539" s="170"/>
      <c r="BD539" s="10">
        <v>2839559</v>
      </c>
      <c r="BE539" s="10"/>
      <c r="BF539" s="10"/>
      <c r="BG539" s="10"/>
      <c r="BH539" s="10"/>
      <c r="BI539" s="76"/>
      <c r="BJ539" s="24"/>
      <c r="BK539" s="25"/>
      <c r="BL539" s="310" t="s">
        <v>807</v>
      </c>
      <c r="BM539" s="293"/>
      <c r="BN539" s="293"/>
      <c r="BO539" s="293"/>
      <c r="BP539" s="293"/>
      <c r="BQ539" s="293"/>
      <c r="BR539" s="293"/>
      <c r="BS539" s="293"/>
      <c r="BT539" s="293"/>
    </row>
    <row r="540" spans="1:72" s="1" customFormat="1" ht="45.95" customHeight="1">
      <c r="A540" s="91"/>
      <c r="B540" s="358" t="s">
        <v>2732</v>
      </c>
      <c r="C540" s="50" t="s">
        <v>1724</v>
      </c>
      <c r="D540" s="264" t="s">
        <v>1707</v>
      </c>
      <c r="E540" s="262" t="s">
        <v>827</v>
      </c>
      <c r="F540" s="10"/>
      <c r="G540" s="39"/>
      <c r="H540" s="39"/>
      <c r="I540" s="183"/>
      <c r="J540" s="29"/>
      <c r="K540" s="24"/>
      <c r="L540" s="25"/>
      <c r="M540" s="69"/>
      <c r="N540" s="77"/>
      <c r="O540" s="73"/>
      <c r="P540" s="74"/>
      <c r="Q540" s="74"/>
      <c r="R540" s="75"/>
      <c r="S540" s="61"/>
      <c r="T540" s="60"/>
      <c r="U540" s="74"/>
      <c r="V540" s="76"/>
      <c r="W540" s="24"/>
      <c r="X540" s="25"/>
      <c r="Y540" s="77"/>
      <c r="Z540" s="106"/>
      <c r="AA540" s="73"/>
      <c r="AB540" s="88"/>
      <c r="AC540" s="116"/>
      <c r="AD540" s="74"/>
      <c r="AE540" s="76"/>
      <c r="AF540" s="24"/>
      <c r="AG540" s="25"/>
      <c r="AH540" s="77"/>
      <c r="AI540" s="77"/>
      <c r="AJ540" s="73"/>
      <c r="AK540" s="79"/>
      <c r="AL540" s="79"/>
      <c r="AM540" s="127"/>
      <c r="AN540" s="128"/>
      <c r="AO540" s="128"/>
      <c r="AP540" s="133"/>
      <c r="AQ540" s="127"/>
      <c r="AR540" s="134"/>
      <c r="AS540" s="132"/>
      <c r="AT540" s="10"/>
      <c r="AU540" s="10"/>
      <c r="AV540" s="167"/>
      <c r="AW540" s="168"/>
      <c r="AX540" s="29"/>
      <c r="AY540" s="24"/>
      <c r="AZ540" s="25"/>
      <c r="BA540" s="24"/>
      <c r="BB540" s="169"/>
      <c r="BC540" s="170"/>
      <c r="BD540" s="10">
        <v>200832</v>
      </c>
      <c r="BE540" s="10">
        <v>200000</v>
      </c>
      <c r="BF540" s="10"/>
      <c r="BG540" s="10"/>
      <c r="BH540" s="10">
        <v>350000</v>
      </c>
      <c r="BI540" s="76">
        <f t="shared" si="695"/>
        <v>275000</v>
      </c>
      <c r="BJ540" s="24">
        <f t="shared" si="699"/>
        <v>74168</v>
      </c>
      <c r="BK540" s="25">
        <f t="shared" si="700"/>
        <v>0.36930369662205226</v>
      </c>
      <c r="BL540" s="309">
        <f t="shared" si="698"/>
        <v>275000</v>
      </c>
      <c r="BM540" s="293"/>
      <c r="BN540" s="293"/>
      <c r="BO540" s="293"/>
      <c r="BP540" s="293"/>
      <c r="BQ540" s="293"/>
      <c r="BR540" s="293"/>
      <c r="BS540" s="293"/>
      <c r="BT540" s="293"/>
    </row>
    <row r="541" spans="1:72" s="1" customFormat="1" ht="45.95" customHeight="1">
      <c r="A541" s="91"/>
      <c r="B541" s="358" t="s">
        <v>2733</v>
      </c>
      <c r="C541" s="50"/>
      <c r="D541" s="322" t="s">
        <v>2183</v>
      </c>
      <c r="E541" s="48" t="s">
        <v>10</v>
      </c>
      <c r="F541" s="10"/>
      <c r="G541" s="39"/>
      <c r="H541" s="39"/>
      <c r="I541" s="183"/>
      <c r="J541" s="29"/>
      <c r="K541" s="24"/>
      <c r="L541" s="25"/>
      <c r="M541" s="69"/>
      <c r="N541" s="77"/>
      <c r="O541" s="73"/>
      <c r="P541" s="74"/>
      <c r="Q541" s="74"/>
      <c r="R541" s="75"/>
      <c r="S541" s="61"/>
      <c r="T541" s="60"/>
      <c r="U541" s="74"/>
      <c r="V541" s="76"/>
      <c r="W541" s="24"/>
      <c r="X541" s="25"/>
      <c r="Y541" s="77"/>
      <c r="Z541" s="106"/>
      <c r="AA541" s="73"/>
      <c r="AB541" s="88"/>
      <c r="AC541" s="116"/>
      <c r="AD541" s="74"/>
      <c r="AE541" s="76"/>
      <c r="AF541" s="24"/>
      <c r="AG541" s="25"/>
      <c r="AH541" s="77"/>
      <c r="AI541" s="77"/>
      <c r="AJ541" s="73"/>
      <c r="AK541" s="79"/>
      <c r="AL541" s="79"/>
      <c r="AM541" s="127"/>
      <c r="AN541" s="128"/>
      <c r="AO541" s="128"/>
      <c r="AP541" s="133"/>
      <c r="AQ541" s="127"/>
      <c r="AR541" s="134"/>
      <c r="AS541" s="132"/>
      <c r="AT541" s="10"/>
      <c r="AU541" s="10"/>
      <c r="AV541" s="167"/>
      <c r="AW541" s="168"/>
      <c r="AX541" s="29"/>
      <c r="AY541" s="24"/>
      <c r="AZ541" s="25"/>
      <c r="BA541" s="24"/>
      <c r="BB541" s="169"/>
      <c r="BC541" s="170"/>
      <c r="BD541" s="10"/>
      <c r="BE541" s="10"/>
      <c r="BF541" s="10"/>
      <c r="BG541" s="10"/>
      <c r="BH541" s="10"/>
      <c r="BI541" s="76"/>
      <c r="BJ541" s="24"/>
      <c r="BK541" s="25"/>
      <c r="BL541" s="259"/>
      <c r="BM541" s="10">
        <v>395847</v>
      </c>
      <c r="BN541" s="325"/>
      <c r="BO541" s="325"/>
      <c r="BP541" s="325">
        <v>260000</v>
      </c>
      <c r="BQ541" s="29">
        <f t="shared" ref="BQ541:BQ545" si="701">AVERAGE(BN541,BO541,BP541)</f>
        <v>260000</v>
      </c>
      <c r="BR541" s="24">
        <f t="shared" ref="BR541:BR545" si="702">BQ541-BM541</f>
        <v>-135847</v>
      </c>
      <c r="BS541" s="25">
        <f t="shared" ref="BS541:BS545" si="703">+BR541/BM541</f>
        <v>-0.34318057229181981</v>
      </c>
      <c r="BT541" s="29">
        <f t="shared" ref="BT541:BT545" si="704">AVERAGE(BP541,BM541)</f>
        <v>327923.5</v>
      </c>
    </row>
    <row r="542" spans="1:72" s="1" customFormat="1" ht="45.95" customHeight="1">
      <c r="A542" s="91"/>
      <c r="B542" s="358" t="s">
        <v>2734</v>
      </c>
      <c r="C542" s="50"/>
      <c r="D542" s="322" t="s">
        <v>2184</v>
      </c>
      <c r="E542" s="48" t="s">
        <v>10</v>
      </c>
      <c r="F542" s="10"/>
      <c r="G542" s="39"/>
      <c r="H542" s="39"/>
      <c r="I542" s="183"/>
      <c r="J542" s="29"/>
      <c r="K542" s="24"/>
      <c r="L542" s="25"/>
      <c r="M542" s="69"/>
      <c r="N542" s="77"/>
      <c r="O542" s="73"/>
      <c r="P542" s="74"/>
      <c r="Q542" s="74"/>
      <c r="R542" s="75"/>
      <c r="S542" s="61"/>
      <c r="T542" s="60"/>
      <c r="U542" s="74"/>
      <c r="V542" s="76"/>
      <c r="W542" s="24"/>
      <c r="X542" s="25"/>
      <c r="Y542" s="77"/>
      <c r="Z542" s="106"/>
      <c r="AA542" s="73"/>
      <c r="AB542" s="88"/>
      <c r="AC542" s="116"/>
      <c r="AD542" s="74"/>
      <c r="AE542" s="76"/>
      <c r="AF542" s="24"/>
      <c r="AG542" s="25"/>
      <c r="AH542" s="77"/>
      <c r="AI542" s="77"/>
      <c r="AJ542" s="73"/>
      <c r="AK542" s="79"/>
      <c r="AL542" s="79"/>
      <c r="AM542" s="127"/>
      <c r="AN542" s="128"/>
      <c r="AO542" s="128"/>
      <c r="AP542" s="133"/>
      <c r="AQ542" s="127"/>
      <c r="AR542" s="134"/>
      <c r="AS542" s="132"/>
      <c r="AT542" s="10"/>
      <c r="AU542" s="10"/>
      <c r="AV542" s="167"/>
      <c r="AW542" s="168"/>
      <c r="AX542" s="29"/>
      <c r="AY542" s="24"/>
      <c r="AZ542" s="25"/>
      <c r="BA542" s="24"/>
      <c r="BB542" s="169"/>
      <c r="BC542" s="170"/>
      <c r="BD542" s="10"/>
      <c r="BE542" s="10"/>
      <c r="BF542" s="10"/>
      <c r="BG542" s="10"/>
      <c r="BH542" s="10"/>
      <c r="BI542" s="76"/>
      <c r="BJ542" s="24"/>
      <c r="BK542" s="25"/>
      <c r="BL542" s="259"/>
      <c r="BM542" s="10">
        <v>553393</v>
      </c>
      <c r="BN542" s="325"/>
      <c r="BO542" s="325"/>
      <c r="BP542" s="325">
        <v>250000</v>
      </c>
      <c r="BQ542" s="29">
        <f t="shared" si="701"/>
        <v>250000</v>
      </c>
      <c r="BR542" s="24">
        <f t="shared" si="702"/>
        <v>-303393</v>
      </c>
      <c r="BS542" s="25">
        <f t="shared" si="703"/>
        <v>-0.54824148480374701</v>
      </c>
      <c r="BT542" s="29">
        <f t="shared" si="704"/>
        <v>401696.5</v>
      </c>
    </row>
    <row r="543" spans="1:72" s="1" customFormat="1" ht="45.95" customHeight="1">
      <c r="A543" s="91"/>
      <c r="B543" s="358" t="s">
        <v>2735</v>
      </c>
      <c r="C543" s="50"/>
      <c r="D543" s="322" t="s">
        <v>2185</v>
      </c>
      <c r="E543" s="48" t="s">
        <v>13</v>
      </c>
      <c r="F543" s="10"/>
      <c r="G543" s="39"/>
      <c r="H543" s="39"/>
      <c r="I543" s="183"/>
      <c r="J543" s="29"/>
      <c r="K543" s="24"/>
      <c r="L543" s="25"/>
      <c r="M543" s="69"/>
      <c r="N543" s="77"/>
      <c r="O543" s="73"/>
      <c r="P543" s="74"/>
      <c r="Q543" s="74"/>
      <c r="R543" s="75"/>
      <c r="S543" s="61"/>
      <c r="T543" s="60"/>
      <c r="U543" s="74"/>
      <c r="V543" s="76"/>
      <c r="W543" s="24"/>
      <c r="X543" s="25"/>
      <c r="Y543" s="77"/>
      <c r="Z543" s="106"/>
      <c r="AA543" s="73"/>
      <c r="AB543" s="88"/>
      <c r="AC543" s="116"/>
      <c r="AD543" s="74"/>
      <c r="AE543" s="76"/>
      <c r="AF543" s="24"/>
      <c r="AG543" s="25"/>
      <c r="AH543" s="77"/>
      <c r="AI543" s="77"/>
      <c r="AJ543" s="73"/>
      <c r="AK543" s="79"/>
      <c r="AL543" s="79"/>
      <c r="AM543" s="127"/>
      <c r="AN543" s="128"/>
      <c r="AO543" s="128"/>
      <c r="AP543" s="133"/>
      <c r="AQ543" s="127"/>
      <c r="AR543" s="134"/>
      <c r="AS543" s="132"/>
      <c r="AT543" s="10"/>
      <c r="AU543" s="10"/>
      <c r="AV543" s="167"/>
      <c r="AW543" s="168"/>
      <c r="AX543" s="29"/>
      <c r="AY543" s="24"/>
      <c r="AZ543" s="25"/>
      <c r="BA543" s="24"/>
      <c r="BB543" s="169"/>
      <c r="BC543" s="170"/>
      <c r="BD543" s="10"/>
      <c r="BE543" s="10"/>
      <c r="BF543" s="10"/>
      <c r="BG543" s="10"/>
      <c r="BH543" s="10"/>
      <c r="BI543" s="76"/>
      <c r="BJ543" s="24"/>
      <c r="BK543" s="25"/>
      <c r="BL543" s="259"/>
      <c r="BM543" s="10">
        <v>433452</v>
      </c>
      <c r="BN543" s="325"/>
      <c r="BO543" s="325"/>
      <c r="BP543" s="325">
        <v>170000</v>
      </c>
      <c r="BQ543" s="29">
        <f t="shared" si="701"/>
        <v>170000</v>
      </c>
      <c r="BR543" s="24">
        <f t="shared" si="702"/>
        <v>-263452</v>
      </c>
      <c r="BS543" s="25">
        <f t="shared" si="703"/>
        <v>-0.60779971023319768</v>
      </c>
      <c r="BT543" s="29">
        <f t="shared" si="704"/>
        <v>301726</v>
      </c>
    </row>
    <row r="544" spans="1:72" s="1" customFormat="1" ht="45.95" customHeight="1">
      <c r="A544" s="91"/>
      <c r="B544" s="358" t="s">
        <v>2736</v>
      </c>
      <c r="C544" s="50"/>
      <c r="D544" s="322" t="s">
        <v>2186</v>
      </c>
      <c r="E544" s="48" t="s">
        <v>827</v>
      </c>
      <c r="F544" s="10"/>
      <c r="G544" s="39"/>
      <c r="H544" s="39"/>
      <c r="I544" s="183"/>
      <c r="J544" s="29"/>
      <c r="K544" s="24"/>
      <c r="L544" s="25"/>
      <c r="M544" s="69"/>
      <c r="N544" s="77"/>
      <c r="O544" s="73"/>
      <c r="P544" s="74"/>
      <c r="Q544" s="74"/>
      <c r="R544" s="75"/>
      <c r="S544" s="61"/>
      <c r="T544" s="60"/>
      <c r="U544" s="74"/>
      <c r="V544" s="76"/>
      <c r="W544" s="24"/>
      <c r="X544" s="25"/>
      <c r="Y544" s="77"/>
      <c r="Z544" s="106"/>
      <c r="AA544" s="73"/>
      <c r="AB544" s="88"/>
      <c r="AC544" s="116"/>
      <c r="AD544" s="74"/>
      <c r="AE544" s="76"/>
      <c r="AF544" s="24"/>
      <c r="AG544" s="25"/>
      <c r="AH544" s="77"/>
      <c r="AI544" s="77"/>
      <c r="AJ544" s="73"/>
      <c r="AK544" s="79"/>
      <c r="AL544" s="79"/>
      <c r="AM544" s="127"/>
      <c r="AN544" s="128"/>
      <c r="AO544" s="128"/>
      <c r="AP544" s="133"/>
      <c r="AQ544" s="127"/>
      <c r="AR544" s="134"/>
      <c r="AS544" s="132"/>
      <c r="AT544" s="10"/>
      <c r="AU544" s="10"/>
      <c r="AV544" s="167"/>
      <c r="AW544" s="168"/>
      <c r="AX544" s="29"/>
      <c r="AY544" s="24"/>
      <c r="AZ544" s="25"/>
      <c r="BA544" s="24"/>
      <c r="BB544" s="169"/>
      <c r="BC544" s="170"/>
      <c r="BD544" s="10"/>
      <c r="BE544" s="10"/>
      <c r="BF544" s="10"/>
      <c r="BG544" s="10"/>
      <c r="BH544" s="10"/>
      <c r="BI544" s="76"/>
      <c r="BJ544" s="24"/>
      <c r="BK544" s="25"/>
      <c r="BL544" s="259"/>
      <c r="BM544" s="10">
        <v>76433</v>
      </c>
      <c r="BN544" s="325"/>
      <c r="BO544" s="325"/>
      <c r="BP544" s="325">
        <v>95000</v>
      </c>
      <c r="BQ544" s="29">
        <f t="shared" si="701"/>
        <v>95000</v>
      </c>
      <c r="BR544" s="24">
        <f t="shared" si="702"/>
        <v>18567</v>
      </c>
      <c r="BS544" s="25">
        <f t="shared" si="703"/>
        <v>0.24291863462117147</v>
      </c>
      <c r="BT544" s="29">
        <f t="shared" si="704"/>
        <v>85716.5</v>
      </c>
    </row>
    <row r="545" spans="1:72" s="1" customFormat="1" ht="45.95" customHeight="1">
      <c r="A545" s="91"/>
      <c r="B545" s="358" t="s">
        <v>2737</v>
      </c>
      <c r="C545" s="50"/>
      <c r="D545" s="322" t="s">
        <v>2187</v>
      </c>
      <c r="E545" s="48" t="s">
        <v>1466</v>
      </c>
      <c r="F545" s="10"/>
      <c r="G545" s="39"/>
      <c r="H545" s="39"/>
      <c r="I545" s="183"/>
      <c r="J545" s="29"/>
      <c r="K545" s="24"/>
      <c r="L545" s="25"/>
      <c r="M545" s="69"/>
      <c r="N545" s="77"/>
      <c r="O545" s="73"/>
      <c r="P545" s="74"/>
      <c r="Q545" s="74"/>
      <c r="R545" s="75"/>
      <c r="S545" s="61"/>
      <c r="T545" s="60"/>
      <c r="U545" s="74"/>
      <c r="V545" s="76"/>
      <c r="W545" s="24"/>
      <c r="X545" s="25"/>
      <c r="Y545" s="77"/>
      <c r="Z545" s="106"/>
      <c r="AA545" s="73"/>
      <c r="AB545" s="88"/>
      <c r="AC545" s="116"/>
      <c r="AD545" s="74"/>
      <c r="AE545" s="76"/>
      <c r="AF545" s="24"/>
      <c r="AG545" s="25"/>
      <c r="AH545" s="77"/>
      <c r="AI545" s="77"/>
      <c r="AJ545" s="73"/>
      <c r="AK545" s="79"/>
      <c r="AL545" s="79"/>
      <c r="AM545" s="127"/>
      <c r="AN545" s="128"/>
      <c r="AO545" s="128"/>
      <c r="AP545" s="133"/>
      <c r="AQ545" s="127"/>
      <c r="AR545" s="134"/>
      <c r="AS545" s="132"/>
      <c r="AT545" s="10"/>
      <c r="AU545" s="10"/>
      <c r="AV545" s="167"/>
      <c r="AW545" s="168"/>
      <c r="AX545" s="29"/>
      <c r="AY545" s="24"/>
      <c r="AZ545" s="25"/>
      <c r="BA545" s="24"/>
      <c r="BB545" s="169"/>
      <c r="BC545" s="170"/>
      <c r="BD545" s="10"/>
      <c r="BE545" s="10"/>
      <c r="BF545" s="10"/>
      <c r="BG545" s="10"/>
      <c r="BH545" s="10"/>
      <c r="BI545" s="76"/>
      <c r="BJ545" s="24"/>
      <c r="BK545" s="25"/>
      <c r="BL545" s="259"/>
      <c r="BM545" s="10">
        <v>113688</v>
      </c>
      <c r="BN545" s="325"/>
      <c r="BO545" s="325"/>
      <c r="BP545" s="325">
        <v>65000</v>
      </c>
      <c r="BQ545" s="29">
        <f t="shared" si="701"/>
        <v>65000</v>
      </c>
      <c r="BR545" s="24">
        <f t="shared" si="702"/>
        <v>-48688</v>
      </c>
      <c r="BS545" s="25">
        <f t="shared" si="703"/>
        <v>-0.42825979874744918</v>
      </c>
      <c r="BT545" s="29">
        <f t="shared" si="704"/>
        <v>89344</v>
      </c>
    </row>
    <row r="546" spans="1:72" ht="36" customHeight="1">
      <c r="A546" s="91" t="s">
        <v>29</v>
      </c>
      <c r="B546" s="358" t="s">
        <v>2738</v>
      </c>
      <c r="C546" s="252" t="s">
        <v>758</v>
      </c>
      <c r="D546" s="47" t="s">
        <v>29</v>
      </c>
      <c r="E546" s="47"/>
      <c r="F546" s="47"/>
      <c r="G546" s="47"/>
      <c r="H546" s="47"/>
      <c r="I546" s="47"/>
      <c r="J546" s="47"/>
      <c r="K546" s="47"/>
      <c r="L546" s="47"/>
      <c r="M546" s="91"/>
      <c r="N546" s="47"/>
      <c r="O546" s="47"/>
      <c r="P546" s="47"/>
      <c r="Q546" s="47"/>
      <c r="R546" s="47"/>
      <c r="S546" s="47"/>
      <c r="T546" s="47"/>
      <c r="U546" s="47"/>
      <c r="V546" s="47"/>
      <c r="W546" s="47"/>
      <c r="X546" s="47"/>
      <c r="Y546" s="47"/>
      <c r="Z546" s="47"/>
      <c r="AA546" s="47"/>
      <c r="AB546" s="47"/>
      <c r="AC546" s="47"/>
      <c r="AD546" s="47"/>
      <c r="AE546" s="47"/>
      <c r="AF546" s="47"/>
      <c r="AG546" s="47"/>
      <c r="AH546" s="47"/>
      <c r="AI546" s="47"/>
      <c r="AJ546" s="147"/>
      <c r="AK546" s="148"/>
      <c r="AL546" s="148"/>
      <c r="AM546" s="149"/>
      <c r="AN546" s="148"/>
      <c r="AO546" s="148"/>
      <c r="AP546" s="133"/>
      <c r="AQ546" s="127"/>
      <c r="AR546" s="134"/>
      <c r="AS546" s="132"/>
      <c r="AT546" s="173"/>
      <c r="AU546" s="173"/>
      <c r="AV546" s="174"/>
      <c r="AW546" s="175"/>
      <c r="AX546" s="29"/>
      <c r="AY546" s="67"/>
      <c r="AZ546" s="64"/>
      <c r="BA546" s="67"/>
      <c r="BB546" s="202"/>
      <c r="BC546" s="203"/>
      <c r="BD546" s="173"/>
      <c r="BE546" s="173"/>
      <c r="BF546" s="173"/>
      <c r="BG546" s="274"/>
      <c r="BH546" s="173"/>
      <c r="BI546" s="76"/>
      <c r="BJ546" s="24"/>
      <c r="BK546" s="25"/>
      <c r="BL546" s="259"/>
      <c r="BM546" s="323"/>
      <c r="BN546" s="324"/>
      <c r="BO546" s="324"/>
      <c r="BP546" s="323"/>
      <c r="BQ546" s="29"/>
      <c r="BR546" s="24"/>
      <c r="BS546" s="25"/>
      <c r="BT546" s="308"/>
    </row>
    <row r="547" spans="1:72">
      <c r="A547" s="91" t="s">
        <v>29</v>
      </c>
      <c r="B547" s="358" t="s">
        <v>2739</v>
      </c>
      <c r="C547" s="50" t="s">
        <v>267</v>
      </c>
      <c r="D547" s="99" t="s">
        <v>607</v>
      </c>
      <c r="E547" s="48" t="s">
        <v>13</v>
      </c>
      <c r="F547" s="10">
        <v>60474</v>
      </c>
      <c r="G547" s="33">
        <v>78651</v>
      </c>
      <c r="H547" s="31">
        <v>102246</v>
      </c>
      <c r="I547" s="35">
        <v>68746.8</v>
      </c>
      <c r="J547" s="29">
        <f t="shared" si="595"/>
        <v>83214.599999999991</v>
      </c>
      <c r="K547" s="24">
        <f t="shared" si="596"/>
        <v>22740.599999999991</v>
      </c>
      <c r="L547" s="25">
        <f t="shared" si="597"/>
        <v>0.37603928961206456</v>
      </c>
      <c r="M547" s="69" t="str">
        <f t="shared" si="598"/>
        <v>REVISAR PRECIO</v>
      </c>
      <c r="N547" s="77">
        <f t="shared" si="594"/>
        <v>83214.599999999991</v>
      </c>
      <c r="O547" s="73">
        <v>32340</v>
      </c>
      <c r="P547" s="74">
        <v>27193.452000000005</v>
      </c>
      <c r="Q547" s="74">
        <v>45000</v>
      </c>
      <c r="R547" s="75">
        <v>31331.586000000003</v>
      </c>
      <c r="S547" s="61">
        <v>52439.999999999993</v>
      </c>
      <c r="T547" s="60">
        <v>32000</v>
      </c>
      <c r="U547" s="74">
        <v>60305.999999999985</v>
      </c>
      <c r="V547" s="76">
        <f t="shared" ref="V547:V564" si="705">AVERAGE(P547,Q547,R547,S547,T547,U547)</f>
        <v>41378.506333333331</v>
      </c>
      <c r="W547" s="24">
        <f t="shared" ref="W547:W564" si="706">V547-O547</f>
        <v>9038.506333333331</v>
      </c>
      <c r="X547" s="25">
        <f t="shared" ref="X547:X564" si="707">+W547/O547</f>
        <v>0.27948380746237883</v>
      </c>
      <c r="Y547" s="77">
        <f t="shared" ref="Y547:Y564" si="708">+IF(X547&lt;35%,V547,"REVISAR PRECIO")</f>
        <v>41378.506333333331</v>
      </c>
      <c r="Z547" s="106">
        <f t="shared" ref="Z547:Z564" si="709">V547</f>
        <v>41378.506333333331</v>
      </c>
      <c r="AA547" s="73">
        <v>32340</v>
      </c>
      <c r="AB547" s="88">
        <v>32000</v>
      </c>
      <c r="AC547" s="116">
        <v>32000</v>
      </c>
      <c r="AD547" s="74">
        <v>26011.128000000004</v>
      </c>
      <c r="AE547" s="76">
        <f t="shared" ref="AE547:AE564" si="710">AVERAGE(AB547,AC547,AD547)</f>
        <v>30003.709333333332</v>
      </c>
      <c r="AF547" s="24">
        <f t="shared" ref="AF547:AF564" si="711">AE547-AA547</f>
        <v>-2336.2906666666677</v>
      </c>
      <c r="AG547" s="25">
        <f t="shared" ref="AG547:AG564" si="712">+AF547/AA547</f>
        <v>-7.2241517212945819E-2</v>
      </c>
      <c r="AH547" s="77">
        <f t="shared" ref="AH547:AH564" si="713">+IF(AG547&lt;35%,AE547,"REVISAR PRECIO")</f>
        <v>30003.709333333332</v>
      </c>
      <c r="AI547" s="77">
        <f t="shared" ref="AI547:AI564" si="714">AE547</f>
        <v>30003.709333333332</v>
      </c>
      <c r="AJ547" s="73">
        <v>32340</v>
      </c>
      <c r="AK547" s="79">
        <v>31331.586000000003</v>
      </c>
      <c r="AL547" s="79">
        <f>+AL548*0.4</f>
        <v>23646.480000000003</v>
      </c>
      <c r="AM547" s="127">
        <v>28375.776000000005</v>
      </c>
      <c r="AN547" s="128">
        <v>25000</v>
      </c>
      <c r="AO547" s="128">
        <v>25000</v>
      </c>
      <c r="AP547" s="133">
        <f t="shared" ref="AP547:AP564" si="715">AVERAGE(AK547,AL547,AM547,AN547,AO547)</f>
        <v>26670.768400000001</v>
      </c>
      <c r="AQ547" s="127">
        <f t="shared" ref="AQ547:AQ564" si="716">AP547-AJ547</f>
        <v>-5669.2315999999992</v>
      </c>
      <c r="AR547" s="134">
        <f t="shared" ref="AR547:AR564" si="717">+AQ547/AJ547</f>
        <v>-0.17530091527520097</v>
      </c>
      <c r="AS547" s="132">
        <f t="shared" ref="AS547:AS564" si="718">AP547</f>
        <v>26670.768400000001</v>
      </c>
      <c r="AT547" s="250"/>
      <c r="AU547" s="250"/>
      <c r="AV547" s="250"/>
      <c r="AW547" s="250"/>
      <c r="AX547" s="250"/>
      <c r="AY547" s="250"/>
      <c r="AZ547" s="250"/>
      <c r="BA547" s="250"/>
      <c r="BB547" s="250"/>
      <c r="BC547" s="251"/>
      <c r="BD547" s="10">
        <v>28819</v>
      </c>
      <c r="BE547" s="10"/>
      <c r="BF547" s="10"/>
      <c r="BG547" s="10"/>
      <c r="BH547" s="279">
        <f>+BH548*0.4</f>
        <v>30000</v>
      </c>
      <c r="BI547" s="76">
        <f t="shared" ref="BI547:BI549" si="719">AVERAGE(BE547,BF547,BG547,BH547)</f>
        <v>30000</v>
      </c>
      <c r="BJ547" s="24">
        <f t="shared" ref="BJ547:BJ549" si="720">BI547-BD547</f>
        <v>1181</v>
      </c>
      <c r="BK547" s="25">
        <f t="shared" ref="BK547:BK549" si="721">+BJ547/BD547</f>
        <v>4.0979909087754604E-2</v>
      </c>
      <c r="BL547" s="259">
        <f t="shared" ref="BL547:BL549" si="722">BI547</f>
        <v>30000</v>
      </c>
      <c r="BM547" s="10">
        <v>32179</v>
      </c>
      <c r="BN547" s="45">
        <v>25000</v>
      </c>
      <c r="BO547" s="45">
        <v>37412</v>
      </c>
      <c r="BP547" s="45">
        <v>30000</v>
      </c>
      <c r="BQ547" s="29">
        <f t="shared" ref="BQ547:BQ555" si="723">AVERAGE(BN547,BO547,BP547)</f>
        <v>30804</v>
      </c>
      <c r="BR547" s="24">
        <f t="shared" ref="BR547:BR555" si="724">BQ547-BM547</f>
        <v>-1375</v>
      </c>
      <c r="BS547" s="25">
        <f t="shared" ref="BS547:BS555" si="725">+BR547/BM547</f>
        <v>-4.2729730569626152E-2</v>
      </c>
      <c r="BT547" s="308">
        <f t="shared" ref="BT547:BT555" si="726">BQ547</f>
        <v>30804</v>
      </c>
    </row>
    <row r="548" spans="1:72" ht="38.1" customHeight="1">
      <c r="A548" s="91" t="s">
        <v>29</v>
      </c>
      <c r="B548" s="358" t="s">
        <v>2740</v>
      </c>
      <c r="C548" s="50" t="s">
        <v>268</v>
      </c>
      <c r="D548" s="99" t="s">
        <v>608</v>
      </c>
      <c r="E548" s="48" t="s">
        <v>13</v>
      </c>
      <c r="F548" s="10">
        <v>156842</v>
      </c>
      <c r="G548" s="31">
        <v>203985</v>
      </c>
      <c r="H548" s="31">
        <v>265181</v>
      </c>
      <c r="I548" s="35">
        <v>178298</v>
      </c>
      <c r="J548" s="29">
        <f t="shared" si="595"/>
        <v>215821.33333333334</v>
      </c>
      <c r="K548" s="24">
        <f t="shared" si="596"/>
        <v>58979.333333333343</v>
      </c>
      <c r="L548" s="25">
        <f t="shared" si="597"/>
        <v>0.37604298168432782</v>
      </c>
      <c r="M548" s="69" t="str">
        <f t="shared" si="598"/>
        <v>REVISAR PRECIO</v>
      </c>
      <c r="N548" s="77">
        <f t="shared" si="594"/>
        <v>215821.33333333334</v>
      </c>
      <c r="O548" s="73">
        <v>73253</v>
      </c>
      <c r="P548" s="74">
        <v>67983.63</v>
      </c>
      <c r="Q548" s="74">
        <v>85000</v>
      </c>
      <c r="R548" s="75">
        <v>78328.964999999997</v>
      </c>
      <c r="S548" s="61">
        <v>75210</v>
      </c>
      <c r="T548" s="60">
        <v>70000</v>
      </c>
      <c r="U548" s="74">
        <v>86491.5</v>
      </c>
      <c r="V548" s="76">
        <f t="shared" si="705"/>
        <v>77169.015833333324</v>
      </c>
      <c r="W548" s="24">
        <f t="shared" si="706"/>
        <v>3916.0158333333238</v>
      </c>
      <c r="X548" s="25">
        <f t="shared" si="707"/>
        <v>5.3458777569974254E-2</v>
      </c>
      <c r="Y548" s="77">
        <f t="shared" si="708"/>
        <v>77169.015833333324</v>
      </c>
      <c r="Z548" s="106">
        <f t="shared" si="709"/>
        <v>77169.015833333324</v>
      </c>
      <c r="AA548" s="73">
        <v>73253</v>
      </c>
      <c r="AB548" s="88">
        <v>86000</v>
      </c>
      <c r="AC548" s="116">
        <v>86000</v>
      </c>
      <c r="AD548" s="74">
        <v>65027.820000000007</v>
      </c>
      <c r="AE548" s="76">
        <f t="shared" si="710"/>
        <v>79009.273333333331</v>
      </c>
      <c r="AF548" s="24">
        <f t="shared" si="711"/>
        <v>5756.2733333333308</v>
      </c>
      <c r="AG548" s="25">
        <f t="shared" si="712"/>
        <v>7.8580717968319808E-2</v>
      </c>
      <c r="AH548" s="77">
        <f t="shared" si="713"/>
        <v>79009.273333333331</v>
      </c>
      <c r="AI548" s="77">
        <f t="shared" si="714"/>
        <v>79009.273333333331</v>
      </c>
      <c r="AJ548" s="73">
        <v>73253</v>
      </c>
      <c r="AK548" s="79">
        <v>78328.964999999997</v>
      </c>
      <c r="AL548" s="79">
        <f>45474*1.3</f>
        <v>59116.200000000004</v>
      </c>
      <c r="AM548" s="127">
        <v>70939.44</v>
      </c>
      <c r="AN548" s="128">
        <v>68000</v>
      </c>
      <c r="AO548" s="128">
        <v>75000</v>
      </c>
      <c r="AP548" s="133">
        <f t="shared" si="715"/>
        <v>70276.921000000002</v>
      </c>
      <c r="AQ548" s="127">
        <f t="shared" si="716"/>
        <v>-2976.0789999999979</v>
      </c>
      <c r="AR548" s="134">
        <f t="shared" si="717"/>
        <v>-4.0627400925559332E-2</v>
      </c>
      <c r="AS548" s="132">
        <f t="shared" si="718"/>
        <v>70276.921000000002</v>
      </c>
      <c r="AT548" s="250"/>
      <c r="AU548" s="250"/>
      <c r="AV548" s="250"/>
      <c r="AW548" s="250"/>
      <c r="AX548" s="250"/>
      <c r="AY548" s="250"/>
      <c r="AZ548" s="250"/>
      <c r="BA548" s="250"/>
      <c r="BB548" s="250"/>
      <c r="BC548" s="251"/>
      <c r="BD548" s="10">
        <v>45345</v>
      </c>
      <c r="BE548" s="10">
        <v>75000</v>
      </c>
      <c r="BF548" s="10">
        <v>81000</v>
      </c>
      <c r="BG548" s="268">
        <v>81000</v>
      </c>
      <c r="BH548" s="10">
        <v>75000</v>
      </c>
      <c r="BI548" s="76">
        <f t="shared" si="719"/>
        <v>78000</v>
      </c>
      <c r="BJ548" s="24">
        <f t="shared" si="720"/>
        <v>32655</v>
      </c>
      <c r="BK548" s="25">
        <f t="shared" si="721"/>
        <v>0.72014555077737352</v>
      </c>
      <c r="BL548" s="259">
        <f t="shared" si="722"/>
        <v>78000</v>
      </c>
      <c r="BM548" s="10">
        <v>50642</v>
      </c>
      <c r="BN548" s="45">
        <v>58000</v>
      </c>
      <c r="BO548" s="45">
        <v>58867</v>
      </c>
      <c r="BP548" s="45">
        <v>140000</v>
      </c>
      <c r="BQ548" s="29">
        <f t="shared" si="723"/>
        <v>85622.333333333328</v>
      </c>
      <c r="BR548" s="24">
        <f t="shared" si="724"/>
        <v>34980.333333333328</v>
      </c>
      <c r="BS548" s="25">
        <f t="shared" si="725"/>
        <v>0.69073759593486295</v>
      </c>
      <c r="BT548" s="308">
        <f t="shared" si="726"/>
        <v>85622.333333333328</v>
      </c>
    </row>
    <row r="549" spans="1:72" ht="36" customHeight="1">
      <c r="A549" s="91" t="s">
        <v>29</v>
      </c>
      <c r="B549" s="358" t="s">
        <v>2741</v>
      </c>
      <c r="C549" s="50" t="s">
        <v>269</v>
      </c>
      <c r="D549" s="99" t="s">
        <v>609</v>
      </c>
      <c r="E549" s="48" t="s">
        <v>13</v>
      </c>
      <c r="F549" s="10">
        <v>141521</v>
      </c>
      <c r="G549" s="31">
        <v>184059</v>
      </c>
      <c r="H549" s="31">
        <v>239277</v>
      </c>
      <c r="I549" s="35">
        <v>160881.20000000001</v>
      </c>
      <c r="J549" s="29">
        <f t="shared" si="595"/>
        <v>194739.06666666665</v>
      </c>
      <c r="K549" s="24">
        <f t="shared" si="596"/>
        <v>53218.066666666651</v>
      </c>
      <c r="L549" s="25">
        <f t="shared" si="597"/>
        <v>0.37604360248066826</v>
      </c>
      <c r="M549" s="69" t="str">
        <f t="shared" si="598"/>
        <v>REVISAR PRECIO</v>
      </c>
      <c r="N549" s="77">
        <f t="shared" si="594"/>
        <v>194739.06666666665</v>
      </c>
      <c r="O549" s="73">
        <v>50888</v>
      </c>
      <c r="P549" s="74">
        <v>107787.65999999999</v>
      </c>
      <c r="Q549" s="74">
        <v>120000</v>
      </c>
      <c r="R549" s="75">
        <v>124190.12999999999</v>
      </c>
      <c r="S549" s="61">
        <v>138575</v>
      </c>
      <c r="T549" s="60">
        <v>90000</v>
      </c>
      <c r="U549" s="74">
        <v>159361.25</v>
      </c>
      <c r="V549" s="76">
        <f t="shared" si="705"/>
        <v>123319.00666666667</v>
      </c>
      <c r="W549" s="24">
        <f t="shared" si="706"/>
        <v>72431.006666666668</v>
      </c>
      <c r="X549" s="25">
        <f t="shared" si="707"/>
        <v>1.4233415867526071</v>
      </c>
      <c r="Y549" s="77" t="str">
        <f t="shared" si="708"/>
        <v>REVISAR PRECIO</v>
      </c>
      <c r="Z549" s="106">
        <f t="shared" si="709"/>
        <v>123319.00666666667</v>
      </c>
      <c r="AA549" s="73">
        <v>50888</v>
      </c>
      <c r="AB549" s="88">
        <v>105000</v>
      </c>
      <c r="AC549" s="116">
        <v>105000</v>
      </c>
      <c r="AD549" s="74">
        <v>103101.23999999999</v>
      </c>
      <c r="AE549" s="76">
        <f t="shared" si="710"/>
        <v>104367.08</v>
      </c>
      <c r="AF549" s="24">
        <f t="shared" si="711"/>
        <v>53479.08</v>
      </c>
      <c r="AG549" s="25">
        <f t="shared" si="712"/>
        <v>1.0509173085992769</v>
      </c>
      <c r="AH549" s="77" t="str">
        <f t="shared" si="713"/>
        <v>REVISAR PRECIO</v>
      </c>
      <c r="AI549" s="77">
        <f t="shared" si="714"/>
        <v>104367.08</v>
      </c>
      <c r="AJ549" s="73">
        <v>50888</v>
      </c>
      <c r="AK549" s="79">
        <v>124190.12999999999</v>
      </c>
      <c r="AL549" s="79">
        <f>78107*1.2</f>
        <v>93728.4</v>
      </c>
      <c r="AM549" s="127">
        <v>112474.07999999999</v>
      </c>
      <c r="AN549" s="128">
        <v>104000</v>
      </c>
      <c r="AO549" s="128">
        <v>115000</v>
      </c>
      <c r="AP549" s="133">
        <f t="shared" si="715"/>
        <v>109878.522</v>
      </c>
      <c r="AQ549" s="127">
        <f t="shared" si="716"/>
        <v>58990.521999999997</v>
      </c>
      <c r="AR549" s="134">
        <f t="shared" si="717"/>
        <v>1.1592226458104071</v>
      </c>
      <c r="AS549" s="132">
        <f t="shared" si="718"/>
        <v>109878.522</v>
      </c>
      <c r="AT549" s="250"/>
      <c r="AU549" s="250"/>
      <c r="AV549" s="250"/>
      <c r="AW549" s="250"/>
      <c r="AX549" s="250"/>
      <c r="AY549" s="250"/>
      <c r="AZ549" s="250"/>
      <c r="BA549" s="250"/>
      <c r="BB549" s="250"/>
      <c r="BC549" s="251"/>
      <c r="BD549" s="10">
        <v>68117</v>
      </c>
      <c r="BE549" s="10">
        <v>115000</v>
      </c>
      <c r="BF549" s="10">
        <v>120000</v>
      </c>
      <c r="BG549" s="268">
        <v>120000</v>
      </c>
      <c r="BH549" s="10">
        <v>115000</v>
      </c>
      <c r="BI549" s="76">
        <f t="shared" si="719"/>
        <v>117500</v>
      </c>
      <c r="BJ549" s="24">
        <f t="shared" si="720"/>
        <v>49383</v>
      </c>
      <c r="BK549" s="25">
        <f t="shared" si="721"/>
        <v>0.72497320786294173</v>
      </c>
      <c r="BL549" s="259">
        <f t="shared" si="722"/>
        <v>117500</v>
      </c>
      <c r="BM549" s="10">
        <v>75683</v>
      </c>
      <c r="BN549" s="45">
        <v>98000</v>
      </c>
      <c r="BO549" s="45">
        <v>89301</v>
      </c>
      <c r="BP549" s="45">
        <v>110000</v>
      </c>
      <c r="BQ549" s="29">
        <f t="shared" si="723"/>
        <v>99100.333333333328</v>
      </c>
      <c r="BR549" s="24">
        <f t="shared" si="724"/>
        <v>23417.333333333328</v>
      </c>
      <c r="BS549" s="25">
        <f t="shared" si="725"/>
        <v>0.30941338653770767</v>
      </c>
      <c r="BT549" s="308">
        <f t="shared" si="726"/>
        <v>99100.333333333328</v>
      </c>
    </row>
    <row r="550" spans="1:72" ht="31.35" customHeight="1">
      <c r="A550" s="91" t="s">
        <v>29</v>
      </c>
      <c r="B550" s="358" t="s">
        <v>2742</v>
      </c>
      <c r="C550" s="50" t="s">
        <v>270</v>
      </c>
      <c r="D550" s="99" t="s">
        <v>610</v>
      </c>
      <c r="E550" s="48" t="s">
        <v>13</v>
      </c>
      <c r="F550" s="10">
        <v>74539</v>
      </c>
      <c r="G550" s="31">
        <v>96944</v>
      </c>
      <c r="H550" s="31">
        <v>126027</v>
      </c>
      <c r="I550" s="35">
        <v>84735.8</v>
      </c>
      <c r="J550" s="29">
        <f t="shared" si="595"/>
        <v>102568.93333333333</v>
      </c>
      <c r="K550" s="24">
        <f t="shared" si="596"/>
        <v>28029.933333333334</v>
      </c>
      <c r="L550" s="25">
        <f t="shared" si="597"/>
        <v>0.37604386070826457</v>
      </c>
      <c r="M550" s="69" t="str">
        <f t="shared" si="598"/>
        <v>REVISAR PRECIO</v>
      </c>
      <c r="N550" s="77">
        <f t="shared" si="594"/>
        <v>102568.93333333333</v>
      </c>
      <c r="O550" s="73">
        <v>75683</v>
      </c>
      <c r="P550" s="74">
        <v>59499.5625</v>
      </c>
      <c r="Q550" s="74">
        <v>80000</v>
      </c>
      <c r="R550" s="75">
        <v>68553.84375</v>
      </c>
      <c r="S550" s="61">
        <v>138000</v>
      </c>
      <c r="T550" s="60">
        <v>160000</v>
      </c>
      <c r="U550" s="74">
        <v>158700</v>
      </c>
      <c r="V550" s="76">
        <f t="shared" si="705"/>
        <v>110792.234375</v>
      </c>
      <c r="W550" s="24">
        <f t="shared" si="706"/>
        <v>35109.234375</v>
      </c>
      <c r="X550" s="25">
        <f t="shared" si="707"/>
        <v>0.46389855548802239</v>
      </c>
      <c r="Y550" s="77" t="str">
        <f t="shared" si="708"/>
        <v>REVISAR PRECIO</v>
      </c>
      <c r="Z550" s="106">
        <f t="shared" si="709"/>
        <v>110792.234375</v>
      </c>
      <c r="AA550" s="73">
        <v>75683</v>
      </c>
      <c r="AB550" s="88">
        <v>55000</v>
      </c>
      <c r="AC550" s="116">
        <v>55000</v>
      </c>
      <c r="AD550" s="74">
        <v>56912.625</v>
      </c>
      <c r="AE550" s="76">
        <f t="shared" si="710"/>
        <v>55637.541666666664</v>
      </c>
      <c r="AF550" s="24">
        <f t="shared" si="711"/>
        <v>-20045.458333333336</v>
      </c>
      <c r="AG550" s="25">
        <f t="shared" si="712"/>
        <v>-0.26486077895079918</v>
      </c>
      <c r="AH550" s="77">
        <f t="shared" si="713"/>
        <v>55637.541666666664</v>
      </c>
      <c r="AI550" s="77">
        <f t="shared" si="714"/>
        <v>55637.541666666664</v>
      </c>
      <c r="AJ550" s="73">
        <v>75683</v>
      </c>
      <c r="AK550" s="79">
        <v>68553.84375</v>
      </c>
      <c r="AL550" s="79">
        <f>41391*1.25</f>
        <v>51738.75</v>
      </c>
      <c r="AM550" s="127">
        <v>62086.5</v>
      </c>
      <c r="AN550" s="128">
        <v>70000</v>
      </c>
      <c r="AO550" s="128">
        <v>70000</v>
      </c>
      <c r="AP550" s="133">
        <f t="shared" si="715"/>
        <v>64475.818749999999</v>
      </c>
      <c r="AQ550" s="127">
        <f t="shared" si="716"/>
        <v>-11207.181250000001</v>
      </c>
      <c r="AR550" s="134">
        <f t="shared" si="717"/>
        <v>-0.14808056300622335</v>
      </c>
      <c r="AS550" s="132">
        <f t="shared" si="718"/>
        <v>64475.818749999999</v>
      </c>
      <c r="AT550" s="250"/>
      <c r="AU550" s="250"/>
      <c r="AV550" s="250"/>
      <c r="AW550" s="250"/>
      <c r="AX550" s="250"/>
      <c r="AY550" s="250"/>
      <c r="AZ550" s="250"/>
      <c r="BA550" s="250"/>
      <c r="BB550" s="250"/>
      <c r="BC550" s="251"/>
      <c r="BD550" s="150"/>
      <c r="BE550" s="150"/>
      <c r="BF550" s="150"/>
      <c r="BG550" s="150"/>
      <c r="BH550" s="150"/>
      <c r="BI550" s="150"/>
      <c r="BJ550" s="150"/>
      <c r="BK550" s="150"/>
      <c r="BL550" s="150"/>
      <c r="BM550" s="10">
        <v>39868</v>
      </c>
      <c r="BN550" s="45"/>
      <c r="BO550" s="45">
        <v>47036</v>
      </c>
      <c r="BP550" s="45">
        <v>56000</v>
      </c>
      <c r="BQ550" s="29">
        <f t="shared" si="723"/>
        <v>51518</v>
      </c>
      <c r="BR550" s="24">
        <f t="shared" si="724"/>
        <v>11650</v>
      </c>
      <c r="BS550" s="25">
        <f t="shared" si="725"/>
        <v>0.29221430721380554</v>
      </c>
      <c r="BT550" s="308">
        <f t="shared" si="726"/>
        <v>51518</v>
      </c>
    </row>
    <row r="551" spans="1:72" ht="31.35" customHeight="1">
      <c r="A551" s="91" t="s">
        <v>29</v>
      </c>
      <c r="B551" s="358" t="s">
        <v>2743</v>
      </c>
      <c r="C551" s="50" t="s">
        <v>271</v>
      </c>
      <c r="D551" s="99" t="s">
        <v>611</v>
      </c>
      <c r="E551" s="48" t="s">
        <v>13</v>
      </c>
      <c r="F551" s="10">
        <v>172412</v>
      </c>
      <c r="G551" s="31">
        <v>224235</v>
      </c>
      <c r="H551" s="31">
        <v>291506</v>
      </c>
      <c r="I551" s="35">
        <v>195998</v>
      </c>
      <c r="J551" s="29">
        <f t="shared" si="595"/>
        <v>237246.33333333334</v>
      </c>
      <c r="K551" s="24">
        <f t="shared" si="596"/>
        <v>64834.333333333343</v>
      </c>
      <c r="L551" s="25">
        <f t="shared" si="597"/>
        <v>0.37604304418099288</v>
      </c>
      <c r="M551" s="69" t="str">
        <f t="shared" si="598"/>
        <v>REVISAR PRECIO</v>
      </c>
      <c r="N551" s="77">
        <f t="shared" si="594"/>
        <v>237246.33333333334</v>
      </c>
      <c r="O551" s="73">
        <v>65203</v>
      </c>
      <c r="P551" s="74">
        <v>99679.125</v>
      </c>
      <c r="Q551" s="74">
        <v>110000</v>
      </c>
      <c r="R551" s="75">
        <v>114847.6875</v>
      </c>
      <c r="S551" s="61">
        <v>99679.124999999985</v>
      </c>
      <c r="T551" s="60">
        <v>70000</v>
      </c>
      <c r="U551" s="74">
        <v>114630.99374999998</v>
      </c>
      <c r="V551" s="76">
        <f t="shared" si="705"/>
        <v>101472.82187500001</v>
      </c>
      <c r="W551" s="24">
        <f t="shared" si="706"/>
        <v>36269.821875000009</v>
      </c>
      <c r="X551" s="25">
        <f t="shared" si="707"/>
        <v>0.55626001679370596</v>
      </c>
      <c r="Y551" s="77" t="str">
        <f t="shared" si="708"/>
        <v>REVISAR PRECIO</v>
      </c>
      <c r="Z551" s="106">
        <f t="shared" si="709"/>
        <v>101472.82187500001</v>
      </c>
      <c r="AA551" s="73">
        <v>65203</v>
      </c>
      <c r="AB551" s="88">
        <v>90000</v>
      </c>
      <c r="AC551" s="116">
        <v>90000</v>
      </c>
      <c r="AD551" s="74">
        <v>95345.25</v>
      </c>
      <c r="AE551" s="76">
        <f t="shared" si="710"/>
        <v>91781.75</v>
      </c>
      <c r="AF551" s="24">
        <f t="shared" si="711"/>
        <v>26578.75</v>
      </c>
      <c r="AG551" s="25">
        <f t="shared" si="712"/>
        <v>0.40763078385963836</v>
      </c>
      <c r="AH551" s="77" t="str">
        <f t="shared" si="713"/>
        <v>REVISAR PRECIO</v>
      </c>
      <c r="AI551" s="77">
        <f t="shared" si="714"/>
        <v>91781.75</v>
      </c>
      <c r="AJ551" s="73">
        <v>65203</v>
      </c>
      <c r="AK551" s="79">
        <v>114847.6875</v>
      </c>
      <c r="AL551" s="79">
        <f>69342*1.25</f>
        <v>86677.5</v>
      </c>
      <c r="AM551" s="127">
        <v>104013</v>
      </c>
      <c r="AN551" s="128">
        <v>86000</v>
      </c>
      <c r="AO551" s="128">
        <v>90000</v>
      </c>
      <c r="AP551" s="133">
        <f t="shared" si="715"/>
        <v>96307.637499999997</v>
      </c>
      <c r="AQ551" s="127">
        <f t="shared" si="716"/>
        <v>31104.637499999997</v>
      </c>
      <c r="AR551" s="134">
        <f t="shared" si="717"/>
        <v>0.47704304249804452</v>
      </c>
      <c r="AS551" s="132">
        <f t="shared" si="718"/>
        <v>96307.637499999997</v>
      </c>
      <c r="AT551" s="250"/>
      <c r="AU551" s="250"/>
      <c r="AV551" s="250"/>
      <c r="AW551" s="250"/>
      <c r="AX551" s="250"/>
      <c r="AY551" s="250"/>
      <c r="AZ551" s="250"/>
      <c r="BA551" s="250"/>
      <c r="BB551" s="250"/>
      <c r="BC551" s="251"/>
      <c r="BD551" s="10">
        <v>58131</v>
      </c>
      <c r="BE551" s="10"/>
      <c r="BF551" s="10"/>
      <c r="BG551" s="268"/>
      <c r="BH551" s="10">
        <v>120000</v>
      </c>
      <c r="BI551" s="76">
        <f t="shared" ref="BI551:BI552" si="727">AVERAGE(BE551,BF551,BG551,BH551)</f>
        <v>120000</v>
      </c>
      <c r="BJ551" s="24">
        <f t="shared" ref="BJ551:BJ552" si="728">BI551-BD551</f>
        <v>61869</v>
      </c>
      <c r="BK551" s="25">
        <f t="shared" ref="BK551:BK552" si="729">+BJ551/BD551</f>
        <v>1.0643030396862259</v>
      </c>
      <c r="BL551" s="259">
        <f t="shared" ref="BL551:BL552" si="730">BI551</f>
        <v>120000</v>
      </c>
      <c r="BM551" s="10">
        <v>65203</v>
      </c>
      <c r="BN551" s="45">
        <v>75000</v>
      </c>
      <c r="BO551" s="45">
        <v>76929</v>
      </c>
      <c r="BP551" s="45">
        <v>95000</v>
      </c>
      <c r="BQ551" s="29">
        <f t="shared" si="723"/>
        <v>82309.666666666672</v>
      </c>
      <c r="BR551" s="24">
        <f t="shared" si="724"/>
        <v>17106.666666666672</v>
      </c>
      <c r="BS551" s="25">
        <f t="shared" si="725"/>
        <v>0.26236011635456452</v>
      </c>
      <c r="BT551" s="308">
        <f t="shared" si="726"/>
        <v>82309.666666666672</v>
      </c>
    </row>
    <row r="552" spans="1:72" ht="31.35" customHeight="1">
      <c r="A552" s="91" t="s">
        <v>29</v>
      </c>
      <c r="B552" s="358" t="s">
        <v>2744</v>
      </c>
      <c r="C552" s="50" t="s">
        <v>272</v>
      </c>
      <c r="D552" s="99" t="s">
        <v>612</v>
      </c>
      <c r="E552" s="48" t="s">
        <v>13</v>
      </c>
      <c r="F552" s="10">
        <v>101018</v>
      </c>
      <c r="G552" s="31">
        <v>131382</v>
      </c>
      <c r="H552" s="31">
        <v>170797</v>
      </c>
      <c r="I552" s="35">
        <v>114837.6</v>
      </c>
      <c r="J552" s="29">
        <f t="shared" si="595"/>
        <v>139005.53333333333</v>
      </c>
      <c r="K552" s="24">
        <f t="shared" si="596"/>
        <v>37987.533333333326</v>
      </c>
      <c r="L552" s="25">
        <f t="shared" si="597"/>
        <v>0.37604717311106262</v>
      </c>
      <c r="M552" s="69" t="str">
        <f t="shared" si="598"/>
        <v>REVISAR PRECIO</v>
      </c>
      <c r="N552" s="77">
        <f t="shared" si="594"/>
        <v>139005.53333333333</v>
      </c>
      <c r="O552" s="73">
        <v>54021</v>
      </c>
      <c r="P552" s="74">
        <v>25300</v>
      </c>
      <c r="Q552" s="74">
        <v>50000</v>
      </c>
      <c r="R552" s="75">
        <v>29150</v>
      </c>
      <c r="S552" s="61">
        <v>39100</v>
      </c>
      <c r="T552" s="60">
        <v>25000</v>
      </c>
      <c r="U552" s="74">
        <v>44965</v>
      </c>
      <c r="V552" s="76">
        <f t="shared" si="705"/>
        <v>35585.833333333336</v>
      </c>
      <c r="W552" s="24">
        <f t="shared" si="706"/>
        <v>-18435.166666666664</v>
      </c>
      <c r="X552" s="25">
        <f t="shared" si="707"/>
        <v>-0.34125926337288581</v>
      </c>
      <c r="Y552" s="77">
        <f t="shared" si="708"/>
        <v>35585.833333333336</v>
      </c>
      <c r="Z552" s="106">
        <f t="shared" si="709"/>
        <v>35585.833333333336</v>
      </c>
      <c r="AA552" s="73">
        <v>54021</v>
      </c>
      <c r="AB552" s="88">
        <v>23000</v>
      </c>
      <c r="AC552" s="116">
        <v>23000</v>
      </c>
      <c r="AD552" s="74">
        <v>24200</v>
      </c>
      <c r="AE552" s="76">
        <f t="shared" si="710"/>
        <v>23400</v>
      </c>
      <c r="AF552" s="24">
        <f t="shared" si="711"/>
        <v>-30621</v>
      </c>
      <c r="AG552" s="25">
        <f t="shared" si="712"/>
        <v>-0.56683511967568168</v>
      </c>
      <c r="AH552" s="77">
        <f t="shared" si="713"/>
        <v>23400</v>
      </c>
      <c r="AI552" s="77">
        <f t="shared" si="714"/>
        <v>23400</v>
      </c>
      <c r="AJ552" s="73">
        <v>54021</v>
      </c>
      <c r="AK552" s="79">
        <v>29150</v>
      </c>
      <c r="AL552" s="79">
        <v>22000</v>
      </c>
      <c r="AM552" s="127">
        <v>26400</v>
      </c>
      <c r="AN552" s="128">
        <v>27000</v>
      </c>
      <c r="AO552" s="128">
        <v>25000</v>
      </c>
      <c r="AP552" s="133">
        <f t="shared" si="715"/>
        <v>25910</v>
      </c>
      <c r="AQ552" s="127">
        <f t="shared" si="716"/>
        <v>-28111</v>
      </c>
      <c r="AR552" s="134">
        <f t="shared" si="717"/>
        <v>-0.52037170729901339</v>
      </c>
      <c r="AS552" s="132">
        <f t="shared" si="718"/>
        <v>25910</v>
      </c>
      <c r="AT552" s="250"/>
      <c r="AU552" s="250"/>
      <c r="AV552" s="250"/>
      <c r="AW552" s="250"/>
      <c r="AX552" s="250"/>
      <c r="AY552" s="250"/>
      <c r="AZ552" s="250"/>
      <c r="BA552" s="250"/>
      <c r="BB552" s="250"/>
      <c r="BC552" s="251"/>
      <c r="BD552" s="10">
        <v>48146</v>
      </c>
      <c r="BE552" s="10">
        <v>70000</v>
      </c>
      <c r="BF552" s="10">
        <v>75000</v>
      </c>
      <c r="BG552" s="268">
        <v>75000</v>
      </c>
      <c r="BH552" s="10">
        <v>120000</v>
      </c>
      <c r="BI552" s="76">
        <f t="shared" si="727"/>
        <v>85000</v>
      </c>
      <c r="BJ552" s="24">
        <f t="shared" si="728"/>
        <v>36854</v>
      </c>
      <c r="BK552" s="25">
        <f t="shared" si="729"/>
        <v>0.76546338221243715</v>
      </c>
      <c r="BL552" s="259">
        <f t="shared" si="730"/>
        <v>85000</v>
      </c>
      <c r="BM552" s="10">
        <v>53756</v>
      </c>
      <c r="BN552" s="45"/>
      <c r="BO552" s="45">
        <v>62494</v>
      </c>
      <c r="BP552" s="45">
        <v>45000</v>
      </c>
      <c r="BQ552" s="29">
        <f t="shared" si="723"/>
        <v>53747</v>
      </c>
      <c r="BR552" s="24">
        <f t="shared" si="724"/>
        <v>-9</v>
      </c>
      <c r="BS552" s="25">
        <f t="shared" si="725"/>
        <v>-1.6742317136691717E-4</v>
      </c>
      <c r="BT552" s="308">
        <f t="shared" si="726"/>
        <v>53747</v>
      </c>
    </row>
    <row r="553" spans="1:72" ht="31.35" customHeight="1">
      <c r="A553" s="91" t="s">
        <v>29</v>
      </c>
      <c r="B553" s="358" t="s">
        <v>2745</v>
      </c>
      <c r="C553" s="50" t="s">
        <v>273</v>
      </c>
      <c r="D553" s="99" t="s">
        <v>613</v>
      </c>
      <c r="E553" s="48" t="s">
        <v>13</v>
      </c>
      <c r="F553" s="10">
        <v>156831</v>
      </c>
      <c r="G553" s="31">
        <v>203972</v>
      </c>
      <c r="H553" s="33">
        <v>265163</v>
      </c>
      <c r="I553" s="35">
        <v>178286.2</v>
      </c>
      <c r="J553" s="29">
        <f t="shared" si="595"/>
        <v>215807.06666666665</v>
      </c>
      <c r="K553" s="24">
        <f t="shared" si="596"/>
        <v>58976.066666666651</v>
      </c>
      <c r="L553" s="25">
        <f t="shared" si="597"/>
        <v>0.37604852782081766</v>
      </c>
      <c r="M553" s="69" t="str">
        <f t="shared" si="598"/>
        <v>REVISAR PRECIO</v>
      </c>
      <c r="N553" s="77">
        <f t="shared" si="594"/>
        <v>215807.06666666665</v>
      </c>
      <c r="O553" s="73">
        <v>78976</v>
      </c>
      <c r="P553" s="74">
        <v>40250</v>
      </c>
      <c r="Q553" s="74">
        <v>70000</v>
      </c>
      <c r="R553" s="75">
        <v>46375</v>
      </c>
      <c r="S553" s="61">
        <v>43700</v>
      </c>
      <c r="T553" s="60">
        <v>60000</v>
      </c>
      <c r="U553" s="74">
        <v>50254.999999999993</v>
      </c>
      <c r="V553" s="76">
        <f t="shared" si="705"/>
        <v>51763.333333333336</v>
      </c>
      <c r="W553" s="24">
        <f t="shared" si="706"/>
        <v>-27212.666666666664</v>
      </c>
      <c r="X553" s="25">
        <f t="shared" si="707"/>
        <v>-0.34456881415451107</v>
      </c>
      <c r="Y553" s="77">
        <f t="shared" si="708"/>
        <v>51763.333333333336</v>
      </c>
      <c r="Z553" s="106">
        <f t="shared" si="709"/>
        <v>51763.333333333336</v>
      </c>
      <c r="AA553" s="73">
        <v>78976</v>
      </c>
      <c r="AB553" s="88">
        <v>38000</v>
      </c>
      <c r="AC553" s="116">
        <v>38000</v>
      </c>
      <c r="AD553" s="74">
        <v>38500</v>
      </c>
      <c r="AE553" s="76">
        <f t="shared" si="710"/>
        <v>38166.666666666664</v>
      </c>
      <c r="AF553" s="24">
        <f t="shared" si="711"/>
        <v>-40809.333333333336</v>
      </c>
      <c r="AG553" s="25">
        <f t="shared" si="712"/>
        <v>-0.51673082117774183</v>
      </c>
      <c r="AH553" s="77">
        <f t="shared" si="713"/>
        <v>38166.666666666664</v>
      </c>
      <c r="AI553" s="77">
        <f t="shared" si="714"/>
        <v>38166.666666666664</v>
      </c>
      <c r="AJ553" s="73">
        <v>78976</v>
      </c>
      <c r="AK553" s="79">
        <v>46375</v>
      </c>
      <c r="AL553" s="79">
        <v>35000</v>
      </c>
      <c r="AM553" s="127">
        <v>42000</v>
      </c>
      <c r="AN553" s="128">
        <v>34000</v>
      </c>
      <c r="AO553" s="128">
        <v>35000</v>
      </c>
      <c r="AP553" s="133">
        <f t="shared" si="715"/>
        <v>38475</v>
      </c>
      <c r="AQ553" s="127">
        <f t="shared" si="716"/>
        <v>-40501</v>
      </c>
      <c r="AR553" s="134">
        <f t="shared" si="717"/>
        <v>-0.51282668152350086</v>
      </c>
      <c r="AS553" s="132">
        <f t="shared" si="718"/>
        <v>38475</v>
      </c>
      <c r="AT553" s="250"/>
      <c r="AU553" s="250"/>
      <c r="AV553" s="250"/>
      <c r="AW553" s="250"/>
      <c r="AX553" s="250"/>
      <c r="AY553" s="250"/>
      <c r="AZ553" s="250"/>
      <c r="BA553" s="250"/>
      <c r="BB553" s="250"/>
      <c r="BC553" s="251"/>
      <c r="BD553" s="150"/>
      <c r="BE553" s="150"/>
      <c r="BF553" s="150"/>
      <c r="BG553" s="150"/>
      <c r="BH553" s="150"/>
      <c r="BI553" s="150"/>
      <c r="BJ553" s="150"/>
      <c r="BK553" s="150"/>
      <c r="BL553" s="150"/>
      <c r="BM553" s="10">
        <v>78587</v>
      </c>
      <c r="BN553" s="45"/>
      <c r="BO553" s="45">
        <v>91357</v>
      </c>
      <c r="BP553" s="45">
        <v>45000</v>
      </c>
      <c r="BQ553" s="29">
        <f t="shared" si="723"/>
        <v>68178.5</v>
      </c>
      <c r="BR553" s="24">
        <f t="shared" si="724"/>
        <v>-10408.5</v>
      </c>
      <c r="BS553" s="25">
        <f t="shared" si="725"/>
        <v>-0.13244556987796963</v>
      </c>
      <c r="BT553" s="308">
        <f t="shared" si="726"/>
        <v>68178.5</v>
      </c>
    </row>
    <row r="554" spans="1:72" ht="27.6" customHeight="1">
      <c r="A554" s="91" t="s">
        <v>29</v>
      </c>
      <c r="B554" s="358" t="s">
        <v>2746</v>
      </c>
      <c r="C554" s="50" t="s">
        <v>274</v>
      </c>
      <c r="D554" s="99" t="s">
        <v>614</v>
      </c>
      <c r="E554" s="48" t="s">
        <v>13</v>
      </c>
      <c r="F554" s="10">
        <v>78400</v>
      </c>
      <c r="G554" s="33">
        <v>101966</v>
      </c>
      <c r="H554" s="31">
        <v>132555</v>
      </c>
      <c r="I554" s="35">
        <v>89125.4</v>
      </c>
      <c r="J554" s="29">
        <f t="shared" si="595"/>
        <v>107882.13333333335</v>
      </c>
      <c r="K554" s="24">
        <f t="shared" si="596"/>
        <v>29482.133333333346</v>
      </c>
      <c r="L554" s="25">
        <f t="shared" si="597"/>
        <v>0.37604761904761919</v>
      </c>
      <c r="M554" s="69" t="str">
        <f t="shared" si="598"/>
        <v>REVISAR PRECIO</v>
      </c>
      <c r="N554" s="77">
        <f t="shared" si="594"/>
        <v>107882.13333333335</v>
      </c>
      <c r="O554" s="73">
        <v>44747</v>
      </c>
      <c r="P554" s="74">
        <v>13225</v>
      </c>
      <c r="Q554" s="74">
        <v>95000</v>
      </c>
      <c r="R554" s="75">
        <v>15237.5</v>
      </c>
      <c r="S554" s="61">
        <v>110399.99999999999</v>
      </c>
      <c r="T554" s="60">
        <v>210000</v>
      </c>
      <c r="U554" s="74">
        <v>126959.99999999997</v>
      </c>
      <c r="V554" s="76">
        <f t="shared" si="705"/>
        <v>95137.083333333328</v>
      </c>
      <c r="W554" s="24">
        <f t="shared" si="706"/>
        <v>50390.083333333328</v>
      </c>
      <c r="X554" s="25">
        <f t="shared" si="707"/>
        <v>1.1261108752169604</v>
      </c>
      <c r="Y554" s="77" t="str">
        <f t="shared" si="708"/>
        <v>REVISAR PRECIO</v>
      </c>
      <c r="Z554" s="106">
        <f t="shared" si="709"/>
        <v>95137.083333333328</v>
      </c>
      <c r="AA554" s="73">
        <v>44747</v>
      </c>
      <c r="AB554" s="88">
        <v>13000</v>
      </c>
      <c r="AC554" s="116">
        <v>13000</v>
      </c>
      <c r="AD554" s="74">
        <v>12650</v>
      </c>
      <c r="AE554" s="76">
        <f t="shared" si="710"/>
        <v>12883.333333333334</v>
      </c>
      <c r="AF554" s="24">
        <f t="shared" si="711"/>
        <v>-31863.666666666664</v>
      </c>
      <c r="AG554" s="25">
        <f t="shared" si="712"/>
        <v>-0.71208498148851684</v>
      </c>
      <c r="AH554" s="77">
        <f t="shared" si="713"/>
        <v>12883.333333333334</v>
      </c>
      <c r="AI554" s="77">
        <f t="shared" si="714"/>
        <v>12883.333333333334</v>
      </c>
      <c r="AJ554" s="73">
        <v>44747</v>
      </c>
      <c r="AK554" s="79">
        <v>15237.5</v>
      </c>
      <c r="AL554" s="79">
        <v>11500</v>
      </c>
      <c r="AM554" s="127">
        <v>13800</v>
      </c>
      <c r="AN554" s="128">
        <v>11200</v>
      </c>
      <c r="AO554" s="128">
        <v>12000</v>
      </c>
      <c r="AP554" s="133">
        <f t="shared" si="715"/>
        <v>12747.5</v>
      </c>
      <c r="AQ554" s="127">
        <f t="shared" si="716"/>
        <v>-31999.5</v>
      </c>
      <c r="AR554" s="134">
        <f t="shared" si="717"/>
        <v>-0.7151205667419045</v>
      </c>
      <c r="AS554" s="132">
        <f t="shared" si="718"/>
        <v>12747.5</v>
      </c>
      <c r="AT554" s="10">
        <v>43875</v>
      </c>
      <c r="AU554" s="10">
        <v>11500</v>
      </c>
      <c r="AV554" s="167">
        <v>46000</v>
      </c>
      <c r="AW554" s="168">
        <v>35670</v>
      </c>
      <c r="AX554" s="29">
        <f t="shared" ref="AX554" si="731">AVERAGE(AU554,AW554)</f>
        <v>23585</v>
      </c>
      <c r="AY554" s="24">
        <f t="shared" ref="AY554" si="732">AX554-AT554</f>
        <v>-20290</v>
      </c>
      <c r="AZ554" s="25">
        <f t="shared" ref="AZ554" si="733">+AY554/AT554</f>
        <v>-0.46245014245014243</v>
      </c>
      <c r="BA554" s="24">
        <f t="shared" ref="BA554" si="734">AV554-AT554</f>
        <v>2125</v>
      </c>
      <c r="BB554" s="169">
        <f t="shared" ref="BB554" si="735">+BA554/AT554</f>
        <v>4.843304843304843E-2</v>
      </c>
      <c r="BC554" s="170">
        <f t="shared" ref="BC554" si="736">AX554</f>
        <v>23585</v>
      </c>
      <c r="BD554" s="10">
        <v>39878</v>
      </c>
      <c r="BE554" s="10">
        <v>115000</v>
      </c>
      <c r="BF554" s="10">
        <v>120000</v>
      </c>
      <c r="BG554" s="268">
        <v>120000</v>
      </c>
      <c r="BH554" s="10">
        <v>120000</v>
      </c>
      <c r="BI554" s="76">
        <f t="shared" ref="BI554:BI556" si="737">AVERAGE(BE554,BF554,BG554,BH554)</f>
        <v>118750</v>
      </c>
      <c r="BJ554" s="24">
        <f t="shared" ref="BJ554:BJ556" si="738">BI554-BD554</f>
        <v>78872</v>
      </c>
      <c r="BK554" s="25">
        <f t="shared" ref="BK554:BK556" si="739">+BJ554/BD554</f>
        <v>1.9778323887857967</v>
      </c>
      <c r="BL554" s="259">
        <f t="shared" ref="BL554:BL556" si="740">BI554</f>
        <v>118750</v>
      </c>
      <c r="BM554" s="10">
        <v>44529</v>
      </c>
      <c r="BN554" s="45"/>
      <c r="BO554" s="45">
        <v>51766</v>
      </c>
      <c r="BP554" s="45">
        <v>65000</v>
      </c>
      <c r="BQ554" s="29">
        <f t="shared" si="723"/>
        <v>58383</v>
      </c>
      <c r="BR554" s="24">
        <f t="shared" si="724"/>
        <v>13854</v>
      </c>
      <c r="BS554" s="25">
        <f t="shared" si="725"/>
        <v>0.31112308832446273</v>
      </c>
      <c r="BT554" s="308">
        <f t="shared" si="726"/>
        <v>58383</v>
      </c>
    </row>
    <row r="555" spans="1:72" ht="30.6" customHeight="1">
      <c r="A555" s="91" t="s">
        <v>29</v>
      </c>
      <c r="B555" s="358" t="s">
        <v>2747</v>
      </c>
      <c r="C555" s="50" t="s">
        <v>275</v>
      </c>
      <c r="D555" s="99" t="s">
        <v>615</v>
      </c>
      <c r="E555" s="48" t="s">
        <v>13</v>
      </c>
      <c r="F555" s="10">
        <v>149337</v>
      </c>
      <c r="G555" s="31">
        <v>194225</v>
      </c>
      <c r="H555" s="31">
        <v>194225</v>
      </c>
      <c r="I555" s="35">
        <v>169766.6</v>
      </c>
      <c r="J555" s="29">
        <f t="shared" si="595"/>
        <v>186072.19999999998</v>
      </c>
      <c r="K555" s="24">
        <f t="shared" si="596"/>
        <v>36735.199999999983</v>
      </c>
      <c r="L555" s="25">
        <f t="shared" si="597"/>
        <v>0.24598860295840938</v>
      </c>
      <c r="M555" s="69">
        <f t="shared" si="598"/>
        <v>186072.19999999998</v>
      </c>
      <c r="N555" s="77">
        <f t="shared" si="594"/>
        <v>186072.19999999998</v>
      </c>
      <c r="O555" s="73">
        <v>106135</v>
      </c>
      <c r="P555" s="74">
        <v>138000</v>
      </c>
      <c r="Q555" s="74">
        <v>140000</v>
      </c>
      <c r="R555" s="75">
        <v>159000</v>
      </c>
      <c r="S555" s="61">
        <v>138000</v>
      </c>
      <c r="T555" s="60">
        <v>270000</v>
      </c>
      <c r="U555" s="74">
        <v>158700</v>
      </c>
      <c r="V555" s="76">
        <f t="shared" si="705"/>
        <v>167283.33333333334</v>
      </c>
      <c r="W555" s="24">
        <f t="shared" si="706"/>
        <v>61148.333333333343</v>
      </c>
      <c r="X555" s="25">
        <f t="shared" si="707"/>
        <v>0.57613730940154839</v>
      </c>
      <c r="Y555" s="77" t="str">
        <f t="shared" si="708"/>
        <v>REVISAR PRECIO</v>
      </c>
      <c r="Z555" s="106">
        <f t="shared" si="709"/>
        <v>167283.33333333334</v>
      </c>
      <c r="AA555" s="73">
        <v>106135</v>
      </c>
      <c r="AB555" s="88">
        <v>126000</v>
      </c>
      <c r="AC555" s="116">
        <v>126000</v>
      </c>
      <c r="AD555" s="74">
        <v>132000</v>
      </c>
      <c r="AE555" s="76">
        <f t="shared" si="710"/>
        <v>128000</v>
      </c>
      <c r="AF555" s="24">
        <f t="shared" si="711"/>
        <v>21865</v>
      </c>
      <c r="AG555" s="25">
        <f t="shared" si="712"/>
        <v>0.20601121213548781</v>
      </c>
      <c r="AH555" s="77">
        <f t="shared" si="713"/>
        <v>128000</v>
      </c>
      <c r="AI555" s="77">
        <f t="shared" si="714"/>
        <v>128000</v>
      </c>
      <c r="AJ555" s="73">
        <v>106135</v>
      </c>
      <c r="AK555" s="79">
        <v>159000</v>
      </c>
      <c r="AL555" s="79">
        <v>120000</v>
      </c>
      <c r="AM555" s="127">
        <v>144000</v>
      </c>
      <c r="AN555" s="128">
        <v>150000</v>
      </c>
      <c r="AO555" s="128">
        <v>125000</v>
      </c>
      <c r="AP555" s="133">
        <f t="shared" si="715"/>
        <v>139600</v>
      </c>
      <c r="AQ555" s="127">
        <f t="shared" si="716"/>
        <v>33465</v>
      </c>
      <c r="AR555" s="134">
        <f t="shared" si="717"/>
        <v>0.3153059782352664</v>
      </c>
      <c r="AS555" s="132">
        <f t="shared" si="718"/>
        <v>139600</v>
      </c>
      <c r="AT555" s="250"/>
      <c r="AU555" s="250"/>
      <c r="AV555" s="250"/>
      <c r="AW555" s="250"/>
      <c r="AX555" s="250"/>
      <c r="AY555" s="250"/>
      <c r="AZ555" s="250"/>
      <c r="BA555" s="250"/>
      <c r="BB555" s="250"/>
      <c r="BC555" s="251"/>
      <c r="BD555" s="10">
        <v>75968</v>
      </c>
      <c r="BE555" s="10">
        <v>125000</v>
      </c>
      <c r="BF555" s="10">
        <v>105000</v>
      </c>
      <c r="BG555" s="268">
        <v>100000</v>
      </c>
      <c r="BH555" s="10">
        <v>120000</v>
      </c>
      <c r="BI555" s="76">
        <f t="shared" si="737"/>
        <v>112500</v>
      </c>
      <c r="BJ555" s="24">
        <f t="shared" si="738"/>
        <v>36532</v>
      </c>
      <c r="BK555" s="25">
        <f t="shared" si="739"/>
        <v>0.48088668913226623</v>
      </c>
      <c r="BL555" s="259">
        <f t="shared" si="740"/>
        <v>112500</v>
      </c>
      <c r="BM555" s="10">
        <v>84824</v>
      </c>
      <c r="BN555" s="45"/>
      <c r="BO555" s="45">
        <v>98613</v>
      </c>
      <c r="BP555" s="45">
        <v>130000</v>
      </c>
      <c r="BQ555" s="29">
        <f t="shared" si="723"/>
        <v>114306.5</v>
      </c>
      <c r="BR555" s="24">
        <f t="shared" si="724"/>
        <v>29482.5</v>
      </c>
      <c r="BS555" s="25">
        <f t="shared" si="725"/>
        <v>0.34757262095633312</v>
      </c>
      <c r="BT555" s="308">
        <f t="shared" si="726"/>
        <v>114306.5</v>
      </c>
    </row>
    <row r="556" spans="1:72" ht="30.6" customHeight="1">
      <c r="A556" s="91" t="s">
        <v>29</v>
      </c>
      <c r="B556" s="358" t="s">
        <v>2748</v>
      </c>
      <c r="C556" s="50" t="s">
        <v>276</v>
      </c>
      <c r="D556" s="99" t="s">
        <v>616</v>
      </c>
      <c r="E556" s="48" t="s">
        <v>13</v>
      </c>
      <c r="F556" s="10">
        <v>93960</v>
      </c>
      <c r="G556" s="31">
        <v>122202</v>
      </c>
      <c r="H556" s="31">
        <v>158863</v>
      </c>
      <c r="I556" s="35">
        <v>106813.6</v>
      </c>
      <c r="J556" s="29">
        <f t="shared" si="595"/>
        <v>129292.86666666665</v>
      </c>
      <c r="K556" s="24">
        <f t="shared" si="596"/>
        <v>35332.866666666654</v>
      </c>
      <c r="L556" s="25">
        <f t="shared" si="597"/>
        <v>0.37604157797644372</v>
      </c>
      <c r="M556" s="69" t="str">
        <f t="shared" si="598"/>
        <v>REVISAR PRECIO</v>
      </c>
      <c r="N556" s="77">
        <f t="shared" si="594"/>
        <v>129292.86666666665</v>
      </c>
      <c r="O556" s="73">
        <v>53632</v>
      </c>
      <c r="P556" s="74">
        <v>212750</v>
      </c>
      <c r="Q556" s="74">
        <v>220000</v>
      </c>
      <c r="R556" s="75">
        <v>245125</v>
      </c>
      <c r="S556" s="61">
        <v>212749.99999999997</v>
      </c>
      <c r="T556" s="60"/>
      <c r="U556" s="74">
        <v>244662.49999999994</v>
      </c>
      <c r="V556" s="76">
        <f t="shared" si="705"/>
        <v>227057.5</v>
      </c>
      <c r="W556" s="24">
        <f t="shared" si="706"/>
        <v>173425.5</v>
      </c>
      <c r="X556" s="25">
        <f t="shared" si="707"/>
        <v>3.2336198538186158</v>
      </c>
      <c r="Y556" s="77" t="str">
        <f t="shared" si="708"/>
        <v>REVISAR PRECIO</v>
      </c>
      <c r="Z556" s="106">
        <f t="shared" si="709"/>
        <v>227057.5</v>
      </c>
      <c r="AA556" s="73">
        <v>53632</v>
      </c>
      <c r="AB556" s="88">
        <v>195000</v>
      </c>
      <c r="AC556" s="116">
        <v>195000</v>
      </c>
      <c r="AD556" s="74">
        <v>203500</v>
      </c>
      <c r="AE556" s="76">
        <f t="shared" si="710"/>
        <v>197833.33333333334</v>
      </c>
      <c r="AF556" s="24">
        <f t="shared" si="711"/>
        <v>144201.33333333334</v>
      </c>
      <c r="AG556" s="25">
        <f t="shared" si="712"/>
        <v>2.6887181782020684</v>
      </c>
      <c r="AH556" s="77" t="str">
        <f t="shared" si="713"/>
        <v>REVISAR PRECIO</v>
      </c>
      <c r="AI556" s="77">
        <f t="shared" si="714"/>
        <v>197833.33333333334</v>
      </c>
      <c r="AJ556" s="73">
        <v>53632</v>
      </c>
      <c r="AK556" s="79">
        <v>245125</v>
      </c>
      <c r="AL556" s="79">
        <v>185000</v>
      </c>
      <c r="AM556" s="127">
        <v>185000</v>
      </c>
      <c r="AN556" s="128">
        <v>219000</v>
      </c>
      <c r="AO556" s="128">
        <v>200000</v>
      </c>
      <c r="AP556" s="133">
        <f t="shared" si="715"/>
        <v>206825</v>
      </c>
      <c r="AQ556" s="127">
        <f t="shared" si="716"/>
        <v>153193</v>
      </c>
      <c r="AR556" s="134">
        <f t="shared" si="717"/>
        <v>2.8563730608591884</v>
      </c>
      <c r="AS556" s="132">
        <f t="shared" si="718"/>
        <v>206825</v>
      </c>
      <c r="AT556" s="250"/>
      <c r="AU556" s="250"/>
      <c r="AV556" s="250"/>
      <c r="AW556" s="250"/>
      <c r="AX556" s="250"/>
      <c r="AY556" s="250"/>
      <c r="AZ556" s="250"/>
      <c r="BA556" s="250"/>
      <c r="BB556" s="250"/>
      <c r="BC556" s="251"/>
      <c r="BD556" s="10">
        <v>47794</v>
      </c>
      <c r="BE556" s="10">
        <v>145000</v>
      </c>
      <c r="BF556" s="10">
        <v>160000</v>
      </c>
      <c r="BG556" s="268">
        <v>155000</v>
      </c>
      <c r="BH556" s="10">
        <v>145000</v>
      </c>
      <c r="BI556" s="76">
        <f t="shared" si="737"/>
        <v>151250</v>
      </c>
      <c r="BJ556" s="24">
        <f t="shared" si="738"/>
        <v>103456</v>
      </c>
      <c r="BK556" s="25">
        <f t="shared" si="739"/>
        <v>2.164623174457045</v>
      </c>
      <c r="BL556" s="309">
        <f t="shared" si="740"/>
        <v>151250</v>
      </c>
      <c r="BM556" s="293"/>
      <c r="BN556" s="293"/>
      <c r="BO556" s="293"/>
      <c r="BP556" s="293"/>
      <c r="BQ556" s="293"/>
      <c r="BR556" s="293"/>
      <c r="BS556" s="293"/>
      <c r="BT556" s="293"/>
    </row>
    <row r="557" spans="1:72" ht="30.6" customHeight="1">
      <c r="A557" s="91" t="s">
        <v>29</v>
      </c>
      <c r="B557" s="358" t="s">
        <v>2749</v>
      </c>
      <c r="C557" s="50" t="s">
        <v>277</v>
      </c>
      <c r="D557" s="99" t="s">
        <v>617</v>
      </c>
      <c r="E557" s="48" t="s">
        <v>13</v>
      </c>
      <c r="F557" s="10">
        <v>50447</v>
      </c>
      <c r="G557" s="31">
        <v>65610</v>
      </c>
      <c r="H557" s="31">
        <v>85293</v>
      </c>
      <c r="I557" s="35">
        <v>57348</v>
      </c>
      <c r="J557" s="29">
        <f t="shared" si="595"/>
        <v>69417</v>
      </c>
      <c r="K557" s="24">
        <f t="shared" si="596"/>
        <v>18970</v>
      </c>
      <c r="L557" s="25">
        <f t="shared" si="597"/>
        <v>0.37603821832814638</v>
      </c>
      <c r="M557" s="69" t="str">
        <f t="shared" si="598"/>
        <v>REVISAR PRECIO</v>
      </c>
      <c r="N557" s="77">
        <f t="shared" si="594"/>
        <v>69417</v>
      </c>
      <c r="O557" s="73">
        <v>28800</v>
      </c>
      <c r="P557" s="74">
        <v>64527.42</v>
      </c>
      <c r="Q557" s="74">
        <v>65000</v>
      </c>
      <c r="R557" s="75">
        <v>74346.81</v>
      </c>
      <c r="S557" s="61">
        <v>86710</v>
      </c>
      <c r="T557" s="60"/>
      <c r="U557" s="74">
        <v>99716.499999999985</v>
      </c>
      <c r="V557" s="76">
        <f t="shared" si="705"/>
        <v>78060.145999999993</v>
      </c>
      <c r="W557" s="24">
        <f t="shared" si="706"/>
        <v>49260.145999999993</v>
      </c>
      <c r="X557" s="25">
        <f t="shared" si="707"/>
        <v>1.7104217361111109</v>
      </c>
      <c r="Y557" s="77" t="str">
        <f t="shared" si="708"/>
        <v>REVISAR PRECIO</v>
      </c>
      <c r="Z557" s="106">
        <f t="shared" si="709"/>
        <v>78060.145999999993</v>
      </c>
      <c r="AA557" s="73">
        <v>28800</v>
      </c>
      <c r="AB557" s="88">
        <v>60000</v>
      </c>
      <c r="AC557" s="116">
        <v>60000</v>
      </c>
      <c r="AD557" s="74">
        <v>61721.88</v>
      </c>
      <c r="AE557" s="76">
        <f t="shared" si="710"/>
        <v>60573.96</v>
      </c>
      <c r="AF557" s="24">
        <f t="shared" si="711"/>
        <v>31773.96</v>
      </c>
      <c r="AG557" s="25">
        <f t="shared" si="712"/>
        <v>1.1032625</v>
      </c>
      <c r="AH557" s="77" t="str">
        <f t="shared" si="713"/>
        <v>REVISAR PRECIO</v>
      </c>
      <c r="AI557" s="77">
        <f t="shared" si="714"/>
        <v>60573.96</v>
      </c>
      <c r="AJ557" s="73">
        <v>28800</v>
      </c>
      <c r="AK557" s="79">
        <v>74346.81</v>
      </c>
      <c r="AL557" s="79">
        <f>48792*1.15</f>
        <v>56110.799999999996</v>
      </c>
      <c r="AM557" s="127">
        <v>56110.799999999996</v>
      </c>
      <c r="AN557" s="128">
        <v>67900</v>
      </c>
      <c r="AO557" s="128">
        <v>60000</v>
      </c>
      <c r="AP557" s="133">
        <f t="shared" si="715"/>
        <v>62893.681999999993</v>
      </c>
      <c r="AQ557" s="127">
        <f t="shared" si="716"/>
        <v>34093.681999999993</v>
      </c>
      <c r="AR557" s="134">
        <f t="shared" si="717"/>
        <v>1.1838084027777775</v>
      </c>
      <c r="AS557" s="132">
        <f t="shared" si="718"/>
        <v>62893.681999999993</v>
      </c>
      <c r="AT557" s="250"/>
      <c r="AU557" s="250"/>
      <c r="AV557" s="250"/>
      <c r="AW557" s="250"/>
      <c r="AX557" s="250"/>
      <c r="AY557" s="250"/>
      <c r="AZ557" s="250"/>
      <c r="BA557" s="250"/>
      <c r="BB557" s="250"/>
      <c r="BC557" s="251"/>
      <c r="BD557" s="150"/>
      <c r="BE557" s="150"/>
      <c r="BF557" s="150"/>
      <c r="BG557" s="150"/>
      <c r="BH557" s="150"/>
      <c r="BI557" s="150"/>
      <c r="BJ557" s="150"/>
      <c r="BK557" s="150"/>
      <c r="BL557" s="150"/>
      <c r="BM557" s="293"/>
      <c r="BN557" s="293"/>
      <c r="BO557" s="293"/>
      <c r="BP557" s="293"/>
      <c r="BQ557" s="293"/>
      <c r="BR557" s="293"/>
      <c r="BS557" s="293"/>
      <c r="BT557" s="293"/>
    </row>
    <row r="558" spans="1:72" ht="27" customHeight="1">
      <c r="A558" s="91" t="s">
        <v>29</v>
      </c>
      <c r="B558" s="358" t="s">
        <v>2750</v>
      </c>
      <c r="C558" s="50" t="s">
        <v>278</v>
      </c>
      <c r="D558" s="99" t="s">
        <v>618</v>
      </c>
      <c r="E558" s="48" t="s">
        <v>25</v>
      </c>
      <c r="F558" s="10">
        <v>35302</v>
      </c>
      <c r="G558" s="33">
        <v>45914</v>
      </c>
      <c r="H558" s="31">
        <v>59688</v>
      </c>
      <c r="I558" s="35">
        <v>40131.800000000003</v>
      </c>
      <c r="J558" s="29">
        <f t="shared" si="595"/>
        <v>48577.933333333327</v>
      </c>
      <c r="K558" s="24">
        <f t="shared" si="596"/>
        <v>13275.933333333327</v>
      </c>
      <c r="L558" s="25">
        <f t="shared" si="597"/>
        <v>0.37606745604592734</v>
      </c>
      <c r="M558" s="69" t="str">
        <f t="shared" si="598"/>
        <v>REVISAR PRECIO</v>
      </c>
      <c r="N558" s="77">
        <f t="shared" si="594"/>
        <v>48577.933333333327</v>
      </c>
      <c r="O558" s="73">
        <v>20152</v>
      </c>
      <c r="P558" s="74">
        <v>76475</v>
      </c>
      <c r="Q558" s="74">
        <v>70000</v>
      </c>
      <c r="R558" s="75">
        <v>88112.5</v>
      </c>
      <c r="S558" s="61">
        <v>76475</v>
      </c>
      <c r="T558" s="60">
        <v>45000</v>
      </c>
      <c r="U558" s="74">
        <v>87946.25</v>
      </c>
      <c r="V558" s="76">
        <f t="shared" si="705"/>
        <v>74001.458333333328</v>
      </c>
      <c r="W558" s="24">
        <f t="shared" si="706"/>
        <v>53849.458333333328</v>
      </c>
      <c r="X558" s="25">
        <f t="shared" si="707"/>
        <v>2.6721644667195976</v>
      </c>
      <c r="Y558" s="77" t="str">
        <f t="shared" si="708"/>
        <v>REVISAR PRECIO</v>
      </c>
      <c r="Z558" s="106">
        <f t="shared" si="709"/>
        <v>74001.458333333328</v>
      </c>
      <c r="AA558" s="73">
        <v>20152</v>
      </c>
      <c r="AB558" s="88">
        <v>70000</v>
      </c>
      <c r="AC558" s="116">
        <v>70000</v>
      </c>
      <c r="AD558" s="74">
        <v>73150</v>
      </c>
      <c r="AE558" s="76">
        <f t="shared" si="710"/>
        <v>71050</v>
      </c>
      <c r="AF558" s="24">
        <f t="shared" si="711"/>
        <v>50898</v>
      </c>
      <c r="AG558" s="25">
        <f t="shared" si="712"/>
        <v>2.5257046447002778</v>
      </c>
      <c r="AH558" s="77" t="str">
        <f t="shared" si="713"/>
        <v>REVISAR PRECIO</v>
      </c>
      <c r="AI558" s="77">
        <f t="shared" si="714"/>
        <v>71050</v>
      </c>
      <c r="AJ558" s="73">
        <v>20152</v>
      </c>
      <c r="AK558" s="79">
        <v>88112.5</v>
      </c>
      <c r="AL558" s="79">
        <v>66500</v>
      </c>
      <c r="AM558" s="127">
        <v>66500</v>
      </c>
      <c r="AN558" s="128">
        <v>64000</v>
      </c>
      <c r="AO558" s="128">
        <v>65000</v>
      </c>
      <c r="AP558" s="133">
        <f t="shared" si="715"/>
        <v>70022.5</v>
      </c>
      <c r="AQ558" s="127">
        <f t="shared" si="716"/>
        <v>49870.5</v>
      </c>
      <c r="AR558" s="134">
        <f t="shared" si="717"/>
        <v>2.4747171496625646</v>
      </c>
      <c r="AS558" s="132">
        <f t="shared" si="718"/>
        <v>70022.5</v>
      </c>
      <c r="AT558" s="250"/>
      <c r="AU558" s="250"/>
      <c r="AV558" s="250"/>
      <c r="AW558" s="250"/>
      <c r="AX558" s="250"/>
      <c r="AY558" s="250"/>
      <c r="AZ558" s="250"/>
      <c r="BA558" s="250"/>
      <c r="BB558" s="250"/>
      <c r="BC558" s="251"/>
      <c r="BD558" s="10">
        <v>17960</v>
      </c>
      <c r="BE558" s="10"/>
      <c r="BF558" s="10"/>
      <c r="BG558" s="10"/>
      <c r="BH558" s="10"/>
      <c r="BI558" s="76"/>
      <c r="BJ558" s="24"/>
      <c r="BK558" s="25">
        <f t="shared" ref="BK558" si="741">+BJ558/BD558</f>
        <v>0</v>
      </c>
      <c r="BL558" s="309" t="s">
        <v>894</v>
      </c>
      <c r="BM558" s="293"/>
      <c r="BN558" s="293"/>
      <c r="BO558" s="293"/>
      <c r="BP558" s="293"/>
      <c r="BQ558" s="293"/>
      <c r="BR558" s="293"/>
      <c r="BS558" s="293"/>
      <c r="BT558" s="293"/>
    </row>
    <row r="559" spans="1:72" ht="27" customHeight="1">
      <c r="A559" s="91" t="s">
        <v>29</v>
      </c>
      <c r="B559" s="358" t="s">
        <v>2751</v>
      </c>
      <c r="C559" s="50" t="s">
        <v>279</v>
      </c>
      <c r="D559" s="99" t="s">
        <v>619</v>
      </c>
      <c r="E559" s="48" t="s">
        <v>11</v>
      </c>
      <c r="F559" s="10">
        <v>138573</v>
      </c>
      <c r="G559" s="33">
        <v>180225</v>
      </c>
      <c r="H559" s="33">
        <v>234293</v>
      </c>
      <c r="I559" s="35">
        <v>157530</v>
      </c>
      <c r="J559" s="29">
        <f t="shared" si="595"/>
        <v>190682.66666666666</v>
      </c>
      <c r="K559" s="24">
        <f t="shared" si="596"/>
        <v>52109.666666666657</v>
      </c>
      <c r="L559" s="25">
        <f t="shared" si="597"/>
        <v>0.37604487646703655</v>
      </c>
      <c r="M559" s="69" t="str">
        <f t="shared" si="598"/>
        <v>REVISAR PRECIO</v>
      </c>
      <c r="N559" s="77">
        <f t="shared" si="594"/>
        <v>190682.66666666666</v>
      </c>
      <c r="O559" s="73">
        <v>71193</v>
      </c>
      <c r="P559" s="74">
        <v>84350.372499999998</v>
      </c>
      <c r="Q559" s="74">
        <v>100000</v>
      </c>
      <c r="R559" s="75">
        <v>97186.298749999987</v>
      </c>
      <c r="S559" s="61">
        <v>84350.372499999983</v>
      </c>
      <c r="T559" s="60"/>
      <c r="U559" s="74">
        <v>97002.928374999974</v>
      </c>
      <c r="V559" s="76">
        <f t="shared" si="705"/>
        <v>92577.994424999997</v>
      </c>
      <c r="W559" s="24">
        <f t="shared" si="706"/>
        <v>21384.994424999997</v>
      </c>
      <c r="X559" s="25">
        <f t="shared" si="707"/>
        <v>0.3003805770932535</v>
      </c>
      <c r="Y559" s="77">
        <f t="shared" si="708"/>
        <v>92577.994424999997</v>
      </c>
      <c r="Z559" s="106">
        <f t="shared" si="709"/>
        <v>92577.994424999997</v>
      </c>
      <c r="AA559" s="73">
        <v>71193</v>
      </c>
      <c r="AB559" s="88">
        <v>98000</v>
      </c>
      <c r="AC559" s="116">
        <v>98000</v>
      </c>
      <c r="AD559" s="74">
        <v>80682.964999999997</v>
      </c>
      <c r="AE559" s="76">
        <f t="shared" si="710"/>
        <v>92227.654999999984</v>
      </c>
      <c r="AF559" s="24">
        <f t="shared" si="711"/>
        <v>21034.654999999984</v>
      </c>
      <c r="AG559" s="25">
        <f t="shared" si="712"/>
        <v>0.29545959574677266</v>
      </c>
      <c r="AH559" s="77">
        <f t="shared" si="713"/>
        <v>92227.654999999984</v>
      </c>
      <c r="AI559" s="77">
        <f t="shared" si="714"/>
        <v>92227.654999999984</v>
      </c>
      <c r="AJ559" s="73">
        <v>71193</v>
      </c>
      <c r="AK559" s="79">
        <v>97186.298749999987</v>
      </c>
      <c r="AL559" s="79">
        <f>63781*1.15</f>
        <v>73348.149999999994</v>
      </c>
      <c r="AM559" s="127">
        <v>88017.78</v>
      </c>
      <c r="AN559" s="128">
        <v>70000</v>
      </c>
      <c r="AO559" s="128">
        <v>80000</v>
      </c>
      <c r="AP559" s="133">
        <f t="shared" si="715"/>
        <v>81710.445749999999</v>
      </c>
      <c r="AQ559" s="127">
        <f t="shared" si="716"/>
        <v>10517.445749999999</v>
      </c>
      <c r="AR559" s="134">
        <f t="shared" si="717"/>
        <v>0.14773145885129155</v>
      </c>
      <c r="AS559" s="132">
        <f t="shared" si="718"/>
        <v>81710.445749999999</v>
      </c>
      <c r="AT559" s="250"/>
      <c r="AU559" s="250"/>
      <c r="AV559" s="250"/>
      <c r="AW559" s="250"/>
      <c r="AX559" s="250"/>
      <c r="AY559" s="250"/>
      <c r="AZ559" s="250"/>
      <c r="BA559" s="250"/>
      <c r="BB559" s="250"/>
      <c r="BC559" s="251"/>
      <c r="BD559" s="150"/>
      <c r="BE559" s="150"/>
      <c r="BF559" s="150"/>
      <c r="BG559" s="150"/>
      <c r="BH559" s="150"/>
      <c r="BI559" s="150"/>
      <c r="BJ559" s="150"/>
      <c r="BK559" s="150"/>
      <c r="BL559" s="150"/>
      <c r="BM559" s="293"/>
      <c r="BN559" s="293"/>
      <c r="BO559" s="293"/>
      <c r="BP559" s="293"/>
      <c r="BQ559" s="293"/>
      <c r="BR559" s="293"/>
      <c r="BS559" s="293"/>
      <c r="BT559" s="293"/>
    </row>
    <row r="560" spans="1:72" ht="27" customHeight="1">
      <c r="A560" s="91" t="s">
        <v>29</v>
      </c>
      <c r="B560" s="358" t="s">
        <v>2752</v>
      </c>
      <c r="C560" s="50" t="s">
        <v>280</v>
      </c>
      <c r="D560" s="99" t="s">
        <v>620</v>
      </c>
      <c r="E560" s="48" t="s">
        <v>740</v>
      </c>
      <c r="F560" s="10">
        <v>114803</v>
      </c>
      <c r="G560" s="33">
        <v>149310</v>
      </c>
      <c r="H560" s="33">
        <v>194103</v>
      </c>
      <c r="I560" s="35">
        <v>130508</v>
      </c>
      <c r="J560" s="29">
        <f t="shared" si="595"/>
        <v>157973.66666666666</v>
      </c>
      <c r="K560" s="24">
        <f t="shared" si="596"/>
        <v>43170.666666666657</v>
      </c>
      <c r="L560" s="25">
        <f t="shared" si="597"/>
        <v>0.37604127650555003</v>
      </c>
      <c r="M560" s="69" t="str">
        <f t="shared" si="598"/>
        <v>REVISAR PRECIO</v>
      </c>
      <c r="N560" s="77">
        <f t="shared" si="594"/>
        <v>157973.66666666666</v>
      </c>
      <c r="O560" s="73">
        <v>33223</v>
      </c>
      <c r="P560" s="74">
        <v>126500</v>
      </c>
      <c r="Q560" s="74">
        <v>130000</v>
      </c>
      <c r="R560" s="75">
        <v>145750</v>
      </c>
      <c r="S560" s="61">
        <v>126499.99999999999</v>
      </c>
      <c r="T560" s="60"/>
      <c r="U560" s="74">
        <v>145474.99999999997</v>
      </c>
      <c r="V560" s="76">
        <f t="shared" si="705"/>
        <v>134845</v>
      </c>
      <c r="W560" s="24">
        <f t="shared" si="706"/>
        <v>101622</v>
      </c>
      <c r="X560" s="25">
        <f t="shared" si="707"/>
        <v>3.0587845769497037</v>
      </c>
      <c r="Y560" s="77" t="str">
        <f t="shared" si="708"/>
        <v>REVISAR PRECIO</v>
      </c>
      <c r="Z560" s="106">
        <f t="shared" si="709"/>
        <v>134845</v>
      </c>
      <c r="AA560" s="73">
        <v>33223</v>
      </c>
      <c r="AB560" s="88">
        <v>125000</v>
      </c>
      <c r="AC560" s="116">
        <v>125000</v>
      </c>
      <c r="AD560" s="74">
        <v>121000</v>
      </c>
      <c r="AE560" s="76">
        <f t="shared" si="710"/>
        <v>123666.66666666667</v>
      </c>
      <c r="AF560" s="24">
        <f t="shared" si="711"/>
        <v>90443.666666666672</v>
      </c>
      <c r="AG560" s="25">
        <f t="shared" si="712"/>
        <v>2.7223208821198166</v>
      </c>
      <c r="AH560" s="77" t="str">
        <f t="shared" si="713"/>
        <v>REVISAR PRECIO</v>
      </c>
      <c r="AI560" s="77">
        <f t="shared" si="714"/>
        <v>123666.66666666667</v>
      </c>
      <c r="AJ560" s="73">
        <v>33223</v>
      </c>
      <c r="AK560" s="79">
        <v>145750</v>
      </c>
      <c r="AL560" s="79">
        <v>110000</v>
      </c>
      <c r="AM560" s="127">
        <v>110000</v>
      </c>
      <c r="AN560" s="128">
        <v>127800</v>
      </c>
      <c r="AO560" s="128">
        <v>120000</v>
      </c>
      <c r="AP560" s="133">
        <f t="shared" si="715"/>
        <v>122710</v>
      </c>
      <c r="AQ560" s="127">
        <f t="shared" si="716"/>
        <v>89487</v>
      </c>
      <c r="AR560" s="134">
        <f t="shared" si="717"/>
        <v>2.6935255696354936</v>
      </c>
      <c r="AS560" s="132">
        <f t="shared" si="718"/>
        <v>122710</v>
      </c>
      <c r="AT560" s="250"/>
      <c r="AU560" s="250"/>
      <c r="AV560" s="250"/>
      <c r="AW560" s="250"/>
      <c r="AX560" s="250"/>
      <c r="AY560" s="250"/>
      <c r="AZ560" s="250"/>
      <c r="BA560" s="250"/>
      <c r="BB560" s="250"/>
      <c r="BC560" s="251"/>
      <c r="BD560" s="150"/>
      <c r="BE560" s="150"/>
      <c r="BF560" s="150"/>
      <c r="BG560" s="150"/>
      <c r="BH560" s="150"/>
      <c r="BI560" s="150"/>
      <c r="BJ560" s="150"/>
      <c r="BK560" s="150"/>
      <c r="BL560" s="150"/>
      <c r="BM560" s="293"/>
      <c r="BN560" s="293"/>
      <c r="BO560" s="293"/>
      <c r="BP560" s="293"/>
      <c r="BQ560" s="293"/>
      <c r="BR560" s="293"/>
      <c r="BS560" s="293"/>
      <c r="BT560" s="293"/>
    </row>
    <row r="561" spans="1:72" ht="27" customHeight="1">
      <c r="A561" s="91" t="s">
        <v>29</v>
      </c>
      <c r="B561" s="358" t="s">
        <v>2753</v>
      </c>
      <c r="C561" s="50" t="s">
        <v>281</v>
      </c>
      <c r="D561" s="99" t="s">
        <v>621</v>
      </c>
      <c r="E561" s="48" t="s">
        <v>740</v>
      </c>
      <c r="F561" s="10">
        <v>111969</v>
      </c>
      <c r="G561" s="33">
        <v>145625</v>
      </c>
      <c r="H561" s="31">
        <v>189312</v>
      </c>
      <c r="I561" s="35">
        <v>127286.6</v>
      </c>
      <c r="J561" s="29">
        <f t="shared" si="595"/>
        <v>154074.53333333333</v>
      </c>
      <c r="K561" s="24">
        <f t="shared" si="596"/>
        <v>42105.533333333326</v>
      </c>
      <c r="L561" s="25">
        <f t="shared" si="597"/>
        <v>0.37604634616128862</v>
      </c>
      <c r="M561" s="69" t="str">
        <f t="shared" si="598"/>
        <v>REVISAR PRECIO</v>
      </c>
      <c r="N561" s="77">
        <f t="shared" si="594"/>
        <v>154074.53333333333</v>
      </c>
      <c r="O561" s="73">
        <v>53898</v>
      </c>
      <c r="P561" s="74">
        <v>207000</v>
      </c>
      <c r="Q561" s="74">
        <v>220000</v>
      </c>
      <c r="R561" s="75">
        <v>238500</v>
      </c>
      <c r="S561" s="61">
        <v>206999.99999999997</v>
      </c>
      <c r="T561" s="60"/>
      <c r="U561" s="74">
        <v>238049.99999999994</v>
      </c>
      <c r="V561" s="76">
        <f t="shared" si="705"/>
        <v>222110</v>
      </c>
      <c r="W561" s="24">
        <f t="shared" si="706"/>
        <v>168212</v>
      </c>
      <c r="X561" s="25">
        <f t="shared" si="707"/>
        <v>3.1209321310623772</v>
      </c>
      <c r="Y561" s="77" t="str">
        <f t="shared" si="708"/>
        <v>REVISAR PRECIO</v>
      </c>
      <c r="Z561" s="106">
        <f t="shared" si="709"/>
        <v>222110</v>
      </c>
      <c r="AA561" s="73">
        <v>53898</v>
      </c>
      <c r="AB561" s="88">
        <v>200000</v>
      </c>
      <c r="AC561" s="116">
        <v>200000</v>
      </c>
      <c r="AD561" s="74">
        <v>198000</v>
      </c>
      <c r="AE561" s="76">
        <f t="shared" si="710"/>
        <v>199333.33333333334</v>
      </c>
      <c r="AF561" s="24">
        <f t="shared" si="711"/>
        <v>145435.33333333334</v>
      </c>
      <c r="AG561" s="25">
        <f t="shared" si="712"/>
        <v>2.6983437851744654</v>
      </c>
      <c r="AH561" s="77" t="str">
        <f t="shared" si="713"/>
        <v>REVISAR PRECIO</v>
      </c>
      <c r="AI561" s="77">
        <f t="shared" si="714"/>
        <v>199333.33333333334</v>
      </c>
      <c r="AJ561" s="73">
        <v>53898</v>
      </c>
      <c r="AK561" s="79">
        <v>238500</v>
      </c>
      <c r="AL561" s="79">
        <v>180000</v>
      </c>
      <c r="AM561" s="127">
        <v>180000</v>
      </c>
      <c r="AN561" s="128">
        <v>170000</v>
      </c>
      <c r="AO561" s="128">
        <v>180000</v>
      </c>
      <c r="AP561" s="133">
        <f t="shared" si="715"/>
        <v>189700</v>
      </c>
      <c r="AQ561" s="127">
        <f t="shared" si="716"/>
        <v>135802</v>
      </c>
      <c r="AR561" s="134">
        <f t="shared" si="717"/>
        <v>2.5196111172956326</v>
      </c>
      <c r="AS561" s="132">
        <f t="shared" si="718"/>
        <v>189700</v>
      </c>
      <c r="AT561" s="250"/>
      <c r="AU561" s="250"/>
      <c r="AV561" s="250"/>
      <c r="AW561" s="250"/>
      <c r="AX561" s="250"/>
      <c r="AY561" s="250"/>
      <c r="AZ561" s="250"/>
      <c r="BA561" s="250"/>
      <c r="BB561" s="250"/>
      <c r="BC561" s="251"/>
      <c r="BD561" s="150"/>
      <c r="BE561" s="150"/>
      <c r="BF561" s="150"/>
      <c r="BG561" s="150"/>
      <c r="BH561" s="150"/>
      <c r="BI561" s="150"/>
      <c r="BJ561" s="150"/>
      <c r="BK561" s="150"/>
      <c r="BL561" s="150"/>
      <c r="BM561" s="293"/>
      <c r="BN561" s="293"/>
      <c r="BO561" s="293"/>
      <c r="BP561" s="293"/>
      <c r="BQ561" s="293"/>
      <c r="BR561" s="293"/>
      <c r="BS561" s="293"/>
      <c r="BT561" s="293"/>
    </row>
    <row r="562" spans="1:72" ht="27" customHeight="1">
      <c r="A562" s="91" t="s">
        <v>29</v>
      </c>
      <c r="B562" s="358" t="s">
        <v>2754</v>
      </c>
      <c r="C562" s="50" t="s">
        <v>282</v>
      </c>
      <c r="D562" s="99" t="s">
        <v>622</v>
      </c>
      <c r="E562" s="48" t="s">
        <v>740</v>
      </c>
      <c r="F562" s="10">
        <v>158160</v>
      </c>
      <c r="G562" s="33">
        <v>205700</v>
      </c>
      <c r="H562" s="31">
        <v>267409</v>
      </c>
      <c r="I562" s="35">
        <v>179796.6</v>
      </c>
      <c r="J562" s="29">
        <f t="shared" si="595"/>
        <v>217635.19999999998</v>
      </c>
      <c r="K562" s="24">
        <f t="shared" si="596"/>
        <v>59475.199999999983</v>
      </c>
      <c r="L562" s="25">
        <f t="shared" si="597"/>
        <v>0.37604451188669691</v>
      </c>
      <c r="M562" s="69" t="str">
        <f t="shared" si="598"/>
        <v>REVISAR PRECIO</v>
      </c>
      <c r="N562" s="77">
        <f t="shared" si="594"/>
        <v>217635.19999999998</v>
      </c>
      <c r="O562" s="73">
        <v>81255</v>
      </c>
      <c r="P562" s="74">
        <v>23747.5</v>
      </c>
      <c r="Q562" s="74">
        <v>45000</v>
      </c>
      <c r="R562" s="75">
        <v>27361.25</v>
      </c>
      <c r="S562" s="61">
        <v>62444.999999999993</v>
      </c>
      <c r="T562" s="60"/>
      <c r="U562" s="74">
        <v>71811.749999999985</v>
      </c>
      <c r="V562" s="76">
        <f t="shared" si="705"/>
        <v>46073.1</v>
      </c>
      <c r="W562" s="24">
        <f t="shared" si="706"/>
        <v>-35181.9</v>
      </c>
      <c r="X562" s="25">
        <f t="shared" si="707"/>
        <v>-0.4329813549935389</v>
      </c>
      <c r="Y562" s="77">
        <f t="shared" si="708"/>
        <v>46073.1</v>
      </c>
      <c r="Z562" s="106">
        <f t="shared" si="709"/>
        <v>46073.1</v>
      </c>
      <c r="AA562" s="73">
        <v>81255</v>
      </c>
      <c r="AB562" s="88">
        <v>25000</v>
      </c>
      <c r="AC562" s="116">
        <v>25000</v>
      </c>
      <c r="AD562" s="74">
        <v>22715</v>
      </c>
      <c r="AE562" s="76">
        <f t="shared" si="710"/>
        <v>24238.333333333332</v>
      </c>
      <c r="AF562" s="24">
        <f t="shared" si="711"/>
        <v>-57016.666666666672</v>
      </c>
      <c r="AG562" s="25">
        <f t="shared" si="712"/>
        <v>-0.70170040818000945</v>
      </c>
      <c r="AH562" s="77">
        <f t="shared" si="713"/>
        <v>24238.333333333332</v>
      </c>
      <c r="AI562" s="77">
        <f t="shared" si="714"/>
        <v>24238.333333333332</v>
      </c>
      <c r="AJ562" s="73">
        <v>81255</v>
      </c>
      <c r="AK562" s="79">
        <v>27361.25</v>
      </c>
      <c r="AL562" s="79">
        <v>20650</v>
      </c>
      <c r="AM562" s="127">
        <v>24780</v>
      </c>
      <c r="AN562" s="128">
        <v>21000</v>
      </c>
      <c r="AO562" s="128">
        <v>25000</v>
      </c>
      <c r="AP562" s="133">
        <f t="shared" si="715"/>
        <v>23758.25</v>
      </c>
      <c r="AQ562" s="127">
        <f t="shared" si="716"/>
        <v>-57496.75</v>
      </c>
      <c r="AR562" s="134">
        <f t="shared" si="717"/>
        <v>-0.70760876253769001</v>
      </c>
      <c r="AS562" s="132">
        <f t="shared" si="718"/>
        <v>23758.25</v>
      </c>
      <c r="AT562" s="250"/>
      <c r="AU562" s="250"/>
      <c r="AV562" s="250"/>
      <c r="AW562" s="250"/>
      <c r="AX562" s="250"/>
      <c r="AY562" s="250"/>
      <c r="AZ562" s="250"/>
      <c r="BA562" s="250"/>
      <c r="BB562" s="250"/>
      <c r="BC562" s="251"/>
      <c r="BD562" s="150"/>
      <c r="BE562" s="150"/>
      <c r="BF562" s="150"/>
      <c r="BG562" s="150"/>
      <c r="BH562" s="150"/>
      <c r="BI562" s="150"/>
      <c r="BJ562" s="150"/>
      <c r="BK562" s="150"/>
      <c r="BL562" s="150"/>
      <c r="BM562" s="293"/>
      <c r="BN562" s="293"/>
      <c r="BO562" s="293"/>
      <c r="BP562" s="293"/>
      <c r="BQ562" s="293"/>
      <c r="BR562" s="293"/>
      <c r="BS562" s="293"/>
      <c r="BT562" s="293"/>
    </row>
    <row r="563" spans="1:72" ht="27" customHeight="1">
      <c r="A563" s="91" t="s">
        <v>29</v>
      </c>
      <c r="B563" s="358" t="s">
        <v>2755</v>
      </c>
      <c r="C563" s="50" t="s">
        <v>283</v>
      </c>
      <c r="D563" s="99" t="s">
        <v>623</v>
      </c>
      <c r="E563" s="48" t="s">
        <v>740</v>
      </c>
      <c r="F563" s="10">
        <v>288159</v>
      </c>
      <c r="G563" s="33">
        <v>374774</v>
      </c>
      <c r="H563" s="33">
        <v>487206</v>
      </c>
      <c r="I563" s="35">
        <v>327579.8</v>
      </c>
      <c r="J563" s="29">
        <f t="shared" si="595"/>
        <v>396519.93333333335</v>
      </c>
      <c r="K563" s="24">
        <f t="shared" si="596"/>
        <v>108360.93333333335</v>
      </c>
      <c r="L563" s="25">
        <f t="shared" si="597"/>
        <v>0.37604563221462228</v>
      </c>
      <c r="M563" s="69" t="str">
        <f t="shared" si="598"/>
        <v>REVISAR PRECIO</v>
      </c>
      <c r="N563" s="77">
        <f t="shared" si="594"/>
        <v>396519.93333333335</v>
      </c>
      <c r="O563" s="73">
        <v>96225</v>
      </c>
      <c r="P563" s="74">
        <v>74520</v>
      </c>
      <c r="Q563" s="74">
        <v>80000</v>
      </c>
      <c r="R563" s="75">
        <v>85860</v>
      </c>
      <c r="S563" s="61"/>
      <c r="T563" s="60"/>
      <c r="U563" s="74"/>
      <c r="V563" s="76">
        <f t="shared" si="705"/>
        <v>80126.666666666672</v>
      </c>
      <c r="W563" s="24">
        <f t="shared" si="706"/>
        <v>-16098.333333333328</v>
      </c>
      <c r="X563" s="25">
        <f t="shared" si="707"/>
        <v>-0.16729886550619202</v>
      </c>
      <c r="Y563" s="77">
        <f t="shared" si="708"/>
        <v>80126.666666666672</v>
      </c>
      <c r="Z563" s="106">
        <f t="shared" si="709"/>
        <v>80126.666666666672</v>
      </c>
      <c r="AA563" s="73">
        <v>96225</v>
      </c>
      <c r="AB563" s="88">
        <v>95000</v>
      </c>
      <c r="AC563" s="116">
        <v>95000</v>
      </c>
      <c r="AD563" s="74">
        <v>71280</v>
      </c>
      <c r="AE563" s="76">
        <f t="shared" si="710"/>
        <v>87093.333333333328</v>
      </c>
      <c r="AF563" s="24">
        <f t="shared" si="711"/>
        <v>-9131.6666666666715</v>
      </c>
      <c r="AG563" s="25">
        <f t="shared" si="712"/>
        <v>-9.4899107993418261E-2</v>
      </c>
      <c r="AH563" s="77">
        <f t="shared" si="713"/>
        <v>87093.333333333328</v>
      </c>
      <c r="AI563" s="77">
        <f t="shared" si="714"/>
        <v>87093.333333333328</v>
      </c>
      <c r="AJ563" s="73">
        <v>96225</v>
      </c>
      <c r="AK563" s="79">
        <v>85860</v>
      </c>
      <c r="AL563" s="79">
        <v>64800</v>
      </c>
      <c r="AM563" s="127">
        <v>77760</v>
      </c>
      <c r="AN563" s="128">
        <v>65000</v>
      </c>
      <c r="AO563" s="128">
        <v>65000</v>
      </c>
      <c r="AP563" s="133">
        <f t="shared" si="715"/>
        <v>71684</v>
      </c>
      <c r="AQ563" s="127">
        <f t="shared" si="716"/>
        <v>-24541</v>
      </c>
      <c r="AR563" s="134">
        <f t="shared" si="717"/>
        <v>-0.25503767212262923</v>
      </c>
      <c r="AS563" s="132">
        <f t="shared" si="718"/>
        <v>71684</v>
      </c>
      <c r="AT563" s="250"/>
      <c r="AU563" s="250"/>
      <c r="AV563" s="250"/>
      <c r="AW563" s="250"/>
      <c r="AX563" s="250"/>
      <c r="AY563" s="250"/>
      <c r="AZ563" s="250"/>
      <c r="BA563" s="250"/>
      <c r="BB563" s="250"/>
      <c r="BC563" s="251"/>
      <c r="BD563" s="150"/>
      <c r="BE563" s="150"/>
      <c r="BF563" s="150"/>
      <c r="BG563" s="150"/>
      <c r="BH563" s="150"/>
      <c r="BI563" s="150"/>
      <c r="BJ563" s="150"/>
      <c r="BK563" s="150"/>
      <c r="BL563" s="150"/>
      <c r="BM563" s="293"/>
      <c r="BN563" s="293"/>
      <c r="BO563" s="293"/>
      <c r="BP563" s="293"/>
      <c r="BQ563" s="293"/>
      <c r="BR563" s="293"/>
      <c r="BS563" s="293"/>
      <c r="BT563" s="293"/>
    </row>
    <row r="564" spans="1:72" s="1" customFormat="1" ht="34.35" customHeight="1">
      <c r="A564" s="91" t="s">
        <v>29</v>
      </c>
      <c r="B564" s="358" t="s">
        <v>2756</v>
      </c>
      <c r="C564" s="50" t="s">
        <v>284</v>
      </c>
      <c r="D564" s="99" t="s">
        <v>624</v>
      </c>
      <c r="E564" s="48" t="s">
        <v>11</v>
      </c>
      <c r="F564" s="10">
        <v>73968</v>
      </c>
      <c r="G564" s="31">
        <v>96201</v>
      </c>
      <c r="H564" s="33">
        <v>96201</v>
      </c>
      <c r="I564" s="35">
        <v>84086.8</v>
      </c>
      <c r="J564" s="29">
        <f t="shared" si="595"/>
        <v>92162.933333333334</v>
      </c>
      <c r="K564" s="24">
        <f t="shared" si="596"/>
        <v>18194.933333333334</v>
      </c>
      <c r="L564" s="25">
        <f t="shared" si="597"/>
        <v>0.24598384887158412</v>
      </c>
      <c r="M564" s="69">
        <f t="shared" si="598"/>
        <v>92162.933333333334</v>
      </c>
      <c r="N564" s="77">
        <f t="shared" si="594"/>
        <v>92162.933333333334</v>
      </c>
      <c r="O564" s="73">
        <v>38007</v>
      </c>
      <c r="P564" s="74">
        <v>65780</v>
      </c>
      <c r="Q564" s="74">
        <v>65000</v>
      </c>
      <c r="R564" s="75">
        <v>75790</v>
      </c>
      <c r="S564" s="61">
        <v>100739.99999999999</v>
      </c>
      <c r="T564" s="60"/>
      <c r="U564" s="74">
        <v>115850.99999999997</v>
      </c>
      <c r="V564" s="76">
        <f t="shared" si="705"/>
        <v>84632.2</v>
      </c>
      <c r="W564" s="24">
        <f t="shared" si="706"/>
        <v>46625.2</v>
      </c>
      <c r="X564" s="25">
        <f t="shared" si="707"/>
        <v>1.2267529665587917</v>
      </c>
      <c r="Y564" s="77" t="str">
        <f t="shared" si="708"/>
        <v>REVISAR PRECIO</v>
      </c>
      <c r="Z564" s="106">
        <f t="shared" si="709"/>
        <v>84632.2</v>
      </c>
      <c r="AA564" s="73">
        <v>38007</v>
      </c>
      <c r="AB564" s="88">
        <v>90000</v>
      </c>
      <c r="AC564" s="116">
        <v>90000</v>
      </c>
      <c r="AD564" s="74">
        <v>62920</v>
      </c>
      <c r="AE564" s="76">
        <f t="shared" si="710"/>
        <v>80973.333333333328</v>
      </c>
      <c r="AF564" s="24">
        <f t="shared" si="711"/>
        <v>42966.333333333328</v>
      </c>
      <c r="AG564" s="25">
        <f t="shared" si="712"/>
        <v>1.1304847352680645</v>
      </c>
      <c r="AH564" s="77" t="str">
        <f t="shared" si="713"/>
        <v>REVISAR PRECIO</v>
      </c>
      <c r="AI564" s="77">
        <f t="shared" si="714"/>
        <v>80973.333333333328</v>
      </c>
      <c r="AJ564" s="73">
        <v>38007</v>
      </c>
      <c r="AK564" s="79">
        <v>75790</v>
      </c>
      <c r="AL564" s="79">
        <v>57200</v>
      </c>
      <c r="AM564" s="127">
        <v>68640</v>
      </c>
      <c r="AN564" s="128">
        <v>67000</v>
      </c>
      <c r="AO564" s="128">
        <v>60000</v>
      </c>
      <c r="AP564" s="133">
        <f t="shared" si="715"/>
        <v>65726</v>
      </c>
      <c r="AQ564" s="127">
        <f t="shared" si="716"/>
        <v>27719</v>
      </c>
      <c r="AR564" s="134">
        <f t="shared" si="717"/>
        <v>0.72931302128555264</v>
      </c>
      <c r="AS564" s="132">
        <f t="shared" si="718"/>
        <v>65726</v>
      </c>
      <c r="AT564" s="250"/>
      <c r="AU564" s="250"/>
      <c r="AV564" s="250"/>
      <c r="AW564" s="250"/>
      <c r="AX564" s="250"/>
      <c r="AY564" s="250"/>
      <c r="AZ564" s="250"/>
      <c r="BA564" s="250"/>
      <c r="BB564" s="250"/>
      <c r="BC564" s="251"/>
      <c r="BD564" s="150"/>
      <c r="BE564" s="150"/>
      <c r="BF564" s="150"/>
      <c r="BG564" s="150"/>
      <c r="BH564" s="150"/>
      <c r="BI564" s="150"/>
      <c r="BJ564" s="150"/>
      <c r="BK564" s="150"/>
      <c r="BL564" s="150"/>
      <c r="BM564" s="293"/>
      <c r="BN564" s="293"/>
      <c r="BO564" s="293"/>
      <c r="BP564" s="293"/>
      <c r="BQ564" s="293"/>
      <c r="BR564" s="293"/>
      <c r="BS564" s="293"/>
      <c r="BT564" s="293"/>
    </row>
    <row r="565" spans="1:72" s="1" customFormat="1" ht="60" customHeight="1">
      <c r="A565" s="91"/>
      <c r="B565" s="358" t="s">
        <v>2757</v>
      </c>
      <c r="C565" s="50" t="s">
        <v>1118</v>
      </c>
      <c r="D565" s="177" t="s">
        <v>1073</v>
      </c>
      <c r="E565" s="204" t="s">
        <v>13</v>
      </c>
      <c r="F565" s="10"/>
      <c r="G565" s="31"/>
      <c r="H565" s="33"/>
      <c r="I565" s="183"/>
      <c r="J565" s="29"/>
      <c r="K565" s="24"/>
      <c r="L565" s="25"/>
      <c r="M565" s="69"/>
      <c r="N565" s="77"/>
      <c r="O565" s="73"/>
      <c r="P565" s="74"/>
      <c r="Q565" s="74"/>
      <c r="R565" s="75"/>
      <c r="S565" s="61"/>
      <c r="T565" s="60"/>
      <c r="U565" s="74"/>
      <c r="V565" s="76"/>
      <c r="W565" s="24"/>
      <c r="X565" s="25"/>
      <c r="Y565" s="77"/>
      <c r="Z565" s="106"/>
      <c r="AA565" s="73"/>
      <c r="AB565" s="88"/>
      <c r="AC565" s="116"/>
      <c r="AD565" s="74"/>
      <c r="AE565" s="76"/>
      <c r="AF565" s="24"/>
      <c r="AG565" s="25"/>
      <c r="AH565" s="77"/>
      <c r="AI565" s="77"/>
      <c r="AJ565" s="73"/>
      <c r="AK565" s="79"/>
      <c r="AL565" s="79"/>
      <c r="AM565" s="127"/>
      <c r="AN565" s="128"/>
      <c r="AO565" s="128"/>
      <c r="AP565" s="133"/>
      <c r="AQ565" s="127"/>
      <c r="AR565" s="134"/>
      <c r="AS565" s="132"/>
      <c r="AT565" s="10">
        <v>31706</v>
      </c>
      <c r="AU565" s="10">
        <v>23646</v>
      </c>
      <c r="AV565" s="167">
        <v>23646</v>
      </c>
      <c r="AW565" s="168">
        <v>22300</v>
      </c>
      <c r="AX565" s="29">
        <f t="shared" ref="AX565:AX588" si="742">AVERAGE(AU565,AW565)</f>
        <v>22973</v>
      </c>
      <c r="AY565" s="24">
        <f t="shared" ref="AY565:AY588" si="743">AX565-AT565</f>
        <v>-8733</v>
      </c>
      <c r="AZ565" s="25">
        <f t="shared" ref="AZ565:AZ588" si="744">+AY565/AT565</f>
        <v>-0.27543682583738094</v>
      </c>
      <c r="BA565" s="24">
        <f t="shared" ref="BA565:BA588" si="745">AV565-AT565</f>
        <v>-8060</v>
      </c>
      <c r="BB565" s="169">
        <f t="shared" ref="BB565:BB588" si="746">+BA565/AT565</f>
        <v>-0.25421055951554911</v>
      </c>
      <c r="BC565" s="170">
        <f t="shared" ref="BC565:BC588" si="747">AX565</f>
        <v>22973</v>
      </c>
      <c r="BD565" s="150"/>
      <c r="BE565" s="150"/>
      <c r="BF565" s="150"/>
      <c r="BG565" s="150"/>
      <c r="BH565" s="150"/>
      <c r="BI565" s="150"/>
      <c r="BJ565" s="150"/>
      <c r="BK565" s="150"/>
      <c r="BL565" s="150"/>
      <c r="BM565" s="293"/>
      <c r="BN565" s="293"/>
      <c r="BO565" s="293"/>
      <c r="BP565" s="293"/>
      <c r="BQ565" s="293"/>
      <c r="BR565" s="293"/>
      <c r="BS565" s="293"/>
      <c r="BT565" s="293"/>
    </row>
    <row r="566" spans="1:72" s="1" customFormat="1" ht="60" customHeight="1">
      <c r="A566" s="91"/>
      <c r="B566" s="358" t="s">
        <v>2758</v>
      </c>
      <c r="C566" s="50" t="s">
        <v>1119</v>
      </c>
      <c r="D566" s="205" t="s">
        <v>1074</v>
      </c>
      <c r="E566" s="206" t="s">
        <v>13</v>
      </c>
      <c r="F566" s="10"/>
      <c r="G566" s="31"/>
      <c r="H566" s="33"/>
      <c r="I566" s="183"/>
      <c r="J566" s="29"/>
      <c r="K566" s="24"/>
      <c r="L566" s="25"/>
      <c r="M566" s="69"/>
      <c r="N566" s="77"/>
      <c r="O566" s="73"/>
      <c r="P566" s="74"/>
      <c r="Q566" s="74"/>
      <c r="R566" s="75"/>
      <c r="S566" s="61"/>
      <c r="T566" s="60"/>
      <c r="U566" s="74"/>
      <c r="V566" s="76"/>
      <c r="W566" s="24"/>
      <c r="X566" s="25"/>
      <c r="Y566" s="77"/>
      <c r="Z566" s="106"/>
      <c r="AA566" s="73"/>
      <c r="AB566" s="88"/>
      <c r="AC566" s="116"/>
      <c r="AD566" s="74"/>
      <c r="AE566" s="76"/>
      <c r="AF566" s="24"/>
      <c r="AG566" s="25"/>
      <c r="AH566" s="77"/>
      <c r="AI566" s="77"/>
      <c r="AJ566" s="73"/>
      <c r="AK566" s="79"/>
      <c r="AL566" s="79"/>
      <c r="AM566" s="127"/>
      <c r="AN566" s="128"/>
      <c r="AO566" s="128"/>
      <c r="AP566" s="133"/>
      <c r="AQ566" s="127"/>
      <c r="AR566" s="134"/>
      <c r="AS566" s="132"/>
      <c r="AT566" s="10">
        <v>29304</v>
      </c>
      <c r="AU566" s="10">
        <v>44240</v>
      </c>
      <c r="AV566" s="167">
        <v>88480</v>
      </c>
      <c r="AW566" s="168">
        <v>40000</v>
      </c>
      <c r="AX566" s="29">
        <f t="shared" si="742"/>
        <v>42120</v>
      </c>
      <c r="AY566" s="24">
        <f t="shared" si="743"/>
        <v>12816</v>
      </c>
      <c r="AZ566" s="25">
        <f t="shared" si="744"/>
        <v>0.43734643734643736</v>
      </c>
      <c r="BA566" s="24">
        <f t="shared" si="745"/>
        <v>59176</v>
      </c>
      <c r="BB566" s="169">
        <f t="shared" si="746"/>
        <v>2.0193830193830196</v>
      </c>
      <c r="BC566" s="170">
        <f t="shared" si="747"/>
        <v>42120</v>
      </c>
      <c r="BD566" s="150"/>
      <c r="BE566" s="150"/>
      <c r="BF566" s="150"/>
      <c r="BG566" s="150"/>
      <c r="BH566" s="150"/>
      <c r="BI566" s="150"/>
      <c r="BJ566" s="150"/>
      <c r="BK566" s="150"/>
      <c r="BL566" s="150"/>
      <c r="BM566" s="293"/>
      <c r="BN566" s="293"/>
      <c r="BO566" s="293"/>
      <c r="BP566" s="293"/>
      <c r="BQ566" s="293"/>
      <c r="BR566" s="293"/>
      <c r="BS566" s="293"/>
      <c r="BT566" s="293"/>
    </row>
    <row r="567" spans="1:72" s="1" customFormat="1" ht="60" customHeight="1">
      <c r="A567" s="91"/>
      <c r="B567" s="358" t="s">
        <v>2759</v>
      </c>
      <c r="C567" s="50" t="s">
        <v>1120</v>
      </c>
      <c r="D567" s="205" t="s">
        <v>1075</v>
      </c>
      <c r="E567" s="206" t="s">
        <v>13</v>
      </c>
      <c r="F567" s="10"/>
      <c r="G567" s="31"/>
      <c r="H567" s="33"/>
      <c r="I567" s="183"/>
      <c r="J567" s="29"/>
      <c r="K567" s="24"/>
      <c r="L567" s="25"/>
      <c r="M567" s="69"/>
      <c r="N567" s="77"/>
      <c r="O567" s="73"/>
      <c r="P567" s="74"/>
      <c r="Q567" s="74"/>
      <c r="R567" s="75"/>
      <c r="S567" s="61"/>
      <c r="T567" s="60"/>
      <c r="U567" s="74"/>
      <c r="V567" s="76"/>
      <c r="W567" s="24"/>
      <c r="X567" s="25"/>
      <c r="Y567" s="77"/>
      <c r="Z567" s="106"/>
      <c r="AA567" s="73"/>
      <c r="AB567" s="88"/>
      <c r="AC567" s="116"/>
      <c r="AD567" s="74"/>
      <c r="AE567" s="76"/>
      <c r="AF567" s="24"/>
      <c r="AG567" s="25"/>
      <c r="AH567" s="77"/>
      <c r="AI567" s="77"/>
      <c r="AJ567" s="73"/>
      <c r="AK567" s="79"/>
      <c r="AL567" s="79"/>
      <c r="AM567" s="127"/>
      <c r="AN567" s="128"/>
      <c r="AO567" s="128"/>
      <c r="AP567" s="133"/>
      <c r="AQ567" s="127"/>
      <c r="AR567" s="134"/>
      <c r="AS567" s="132"/>
      <c r="AT567" s="10">
        <v>73254</v>
      </c>
      <c r="AU567" s="10">
        <v>73529.03</v>
      </c>
      <c r="AV567" s="167">
        <v>220587.09</v>
      </c>
      <c r="AW567" s="168">
        <v>70340</v>
      </c>
      <c r="AX567" s="29">
        <f t="shared" si="742"/>
        <v>71934.514999999999</v>
      </c>
      <c r="AY567" s="24">
        <f t="shared" si="743"/>
        <v>-1319.4850000000006</v>
      </c>
      <c r="AZ567" s="25">
        <f t="shared" si="744"/>
        <v>-1.8012463483222767E-2</v>
      </c>
      <c r="BA567" s="24">
        <f t="shared" si="745"/>
        <v>147333.09</v>
      </c>
      <c r="BB567" s="169">
        <f t="shared" si="746"/>
        <v>2.0112634122368744</v>
      </c>
      <c r="BC567" s="170">
        <f t="shared" si="747"/>
        <v>71934.514999999999</v>
      </c>
      <c r="BD567" s="150"/>
      <c r="BE567" s="150"/>
      <c r="BF567" s="150"/>
      <c r="BG567" s="150"/>
      <c r="BH567" s="150"/>
      <c r="BI567" s="150"/>
      <c r="BJ567" s="150"/>
      <c r="BK567" s="150"/>
      <c r="BL567" s="150"/>
      <c r="BM567" s="293"/>
      <c r="BN567" s="293"/>
      <c r="BO567" s="293"/>
      <c r="BP567" s="293"/>
      <c r="BQ567" s="293"/>
      <c r="BR567" s="293"/>
      <c r="BS567" s="293"/>
      <c r="BT567" s="293"/>
    </row>
    <row r="568" spans="1:72" s="1" customFormat="1" ht="60" customHeight="1">
      <c r="A568" s="91"/>
      <c r="B568" s="358" t="s">
        <v>2760</v>
      </c>
      <c r="C568" s="50" t="s">
        <v>1121</v>
      </c>
      <c r="D568" s="205" t="s">
        <v>1076</v>
      </c>
      <c r="E568" s="206" t="s">
        <v>13</v>
      </c>
      <c r="F568" s="10"/>
      <c r="G568" s="31"/>
      <c r="H568" s="33"/>
      <c r="I568" s="183"/>
      <c r="J568" s="29"/>
      <c r="K568" s="24"/>
      <c r="L568" s="25"/>
      <c r="M568" s="69"/>
      <c r="N568" s="77"/>
      <c r="O568" s="73"/>
      <c r="P568" s="74"/>
      <c r="Q568" s="74"/>
      <c r="R568" s="75"/>
      <c r="S568" s="61"/>
      <c r="T568" s="60"/>
      <c r="U568" s="74"/>
      <c r="V568" s="76"/>
      <c r="W568" s="24"/>
      <c r="X568" s="25"/>
      <c r="Y568" s="77"/>
      <c r="Z568" s="106"/>
      <c r="AA568" s="73"/>
      <c r="AB568" s="88"/>
      <c r="AC568" s="116"/>
      <c r="AD568" s="74"/>
      <c r="AE568" s="76"/>
      <c r="AF568" s="24"/>
      <c r="AG568" s="25"/>
      <c r="AH568" s="77"/>
      <c r="AI568" s="77"/>
      <c r="AJ568" s="73"/>
      <c r="AK568" s="79"/>
      <c r="AL568" s="79"/>
      <c r="AM568" s="127"/>
      <c r="AN568" s="128"/>
      <c r="AO568" s="128"/>
      <c r="AP568" s="133"/>
      <c r="AQ568" s="127"/>
      <c r="AR568" s="134"/>
      <c r="AS568" s="132"/>
      <c r="AT568" s="10">
        <v>49893</v>
      </c>
      <c r="AU568" s="10">
        <v>73529.03</v>
      </c>
      <c r="AV568" s="167">
        <v>294116.12</v>
      </c>
      <c r="AW568" s="168">
        <v>70450</v>
      </c>
      <c r="AX568" s="29">
        <f t="shared" si="742"/>
        <v>71989.514999999999</v>
      </c>
      <c r="AY568" s="24">
        <f t="shared" si="743"/>
        <v>22096.514999999999</v>
      </c>
      <c r="AZ568" s="25">
        <f t="shared" si="744"/>
        <v>0.44287805904635918</v>
      </c>
      <c r="BA568" s="24">
        <f t="shared" si="745"/>
        <v>244223.12</v>
      </c>
      <c r="BB568" s="169">
        <f t="shared" si="746"/>
        <v>4.8949375663920787</v>
      </c>
      <c r="BC568" s="170">
        <f t="shared" si="747"/>
        <v>71989.514999999999</v>
      </c>
      <c r="BD568" s="150"/>
      <c r="BE568" s="150"/>
      <c r="BF568" s="150"/>
      <c r="BG568" s="150"/>
      <c r="BH568" s="150"/>
      <c r="BI568" s="150"/>
      <c r="BJ568" s="150"/>
      <c r="BK568" s="150"/>
      <c r="BL568" s="150"/>
      <c r="BM568" s="293"/>
      <c r="BN568" s="293"/>
      <c r="BO568" s="293"/>
      <c r="BP568" s="293"/>
      <c r="BQ568" s="293"/>
      <c r="BR568" s="293"/>
      <c r="BS568" s="293"/>
      <c r="BT568" s="293"/>
    </row>
    <row r="569" spans="1:72" s="1" customFormat="1" ht="60" customHeight="1">
      <c r="A569" s="91"/>
      <c r="B569" s="358" t="s">
        <v>2761</v>
      </c>
      <c r="C569" s="50" t="s">
        <v>1122</v>
      </c>
      <c r="D569" s="205" t="s">
        <v>1077</v>
      </c>
      <c r="E569" s="206" t="s">
        <v>13</v>
      </c>
      <c r="F569" s="10"/>
      <c r="G569" s="31"/>
      <c r="H569" s="33"/>
      <c r="I569" s="183"/>
      <c r="J569" s="29"/>
      <c r="K569" s="24"/>
      <c r="L569" s="25"/>
      <c r="M569" s="69"/>
      <c r="N569" s="77"/>
      <c r="O569" s="73"/>
      <c r="P569" s="74"/>
      <c r="Q569" s="74"/>
      <c r="R569" s="75"/>
      <c r="S569" s="61"/>
      <c r="T569" s="60"/>
      <c r="U569" s="74"/>
      <c r="V569" s="76"/>
      <c r="W569" s="24"/>
      <c r="X569" s="25"/>
      <c r="Y569" s="77"/>
      <c r="Z569" s="106"/>
      <c r="AA569" s="73"/>
      <c r="AB569" s="88"/>
      <c r="AC569" s="116"/>
      <c r="AD569" s="74"/>
      <c r="AE569" s="76"/>
      <c r="AF569" s="24"/>
      <c r="AG569" s="25"/>
      <c r="AH569" s="77"/>
      <c r="AI569" s="77"/>
      <c r="AJ569" s="73"/>
      <c r="AK569" s="79"/>
      <c r="AL569" s="79"/>
      <c r="AM569" s="127"/>
      <c r="AN569" s="128"/>
      <c r="AO569" s="128"/>
      <c r="AP569" s="133"/>
      <c r="AQ569" s="127"/>
      <c r="AR569" s="134"/>
      <c r="AS569" s="132"/>
      <c r="AT569" s="10">
        <v>75684</v>
      </c>
      <c r="AU569" s="10">
        <v>93077</v>
      </c>
      <c r="AV569" s="167">
        <v>93077</v>
      </c>
      <c r="AW569" s="168">
        <v>89800</v>
      </c>
      <c r="AX569" s="29">
        <f t="shared" si="742"/>
        <v>91438.5</v>
      </c>
      <c r="AY569" s="24">
        <f t="shared" si="743"/>
        <v>15754.5</v>
      </c>
      <c r="AZ569" s="25">
        <f t="shared" si="744"/>
        <v>0.20816156651339782</v>
      </c>
      <c r="BA569" s="24">
        <f t="shared" si="745"/>
        <v>17393</v>
      </c>
      <c r="BB569" s="169">
        <f t="shared" si="746"/>
        <v>0.22981079224142487</v>
      </c>
      <c r="BC569" s="170">
        <f t="shared" si="747"/>
        <v>91438.5</v>
      </c>
      <c r="BD569" s="150"/>
      <c r="BE569" s="150"/>
      <c r="BF569" s="150"/>
      <c r="BG569" s="150"/>
      <c r="BH569" s="150"/>
      <c r="BI569" s="150"/>
      <c r="BJ569" s="150"/>
      <c r="BK569" s="150"/>
      <c r="BL569" s="150"/>
      <c r="BM569" s="293"/>
      <c r="BN569" s="293"/>
      <c r="BO569" s="293"/>
      <c r="BP569" s="293"/>
      <c r="BQ569" s="293"/>
      <c r="BR569" s="293"/>
      <c r="BS569" s="293"/>
      <c r="BT569" s="293"/>
    </row>
    <row r="570" spans="1:72" s="1" customFormat="1" ht="60" customHeight="1">
      <c r="A570" s="91"/>
      <c r="B570" s="358" t="s">
        <v>2762</v>
      </c>
      <c r="C570" s="50" t="s">
        <v>1123</v>
      </c>
      <c r="D570" s="205" t="s">
        <v>1078</v>
      </c>
      <c r="E570" s="206" t="s">
        <v>13</v>
      </c>
      <c r="F570" s="10"/>
      <c r="G570" s="31"/>
      <c r="H570" s="33"/>
      <c r="I570" s="183"/>
      <c r="J570" s="29"/>
      <c r="K570" s="24"/>
      <c r="L570" s="25"/>
      <c r="M570" s="69"/>
      <c r="N570" s="77"/>
      <c r="O570" s="73"/>
      <c r="P570" s="74"/>
      <c r="Q570" s="74"/>
      <c r="R570" s="75"/>
      <c r="S570" s="61"/>
      <c r="T570" s="60"/>
      <c r="U570" s="74"/>
      <c r="V570" s="76"/>
      <c r="W570" s="24"/>
      <c r="X570" s="25"/>
      <c r="Y570" s="77"/>
      <c r="Z570" s="106"/>
      <c r="AA570" s="73"/>
      <c r="AB570" s="88"/>
      <c r="AC570" s="116"/>
      <c r="AD570" s="74"/>
      <c r="AE570" s="76"/>
      <c r="AF570" s="24"/>
      <c r="AG570" s="25"/>
      <c r="AH570" s="77"/>
      <c r="AI570" s="77"/>
      <c r="AJ570" s="73"/>
      <c r="AK570" s="79"/>
      <c r="AL570" s="79"/>
      <c r="AM570" s="127"/>
      <c r="AN570" s="128"/>
      <c r="AO570" s="128"/>
      <c r="AP570" s="133"/>
      <c r="AQ570" s="127"/>
      <c r="AR570" s="134"/>
      <c r="AS570" s="132"/>
      <c r="AT570" s="10">
        <v>104294</v>
      </c>
      <c r="AU570" s="10"/>
      <c r="AV570" s="167">
        <v>45000</v>
      </c>
      <c r="AW570" s="168">
        <v>135900</v>
      </c>
      <c r="AX570" s="29">
        <f t="shared" si="742"/>
        <v>135900</v>
      </c>
      <c r="AY570" s="24">
        <f t="shared" si="743"/>
        <v>31606</v>
      </c>
      <c r="AZ570" s="25">
        <f t="shared" si="744"/>
        <v>0.30304715515753544</v>
      </c>
      <c r="BA570" s="24">
        <f t="shared" si="745"/>
        <v>-59294</v>
      </c>
      <c r="BB570" s="169">
        <f t="shared" si="746"/>
        <v>-0.56852743206704126</v>
      </c>
      <c r="BC570" s="170">
        <f t="shared" si="747"/>
        <v>135900</v>
      </c>
      <c r="BD570" s="150"/>
      <c r="BE570" s="150"/>
      <c r="BF570" s="150"/>
      <c r="BG570" s="150"/>
      <c r="BH570" s="150"/>
      <c r="BI570" s="150"/>
      <c r="BJ570" s="150"/>
      <c r="BK570" s="150"/>
      <c r="BL570" s="150"/>
      <c r="BM570" s="293"/>
      <c r="BN570" s="293"/>
      <c r="BO570" s="293"/>
      <c r="BP570" s="293"/>
      <c r="BQ570" s="293"/>
      <c r="BR570" s="293"/>
      <c r="BS570" s="293"/>
      <c r="BT570" s="293"/>
    </row>
    <row r="571" spans="1:72" s="1" customFormat="1" ht="60" customHeight="1">
      <c r="A571" s="91"/>
      <c r="B571" s="358" t="s">
        <v>2763</v>
      </c>
      <c r="C571" s="50" t="s">
        <v>1124</v>
      </c>
      <c r="D571" s="205" t="s">
        <v>1079</v>
      </c>
      <c r="E571" s="206" t="s">
        <v>13</v>
      </c>
      <c r="F571" s="10"/>
      <c r="G571" s="31"/>
      <c r="H571" s="33"/>
      <c r="I571" s="183"/>
      <c r="J571" s="29"/>
      <c r="K571" s="24"/>
      <c r="L571" s="25"/>
      <c r="M571" s="69"/>
      <c r="N571" s="77"/>
      <c r="O571" s="73"/>
      <c r="P571" s="74"/>
      <c r="Q571" s="74"/>
      <c r="R571" s="75"/>
      <c r="S571" s="61"/>
      <c r="T571" s="60"/>
      <c r="U571" s="74"/>
      <c r="V571" s="76"/>
      <c r="W571" s="24"/>
      <c r="X571" s="25"/>
      <c r="Y571" s="77"/>
      <c r="Z571" s="106"/>
      <c r="AA571" s="73"/>
      <c r="AB571" s="88"/>
      <c r="AC571" s="116"/>
      <c r="AD571" s="74"/>
      <c r="AE571" s="76"/>
      <c r="AF571" s="24"/>
      <c r="AG571" s="25"/>
      <c r="AH571" s="77"/>
      <c r="AI571" s="77"/>
      <c r="AJ571" s="73"/>
      <c r="AK571" s="79"/>
      <c r="AL571" s="79"/>
      <c r="AM571" s="127"/>
      <c r="AN571" s="128"/>
      <c r="AO571" s="128"/>
      <c r="AP571" s="133"/>
      <c r="AQ571" s="127"/>
      <c r="AR571" s="134"/>
      <c r="AS571" s="132"/>
      <c r="AT571" s="10">
        <v>39869</v>
      </c>
      <c r="AU571" s="10">
        <v>68467</v>
      </c>
      <c r="AV571" s="167">
        <v>205401</v>
      </c>
      <c r="AW571" s="168">
        <v>70000</v>
      </c>
      <c r="AX571" s="29">
        <f t="shared" si="742"/>
        <v>69233.5</v>
      </c>
      <c r="AY571" s="24">
        <f t="shared" si="743"/>
        <v>29364.5</v>
      </c>
      <c r="AZ571" s="25">
        <f t="shared" si="744"/>
        <v>0.73652461812435732</v>
      </c>
      <c r="BA571" s="24">
        <f t="shared" si="745"/>
        <v>165532</v>
      </c>
      <c r="BB571" s="169">
        <f t="shared" si="746"/>
        <v>4.1518974641952395</v>
      </c>
      <c r="BC571" s="170">
        <f t="shared" si="747"/>
        <v>69233.5</v>
      </c>
      <c r="BD571" s="150"/>
      <c r="BE571" s="150"/>
      <c r="BF571" s="150"/>
      <c r="BG571" s="150"/>
      <c r="BH571" s="150"/>
      <c r="BI571" s="150"/>
      <c r="BJ571" s="150"/>
      <c r="BK571" s="150"/>
      <c r="BL571" s="150"/>
      <c r="BM571" s="293"/>
      <c r="BN571" s="293"/>
      <c r="BO571" s="293"/>
      <c r="BP571" s="293"/>
      <c r="BQ571" s="293"/>
      <c r="BR571" s="293"/>
      <c r="BS571" s="293"/>
      <c r="BT571" s="293"/>
    </row>
    <row r="572" spans="1:72" s="1" customFormat="1" ht="60" customHeight="1">
      <c r="A572" s="91"/>
      <c r="B572" s="358" t="s">
        <v>2764</v>
      </c>
      <c r="C572" s="50" t="s">
        <v>1125</v>
      </c>
      <c r="D572" s="205" t="s">
        <v>1080</v>
      </c>
      <c r="E572" s="206" t="s">
        <v>13</v>
      </c>
      <c r="F572" s="10"/>
      <c r="G572" s="31"/>
      <c r="H572" s="33"/>
      <c r="I572" s="183"/>
      <c r="J572" s="29"/>
      <c r="K572" s="24"/>
      <c r="L572" s="25"/>
      <c r="M572" s="69"/>
      <c r="N572" s="77"/>
      <c r="O572" s="73"/>
      <c r="P572" s="74"/>
      <c r="Q572" s="74"/>
      <c r="R572" s="75"/>
      <c r="S572" s="61"/>
      <c r="T572" s="60"/>
      <c r="U572" s="74"/>
      <c r="V572" s="76"/>
      <c r="W572" s="24"/>
      <c r="X572" s="25"/>
      <c r="Y572" s="77"/>
      <c r="Z572" s="106"/>
      <c r="AA572" s="73"/>
      <c r="AB572" s="88"/>
      <c r="AC572" s="116"/>
      <c r="AD572" s="74"/>
      <c r="AE572" s="76"/>
      <c r="AF572" s="24"/>
      <c r="AG572" s="25"/>
      <c r="AH572" s="77"/>
      <c r="AI572" s="77"/>
      <c r="AJ572" s="73"/>
      <c r="AK572" s="79"/>
      <c r="AL572" s="79"/>
      <c r="AM572" s="127"/>
      <c r="AN572" s="128"/>
      <c r="AO572" s="128"/>
      <c r="AP572" s="133"/>
      <c r="AQ572" s="127"/>
      <c r="AR572" s="134"/>
      <c r="AS572" s="132"/>
      <c r="AT572" s="10">
        <v>65205</v>
      </c>
      <c r="AU572" s="10">
        <v>58900</v>
      </c>
      <c r="AV572" s="167">
        <v>32000</v>
      </c>
      <c r="AW572" s="168">
        <v>176000</v>
      </c>
      <c r="AX572" s="29">
        <f t="shared" si="742"/>
        <v>117450</v>
      </c>
      <c r="AY572" s="24">
        <f t="shared" si="743"/>
        <v>52245</v>
      </c>
      <c r="AZ572" s="25">
        <f t="shared" si="744"/>
        <v>0.80124223602484468</v>
      </c>
      <c r="BA572" s="24">
        <f t="shared" si="745"/>
        <v>-33205</v>
      </c>
      <c r="BB572" s="169">
        <f t="shared" si="746"/>
        <v>-0.50924008895023387</v>
      </c>
      <c r="BC572" s="170">
        <f t="shared" si="747"/>
        <v>117450</v>
      </c>
      <c r="BD572" s="150"/>
      <c r="BE572" s="150"/>
      <c r="BF572" s="150"/>
      <c r="BG572" s="150"/>
      <c r="BH572" s="150"/>
      <c r="BI572" s="150"/>
      <c r="BJ572" s="150"/>
      <c r="BK572" s="150"/>
      <c r="BL572" s="150"/>
      <c r="BM572" s="293"/>
      <c r="BN572" s="293"/>
      <c r="BO572" s="293"/>
      <c r="BP572" s="293"/>
      <c r="BQ572" s="293"/>
      <c r="BR572" s="293"/>
      <c r="BS572" s="293"/>
      <c r="BT572" s="293"/>
    </row>
    <row r="573" spans="1:72" s="1" customFormat="1" ht="60" customHeight="1">
      <c r="A573" s="91"/>
      <c r="B573" s="358" t="s">
        <v>2765</v>
      </c>
      <c r="C573" s="50" t="s">
        <v>1126</v>
      </c>
      <c r="D573" s="205" t="s">
        <v>1081</v>
      </c>
      <c r="E573" s="206" t="s">
        <v>13</v>
      </c>
      <c r="F573" s="10"/>
      <c r="G573" s="31"/>
      <c r="H573" s="33"/>
      <c r="I573" s="183"/>
      <c r="J573" s="29"/>
      <c r="K573" s="24"/>
      <c r="L573" s="25"/>
      <c r="M573" s="69"/>
      <c r="N573" s="77"/>
      <c r="O573" s="73"/>
      <c r="P573" s="74"/>
      <c r="Q573" s="74"/>
      <c r="R573" s="75"/>
      <c r="S573" s="61"/>
      <c r="T573" s="60"/>
      <c r="U573" s="74"/>
      <c r="V573" s="76"/>
      <c r="W573" s="24"/>
      <c r="X573" s="25"/>
      <c r="Y573" s="77"/>
      <c r="Z573" s="106"/>
      <c r="AA573" s="73"/>
      <c r="AB573" s="88"/>
      <c r="AC573" s="116"/>
      <c r="AD573" s="74"/>
      <c r="AE573" s="76"/>
      <c r="AF573" s="24"/>
      <c r="AG573" s="25"/>
      <c r="AH573" s="77"/>
      <c r="AI573" s="77"/>
      <c r="AJ573" s="73"/>
      <c r="AK573" s="79"/>
      <c r="AL573" s="79"/>
      <c r="AM573" s="127"/>
      <c r="AN573" s="128"/>
      <c r="AO573" s="128"/>
      <c r="AP573" s="133"/>
      <c r="AQ573" s="127"/>
      <c r="AR573" s="134"/>
      <c r="AS573" s="132"/>
      <c r="AT573" s="10">
        <v>52969</v>
      </c>
      <c r="AU573" s="10">
        <v>35000</v>
      </c>
      <c r="AV573" s="167">
        <v>70000</v>
      </c>
      <c r="AW573" s="168">
        <v>35000</v>
      </c>
      <c r="AX573" s="29">
        <f t="shared" si="742"/>
        <v>35000</v>
      </c>
      <c r="AY573" s="24">
        <f t="shared" si="743"/>
        <v>-17969</v>
      </c>
      <c r="AZ573" s="25">
        <f t="shared" si="744"/>
        <v>-0.3392361569974891</v>
      </c>
      <c r="BA573" s="24">
        <f t="shared" si="745"/>
        <v>17031</v>
      </c>
      <c r="BB573" s="169">
        <f t="shared" si="746"/>
        <v>0.3215276860050218</v>
      </c>
      <c r="BC573" s="170">
        <f t="shared" si="747"/>
        <v>35000</v>
      </c>
      <c r="BD573" s="150"/>
      <c r="BE573" s="150"/>
      <c r="BF573" s="150"/>
      <c r="BG573" s="150"/>
      <c r="BH573" s="150"/>
      <c r="BI573" s="150"/>
      <c r="BJ573" s="150"/>
      <c r="BK573" s="150"/>
      <c r="BL573" s="150"/>
      <c r="BM573" s="293"/>
      <c r="BN573" s="293"/>
      <c r="BO573" s="293"/>
      <c r="BP573" s="293"/>
      <c r="BQ573" s="293"/>
      <c r="BR573" s="293"/>
      <c r="BS573" s="293"/>
      <c r="BT573" s="293"/>
    </row>
    <row r="574" spans="1:72" s="1" customFormat="1" ht="60" customHeight="1">
      <c r="A574" s="91"/>
      <c r="B574" s="358" t="s">
        <v>2766</v>
      </c>
      <c r="C574" s="50" t="s">
        <v>1127</v>
      </c>
      <c r="D574" s="205" t="s">
        <v>1082</v>
      </c>
      <c r="E574" s="206" t="s">
        <v>13</v>
      </c>
      <c r="F574" s="10"/>
      <c r="G574" s="31"/>
      <c r="H574" s="33"/>
      <c r="I574" s="183"/>
      <c r="J574" s="29"/>
      <c r="K574" s="24"/>
      <c r="L574" s="25"/>
      <c r="M574" s="69"/>
      <c r="N574" s="77"/>
      <c r="O574" s="73"/>
      <c r="P574" s="74"/>
      <c r="Q574" s="74"/>
      <c r="R574" s="75"/>
      <c r="S574" s="61"/>
      <c r="T574" s="60"/>
      <c r="U574" s="74"/>
      <c r="V574" s="76"/>
      <c r="W574" s="24"/>
      <c r="X574" s="25"/>
      <c r="Y574" s="77"/>
      <c r="Z574" s="106"/>
      <c r="AA574" s="73"/>
      <c r="AB574" s="88"/>
      <c r="AC574" s="116"/>
      <c r="AD574" s="74"/>
      <c r="AE574" s="76"/>
      <c r="AF574" s="24"/>
      <c r="AG574" s="25"/>
      <c r="AH574" s="77"/>
      <c r="AI574" s="77"/>
      <c r="AJ574" s="73"/>
      <c r="AK574" s="79"/>
      <c r="AL574" s="79"/>
      <c r="AM574" s="127"/>
      <c r="AN574" s="128"/>
      <c r="AO574" s="128"/>
      <c r="AP574" s="133"/>
      <c r="AQ574" s="127"/>
      <c r="AR574" s="134"/>
      <c r="AS574" s="132"/>
      <c r="AT574" s="10">
        <v>77430</v>
      </c>
      <c r="AU574" s="10">
        <v>22000</v>
      </c>
      <c r="AV574" s="167">
        <v>66000</v>
      </c>
      <c r="AW574" s="168">
        <v>22000</v>
      </c>
      <c r="AX574" s="29">
        <f t="shared" si="742"/>
        <v>22000</v>
      </c>
      <c r="AY574" s="24">
        <f t="shared" si="743"/>
        <v>-55430</v>
      </c>
      <c r="AZ574" s="25">
        <f t="shared" si="744"/>
        <v>-0.71587240087821258</v>
      </c>
      <c r="BA574" s="24">
        <f t="shared" si="745"/>
        <v>-11430</v>
      </c>
      <c r="BB574" s="169">
        <f t="shared" si="746"/>
        <v>-0.14761720263463773</v>
      </c>
      <c r="BC574" s="170">
        <f t="shared" si="747"/>
        <v>22000</v>
      </c>
      <c r="BD574" s="150"/>
      <c r="BE574" s="150"/>
      <c r="BF574" s="150"/>
      <c r="BG574" s="150"/>
      <c r="BH574" s="150"/>
      <c r="BI574" s="150"/>
      <c r="BJ574" s="150"/>
      <c r="BK574" s="150"/>
      <c r="BL574" s="150"/>
      <c r="BM574" s="293"/>
      <c r="BN574" s="293"/>
      <c r="BO574" s="293"/>
      <c r="BP574" s="293"/>
      <c r="BQ574" s="293"/>
      <c r="BR574" s="293"/>
      <c r="BS574" s="293"/>
      <c r="BT574" s="293"/>
    </row>
    <row r="575" spans="1:72" s="1" customFormat="1" ht="60" customHeight="1">
      <c r="A575" s="91"/>
      <c r="B575" s="358" t="s">
        <v>2767</v>
      </c>
      <c r="C575" s="50" t="s">
        <v>1128</v>
      </c>
      <c r="D575" s="177" t="s">
        <v>1083</v>
      </c>
      <c r="E575" s="141" t="s">
        <v>13</v>
      </c>
      <c r="F575" s="10"/>
      <c r="G575" s="31"/>
      <c r="H575" s="33"/>
      <c r="I575" s="183"/>
      <c r="J575" s="29"/>
      <c r="K575" s="24"/>
      <c r="L575" s="25"/>
      <c r="M575" s="69"/>
      <c r="N575" s="77"/>
      <c r="O575" s="73"/>
      <c r="P575" s="74"/>
      <c r="Q575" s="74"/>
      <c r="R575" s="75"/>
      <c r="S575" s="61"/>
      <c r="T575" s="60"/>
      <c r="U575" s="74"/>
      <c r="V575" s="76"/>
      <c r="W575" s="24"/>
      <c r="X575" s="25"/>
      <c r="Y575" s="77"/>
      <c r="Z575" s="106"/>
      <c r="AA575" s="73"/>
      <c r="AB575" s="88"/>
      <c r="AC575" s="116"/>
      <c r="AD575" s="74"/>
      <c r="AE575" s="76"/>
      <c r="AF575" s="24"/>
      <c r="AG575" s="25"/>
      <c r="AH575" s="77"/>
      <c r="AI575" s="77"/>
      <c r="AJ575" s="73"/>
      <c r="AK575" s="79"/>
      <c r="AL575" s="79"/>
      <c r="AM575" s="127"/>
      <c r="AN575" s="128"/>
      <c r="AO575" s="128"/>
      <c r="AP575" s="133"/>
      <c r="AQ575" s="127"/>
      <c r="AR575" s="134"/>
      <c r="AS575" s="132"/>
      <c r="AT575" s="10">
        <v>83582</v>
      </c>
      <c r="AU575" s="10">
        <v>120000</v>
      </c>
      <c r="AV575" s="167">
        <v>360000</v>
      </c>
      <c r="AW575" s="168">
        <v>110600</v>
      </c>
      <c r="AX575" s="29">
        <f t="shared" si="742"/>
        <v>115300</v>
      </c>
      <c r="AY575" s="24">
        <f t="shared" si="743"/>
        <v>31718</v>
      </c>
      <c r="AZ575" s="25">
        <f t="shared" si="744"/>
        <v>0.37948362087530807</v>
      </c>
      <c r="BA575" s="24">
        <f t="shared" si="745"/>
        <v>276418</v>
      </c>
      <c r="BB575" s="169">
        <f t="shared" si="746"/>
        <v>3.3071474719437197</v>
      </c>
      <c r="BC575" s="170">
        <f t="shared" si="747"/>
        <v>115300</v>
      </c>
      <c r="BD575" s="150"/>
      <c r="BE575" s="150"/>
      <c r="BF575" s="150"/>
      <c r="BG575" s="150"/>
      <c r="BH575" s="150"/>
      <c r="BI575" s="150"/>
      <c r="BJ575" s="150"/>
      <c r="BK575" s="150"/>
      <c r="BL575" s="150"/>
      <c r="BM575" s="293"/>
      <c r="BN575" s="293"/>
      <c r="BO575" s="293"/>
      <c r="BP575" s="293"/>
      <c r="BQ575" s="293"/>
      <c r="BR575" s="293"/>
      <c r="BS575" s="293"/>
      <c r="BT575" s="293"/>
    </row>
    <row r="576" spans="1:72" s="1" customFormat="1" ht="60" customHeight="1">
      <c r="A576" s="91"/>
      <c r="B576" s="358" t="s">
        <v>2768</v>
      </c>
      <c r="C576" s="50" t="s">
        <v>1129</v>
      </c>
      <c r="D576" s="177" t="s">
        <v>1084</v>
      </c>
      <c r="E576" s="141" t="s">
        <v>13</v>
      </c>
      <c r="F576" s="10"/>
      <c r="G576" s="31"/>
      <c r="H576" s="33"/>
      <c r="I576" s="183"/>
      <c r="J576" s="29"/>
      <c r="K576" s="24"/>
      <c r="L576" s="25"/>
      <c r="M576" s="69"/>
      <c r="N576" s="77"/>
      <c r="O576" s="73"/>
      <c r="P576" s="74"/>
      <c r="Q576" s="74"/>
      <c r="R576" s="75"/>
      <c r="S576" s="61"/>
      <c r="T576" s="60"/>
      <c r="U576" s="74"/>
      <c r="V576" s="76"/>
      <c r="W576" s="24"/>
      <c r="X576" s="25"/>
      <c r="Y576" s="77"/>
      <c r="Z576" s="106"/>
      <c r="AA576" s="73"/>
      <c r="AB576" s="88"/>
      <c r="AC576" s="116"/>
      <c r="AD576" s="74"/>
      <c r="AE576" s="76"/>
      <c r="AF576" s="24"/>
      <c r="AG576" s="25"/>
      <c r="AH576" s="77"/>
      <c r="AI576" s="77"/>
      <c r="AJ576" s="73"/>
      <c r="AK576" s="79"/>
      <c r="AL576" s="79"/>
      <c r="AM576" s="127"/>
      <c r="AN576" s="128"/>
      <c r="AO576" s="128"/>
      <c r="AP576" s="133"/>
      <c r="AQ576" s="127"/>
      <c r="AR576" s="134"/>
      <c r="AS576" s="132"/>
      <c r="AT576" s="10">
        <v>38492</v>
      </c>
      <c r="AU576" s="10">
        <v>64800</v>
      </c>
      <c r="AV576" s="167">
        <v>259200</v>
      </c>
      <c r="AW576" s="168">
        <v>56700</v>
      </c>
      <c r="AX576" s="29">
        <f t="shared" si="742"/>
        <v>60750</v>
      </c>
      <c r="AY576" s="24">
        <f t="shared" si="743"/>
        <v>22258</v>
      </c>
      <c r="AZ576" s="25">
        <f t="shared" si="744"/>
        <v>0.57825002597942432</v>
      </c>
      <c r="BA576" s="24">
        <f t="shared" si="745"/>
        <v>220708</v>
      </c>
      <c r="BB576" s="169">
        <f t="shared" si="746"/>
        <v>5.7338667775122101</v>
      </c>
      <c r="BC576" s="170">
        <f t="shared" si="747"/>
        <v>60750</v>
      </c>
      <c r="BD576" s="150"/>
      <c r="BE576" s="150"/>
      <c r="BF576" s="150"/>
      <c r="BG576" s="150"/>
      <c r="BH576" s="150"/>
      <c r="BI576" s="150"/>
      <c r="BJ576" s="150"/>
      <c r="BK576" s="150"/>
      <c r="BL576" s="150"/>
      <c r="BM576" s="293"/>
      <c r="BN576" s="293"/>
      <c r="BO576" s="293"/>
      <c r="BP576" s="293"/>
      <c r="BQ576" s="293"/>
      <c r="BR576" s="293"/>
      <c r="BS576" s="293"/>
      <c r="BT576" s="293"/>
    </row>
    <row r="577" spans="1:72" s="1" customFormat="1" ht="60" customHeight="1">
      <c r="A577" s="91"/>
      <c r="B577" s="358" t="s">
        <v>2769</v>
      </c>
      <c r="C577" s="50" t="s">
        <v>1130</v>
      </c>
      <c r="D577" s="177" t="s">
        <v>1085</v>
      </c>
      <c r="E577" s="141" t="s">
        <v>13</v>
      </c>
      <c r="F577" s="10"/>
      <c r="G577" s="31"/>
      <c r="H577" s="33"/>
      <c r="I577" s="183"/>
      <c r="J577" s="29"/>
      <c r="K577" s="24"/>
      <c r="L577" s="25"/>
      <c r="M577" s="69"/>
      <c r="N577" s="77"/>
      <c r="O577" s="73"/>
      <c r="P577" s="74"/>
      <c r="Q577" s="74"/>
      <c r="R577" s="75"/>
      <c r="S577" s="61"/>
      <c r="T577" s="60"/>
      <c r="U577" s="74"/>
      <c r="V577" s="76"/>
      <c r="W577" s="24"/>
      <c r="X577" s="25"/>
      <c r="Y577" s="77"/>
      <c r="Z577" s="106"/>
      <c r="AA577" s="73"/>
      <c r="AB577" s="88"/>
      <c r="AC577" s="116"/>
      <c r="AD577" s="74"/>
      <c r="AE577" s="76"/>
      <c r="AF577" s="24"/>
      <c r="AG577" s="25"/>
      <c r="AH577" s="77"/>
      <c r="AI577" s="77"/>
      <c r="AJ577" s="73"/>
      <c r="AK577" s="79"/>
      <c r="AL577" s="79"/>
      <c r="AM577" s="127"/>
      <c r="AN577" s="128"/>
      <c r="AO577" s="128"/>
      <c r="AP577" s="133"/>
      <c r="AQ577" s="127"/>
      <c r="AR577" s="134"/>
      <c r="AS577" s="132"/>
      <c r="AT577" s="10">
        <v>300360</v>
      </c>
      <c r="AU577" s="10">
        <v>103883</v>
      </c>
      <c r="AV577" s="167">
        <v>311649</v>
      </c>
      <c r="AW577" s="168">
        <v>101200</v>
      </c>
      <c r="AX577" s="29">
        <f t="shared" si="742"/>
        <v>102541.5</v>
      </c>
      <c r="AY577" s="24">
        <f t="shared" si="743"/>
        <v>-197818.5</v>
      </c>
      <c r="AZ577" s="25">
        <f t="shared" si="744"/>
        <v>-0.65860467439073112</v>
      </c>
      <c r="BA577" s="24">
        <f t="shared" si="745"/>
        <v>11289</v>
      </c>
      <c r="BB577" s="169">
        <f t="shared" si="746"/>
        <v>3.7584898122253296E-2</v>
      </c>
      <c r="BC577" s="170">
        <f t="shared" si="747"/>
        <v>102541.5</v>
      </c>
      <c r="BD577" s="150"/>
      <c r="BE577" s="150"/>
      <c r="BF577" s="150"/>
      <c r="BG577" s="150"/>
      <c r="BH577" s="150"/>
      <c r="BI577" s="150"/>
      <c r="BJ577" s="150"/>
      <c r="BK577" s="150"/>
      <c r="BL577" s="150"/>
      <c r="BM577" s="293"/>
      <c r="BN577" s="293"/>
      <c r="BO577" s="293"/>
      <c r="BP577" s="293"/>
      <c r="BQ577" s="293"/>
      <c r="BR577" s="293"/>
      <c r="BS577" s="293"/>
      <c r="BT577" s="293"/>
    </row>
    <row r="578" spans="1:72" s="1" customFormat="1" ht="60" customHeight="1">
      <c r="A578" s="91"/>
      <c r="B578" s="358" t="s">
        <v>2770</v>
      </c>
      <c r="C578" s="50" t="s">
        <v>1131</v>
      </c>
      <c r="D578" s="177" t="s">
        <v>1086</v>
      </c>
      <c r="E578" s="141" t="s">
        <v>13</v>
      </c>
      <c r="F578" s="10"/>
      <c r="G578" s="31"/>
      <c r="H578" s="33"/>
      <c r="I578" s="183"/>
      <c r="J578" s="29"/>
      <c r="K578" s="24"/>
      <c r="L578" s="25"/>
      <c r="M578" s="69"/>
      <c r="N578" s="77"/>
      <c r="O578" s="73"/>
      <c r="P578" s="74"/>
      <c r="Q578" s="74"/>
      <c r="R578" s="75"/>
      <c r="S578" s="61"/>
      <c r="T578" s="60"/>
      <c r="U578" s="74"/>
      <c r="V578" s="76"/>
      <c r="W578" s="24"/>
      <c r="X578" s="25"/>
      <c r="Y578" s="77"/>
      <c r="Z578" s="106"/>
      <c r="AA578" s="73"/>
      <c r="AB578" s="88"/>
      <c r="AC578" s="116"/>
      <c r="AD578" s="74"/>
      <c r="AE578" s="76"/>
      <c r="AF578" s="24"/>
      <c r="AG578" s="25"/>
      <c r="AH578" s="77"/>
      <c r="AI578" s="77"/>
      <c r="AJ578" s="73"/>
      <c r="AK578" s="79"/>
      <c r="AL578" s="79"/>
      <c r="AM578" s="127"/>
      <c r="AN578" s="128"/>
      <c r="AO578" s="128"/>
      <c r="AP578" s="133"/>
      <c r="AQ578" s="127"/>
      <c r="AR578" s="134"/>
      <c r="AS578" s="132"/>
      <c r="AT578" s="10">
        <v>52580</v>
      </c>
      <c r="AU578" s="10">
        <v>185000</v>
      </c>
      <c r="AV578" s="167">
        <v>740000</v>
      </c>
      <c r="AW578" s="168">
        <v>134000</v>
      </c>
      <c r="AX578" s="29">
        <f t="shared" si="742"/>
        <v>159500</v>
      </c>
      <c r="AY578" s="24">
        <f t="shared" si="743"/>
        <v>106920</v>
      </c>
      <c r="AZ578" s="25">
        <f t="shared" si="744"/>
        <v>2.0334728033472804</v>
      </c>
      <c r="BA578" s="24">
        <f t="shared" si="745"/>
        <v>687420</v>
      </c>
      <c r="BB578" s="169">
        <f t="shared" si="746"/>
        <v>13.07379231647014</v>
      </c>
      <c r="BC578" s="170">
        <f t="shared" si="747"/>
        <v>159500</v>
      </c>
      <c r="BD578" s="150"/>
      <c r="BE578" s="150"/>
      <c r="BF578" s="150"/>
      <c r="BG578" s="150"/>
      <c r="BH578" s="150"/>
      <c r="BI578" s="150"/>
      <c r="BJ578" s="150"/>
      <c r="BK578" s="150"/>
      <c r="BL578" s="150"/>
      <c r="BM578" s="293"/>
      <c r="BN578" s="293"/>
      <c r="BO578" s="293"/>
      <c r="BP578" s="293"/>
      <c r="BQ578" s="293"/>
      <c r="BR578" s="293"/>
      <c r="BS578" s="293"/>
      <c r="BT578" s="293"/>
    </row>
    <row r="579" spans="1:72" s="1" customFormat="1" ht="60" customHeight="1">
      <c r="A579" s="91"/>
      <c r="B579" s="358" t="s">
        <v>2771</v>
      </c>
      <c r="C579" s="50" t="s">
        <v>1132</v>
      </c>
      <c r="D579" s="177" t="s">
        <v>1087</v>
      </c>
      <c r="E579" s="141" t="s">
        <v>13</v>
      </c>
      <c r="F579" s="10"/>
      <c r="G579" s="31"/>
      <c r="H579" s="33"/>
      <c r="I579" s="183"/>
      <c r="J579" s="29"/>
      <c r="K579" s="24"/>
      <c r="L579" s="25"/>
      <c r="M579" s="69"/>
      <c r="N579" s="77"/>
      <c r="O579" s="73"/>
      <c r="P579" s="74"/>
      <c r="Q579" s="74"/>
      <c r="R579" s="75"/>
      <c r="S579" s="61"/>
      <c r="T579" s="60"/>
      <c r="U579" s="74"/>
      <c r="V579" s="76"/>
      <c r="W579" s="24"/>
      <c r="X579" s="25"/>
      <c r="Y579" s="77"/>
      <c r="Z579" s="106"/>
      <c r="AA579" s="73"/>
      <c r="AB579" s="88"/>
      <c r="AC579" s="116"/>
      <c r="AD579" s="74"/>
      <c r="AE579" s="76"/>
      <c r="AF579" s="24"/>
      <c r="AG579" s="25"/>
      <c r="AH579" s="77"/>
      <c r="AI579" s="77"/>
      <c r="AJ579" s="73"/>
      <c r="AK579" s="79"/>
      <c r="AL579" s="79"/>
      <c r="AM579" s="127"/>
      <c r="AN579" s="128"/>
      <c r="AO579" s="128"/>
      <c r="AP579" s="133"/>
      <c r="AQ579" s="127"/>
      <c r="AR579" s="134"/>
      <c r="AS579" s="132"/>
      <c r="AT579" s="10">
        <v>28801</v>
      </c>
      <c r="AU579" s="10">
        <v>185000</v>
      </c>
      <c r="AV579" s="167">
        <v>555000</v>
      </c>
      <c r="AW579" s="168">
        <v>157000</v>
      </c>
      <c r="AX579" s="29">
        <f t="shared" si="742"/>
        <v>171000</v>
      </c>
      <c r="AY579" s="24">
        <f t="shared" si="743"/>
        <v>142199</v>
      </c>
      <c r="AZ579" s="25">
        <f t="shared" si="744"/>
        <v>4.9372938439637508</v>
      </c>
      <c r="BA579" s="24">
        <f t="shared" si="745"/>
        <v>526199</v>
      </c>
      <c r="BB579" s="169">
        <f t="shared" si="746"/>
        <v>18.270164230408668</v>
      </c>
      <c r="BC579" s="170">
        <f t="shared" si="747"/>
        <v>171000</v>
      </c>
      <c r="BD579" s="150"/>
      <c r="BE579" s="150"/>
      <c r="BF579" s="150"/>
      <c r="BG579" s="150"/>
      <c r="BH579" s="150"/>
      <c r="BI579" s="150"/>
      <c r="BJ579" s="150"/>
      <c r="BK579" s="150"/>
      <c r="BL579" s="150"/>
      <c r="BM579" s="293"/>
      <c r="BN579" s="293"/>
      <c r="BO579" s="293"/>
      <c r="BP579" s="293"/>
      <c r="BQ579" s="293"/>
      <c r="BR579" s="293"/>
      <c r="BS579" s="293"/>
      <c r="BT579" s="293"/>
    </row>
    <row r="580" spans="1:72" s="1" customFormat="1" ht="60" customHeight="1">
      <c r="A580" s="91"/>
      <c r="B580" s="358" t="s">
        <v>2772</v>
      </c>
      <c r="C580" s="50" t="s">
        <v>1133</v>
      </c>
      <c r="D580" s="177" t="s">
        <v>1088</v>
      </c>
      <c r="E580" s="141" t="s">
        <v>13</v>
      </c>
      <c r="F580" s="10"/>
      <c r="G580" s="31"/>
      <c r="H580" s="33"/>
      <c r="I580" s="183"/>
      <c r="J580" s="29"/>
      <c r="K580" s="24"/>
      <c r="L580" s="25"/>
      <c r="M580" s="69"/>
      <c r="N580" s="77"/>
      <c r="O580" s="73"/>
      <c r="P580" s="74"/>
      <c r="Q580" s="74"/>
      <c r="R580" s="75"/>
      <c r="S580" s="61"/>
      <c r="T580" s="60"/>
      <c r="U580" s="74"/>
      <c r="V580" s="76"/>
      <c r="W580" s="24"/>
      <c r="X580" s="25"/>
      <c r="Y580" s="77"/>
      <c r="Z580" s="106"/>
      <c r="AA580" s="73"/>
      <c r="AB580" s="88"/>
      <c r="AC580" s="116"/>
      <c r="AD580" s="74"/>
      <c r="AE580" s="76"/>
      <c r="AF580" s="24"/>
      <c r="AG580" s="25"/>
      <c r="AH580" s="77"/>
      <c r="AI580" s="77"/>
      <c r="AJ580" s="73"/>
      <c r="AK580" s="79"/>
      <c r="AL580" s="79"/>
      <c r="AM580" s="127"/>
      <c r="AN580" s="128"/>
      <c r="AO580" s="128"/>
      <c r="AP580" s="133"/>
      <c r="AQ580" s="127"/>
      <c r="AR580" s="134"/>
      <c r="AS580" s="132"/>
      <c r="AT580" s="10">
        <v>152440</v>
      </c>
      <c r="AU580" s="10">
        <v>85488</v>
      </c>
      <c r="AV580" s="167">
        <v>170976</v>
      </c>
      <c r="AW580" s="168">
        <v>86600</v>
      </c>
      <c r="AX580" s="29">
        <f t="shared" si="742"/>
        <v>86044</v>
      </c>
      <c r="AY580" s="24">
        <f t="shared" si="743"/>
        <v>-66396</v>
      </c>
      <c r="AZ580" s="25">
        <f t="shared" si="744"/>
        <v>-0.43555497244817631</v>
      </c>
      <c r="BA580" s="24">
        <f t="shared" si="745"/>
        <v>18536</v>
      </c>
      <c r="BB580" s="169">
        <f t="shared" si="746"/>
        <v>0.12159538178955655</v>
      </c>
      <c r="BC580" s="170">
        <f t="shared" si="747"/>
        <v>86044</v>
      </c>
      <c r="BD580" s="150"/>
      <c r="BE580" s="150"/>
      <c r="BF580" s="150"/>
      <c r="BG580" s="150"/>
      <c r="BH580" s="150"/>
      <c r="BI580" s="150"/>
      <c r="BJ580" s="150"/>
      <c r="BK580" s="150"/>
      <c r="BL580" s="150"/>
      <c r="BM580" s="293"/>
      <c r="BN580" s="293"/>
      <c r="BO580" s="293"/>
      <c r="BP580" s="293"/>
      <c r="BQ580" s="293"/>
      <c r="BR580" s="293"/>
      <c r="BS580" s="293"/>
      <c r="BT580" s="293"/>
    </row>
    <row r="581" spans="1:72" s="1" customFormat="1" ht="60" customHeight="1">
      <c r="A581" s="91"/>
      <c r="B581" s="358" t="s">
        <v>2773</v>
      </c>
      <c r="C581" s="50" t="s">
        <v>1134</v>
      </c>
      <c r="D581" s="177" t="s">
        <v>1089</v>
      </c>
      <c r="E581" s="141" t="s">
        <v>14</v>
      </c>
      <c r="F581" s="10"/>
      <c r="G581" s="31"/>
      <c r="H581" s="33"/>
      <c r="I581" s="183"/>
      <c r="J581" s="29"/>
      <c r="K581" s="24"/>
      <c r="L581" s="25"/>
      <c r="M581" s="69"/>
      <c r="N581" s="77"/>
      <c r="O581" s="73"/>
      <c r="P581" s="74"/>
      <c r="Q581" s="74"/>
      <c r="R581" s="75"/>
      <c r="S581" s="61"/>
      <c r="T581" s="60"/>
      <c r="U581" s="74"/>
      <c r="V581" s="76"/>
      <c r="W581" s="24"/>
      <c r="X581" s="25"/>
      <c r="Y581" s="77"/>
      <c r="Z581" s="106"/>
      <c r="AA581" s="73"/>
      <c r="AB581" s="88"/>
      <c r="AC581" s="116"/>
      <c r="AD581" s="74"/>
      <c r="AE581" s="76"/>
      <c r="AF581" s="24"/>
      <c r="AG581" s="25"/>
      <c r="AH581" s="77"/>
      <c r="AI581" s="77"/>
      <c r="AJ581" s="73"/>
      <c r="AK581" s="79"/>
      <c r="AL581" s="79"/>
      <c r="AM581" s="127"/>
      <c r="AN581" s="128"/>
      <c r="AO581" s="128"/>
      <c r="AP581" s="133"/>
      <c r="AQ581" s="127"/>
      <c r="AR581" s="134"/>
      <c r="AS581" s="132"/>
      <c r="AT581" s="10">
        <v>19755</v>
      </c>
      <c r="AU581" s="10">
        <v>66500</v>
      </c>
      <c r="AV581" s="167">
        <v>66500</v>
      </c>
      <c r="AW581" s="168">
        <v>60000</v>
      </c>
      <c r="AX581" s="29">
        <f t="shared" si="742"/>
        <v>63250</v>
      </c>
      <c r="AY581" s="24">
        <f t="shared" si="743"/>
        <v>43495</v>
      </c>
      <c r="AZ581" s="25">
        <f t="shared" si="744"/>
        <v>2.201721083270058</v>
      </c>
      <c r="BA581" s="24">
        <f t="shared" si="745"/>
        <v>46745</v>
      </c>
      <c r="BB581" s="169">
        <f t="shared" si="746"/>
        <v>2.3662363958491519</v>
      </c>
      <c r="BC581" s="170">
        <f t="shared" si="747"/>
        <v>63250</v>
      </c>
      <c r="BD581" s="150"/>
      <c r="BE581" s="150"/>
      <c r="BF581" s="150"/>
      <c r="BG581" s="150"/>
      <c r="BH581" s="150"/>
      <c r="BI581" s="150"/>
      <c r="BJ581" s="150"/>
      <c r="BK581" s="150"/>
      <c r="BL581" s="150"/>
      <c r="BM581" s="293"/>
      <c r="BN581" s="293"/>
      <c r="BO581" s="293"/>
      <c r="BP581" s="293"/>
      <c r="BQ581" s="293"/>
      <c r="BR581" s="293"/>
      <c r="BS581" s="293"/>
      <c r="BT581" s="293"/>
    </row>
    <row r="582" spans="1:72" s="1" customFormat="1" ht="57" customHeight="1">
      <c r="A582" s="91"/>
      <c r="B582" s="358" t="s">
        <v>2774</v>
      </c>
      <c r="C582" s="50" t="s">
        <v>1135</v>
      </c>
      <c r="D582" s="177" t="s">
        <v>1090</v>
      </c>
      <c r="E582" s="141" t="s">
        <v>10</v>
      </c>
      <c r="F582" s="10"/>
      <c r="G582" s="31"/>
      <c r="H582" s="33"/>
      <c r="I582" s="183"/>
      <c r="J582" s="29"/>
      <c r="K582" s="24"/>
      <c r="L582" s="25"/>
      <c r="M582" s="69"/>
      <c r="N582" s="77"/>
      <c r="O582" s="73"/>
      <c r="P582" s="74"/>
      <c r="Q582" s="74"/>
      <c r="R582" s="75"/>
      <c r="S582" s="61"/>
      <c r="T582" s="60"/>
      <c r="U582" s="74"/>
      <c r="V582" s="76"/>
      <c r="W582" s="24"/>
      <c r="X582" s="25"/>
      <c r="Y582" s="77"/>
      <c r="Z582" s="106"/>
      <c r="AA582" s="73"/>
      <c r="AB582" s="88"/>
      <c r="AC582" s="116"/>
      <c r="AD582" s="74"/>
      <c r="AE582" s="76"/>
      <c r="AF582" s="24"/>
      <c r="AG582" s="25"/>
      <c r="AH582" s="77"/>
      <c r="AI582" s="77"/>
      <c r="AJ582" s="73"/>
      <c r="AK582" s="79"/>
      <c r="AL582" s="79"/>
      <c r="AM582" s="127"/>
      <c r="AN582" s="128"/>
      <c r="AO582" s="128"/>
      <c r="AP582" s="133"/>
      <c r="AQ582" s="127"/>
      <c r="AR582" s="134"/>
      <c r="AS582" s="132"/>
      <c r="AT582" s="10">
        <v>65081</v>
      </c>
      <c r="AU582" s="10">
        <v>93077</v>
      </c>
      <c r="AV582" s="167">
        <v>372308</v>
      </c>
      <c r="AW582" s="168">
        <v>78900</v>
      </c>
      <c r="AX582" s="29">
        <f t="shared" si="742"/>
        <v>85988.5</v>
      </c>
      <c r="AY582" s="24">
        <f t="shared" si="743"/>
        <v>20907.5</v>
      </c>
      <c r="AZ582" s="25">
        <f t="shared" si="744"/>
        <v>0.32125351485072451</v>
      </c>
      <c r="BA582" s="24">
        <f t="shared" si="745"/>
        <v>307227</v>
      </c>
      <c r="BB582" s="169">
        <f t="shared" si="746"/>
        <v>4.7206865290945128</v>
      </c>
      <c r="BC582" s="170">
        <f t="shared" si="747"/>
        <v>85988.5</v>
      </c>
      <c r="BD582" s="150"/>
      <c r="BE582" s="150"/>
      <c r="BF582" s="150"/>
      <c r="BG582" s="150"/>
      <c r="BH582" s="150"/>
      <c r="BI582" s="150"/>
      <c r="BJ582" s="150"/>
      <c r="BK582" s="150"/>
      <c r="BL582" s="150"/>
      <c r="BM582" s="293"/>
      <c r="BN582" s="293"/>
      <c r="BO582" s="293"/>
      <c r="BP582" s="293"/>
      <c r="BQ582" s="293"/>
      <c r="BR582" s="293"/>
      <c r="BS582" s="293"/>
      <c r="BT582" s="293"/>
    </row>
    <row r="583" spans="1:72" s="1" customFormat="1" ht="51" customHeight="1">
      <c r="A583" s="91"/>
      <c r="B583" s="358" t="s">
        <v>2775</v>
      </c>
      <c r="C583" s="50" t="s">
        <v>1136</v>
      </c>
      <c r="D583" s="177" t="s">
        <v>1091</v>
      </c>
      <c r="E583" s="141" t="s">
        <v>13</v>
      </c>
      <c r="F583" s="10"/>
      <c r="G583" s="31"/>
      <c r="H583" s="33"/>
      <c r="I583" s="183"/>
      <c r="J583" s="29"/>
      <c r="K583" s="24"/>
      <c r="L583" s="25"/>
      <c r="M583" s="69"/>
      <c r="N583" s="77"/>
      <c r="O583" s="73"/>
      <c r="P583" s="74"/>
      <c r="Q583" s="74"/>
      <c r="R583" s="75"/>
      <c r="S583" s="61"/>
      <c r="T583" s="60"/>
      <c r="U583" s="74"/>
      <c r="V583" s="76"/>
      <c r="W583" s="24"/>
      <c r="X583" s="25"/>
      <c r="Y583" s="77"/>
      <c r="Z583" s="106"/>
      <c r="AA583" s="73"/>
      <c r="AB583" s="88"/>
      <c r="AC583" s="116"/>
      <c r="AD583" s="74"/>
      <c r="AE583" s="76"/>
      <c r="AF583" s="24"/>
      <c r="AG583" s="25"/>
      <c r="AH583" s="77"/>
      <c r="AI583" s="77"/>
      <c r="AJ583" s="73"/>
      <c r="AK583" s="79"/>
      <c r="AL583" s="79"/>
      <c r="AM583" s="127"/>
      <c r="AN583" s="128"/>
      <c r="AO583" s="128"/>
      <c r="AP583" s="133"/>
      <c r="AQ583" s="127"/>
      <c r="AR583" s="134"/>
      <c r="AS583" s="132"/>
      <c r="AT583" s="10">
        <v>122396</v>
      </c>
      <c r="AU583" s="10"/>
      <c r="AV583" s="167">
        <v>45000</v>
      </c>
      <c r="AW583" s="168">
        <v>245000</v>
      </c>
      <c r="AX583" s="29">
        <f t="shared" si="742"/>
        <v>245000</v>
      </c>
      <c r="AY583" s="24">
        <f t="shared" si="743"/>
        <v>122604</v>
      </c>
      <c r="AZ583" s="25">
        <f t="shared" si="744"/>
        <v>1.00169940194124</v>
      </c>
      <c r="BA583" s="24">
        <f t="shared" si="745"/>
        <v>-77396</v>
      </c>
      <c r="BB583" s="169">
        <f t="shared" si="746"/>
        <v>-0.63234092617405802</v>
      </c>
      <c r="BC583" s="170">
        <f t="shared" si="747"/>
        <v>245000</v>
      </c>
      <c r="BD583" s="150"/>
      <c r="BE583" s="150"/>
      <c r="BF583" s="150"/>
      <c r="BG583" s="150"/>
      <c r="BH583" s="150"/>
      <c r="BI583" s="150"/>
      <c r="BJ583" s="150"/>
      <c r="BK583" s="150"/>
      <c r="BL583" s="150"/>
      <c r="BM583" s="293"/>
      <c r="BN583" s="293"/>
      <c r="BO583" s="293"/>
      <c r="BP583" s="293"/>
      <c r="BQ583" s="293"/>
      <c r="BR583" s="293"/>
      <c r="BS583" s="293"/>
      <c r="BT583" s="293"/>
    </row>
    <row r="584" spans="1:72" s="1" customFormat="1" ht="34.35" customHeight="1">
      <c r="A584" s="91"/>
      <c r="B584" s="358" t="s">
        <v>2776</v>
      </c>
      <c r="C584" s="50" t="s">
        <v>1137</v>
      </c>
      <c r="D584" s="177" t="s">
        <v>1092</v>
      </c>
      <c r="E584" s="141" t="s">
        <v>13</v>
      </c>
      <c r="F584" s="10"/>
      <c r="G584" s="31"/>
      <c r="H584" s="33"/>
      <c r="I584" s="183"/>
      <c r="J584" s="29"/>
      <c r="K584" s="24"/>
      <c r="L584" s="25"/>
      <c r="M584" s="69"/>
      <c r="N584" s="77"/>
      <c r="O584" s="73"/>
      <c r="P584" s="74"/>
      <c r="Q584" s="74"/>
      <c r="R584" s="75"/>
      <c r="S584" s="61"/>
      <c r="T584" s="60"/>
      <c r="U584" s="74"/>
      <c r="V584" s="76"/>
      <c r="W584" s="24"/>
      <c r="X584" s="25"/>
      <c r="Y584" s="77"/>
      <c r="Z584" s="106"/>
      <c r="AA584" s="73"/>
      <c r="AB584" s="88"/>
      <c r="AC584" s="116"/>
      <c r="AD584" s="74"/>
      <c r="AE584" s="76"/>
      <c r="AF584" s="24"/>
      <c r="AG584" s="25"/>
      <c r="AH584" s="77"/>
      <c r="AI584" s="77"/>
      <c r="AJ584" s="73"/>
      <c r="AK584" s="79"/>
      <c r="AL584" s="79"/>
      <c r="AM584" s="127"/>
      <c r="AN584" s="128"/>
      <c r="AO584" s="128"/>
      <c r="AP584" s="133"/>
      <c r="AQ584" s="127"/>
      <c r="AR584" s="134"/>
      <c r="AS584" s="132"/>
      <c r="AT584" s="10">
        <v>29057</v>
      </c>
      <c r="AU584" s="10">
        <v>35963</v>
      </c>
      <c r="AV584" s="167">
        <v>71926</v>
      </c>
      <c r="AW584" s="168">
        <v>35000</v>
      </c>
      <c r="AX584" s="29">
        <f t="shared" si="742"/>
        <v>35481.5</v>
      </c>
      <c r="AY584" s="24">
        <f t="shared" si="743"/>
        <v>6424.5</v>
      </c>
      <c r="AZ584" s="25">
        <f t="shared" si="744"/>
        <v>0.22109990707918917</v>
      </c>
      <c r="BA584" s="24">
        <f t="shared" si="745"/>
        <v>42869</v>
      </c>
      <c r="BB584" s="169">
        <f t="shared" si="746"/>
        <v>1.4753415700175516</v>
      </c>
      <c r="BC584" s="170">
        <f t="shared" si="747"/>
        <v>35481.5</v>
      </c>
      <c r="BD584" s="150"/>
      <c r="BE584" s="150"/>
      <c r="BF584" s="150"/>
      <c r="BG584" s="150"/>
      <c r="BH584" s="150"/>
      <c r="BI584" s="150"/>
      <c r="BJ584" s="150"/>
      <c r="BK584" s="150"/>
      <c r="BL584" s="150"/>
      <c r="BM584" s="293"/>
      <c r="BN584" s="293"/>
      <c r="BO584" s="293"/>
      <c r="BP584" s="293"/>
      <c r="BQ584" s="293"/>
      <c r="BR584" s="293"/>
      <c r="BS584" s="293"/>
      <c r="BT584" s="293"/>
    </row>
    <row r="585" spans="1:72" s="1" customFormat="1" ht="34.35" customHeight="1">
      <c r="A585" s="91"/>
      <c r="B585" s="358" t="s">
        <v>2777</v>
      </c>
      <c r="C585" s="50" t="s">
        <v>1138</v>
      </c>
      <c r="D585" s="177" t="s">
        <v>1093</v>
      </c>
      <c r="E585" s="141" t="s">
        <v>14</v>
      </c>
      <c r="F585" s="10"/>
      <c r="G585" s="31"/>
      <c r="H585" s="33"/>
      <c r="I585" s="183"/>
      <c r="J585" s="29"/>
      <c r="K585" s="24"/>
      <c r="L585" s="25"/>
      <c r="M585" s="69"/>
      <c r="N585" s="77"/>
      <c r="O585" s="73"/>
      <c r="P585" s="74"/>
      <c r="Q585" s="74"/>
      <c r="R585" s="75"/>
      <c r="S585" s="61"/>
      <c r="T585" s="60"/>
      <c r="U585" s="74"/>
      <c r="V585" s="76"/>
      <c r="W585" s="24"/>
      <c r="X585" s="25"/>
      <c r="Y585" s="77"/>
      <c r="Z585" s="106"/>
      <c r="AA585" s="73"/>
      <c r="AB585" s="88"/>
      <c r="AC585" s="116"/>
      <c r="AD585" s="74"/>
      <c r="AE585" s="76"/>
      <c r="AF585" s="24"/>
      <c r="AG585" s="25"/>
      <c r="AH585" s="77"/>
      <c r="AI585" s="77"/>
      <c r="AJ585" s="73"/>
      <c r="AK585" s="79"/>
      <c r="AL585" s="79"/>
      <c r="AM585" s="127"/>
      <c r="AN585" s="128"/>
      <c r="AO585" s="128"/>
      <c r="AP585" s="133"/>
      <c r="AQ585" s="127"/>
      <c r="AR585" s="134"/>
      <c r="AS585" s="132"/>
      <c r="AT585" s="10">
        <v>37810</v>
      </c>
      <c r="AU585" s="10">
        <v>266706.21999999997</v>
      </c>
      <c r="AV585" s="167">
        <v>266706.21999999997</v>
      </c>
      <c r="AW585" s="168">
        <v>245900</v>
      </c>
      <c r="AX585" s="29">
        <f t="shared" si="742"/>
        <v>256303.11</v>
      </c>
      <c r="AY585" s="24">
        <f t="shared" si="743"/>
        <v>218493.11</v>
      </c>
      <c r="AZ585" s="25">
        <f t="shared" si="744"/>
        <v>5.7787122454377142</v>
      </c>
      <c r="BA585" s="24">
        <f t="shared" si="745"/>
        <v>228896.21999999997</v>
      </c>
      <c r="BB585" s="169">
        <f t="shared" si="746"/>
        <v>6.0538540068764872</v>
      </c>
      <c r="BC585" s="170">
        <f t="shared" si="747"/>
        <v>256303.11</v>
      </c>
      <c r="BD585" s="150"/>
      <c r="BE585" s="150"/>
      <c r="BF585" s="150"/>
      <c r="BG585" s="150"/>
      <c r="BH585" s="150"/>
      <c r="BI585" s="150"/>
      <c r="BJ585" s="150"/>
      <c r="BK585" s="150"/>
      <c r="BL585" s="150"/>
      <c r="BM585" s="293"/>
      <c r="BN585" s="293"/>
      <c r="BO585" s="293"/>
      <c r="BP585" s="293"/>
      <c r="BQ585" s="293"/>
      <c r="BR585" s="293"/>
      <c r="BS585" s="293"/>
      <c r="BT585" s="293"/>
    </row>
    <row r="586" spans="1:72" s="1" customFormat="1" ht="34.35" customHeight="1">
      <c r="A586" s="91"/>
      <c r="B586" s="358" t="s">
        <v>2778</v>
      </c>
      <c r="C586" s="50" t="s">
        <v>1139</v>
      </c>
      <c r="D586" s="177" t="s">
        <v>1094</v>
      </c>
      <c r="E586" s="141"/>
      <c r="F586" s="10"/>
      <c r="G586" s="31"/>
      <c r="H586" s="33"/>
      <c r="I586" s="183"/>
      <c r="J586" s="29"/>
      <c r="K586" s="24"/>
      <c r="L586" s="25"/>
      <c r="M586" s="69"/>
      <c r="N586" s="77"/>
      <c r="O586" s="73"/>
      <c r="P586" s="74"/>
      <c r="Q586" s="74"/>
      <c r="R586" s="75"/>
      <c r="S586" s="61"/>
      <c r="T586" s="60"/>
      <c r="U586" s="74"/>
      <c r="V586" s="76"/>
      <c r="W586" s="24"/>
      <c r="X586" s="25"/>
      <c r="Y586" s="77"/>
      <c r="Z586" s="106"/>
      <c r="AA586" s="73"/>
      <c r="AB586" s="88"/>
      <c r="AC586" s="116"/>
      <c r="AD586" s="74"/>
      <c r="AE586" s="76"/>
      <c r="AF586" s="24"/>
      <c r="AG586" s="25"/>
      <c r="AH586" s="77"/>
      <c r="AI586" s="77"/>
      <c r="AJ586" s="73"/>
      <c r="AK586" s="79"/>
      <c r="AL586" s="79"/>
      <c r="AM586" s="127"/>
      <c r="AN586" s="128"/>
      <c r="AO586" s="128"/>
      <c r="AP586" s="133"/>
      <c r="AQ586" s="127"/>
      <c r="AR586" s="134"/>
      <c r="AS586" s="132"/>
      <c r="AT586" s="10">
        <v>41625</v>
      </c>
      <c r="AU586" s="10">
        <v>52720</v>
      </c>
      <c r="AV586" s="167">
        <v>105440</v>
      </c>
      <c r="AW586" s="168">
        <v>50500</v>
      </c>
      <c r="AX586" s="29">
        <f t="shared" si="742"/>
        <v>51610</v>
      </c>
      <c r="AY586" s="24">
        <f t="shared" si="743"/>
        <v>9985</v>
      </c>
      <c r="AZ586" s="25">
        <f t="shared" si="744"/>
        <v>0.23987987987987988</v>
      </c>
      <c r="BA586" s="24">
        <f t="shared" si="745"/>
        <v>63815</v>
      </c>
      <c r="BB586" s="169">
        <f t="shared" si="746"/>
        <v>1.5330930930930931</v>
      </c>
      <c r="BC586" s="170">
        <f t="shared" si="747"/>
        <v>51610</v>
      </c>
      <c r="BD586" s="150"/>
      <c r="BE586" s="150"/>
      <c r="BF586" s="150"/>
      <c r="BG586" s="150"/>
      <c r="BH586" s="150"/>
      <c r="BI586" s="150"/>
      <c r="BJ586" s="150"/>
      <c r="BK586" s="150"/>
      <c r="BL586" s="150"/>
      <c r="BM586" s="293"/>
      <c r="BN586" s="293"/>
      <c r="BO586" s="293"/>
      <c r="BP586" s="293"/>
      <c r="BQ586" s="293"/>
      <c r="BR586" s="293"/>
      <c r="BS586" s="293"/>
      <c r="BT586" s="293"/>
    </row>
    <row r="587" spans="1:72" s="1" customFormat="1" ht="34.35" customHeight="1">
      <c r="A587" s="91"/>
      <c r="B587" s="358" t="s">
        <v>2779</v>
      </c>
      <c r="C587" s="50" t="s">
        <v>1140</v>
      </c>
      <c r="D587" s="177" t="s">
        <v>1095</v>
      </c>
      <c r="E587" s="141" t="s">
        <v>13</v>
      </c>
      <c r="F587" s="10"/>
      <c r="G587" s="31"/>
      <c r="H587" s="33"/>
      <c r="I587" s="183"/>
      <c r="J587" s="29"/>
      <c r="K587" s="24"/>
      <c r="L587" s="25"/>
      <c r="M587" s="69"/>
      <c r="N587" s="77"/>
      <c r="O587" s="73"/>
      <c r="P587" s="74"/>
      <c r="Q587" s="74"/>
      <c r="R587" s="75"/>
      <c r="S587" s="61"/>
      <c r="T587" s="60"/>
      <c r="U587" s="74"/>
      <c r="V587" s="76"/>
      <c r="W587" s="24"/>
      <c r="X587" s="25"/>
      <c r="Y587" s="77"/>
      <c r="Z587" s="106"/>
      <c r="AA587" s="73"/>
      <c r="AB587" s="88"/>
      <c r="AC587" s="116"/>
      <c r="AD587" s="74"/>
      <c r="AE587" s="76"/>
      <c r="AF587" s="24"/>
      <c r="AG587" s="25"/>
      <c r="AH587" s="77"/>
      <c r="AI587" s="77"/>
      <c r="AJ587" s="73"/>
      <c r="AK587" s="79"/>
      <c r="AL587" s="79"/>
      <c r="AM587" s="127"/>
      <c r="AN587" s="128"/>
      <c r="AO587" s="128"/>
      <c r="AP587" s="133"/>
      <c r="AQ587" s="127"/>
      <c r="AR587" s="134"/>
      <c r="AS587" s="132"/>
      <c r="AT587" s="10">
        <v>10386</v>
      </c>
      <c r="AU587" s="10">
        <v>28234.54</v>
      </c>
      <c r="AV587" s="167">
        <v>84703.62</v>
      </c>
      <c r="AW587" s="168">
        <v>23000</v>
      </c>
      <c r="AX587" s="29">
        <f t="shared" si="742"/>
        <v>25617.27</v>
      </c>
      <c r="AY587" s="24">
        <f t="shared" si="743"/>
        <v>15231.27</v>
      </c>
      <c r="AZ587" s="25">
        <f t="shared" si="744"/>
        <v>1.466519352975159</v>
      </c>
      <c r="BA587" s="24">
        <f t="shared" si="745"/>
        <v>74317.62</v>
      </c>
      <c r="BB587" s="169">
        <f t="shared" si="746"/>
        <v>7.1555574812247249</v>
      </c>
      <c r="BC587" s="170">
        <f t="shared" si="747"/>
        <v>25617.27</v>
      </c>
      <c r="BD587" s="150"/>
      <c r="BE587" s="150"/>
      <c r="BF587" s="150"/>
      <c r="BG587" s="150"/>
      <c r="BH587" s="150"/>
      <c r="BI587" s="150"/>
      <c r="BJ587" s="150"/>
      <c r="BK587" s="150"/>
      <c r="BL587" s="150"/>
      <c r="BM587" s="293"/>
      <c r="BN587" s="293"/>
      <c r="BO587" s="293"/>
      <c r="BP587" s="293"/>
      <c r="BQ587" s="293"/>
      <c r="BR587" s="293"/>
      <c r="BS587" s="293"/>
      <c r="BT587" s="293"/>
    </row>
    <row r="588" spans="1:72" s="1" customFormat="1" ht="34.35" customHeight="1">
      <c r="A588" s="91"/>
      <c r="B588" s="358" t="s">
        <v>2780</v>
      </c>
      <c r="C588" s="50" t="s">
        <v>1141</v>
      </c>
      <c r="D588" s="177" t="s">
        <v>1096</v>
      </c>
      <c r="E588" s="141" t="s">
        <v>13</v>
      </c>
      <c r="F588" s="10"/>
      <c r="G588" s="31"/>
      <c r="H588" s="33"/>
      <c r="I588" s="183"/>
      <c r="J588" s="29"/>
      <c r="K588" s="24"/>
      <c r="L588" s="25"/>
      <c r="M588" s="69"/>
      <c r="N588" s="77"/>
      <c r="O588" s="73"/>
      <c r="P588" s="74"/>
      <c r="Q588" s="74"/>
      <c r="R588" s="75"/>
      <c r="S588" s="61"/>
      <c r="T588" s="60"/>
      <c r="U588" s="74"/>
      <c r="V588" s="76"/>
      <c r="W588" s="24"/>
      <c r="X588" s="25"/>
      <c r="Y588" s="77"/>
      <c r="Z588" s="106"/>
      <c r="AA588" s="73"/>
      <c r="AB588" s="88"/>
      <c r="AC588" s="116"/>
      <c r="AD588" s="74"/>
      <c r="AE588" s="76"/>
      <c r="AF588" s="24"/>
      <c r="AG588" s="25"/>
      <c r="AH588" s="77"/>
      <c r="AI588" s="77"/>
      <c r="AJ588" s="73"/>
      <c r="AK588" s="79"/>
      <c r="AL588" s="79"/>
      <c r="AM588" s="127"/>
      <c r="AN588" s="128"/>
      <c r="AO588" s="128"/>
      <c r="AP588" s="133"/>
      <c r="AQ588" s="127"/>
      <c r="AR588" s="134"/>
      <c r="AS588" s="132"/>
      <c r="AT588" s="10">
        <v>45261</v>
      </c>
      <c r="AU588" s="10">
        <v>149900</v>
      </c>
      <c r="AV588" s="167">
        <v>599600</v>
      </c>
      <c r="AW588" s="168">
        <v>102300</v>
      </c>
      <c r="AX588" s="29">
        <f t="shared" si="742"/>
        <v>126100</v>
      </c>
      <c r="AY588" s="24">
        <f t="shared" si="743"/>
        <v>80839</v>
      </c>
      <c r="AZ588" s="25">
        <f t="shared" si="744"/>
        <v>1.7860630564945539</v>
      </c>
      <c r="BA588" s="24">
        <f t="shared" si="745"/>
        <v>554339</v>
      </c>
      <c r="BB588" s="169">
        <f t="shared" si="746"/>
        <v>12.247608316210425</v>
      </c>
      <c r="BC588" s="170">
        <f t="shared" si="747"/>
        <v>126100</v>
      </c>
      <c r="BD588" s="150"/>
      <c r="BE588" s="150"/>
      <c r="BF588" s="150"/>
      <c r="BG588" s="150"/>
      <c r="BH588" s="150"/>
      <c r="BI588" s="150"/>
      <c r="BJ588" s="150"/>
      <c r="BK588" s="150"/>
      <c r="BL588" s="150"/>
      <c r="BM588" s="293"/>
      <c r="BN588" s="293"/>
      <c r="BO588" s="293"/>
      <c r="BP588" s="293"/>
      <c r="BQ588" s="293"/>
      <c r="BR588" s="293"/>
      <c r="BS588" s="293"/>
      <c r="BT588" s="293"/>
    </row>
    <row r="589" spans="1:72" s="1" customFormat="1" ht="34.35" customHeight="1">
      <c r="A589" s="91"/>
      <c r="B589" s="358" t="s">
        <v>2781</v>
      </c>
      <c r="C589" s="50" t="s">
        <v>1757</v>
      </c>
      <c r="D589" s="264" t="s">
        <v>1725</v>
      </c>
      <c r="E589" s="262" t="s">
        <v>1399</v>
      </c>
      <c r="F589" s="10"/>
      <c r="G589" s="31"/>
      <c r="H589" s="33"/>
      <c r="I589" s="183"/>
      <c r="J589" s="29"/>
      <c r="K589" s="24"/>
      <c r="L589" s="25"/>
      <c r="M589" s="69"/>
      <c r="N589" s="77"/>
      <c r="O589" s="73"/>
      <c r="P589" s="74"/>
      <c r="Q589" s="74"/>
      <c r="R589" s="75"/>
      <c r="S589" s="61"/>
      <c r="T589" s="60"/>
      <c r="U589" s="74"/>
      <c r="V589" s="76"/>
      <c r="W589" s="24"/>
      <c r="X589" s="25"/>
      <c r="Y589" s="77"/>
      <c r="Z589" s="106"/>
      <c r="AA589" s="73"/>
      <c r="AB589" s="88"/>
      <c r="AC589" s="116"/>
      <c r="AD589" s="74"/>
      <c r="AE589" s="76"/>
      <c r="AF589" s="24"/>
      <c r="AG589" s="25"/>
      <c r="AH589" s="77"/>
      <c r="AI589" s="77"/>
      <c r="AJ589" s="73"/>
      <c r="AK589" s="79"/>
      <c r="AL589" s="79"/>
      <c r="AM589" s="127"/>
      <c r="AN589" s="128"/>
      <c r="AO589" s="128"/>
      <c r="AP589" s="133"/>
      <c r="AQ589" s="127"/>
      <c r="AR589" s="134"/>
      <c r="AS589" s="132"/>
      <c r="AT589" s="10"/>
      <c r="AU589" s="10"/>
      <c r="AV589" s="167"/>
      <c r="AW589" s="280"/>
      <c r="AX589" s="29"/>
      <c r="AY589" s="24"/>
      <c r="AZ589" s="25"/>
      <c r="BA589" s="24"/>
      <c r="BB589" s="281"/>
      <c r="BC589" s="170"/>
      <c r="BD589" s="10">
        <v>26636</v>
      </c>
      <c r="BE589" s="10">
        <v>18000</v>
      </c>
      <c r="BF589" s="10">
        <v>21000</v>
      </c>
      <c r="BG589" s="268">
        <v>21000</v>
      </c>
      <c r="BH589" s="10">
        <v>18000</v>
      </c>
      <c r="BI589" s="76">
        <f t="shared" ref="BI589:BI590" si="748">AVERAGE(BE589,BF589,BG589,BH589)</f>
        <v>19500</v>
      </c>
      <c r="BJ589" s="24">
        <f t="shared" ref="BJ589:BJ590" si="749">BI589-BD589</f>
        <v>-7136</v>
      </c>
      <c r="BK589" s="25">
        <f t="shared" ref="BK589:BK619" si="750">+BJ589/BD589</f>
        <v>-0.26790809430845475</v>
      </c>
      <c r="BL589" s="259">
        <f t="shared" ref="BL589:BL590" si="751">BI589</f>
        <v>19500</v>
      </c>
      <c r="BM589" s="10">
        <v>29739</v>
      </c>
      <c r="BN589" s="45"/>
      <c r="BO589" s="45">
        <v>34577</v>
      </c>
      <c r="BP589" s="45">
        <v>35000</v>
      </c>
      <c r="BQ589" s="29">
        <f t="shared" ref="BQ589:BQ591" si="752">AVERAGE(BN589,BO589,BP589)</f>
        <v>34788.5</v>
      </c>
      <c r="BR589" s="24">
        <f t="shared" ref="BR589:BR591" si="753">BQ589-BM589</f>
        <v>5049.5</v>
      </c>
      <c r="BS589" s="25">
        <f t="shared" ref="BS589:BS591" si="754">+BR589/BM589</f>
        <v>0.16979387336494167</v>
      </c>
      <c r="BT589" s="308">
        <f t="shared" ref="BT589:BT591" si="755">BQ589</f>
        <v>34788.5</v>
      </c>
    </row>
    <row r="590" spans="1:72" s="1" customFormat="1" ht="34.35" customHeight="1">
      <c r="A590" s="91"/>
      <c r="B590" s="358" t="s">
        <v>2782</v>
      </c>
      <c r="C590" s="50" t="s">
        <v>1758</v>
      </c>
      <c r="D590" s="264" t="s">
        <v>1726</v>
      </c>
      <c r="E590" s="262" t="s">
        <v>1399</v>
      </c>
      <c r="F590" s="10"/>
      <c r="G590" s="31"/>
      <c r="H590" s="33"/>
      <c r="I590" s="183"/>
      <c r="J590" s="29"/>
      <c r="K590" s="24"/>
      <c r="L590" s="25"/>
      <c r="M590" s="69"/>
      <c r="N590" s="77"/>
      <c r="O590" s="73"/>
      <c r="P590" s="74"/>
      <c r="Q590" s="74"/>
      <c r="R590" s="75"/>
      <c r="S590" s="61"/>
      <c r="T590" s="60"/>
      <c r="U590" s="74"/>
      <c r="V590" s="76"/>
      <c r="W590" s="24"/>
      <c r="X590" s="25"/>
      <c r="Y590" s="77"/>
      <c r="Z590" s="106"/>
      <c r="AA590" s="73"/>
      <c r="AB590" s="88"/>
      <c r="AC590" s="116"/>
      <c r="AD590" s="74"/>
      <c r="AE590" s="76"/>
      <c r="AF590" s="24"/>
      <c r="AG590" s="25"/>
      <c r="AH590" s="77"/>
      <c r="AI590" s="77"/>
      <c r="AJ590" s="73"/>
      <c r="AK590" s="79"/>
      <c r="AL590" s="79"/>
      <c r="AM590" s="127"/>
      <c r="AN590" s="128"/>
      <c r="AO590" s="128"/>
      <c r="AP590" s="133"/>
      <c r="AQ590" s="127"/>
      <c r="AR590" s="134"/>
      <c r="AS590" s="132"/>
      <c r="AT590" s="10"/>
      <c r="AU590" s="10"/>
      <c r="AV590" s="167"/>
      <c r="AW590" s="280"/>
      <c r="AX590" s="29"/>
      <c r="AY590" s="24"/>
      <c r="AZ590" s="25"/>
      <c r="BA590" s="24"/>
      <c r="BB590" s="281"/>
      <c r="BC590" s="170"/>
      <c r="BD590" s="10">
        <v>65925</v>
      </c>
      <c r="BE590" s="10">
        <v>75000</v>
      </c>
      <c r="BF590" s="10">
        <v>81000</v>
      </c>
      <c r="BG590" s="268">
        <v>78000</v>
      </c>
      <c r="BH590" s="10">
        <v>75000</v>
      </c>
      <c r="BI590" s="76">
        <f t="shared" si="748"/>
        <v>77250</v>
      </c>
      <c r="BJ590" s="24">
        <f t="shared" si="749"/>
        <v>11325</v>
      </c>
      <c r="BK590" s="25">
        <f t="shared" si="750"/>
        <v>0.17178612059158135</v>
      </c>
      <c r="BL590" s="259">
        <f t="shared" si="751"/>
        <v>77250</v>
      </c>
      <c r="BM590" s="319">
        <v>73253</v>
      </c>
      <c r="BN590" s="317">
        <v>62000</v>
      </c>
      <c r="BO590" s="317">
        <v>86433</v>
      </c>
      <c r="BP590" s="45">
        <v>65000</v>
      </c>
      <c r="BQ590" s="29">
        <f t="shared" si="752"/>
        <v>71144.333333333328</v>
      </c>
      <c r="BR590" s="24">
        <f t="shared" si="753"/>
        <v>-2108.6666666666715</v>
      </c>
      <c r="BS590" s="25">
        <f t="shared" si="754"/>
        <v>-2.8786079295956092E-2</v>
      </c>
      <c r="BT590" s="308">
        <f t="shared" si="755"/>
        <v>71144.333333333328</v>
      </c>
    </row>
    <row r="591" spans="1:72" s="1" customFormat="1" ht="34.35" customHeight="1">
      <c r="A591" s="91"/>
      <c r="B591" s="358" t="s">
        <v>2783</v>
      </c>
      <c r="C591" s="50" t="s">
        <v>1759</v>
      </c>
      <c r="D591" s="264" t="s">
        <v>1727</v>
      </c>
      <c r="E591" s="262" t="s">
        <v>1399</v>
      </c>
      <c r="F591" s="10"/>
      <c r="G591" s="31"/>
      <c r="H591" s="33"/>
      <c r="I591" s="183"/>
      <c r="J591" s="29"/>
      <c r="K591" s="24"/>
      <c r="L591" s="25"/>
      <c r="M591" s="69"/>
      <c r="N591" s="77"/>
      <c r="O591" s="73"/>
      <c r="P591" s="74"/>
      <c r="Q591" s="74"/>
      <c r="R591" s="75"/>
      <c r="S591" s="61"/>
      <c r="T591" s="60"/>
      <c r="U591" s="74"/>
      <c r="V591" s="76"/>
      <c r="W591" s="24"/>
      <c r="X591" s="25"/>
      <c r="Y591" s="77"/>
      <c r="Z591" s="106"/>
      <c r="AA591" s="73"/>
      <c r="AB591" s="88"/>
      <c r="AC591" s="116"/>
      <c r="AD591" s="74"/>
      <c r="AE591" s="76"/>
      <c r="AF591" s="24"/>
      <c r="AG591" s="25"/>
      <c r="AH591" s="77"/>
      <c r="AI591" s="77"/>
      <c r="AJ591" s="73"/>
      <c r="AK591" s="79"/>
      <c r="AL591" s="79"/>
      <c r="AM591" s="127"/>
      <c r="AN591" s="128"/>
      <c r="AO591" s="128"/>
      <c r="AP591" s="133"/>
      <c r="AQ591" s="127"/>
      <c r="AR591" s="134"/>
      <c r="AS591" s="132"/>
      <c r="AT591" s="10"/>
      <c r="AU591" s="10"/>
      <c r="AV591" s="167"/>
      <c r="AW591" s="280"/>
      <c r="AX591" s="29"/>
      <c r="AY591" s="24"/>
      <c r="AZ591" s="25"/>
      <c r="BA591" s="24"/>
      <c r="BB591" s="281"/>
      <c r="BC591" s="170"/>
      <c r="BD591" s="10">
        <v>93861</v>
      </c>
      <c r="BE591" s="10"/>
      <c r="BF591" s="10"/>
      <c r="BG591" s="268"/>
      <c r="BH591" s="10"/>
      <c r="BI591" s="76"/>
      <c r="BJ591" s="24"/>
      <c r="BK591" s="25">
        <f t="shared" si="750"/>
        <v>0</v>
      </c>
      <c r="BL591" s="259" t="s">
        <v>894</v>
      </c>
      <c r="BM591" s="10">
        <v>104294</v>
      </c>
      <c r="BN591" s="45"/>
      <c r="BO591" s="45">
        <v>123054</v>
      </c>
      <c r="BP591" s="45">
        <v>95000</v>
      </c>
      <c r="BQ591" s="29">
        <f t="shared" si="752"/>
        <v>109027</v>
      </c>
      <c r="BR591" s="24">
        <f t="shared" si="753"/>
        <v>4733</v>
      </c>
      <c r="BS591" s="25">
        <f t="shared" si="754"/>
        <v>4.5381325867259861E-2</v>
      </c>
      <c r="BT591" s="308">
        <f t="shared" si="755"/>
        <v>109027</v>
      </c>
    </row>
    <row r="592" spans="1:72" s="1" customFormat="1" ht="34.35" customHeight="1">
      <c r="A592" s="91"/>
      <c r="B592" s="358" t="s">
        <v>2784</v>
      </c>
      <c r="C592" s="50" t="s">
        <v>1760</v>
      </c>
      <c r="D592" s="264" t="s">
        <v>1728</v>
      </c>
      <c r="E592" s="262" t="s">
        <v>1399</v>
      </c>
      <c r="F592" s="10"/>
      <c r="G592" s="31"/>
      <c r="H592" s="33"/>
      <c r="I592" s="183"/>
      <c r="J592" s="29"/>
      <c r="K592" s="24"/>
      <c r="L592" s="25"/>
      <c r="M592" s="69"/>
      <c r="N592" s="77"/>
      <c r="O592" s="73"/>
      <c r="P592" s="74"/>
      <c r="Q592" s="74"/>
      <c r="R592" s="75"/>
      <c r="S592" s="61"/>
      <c r="T592" s="60"/>
      <c r="U592" s="74"/>
      <c r="V592" s="76"/>
      <c r="W592" s="24"/>
      <c r="X592" s="25"/>
      <c r="Y592" s="77"/>
      <c r="Z592" s="106"/>
      <c r="AA592" s="73"/>
      <c r="AB592" s="88"/>
      <c r="AC592" s="116"/>
      <c r="AD592" s="74"/>
      <c r="AE592" s="76"/>
      <c r="AF592" s="24"/>
      <c r="AG592" s="25"/>
      <c r="AH592" s="77"/>
      <c r="AI592" s="77"/>
      <c r="AJ592" s="73"/>
      <c r="AK592" s="79"/>
      <c r="AL592" s="79"/>
      <c r="AM592" s="127"/>
      <c r="AN592" s="128"/>
      <c r="AO592" s="128"/>
      <c r="AP592" s="133"/>
      <c r="AQ592" s="127"/>
      <c r="AR592" s="134"/>
      <c r="AS592" s="132"/>
      <c r="AT592" s="10"/>
      <c r="AU592" s="10"/>
      <c r="AV592" s="167"/>
      <c r="AW592" s="280"/>
      <c r="AX592" s="29"/>
      <c r="AY592" s="24"/>
      <c r="AZ592" s="25"/>
      <c r="BA592" s="24"/>
      <c r="BB592" s="281"/>
      <c r="BC592" s="170"/>
      <c r="BD592" s="10">
        <v>35882</v>
      </c>
      <c r="BE592" s="10"/>
      <c r="BF592" s="10"/>
      <c r="BG592" s="268"/>
      <c r="BH592" s="10">
        <v>120000</v>
      </c>
      <c r="BI592" s="76">
        <f t="shared" ref="BI592:BI596" si="756">AVERAGE(BE592,BF592,BG592,BH592)</f>
        <v>120000</v>
      </c>
      <c r="BJ592" s="24">
        <f t="shared" ref="BJ592:BJ596" si="757">BI592-BD592</f>
        <v>84118</v>
      </c>
      <c r="BK592" s="25">
        <f t="shared" si="750"/>
        <v>2.3442951897887521</v>
      </c>
      <c r="BL592" s="309">
        <f t="shared" ref="BL592:BL596" si="758">BI592</f>
        <v>120000</v>
      </c>
      <c r="BM592" s="293"/>
      <c r="BN592" s="293"/>
      <c r="BO592" s="293"/>
      <c r="BP592" s="293"/>
      <c r="BQ592" s="293"/>
      <c r="BR592" s="293"/>
      <c r="BS592" s="293"/>
      <c r="BT592" s="293"/>
    </row>
    <row r="593" spans="1:72" s="1" customFormat="1" ht="34.35" customHeight="1">
      <c r="A593" s="91"/>
      <c r="B593" s="358" t="s">
        <v>2785</v>
      </c>
      <c r="C593" s="50" t="s">
        <v>1761</v>
      </c>
      <c r="D593" s="264" t="s">
        <v>1729</v>
      </c>
      <c r="E593" s="262" t="s">
        <v>1399</v>
      </c>
      <c r="F593" s="10"/>
      <c r="G593" s="31"/>
      <c r="H593" s="33"/>
      <c r="I593" s="183"/>
      <c r="J593" s="29"/>
      <c r="K593" s="24"/>
      <c r="L593" s="25"/>
      <c r="M593" s="69"/>
      <c r="N593" s="77"/>
      <c r="O593" s="73"/>
      <c r="P593" s="74"/>
      <c r="Q593" s="74"/>
      <c r="R593" s="75"/>
      <c r="S593" s="61"/>
      <c r="T593" s="60"/>
      <c r="U593" s="74"/>
      <c r="V593" s="76"/>
      <c r="W593" s="24"/>
      <c r="X593" s="25"/>
      <c r="Y593" s="77"/>
      <c r="Z593" s="106"/>
      <c r="AA593" s="73"/>
      <c r="AB593" s="88"/>
      <c r="AC593" s="116"/>
      <c r="AD593" s="74"/>
      <c r="AE593" s="76"/>
      <c r="AF593" s="24"/>
      <c r="AG593" s="25"/>
      <c r="AH593" s="77"/>
      <c r="AI593" s="77"/>
      <c r="AJ593" s="73"/>
      <c r="AK593" s="79"/>
      <c r="AL593" s="79"/>
      <c r="AM593" s="127"/>
      <c r="AN593" s="128"/>
      <c r="AO593" s="128"/>
      <c r="AP593" s="133"/>
      <c r="AQ593" s="127"/>
      <c r="AR593" s="134"/>
      <c r="AS593" s="132"/>
      <c r="AT593" s="10"/>
      <c r="AU593" s="10"/>
      <c r="AV593" s="167"/>
      <c r="AW593" s="280"/>
      <c r="AX593" s="29"/>
      <c r="AY593" s="24"/>
      <c r="AZ593" s="25"/>
      <c r="BA593" s="24"/>
      <c r="BB593" s="281"/>
      <c r="BC593" s="170"/>
      <c r="BD593" s="10">
        <v>70377</v>
      </c>
      <c r="BE593" s="10">
        <v>100000</v>
      </c>
      <c r="BF593" s="10">
        <v>100000</v>
      </c>
      <c r="BG593" s="268">
        <v>105000</v>
      </c>
      <c r="BH593" s="10">
        <v>120000</v>
      </c>
      <c r="BI593" s="76">
        <f t="shared" si="756"/>
        <v>106250</v>
      </c>
      <c r="BJ593" s="24">
        <f t="shared" si="757"/>
        <v>35873</v>
      </c>
      <c r="BK593" s="25">
        <f t="shared" si="750"/>
        <v>0.50972618895377753</v>
      </c>
      <c r="BL593" s="309">
        <f t="shared" si="758"/>
        <v>106250</v>
      </c>
      <c r="BM593" s="293"/>
      <c r="BN593" s="293"/>
      <c r="BO593" s="293"/>
      <c r="BP593" s="293"/>
      <c r="BQ593" s="293"/>
      <c r="BR593" s="293"/>
      <c r="BS593" s="293"/>
      <c r="BT593" s="293"/>
    </row>
    <row r="594" spans="1:72" s="1" customFormat="1" ht="34.35" customHeight="1">
      <c r="A594" s="91"/>
      <c r="B594" s="358" t="s">
        <v>2786</v>
      </c>
      <c r="C594" s="50" t="s">
        <v>1762</v>
      </c>
      <c r="D594" s="264" t="s">
        <v>1730</v>
      </c>
      <c r="E594" s="262" t="s">
        <v>1399</v>
      </c>
      <c r="F594" s="10"/>
      <c r="G594" s="31"/>
      <c r="H594" s="33"/>
      <c r="I594" s="183"/>
      <c r="J594" s="29"/>
      <c r="K594" s="24"/>
      <c r="L594" s="25"/>
      <c r="M594" s="69"/>
      <c r="N594" s="77"/>
      <c r="O594" s="73"/>
      <c r="P594" s="74"/>
      <c r="Q594" s="74"/>
      <c r="R594" s="75"/>
      <c r="S594" s="61"/>
      <c r="T594" s="60"/>
      <c r="U594" s="74"/>
      <c r="V594" s="76"/>
      <c r="W594" s="24"/>
      <c r="X594" s="25"/>
      <c r="Y594" s="77"/>
      <c r="Z594" s="106"/>
      <c r="AA594" s="73"/>
      <c r="AB594" s="88"/>
      <c r="AC594" s="116"/>
      <c r="AD594" s="74"/>
      <c r="AE594" s="76"/>
      <c r="AF594" s="24"/>
      <c r="AG594" s="25"/>
      <c r="AH594" s="77"/>
      <c r="AI594" s="77"/>
      <c r="AJ594" s="73"/>
      <c r="AK594" s="79"/>
      <c r="AL594" s="79"/>
      <c r="AM594" s="127"/>
      <c r="AN594" s="128"/>
      <c r="AO594" s="128"/>
      <c r="AP594" s="133"/>
      <c r="AQ594" s="127"/>
      <c r="AR594" s="134"/>
      <c r="AS594" s="132"/>
      <c r="AT594" s="10"/>
      <c r="AU594" s="10"/>
      <c r="AV594" s="167"/>
      <c r="AW594" s="280"/>
      <c r="AX594" s="29"/>
      <c r="AY594" s="24"/>
      <c r="AZ594" s="25"/>
      <c r="BA594" s="24"/>
      <c r="BB594" s="281"/>
      <c r="BC594" s="170"/>
      <c r="BD594" s="10">
        <v>34979</v>
      </c>
      <c r="BE594" s="10">
        <v>95000</v>
      </c>
      <c r="BF594" s="10"/>
      <c r="BG594" s="268"/>
      <c r="BH594" s="10">
        <v>120000</v>
      </c>
      <c r="BI594" s="76">
        <f t="shared" si="756"/>
        <v>107500</v>
      </c>
      <c r="BJ594" s="24">
        <f t="shared" si="757"/>
        <v>72521</v>
      </c>
      <c r="BK594" s="25">
        <f t="shared" si="750"/>
        <v>2.0732725349495413</v>
      </c>
      <c r="BL594" s="259">
        <f t="shared" si="758"/>
        <v>107500</v>
      </c>
      <c r="BM594" s="10">
        <v>39061</v>
      </c>
      <c r="BN594" s="45"/>
      <c r="BO594" s="45">
        <v>45412</v>
      </c>
      <c r="BP594" s="45">
        <v>70000</v>
      </c>
      <c r="BQ594" s="29">
        <f t="shared" ref="BQ594:BQ599" si="759">AVERAGE(BN594,BO594,BP594)</f>
        <v>57706</v>
      </c>
      <c r="BR594" s="24">
        <f t="shared" ref="BR594:BR599" si="760">BQ594-BM594</f>
        <v>18645</v>
      </c>
      <c r="BS594" s="25">
        <f t="shared" ref="BS594:BS599" si="761">+BR594/BM594</f>
        <v>0.4773303294846522</v>
      </c>
      <c r="BT594" s="308">
        <f t="shared" ref="BT594:BT599" si="762">BQ594</f>
        <v>57706</v>
      </c>
    </row>
    <row r="595" spans="1:72" s="1" customFormat="1" ht="50.1" customHeight="1">
      <c r="A595" s="91"/>
      <c r="B595" s="358" t="s">
        <v>2787</v>
      </c>
      <c r="C595" s="50" t="s">
        <v>1763</v>
      </c>
      <c r="D595" s="264" t="s">
        <v>1731</v>
      </c>
      <c r="E595" s="262" t="s">
        <v>1399</v>
      </c>
      <c r="F595" s="10"/>
      <c r="G595" s="31"/>
      <c r="H595" s="33"/>
      <c r="I595" s="183"/>
      <c r="J595" s="29"/>
      <c r="K595" s="24"/>
      <c r="L595" s="25"/>
      <c r="M595" s="69"/>
      <c r="N595" s="77"/>
      <c r="O595" s="73"/>
      <c r="P595" s="74"/>
      <c r="Q595" s="74"/>
      <c r="R595" s="75"/>
      <c r="S595" s="61"/>
      <c r="T595" s="60"/>
      <c r="U595" s="74"/>
      <c r="V595" s="76"/>
      <c r="W595" s="24"/>
      <c r="X595" s="25"/>
      <c r="Y595" s="77"/>
      <c r="Z595" s="106"/>
      <c r="AA595" s="73"/>
      <c r="AB595" s="88"/>
      <c r="AC595" s="116"/>
      <c r="AD595" s="74"/>
      <c r="AE595" s="76"/>
      <c r="AF595" s="24"/>
      <c r="AG595" s="25"/>
      <c r="AH595" s="77"/>
      <c r="AI595" s="77"/>
      <c r="AJ595" s="73"/>
      <c r="AK595" s="79"/>
      <c r="AL595" s="79"/>
      <c r="AM595" s="127"/>
      <c r="AN595" s="128"/>
      <c r="AO595" s="128"/>
      <c r="AP595" s="133"/>
      <c r="AQ595" s="127"/>
      <c r="AR595" s="134"/>
      <c r="AS595" s="132"/>
      <c r="AT595" s="10"/>
      <c r="AU595" s="10"/>
      <c r="AV595" s="167"/>
      <c r="AW595" s="280"/>
      <c r="AX595" s="29"/>
      <c r="AY595" s="24"/>
      <c r="AZ595" s="25"/>
      <c r="BA595" s="24"/>
      <c r="BB595" s="281"/>
      <c r="BC595" s="170"/>
      <c r="BD595" s="10">
        <v>273002</v>
      </c>
      <c r="BE595" s="10"/>
      <c r="BF595" s="10"/>
      <c r="BG595" s="268"/>
      <c r="BH595" s="10">
        <v>120000</v>
      </c>
      <c r="BI595" s="76">
        <f t="shared" si="756"/>
        <v>120000</v>
      </c>
      <c r="BJ595" s="24">
        <f t="shared" si="757"/>
        <v>-153002</v>
      </c>
      <c r="BK595" s="25">
        <f t="shared" si="750"/>
        <v>-0.56044278063896968</v>
      </c>
      <c r="BL595" s="259">
        <f t="shared" si="758"/>
        <v>120000</v>
      </c>
      <c r="BM595" s="10">
        <v>304839</v>
      </c>
      <c r="BN595" s="45"/>
      <c r="BO595" s="45">
        <v>354387</v>
      </c>
      <c r="BP595" s="45">
        <v>85000</v>
      </c>
      <c r="BQ595" s="29">
        <f t="shared" si="759"/>
        <v>219693.5</v>
      </c>
      <c r="BR595" s="24">
        <f t="shared" si="760"/>
        <v>-85145.5</v>
      </c>
      <c r="BS595" s="25">
        <f t="shared" si="761"/>
        <v>-0.27931301441088574</v>
      </c>
      <c r="BT595" s="308">
        <f t="shared" si="762"/>
        <v>219693.5</v>
      </c>
    </row>
    <row r="596" spans="1:72" s="1" customFormat="1" ht="34.35" customHeight="1">
      <c r="A596" s="91"/>
      <c r="B596" s="358" t="s">
        <v>2788</v>
      </c>
      <c r="C596" s="50" t="s">
        <v>1764</v>
      </c>
      <c r="D596" s="264" t="s">
        <v>1732</v>
      </c>
      <c r="E596" s="262" t="s">
        <v>1399</v>
      </c>
      <c r="F596" s="10"/>
      <c r="G596" s="31"/>
      <c r="H596" s="33"/>
      <c r="I596" s="183"/>
      <c r="J596" s="29"/>
      <c r="K596" s="24"/>
      <c r="L596" s="25"/>
      <c r="M596" s="69"/>
      <c r="N596" s="77"/>
      <c r="O596" s="73"/>
      <c r="P596" s="74"/>
      <c r="Q596" s="74"/>
      <c r="R596" s="75"/>
      <c r="S596" s="61"/>
      <c r="T596" s="60"/>
      <c r="U596" s="74"/>
      <c r="V596" s="76"/>
      <c r="W596" s="24"/>
      <c r="X596" s="25"/>
      <c r="Y596" s="77"/>
      <c r="Z596" s="106"/>
      <c r="AA596" s="73"/>
      <c r="AB596" s="88"/>
      <c r="AC596" s="116"/>
      <c r="AD596" s="74"/>
      <c r="AE596" s="76"/>
      <c r="AF596" s="24"/>
      <c r="AG596" s="25"/>
      <c r="AH596" s="77"/>
      <c r="AI596" s="77"/>
      <c r="AJ596" s="73"/>
      <c r="AK596" s="79"/>
      <c r="AL596" s="79"/>
      <c r="AM596" s="127"/>
      <c r="AN596" s="128"/>
      <c r="AO596" s="128"/>
      <c r="AP596" s="133"/>
      <c r="AQ596" s="127"/>
      <c r="AR596" s="134"/>
      <c r="AS596" s="132"/>
      <c r="AT596" s="10"/>
      <c r="AU596" s="10"/>
      <c r="AV596" s="167"/>
      <c r="AW596" s="280"/>
      <c r="AX596" s="29"/>
      <c r="AY596" s="24"/>
      <c r="AZ596" s="25"/>
      <c r="BA596" s="24"/>
      <c r="BB596" s="281"/>
      <c r="BC596" s="170"/>
      <c r="BD596" s="10">
        <v>25943</v>
      </c>
      <c r="BE596" s="10">
        <v>110000</v>
      </c>
      <c r="BF596" s="10">
        <v>120000</v>
      </c>
      <c r="BG596" s="268">
        <v>120000</v>
      </c>
      <c r="BH596" s="10">
        <v>120000</v>
      </c>
      <c r="BI596" s="76">
        <f t="shared" si="756"/>
        <v>117500</v>
      </c>
      <c r="BJ596" s="24">
        <f t="shared" si="757"/>
        <v>91557</v>
      </c>
      <c r="BK596" s="25">
        <f t="shared" si="750"/>
        <v>3.5291600817176119</v>
      </c>
      <c r="BL596" s="259">
        <f t="shared" si="758"/>
        <v>117500</v>
      </c>
      <c r="BM596" s="10">
        <v>28800</v>
      </c>
      <c r="BN596" s="45">
        <v>80000</v>
      </c>
      <c r="BO596" s="45">
        <v>33976</v>
      </c>
      <c r="BP596" s="45">
        <v>65000</v>
      </c>
      <c r="BQ596" s="29">
        <f t="shared" si="759"/>
        <v>59658.666666666664</v>
      </c>
      <c r="BR596" s="24">
        <f t="shared" si="760"/>
        <v>30858.666666666664</v>
      </c>
      <c r="BS596" s="25">
        <f t="shared" si="761"/>
        <v>1.0714814814814815</v>
      </c>
      <c r="BT596" s="308">
        <f t="shared" si="762"/>
        <v>59658.666666666664</v>
      </c>
    </row>
    <row r="597" spans="1:72" s="1" customFormat="1" ht="34.35" customHeight="1">
      <c r="A597" s="91"/>
      <c r="B597" s="358" t="s">
        <v>2789</v>
      </c>
      <c r="C597" s="50" t="s">
        <v>1765</v>
      </c>
      <c r="D597" s="264" t="s">
        <v>1733</v>
      </c>
      <c r="E597" s="262" t="s">
        <v>1399</v>
      </c>
      <c r="F597" s="10"/>
      <c r="G597" s="31"/>
      <c r="H597" s="33"/>
      <c r="I597" s="183"/>
      <c r="J597" s="29"/>
      <c r="K597" s="24"/>
      <c r="L597" s="25"/>
      <c r="M597" s="69"/>
      <c r="N597" s="77"/>
      <c r="O597" s="73"/>
      <c r="P597" s="74"/>
      <c r="Q597" s="74"/>
      <c r="R597" s="75"/>
      <c r="S597" s="61"/>
      <c r="T597" s="60"/>
      <c r="U597" s="74"/>
      <c r="V597" s="76"/>
      <c r="W597" s="24"/>
      <c r="X597" s="25"/>
      <c r="Y597" s="77"/>
      <c r="Z597" s="106"/>
      <c r="AA597" s="73"/>
      <c r="AB597" s="88"/>
      <c r="AC597" s="116"/>
      <c r="AD597" s="74"/>
      <c r="AE597" s="76"/>
      <c r="AF597" s="24"/>
      <c r="AG597" s="25"/>
      <c r="AH597" s="77"/>
      <c r="AI597" s="77"/>
      <c r="AJ597" s="73"/>
      <c r="AK597" s="79"/>
      <c r="AL597" s="79"/>
      <c r="AM597" s="127"/>
      <c r="AN597" s="128"/>
      <c r="AO597" s="128"/>
      <c r="AP597" s="133"/>
      <c r="AQ597" s="127"/>
      <c r="AR597" s="134"/>
      <c r="AS597" s="132"/>
      <c r="AT597" s="10"/>
      <c r="AU597" s="10"/>
      <c r="AV597" s="167"/>
      <c r="AW597" s="280"/>
      <c r="AX597" s="29"/>
      <c r="AY597" s="24"/>
      <c r="AZ597" s="25"/>
      <c r="BA597" s="24"/>
      <c r="BB597" s="281"/>
      <c r="BC597" s="170"/>
      <c r="BD597" s="10">
        <v>138551</v>
      </c>
      <c r="BE597" s="10"/>
      <c r="BF597" s="10"/>
      <c r="BG597" s="10"/>
      <c r="BH597" s="10" t="s">
        <v>1421</v>
      </c>
      <c r="BI597" s="76"/>
      <c r="BJ597" s="24"/>
      <c r="BK597" s="25">
        <f t="shared" si="750"/>
        <v>0</v>
      </c>
      <c r="BL597" s="265" t="s">
        <v>807</v>
      </c>
      <c r="BM597" s="10">
        <v>154716</v>
      </c>
      <c r="BN597" s="45"/>
      <c r="BO597" s="45">
        <v>179864</v>
      </c>
      <c r="BP597" s="45">
        <v>24000</v>
      </c>
      <c r="BQ597" s="29">
        <f t="shared" si="759"/>
        <v>101932</v>
      </c>
      <c r="BR597" s="24">
        <f t="shared" si="760"/>
        <v>-52784</v>
      </c>
      <c r="BS597" s="25">
        <f t="shared" si="761"/>
        <v>-0.34116704154709276</v>
      </c>
      <c r="BT597" s="308">
        <f t="shared" si="762"/>
        <v>101932</v>
      </c>
    </row>
    <row r="598" spans="1:72" s="1" customFormat="1" ht="34.35" customHeight="1">
      <c r="A598" s="91"/>
      <c r="B598" s="358" t="s">
        <v>2790</v>
      </c>
      <c r="C598" s="50" t="s">
        <v>1766</v>
      </c>
      <c r="D598" s="264" t="s">
        <v>1734</v>
      </c>
      <c r="E598" s="262" t="s">
        <v>827</v>
      </c>
      <c r="F598" s="10"/>
      <c r="G598" s="31"/>
      <c r="H598" s="33"/>
      <c r="I598" s="183"/>
      <c r="J598" s="29"/>
      <c r="K598" s="24"/>
      <c r="L598" s="25"/>
      <c r="M598" s="69"/>
      <c r="N598" s="77"/>
      <c r="O598" s="73"/>
      <c r="P598" s="74"/>
      <c r="Q598" s="74"/>
      <c r="R598" s="75"/>
      <c r="S598" s="61"/>
      <c r="T598" s="60"/>
      <c r="U598" s="74"/>
      <c r="V598" s="76"/>
      <c r="W598" s="24"/>
      <c r="X598" s="25"/>
      <c r="Y598" s="77"/>
      <c r="Z598" s="106"/>
      <c r="AA598" s="73"/>
      <c r="AB598" s="88"/>
      <c r="AC598" s="116"/>
      <c r="AD598" s="74"/>
      <c r="AE598" s="76"/>
      <c r="AF598" s="24"/>
      <c r="AG598" s="25"/>
      <c r="AH598" s="77"/>
      <c r="AI598" s="77"/>
      <c r="AJ598" s="73"/>
      <c r="AK598" s="79"/>
      <c r="AL598" s="79"/>
      <c r="AM598" s="127"/>
      <c r="AN598" s="128"/>
      <c r="AO598" s="128"/>
      <c r="AP598" s="133"/>
      <c r="AQ598" s="127"/>
      <c r="AR598" s="134"/>
      <c r="AS598" s="132"/>
      <c r="AT598" s="10"/>
      <c r="AU598" s="10"/>
      <c r="AV598" s="167"/>
      <c r="AW598" s="280"/>
      <c r="AX598" s="29"/>
      <c r="AY598" s="24"/>
      <c r="AZ598" s="25"/>
      <c r="BA598" s="24"/>
      <c r="BB598" s="281"/>
      <c r="BC598" s="170"/>
      <c r="BD598" s="10">
        <v>59156</v>
      </c>
      <c r="BE598" s="10"/>
      <c r="BF598" s="10"/>
      <c r="BG598" s="10"/>
      <c r="BH598" s="10">
        <v>120000</v>
      </c>
      <c r="BI598" s="76">
        <f t="shared" ref="BI598" si="763">AVERAGE(BE598,BF598,BG598,BH598)</f>
        <v>120000</v>
      </c>
      <c r="BJ598" s="24">
        <f t="shared" ref="BJ598:BJ619" si="764">BI598-BD598</f>
        <v>60844</v>
      </c>
      <c r="BK598" s="25">
        <f t="shared" si="750"/>
        <v>1.0285347217526539</v>
      </c>
      <c r="BL598" s="259">
        <f t="shared" ref="BL598" si="765">BI598</f>
        <v>120000</v>
      </c>
      <c r="BM598" s="10">
        <v>66058</v>
      </c>
      <c r="BN598" s="45"/>
      <c r="BO598" s="45">
        <v>76792</v>
      </c>
      <c r="BP598" s="45">
        <v>110000</v>
      </c>
      <c r="BQ598" s="29">
        <f t="shared" si="759"/>
        <v>93396</v>
      </c>
      <c r="BR598" s="24">
        <f t="shared" si="760"/>
        <v>27338</v>
      </c>
      <c r="BS598" s="25">
        <f t="shared" si="761"/>
        <v>0.41384843622271339</v>
      </c>
      <c r="BT598" s="308">
        <f t="shared" si="762"/>
        <v>93396</v>
      </c>
    </row>
    <row r="599" spans="1:72" s="1" customFormat="1" ht="34.35" customHeight="1">
      <c r="A599" s="91"/>
      <c r="B599" s="358" t="s">
        <v>2791</v>
      </c>
      <c r="C599" s="50" t="s">
        <v>1767</v>
      </c>
      <c r="D599" s="264" t="s">
        <v>1735</v>
      </c>
      <c r="E599" s="262" t="s">
        <v>1399</v>
      </c>
      <c r="F599" s="10"/>
      <c r="G599" s="31"/>
      <c r="H599" s="33"/>
      <c r="I599" s="183"/>
      <c r="J599" s="29"/>
      <c r="K599" s="24"/>
      <c r="L599" s="25"/>
      <c r="M599" s="69"/>
      <c r="N599" s="77"/>
      <c r="O599" s="73"/>
      <c r="P599" s="74"/>
      <c r="Q599" s="74"/>
      <c r="R599" s="75"/>
      <c r="S599" s="61"/>
      <c r="T599" s="60"/>
      <c r="U599" s="74"/>
      <c r="V599" s="76"/>
      <c r="W599" s="24"/>
      <c r="X599" s="25"/>
      <c r="Y599" s="77"/>
      <c r="Z599" s="106"/>
      <c r="AA599" s="73"/>
      <c r="AB599" s="88"/>
      <c r="AC599" s="116"/>
      <c r="AD599" s="74"/>
      <c r="AE599" s="76"/>
      <c r="AF599" s="24"/>
      <c r="AG599" s="25"/>
      <c r="AH599" s="77"/>
      <c r="AI599" s="77"/>
      <c r="AJ599" s="73"/>
      <c r="AK599" s="79"/>
      <c r="AL599" s="79"/>
      <c r="AM599" s="127"/>
      <c r="AN599" s="128"/>
      <c r="AO599" s="128"/>
      <c r="AP599" s="133"/>
      <c r="AQ599" s="127"/>
      <c r="AR599" s="134"/>
      <c r="AS599" s="132"/>
      <c r="AT599" s="10"/>
      <c r="AU599" s="10"/>
      <c r="AV599" s="167"/>
      <c r="AW599" s="280"/>
      <c r="AX599" s="29"/>
      <c r="AY599" s="24"/>
      <c r="AZ599" s="25"/>
      <c r="BA599" s="24"/>
      <c r="BB599" s="281"/>
      <c r="BC599" s="170"/>
      <c r="BD599" s="10">
        <v>111242</v>
      </c>
      <c r="BE599" s="10"/>
      <c r="BF599" s="10"/>
      <c r="BG599" s="10"/>
      <c r="BH599" s="10"/>
      <c r="BI599" s="76"/>
      <c r="BJ599" s="24"/>
      <c r="BK599" s="25"/>
      <c r="BL599" s="259" t="s">
        <v>894</v>
      </c>
      <c r="BM599" s="10">
        <v>124217</v>
      </c>
      <c r="BN599" s="45"/>
      <c r="BO599" s="45">
        <v>76792</v>
      </c>
      <c r="BP599" s="45">
        <v>190000</v>
      </c>
      <c r="BQ599" s="29">
        <f t="shared" si="759"/>
        <v>133396</v>
      </c>
      <c r="BR599" s="24">
        <f t="shared" si="760"/>
        <v>9179</v>
      </c>
      <c r="BS599" s="25">
        <f t="shared" si="761"/>
        <v>7.3894877512739807E-2</v>
      </c>
      <c r="BT599" s="308">
        <f t="shared" si="762"/>
        <v>133396</v>
      </c>
    </row>
    <row r="600" spans="1:72" s="1" customFormat="1" ht="34.35" customHeight="1">
      <c r="A600" s="91"/>
      <c r="B600" s="358" t="s">
        <v>2792</v>
      </c>
      <c r="C600" s="50" t="s">
        <v>1768</v>
      </c>
      <c r="D600" s="264" t="s">
        <v>1736</v>
      </c>
      <c r="E600" s="262" t="s">
        <v>1399</v>
      </c>
      <c r="F600" s="10"/>
      <c r="G600" s="31"/>
      <c r="H600" s="33"/>
      <c r="I600" s="183"/>
      <c r="J600" s="29"/>
      <c r="K600" s="24"/>
      <c r="L600" s="25"/>
      <c r="M600" s="69"/>
      <c r="N600" s="77"/>
      <c r="O600" s="73"/>
      <c r="P600" s="74"/>
      <c r="Q600" s="74"/>
      <c r="R600" s="75"/>
      <c r="S600" s="61"/>
      <c r="T600" s="60"/>
      <c r="U600" s="74"/>
      <c r="V600" s="76"/>
      <c r="W600" s="24"/>
      <c r="X600" s="25"/>
      <c r="Y600" s="77"/>
      <c r="Z600" s="106"/>
      <c r="AA600" s="73"/>
      <c r="AB600" s="88"/>
      <c r="AC600" s="116"/>
      <c r="AD600" s="74"/>
      <c r="AE600" s="76"/>
      <c r="AF600" s="24"/>
      <c r="AG600" s="25"/>
      <c r="AH600" s="77"/>
      <c r="AI600" s="77"/>
      <c r="AJ600" s="73"/>
      <c r="AK600" s="79"/>
      <c r="AL600" s="79"/>
      <c r="AM600" s="127"/>
      <c r="AN600" s="128"/>
      <c r="AO600" s="128"/>
      <c r="AP600" s="133"/>
      <c r="AQ600" s="127"/>
      <c r="AR600" s="134"/>
      <c r="AS600" s="132"/>
      <c r="AT600" s="10"/>
      <c r="AU600" s="10"/>
      <c r="AV600" s="167"/>
      <c r="AW600" s="280"/>
      <c r="AX600" s="29"/>
      <c r="AY600" s="24"/>
      <c r="AZ600" s="25"/>
      <c r="BA600" s="24"/>
      <c r="BB600" s="281"/>
      <c r="BC600" s="170"/>
      <c r="BD600" s="10">
        <v>63618</v>
      </c>
      <c r="BE600" s="10"/>
      <c r="BF600" s="10"/>
      <c r="BG600" s="10"/>
      <c r="BH600" s="10"/>
      <c r="BI600" s="76"/>
      <c r="BJ600" s="24"/>
      <c r="BK600" s="25"/>
      <c r="BL600" s="309" t="s">
        <v>894</v>
      </c>
      <c r="BM600" s="293"/>
      <c r="BN600" s="293"/>
      <c r="BO600" s="293"/>
      <c r="BP600" s="293"/>
      <c r="BQ600" s="293"/>
      <c r="BR600" s="293"/>
      <c r="BS600" s="293"/>
      <c r="BT600" s="293"/>
    </row>
    <row r="601" spans="1:72" s="1" customFormat="1" ht="34.35" customHeight="1">
      <c r="A601" s="91"/>
      <c r="B601" s="358" t="s">
        <v>2793</v>
      </c>
      <c r="C601" s="50" t="s">
        <v>1769</v>
      </c>
      <c r="D601" s="264" t="s">
        <v>1737</v>
      </c>
      <c r="E601" s="262" t="s">
        <v>827</v>
      </c>
      <c r="F601" s="10"/>
      <c r="G601" s="31"/>
      <c r="H601" s="33"/>
      <c r="I601" s="183"/>
      <c r="J601" s="29"/>
      <c r="K601" s="24"/>
      <c r="L601" s="25"/>
      <c r="M601" s="69"/>
      <c r="N601" s="77"/>
      <c r="O601" s="73"/>
      <c r="P601" s="74"/>
      <c r="Q601" s="74"/>
      <c r="R601" s="75"/>
      <c r="S601" s="61"/>
      <c r="T601" s="60"/>
      <c r="U601" s="74"/>
      <c r="V601" s="76"/>
      <c r="W601" s="24"/>
      <c r="X601" s="25"/>
      <c r="Y601" s="77"/>
      <c r="Z601" s="106"/>
      <c r="AA601" s="73"/>
      <c r="AB601" s="88"/>
      <c r="AC601" s="116"/>
      <c r="AD601" s="74"/>
      <c r="AE601" s="76"/>
      <c r="AF601" s="24"/>
      <c r="AG601" s="25"/>
      <c r="AH601" s="77"/>
      <c r="AI601" s="77"/>
      <c r="AJ601" s="73"/>
      <c r="AK601" s="79"/>
      <c r="AL601" s="79"/>
      <c r="AM601" s="127"/>
      <c r="AN601" s="128"/>
      <c r="AO601" s="128"/>
      <c r="AP601" s="133"/>
      <c r="AQ601" s="127"/>
      <c r="AR601" s="134"/>
      <c r="AS601" s="132"/>
      <c r="AT601" s="10"/>
      <c r="AU601" s="10"/>
      <c r="AV601" s="167"/>
      <c r="AW601" s="280"/>
      <c r="AX601" s="29"/>
      <c r="AY601" s="24"/>
      <c r="AZ601" s="25"/>
      <c r="BA601" s="24"/>
      <c r="BB601" s="281"/>
      <c r="BC601" s="170"/>
      <c r="BD601" s="10">
        <v>41691</v>
      </c>
      <c r="BE601" s="10"/>
      <c r="BF601" s="10"/>
      <c r="BG601" s="10"/>
      <c r="BH601" s="10"/>
      <c r="BI601" s="76"/>
      <c r="BJ601" s="24"/>
      <c r="BK601" s="25"/>
      <c r="BL601" s="309" t="s">
        <v>894</v>
      </c>
      <c r="BM601" s="293"/>
      <c r="BN601" s="293"/>
      <c r="BO601" s="293"/>
      <c r="BP601" s="293"/>
      <c r="BQ601" s="293"/>
      <c r="BR601" s="293"/>
      <c r="BS601" s="293"/>
      <c r="BT601" s="293"/>
    </row>
    <row r="602" spans="1:72" s="1" customFormat="1" ht="34.35" customHeight="1">
      <c r="A602" s="91"/>
      <c r="B602" s="358" t="s">
        <v>2794</v>
      </c>
      <c r="C602" s="50" t="s">
        <v>1770</v>
      </c>
      <c r="D602" s="264" t="s">
        <v>1738</v>
      </c>
      <c r="E602" s="262" t="s">
        <v>1399</v>
      </c>
      <c r="F602" s="10"/>
      <c r="G602" s="31"/>
      <c r="H602" s="33"/>
      <c r="I602" s="183"/>
      <c r="J602" s="29"/>
      <c r="K602" s="24"/>
      <c r="L602" s="25"/>
      <c r="M602" s="69"/>
      <c r="N602" s="77"/>
      <c r="O602" s="73"/>
      <c r="P602" s="74"/>
      <c r="Q602" s="74"/>
      <c r="R602" s="75"/>
      <c r="S602" s="61"/>
      <c r="T602" s="60"/>
      <c r="U602" s="74"/>
      <c r="V602" s="76"/>
      <c r="W602" s="24"/>
      <c r="X602" s="25"/>
      <c r="Y602" s="77"/>
      <c r="Z602" s="106"/>
      <c r="AA602" s="73"/>
      <c r="AB602" s="88"/>
      <c r="AC602" s="116"/>
      <c r="AD602" s="74"/>
      <c r="AE602" s="76"/>
      <c r="AF602" s="24"/>
      <c r="AG602" s="25"/>
      <c r="AH602" s="77"/>
      <c r="AI602" s="77"/>
      <c r="AJ602" s="73"/>
      <c r="AK602" s="79"/>
      <c r="AL602" s="79"/>
      <c r="AM602" s="127"/>
      <c r="AN602" s="128"/>
      <c r="AO602" s="128"/>
      <c r="AP602" s="133"/>
      <c r="AQ602" s="127"/>
      <c r="AR602" s="134"/>
      <c r="AS602" s="132"/>
      <c r="AT602" s="10"/>
      <c r="AU602" s="10"/>
      <c r="AV602" s="167"/>
      <c r="AW602" s="280"/>
      <c r="AX602" s="29"/>
      <c r="AY602" s="24"/>
      <c r="AZ602" s="25"/>
      <c r="BA602" s="24"/>
      <c r="BB602" s="281"/>
      <c r="BC602" s="170"/>
      <c r="BD602" s="10">
        <v>72730</v>
      </c>
      <c r="BE602" s="10"/>
      <c r="BF602" s="10"/>
      <c r="BG602" s="10"/>
      <c r="BH602" s="10"/>
      <c r="BI602" s="76"/>
      <c r="BJ602" s="24"/>
      <c r="BK602" s="25"/>
      <c r="BL602" s="310" t="s">
        <v>807</v>
      </c>
      <c r="BM602" s="293"/>
      <c r="BN602" s="293"/>
      <c r="BO602" s="293"/>
      <c r="BP602" s="293"/>
      <c r="BQ602" s="293"/>
      <c r="BR602" s="293"/>
      <c r="BS602" s="293"/>
      <c r="BT602" s="293"/>
    </row>
    <row r="603" spans="1:72" s="1" customFormat="1" ht="34.35" customHeight="1">
      <c r="A603" s="91"/>
      <c r="B603" s="358" t="s">
        <v>2795</v>
      </c>
      <c r="C603" s="50" t="s">
        <v>1771</v>
      </c>
      <c r="D603" s="264" t="s">
        <v>1739</v>
      </c>
      <c r="E603" s="262" t="s">
        <v>1399</v>
      </c>
      <c r="F603" s="10"/>
      <c r="G603" s="31"/>
      <c r="H603" s="33"/>
      <c r="I603" s="183"/>
      <c r="J603" s="29"/>
      <c r="K603" s="24"/>
      <c r="L603" s="25"/>
      <c r="M603" s="69"/>
      <c r="N603" s="77"/>
      <c r="O603" s="73"/>
      <c r="P603" s="74"/>
      <c r="Q603" s="74"/>
      <c r="R603" s="75"/>
      <c r="S603" s="61"/>
      <c r="T603" s="60"/>
      <c r="U603" s="74"/>
      <c r="V603" s="76"/>
      <c r="W603" s="24"/>
      <c r="X603" s="25"/>
      <c r="Y603" s="77"/>
      <c r="Z603" s="106"/>
      <c r="AA603" s="73"/>
      <c r="AB603" s="88"/>
      <c r="AC603" s="116"/>
      <c r="AD603" s="74"/>
      <c r="AE603" s="76"/>
      <c r="AF603" s="24"/>
      <c r="AG603" s="25"/>
      <c r="AH603" s="77"/>
      <c r="AI603" s="77"/>
      <c r="AJ603" s="73"/>
      <c r="AK603" s="79"/>
      <c r="AL603" s="79"/>
      <c r="AM603" s="127"/>
      <c r="AN603" s="128"/>
      <c r="AO603" s="128"/>
      <c r="AP603" s="133"/>
      <c r="AQ603" s="127"/>
      <c r="AR603" s="134"/>
      <c r="AS603" s="132"/>
      <c r="AT603" s="10"/>
      <c r="AU603" s="10"/>
      <c r="AV603" s="167"/>
      <c r="AW603" s="280"/>
      <c r="AX603" s="29"/>
      <c r="AY603" s="24"/>
      <c r="AZ603" s="25"/>
      <c r="BA603" s="24"/>
      <c r="BB603" s="281"/>
      <c r="BC603" s="170"/>
      <c r="BD603" s="10">
        <v>15283</v>
      </c>
      <c r="BE603" s="10"/>
      <c r="BF603" s="10"/>
      <c r="BG603" s="10"/>
      <c r="BH603" s="10"/>
      <c r="BI603" s="76"/>
      <c r="BJ603" s="24"/>
      <c r="BK603" s="25"/>
      <c r="BL603" s="310" t="s">
        <v>807</v>
      </c>
      <c r="BM603" s="293"/>
      <c r="BN603" s="293"/>
      <c r="BO603" s="293"/>
      <c r="BP603" s="293"/>
      <c r="BQ603" s="293"/>
      <c r="BR603" s="293"/>
      <c r="BS603" s="293"/>
      <c r="BT603" s="293"/>
    </row>
    <row r="604" spans="1:72" s="1" customFormat="1" ht="34.35" customHeight="1">
      <c r="A604" s="91"/>
      <c r="B604" s="358" t="s">
        <v>2796</v>
      </c>
      <c r="C604" s="50" t="s">
        <v>1772</v>
      </c>
      <c r="D604" s="264" t="s">
        <v>1740</v>
      </c>
      <c r="E604" s="262" t="s">
        <v>1399</v>
      </c>
      <c r="F604" s="10"/>
      <c r="G604" s="31"/>
      <c r="H604" s="33"/>
      <c r="I604" s="183"/>
      <c r="J604" s="29"/>
      <c r="K604" s="24"/>
      <c r="L604" s="25"/>
      <c r="M604" s="69"/>
      <c r="N604" s="77"/>
      <c r="O604" s="73"/>
      <c r="P604" s="74"/>
      <c r="Q604" s="74"/>
      <c r="R604" s="75"/>
      <c r="S604" s="61"/>
      <c r="T604" s="60"/>
      <c r="U604" s="74"/>
      <c r="V604" s="76"/>
      <c r="W604" s="24"/>
      <c r="X604" s="25"/>
      <c r="Y604" s="77"/>
      <c r="Z604" s="106"/>
      <c r="AA604" s="73"/>
      <c r="AB604" s="88"/>
      <c r="AC604" s="116"/>
      <c r="AD604" s="74"/>
      <c r="AE604" s="76"/>
      <c r="AF604" s="24"/>
      <c r="AG604" s="25"/>
      <c r="AH604" s="77"/>
      <c r="AI604" s="77"/>
      <c r="AJ604" s="73"/>
      <c r="AK604" s="79"/>
      <c r="AL604" s="79"/>
      <c r="AM604" s="127"/>
      <c r="AN604" s="128"/>
      <c r="AO604" s="128"/>
      <c r="AP604" s="133"/>
      <c r="AQ604" s="127"/>
      <c r="AR604" s="134"/>
      <c r="AS604" s="132"/>
      <c r="AT604" s="10"/>
      <c r="AU604" s="10"/>
      <c r="AV604" s="167"/>
      <c r="AW604" s="280"/>
      <c r="AX604" s="29"/>
      <c r="AY604" s="24"/>
      <c r="AZ604" s="25"/>
      <c r="BA604" s="24"/>
      <c r="BB604" s="281"/>
      <c r="BC604" s="170"/>
      <c r="BD604" s="10">
        <v>22933</v>
      </c>
      <c r="BE604" s="10"/>
      <c r="BF604" s="10"/>
      <c r="BG604" s="10"/>
      <c r="BH604" s="10"/>
      <c r="BI604" s="76"/>
      <c r="BJ604" s="24"/>
      <c r="BK604" s="25"/>
      <c r="BL604" s="310" t="s">
        <v>807</v>
      </c>
      <c r="BM604" s="293"/>
      <c r="BN604" s="293"/>
      <c r="BO604" s="293"/>
      <c r="BP604" s="293"/>
      <c r="BQ604" s="293"/>
      <c r="BR604" s="293"/>
      <c r="BS604" s="293"/>
      <c r="BT604" s="293"/>
    </row>
    <row r="605" spans="1:72" s="1" customFormat="1" ht="34.35" customHeight="1">
      <c r="A605" s="91"/>
      <c r="B605" s="358" t="s">
        <v>2797</v>
      </c>
      <c r="C605" s="50" t="s">
        <v>1773</v>
      </c>
      <c r="D605" s="264" t="s">
        <v>1741</v>
      </c>
      <c r="E605" s="262" t="s">
        <v>1399</v>
      </c>
      <c r="F605" s="10"/>
      <c r="G605" s="31"/>
      <c r="H605" s="33"/>
      <c r="I605" s="183"/>
      <c r="J605" s="29"/>
      <c r="K605" s="24"/>
      <c r="L605" s="25"/>
      <c r="M605" s="69"/>
      <c r="N605" s="77"/>
      <c r="O605" s="73"/>
      <c r="P605" s="74"/>
      <c r="Q605" s="74"/>
      <c r="R605" s="75"/>
      <c r="S605" s="61"/>
      <c r="T605" s="60"/>
      <c r="U605" s="74"/>
      <c r="V605" s="76"/>
      <c r="W605" s="24"/>
      <c r="X605" s="25"/>
      <c r="Y605" s="77"/>
      <c r="Z605" s="106"/>
      <c r="AA605" s="73"/>
      <c r="AB605" s="88"/>
      <c r="AC605" s="116"/>
      <c r="AD605" s="74"/>
      <c r="AE605" s="76"/>
      <c r="AF605" s="24"/>
      <c r="AG605" s="25"/>
      <c r="AH605" s="77"/>
      <c r="AI605" s="77"/>
      <c r="AJ605" s="73"/>
      <c r="AK605" s="79"/>
      <c r="AL605" s="79"/>
      <c r="AM605" s="127"/>
      <c r="AN605" s="128"/>
      <c r="AO605" s="128"/>
      <c r="AP605" s="133"/>
      <c r="AQ605" s="127"/>
      <c r="AR605" s="134"/>
      <c r="AS605" s="132"/>
      <c r="AT605" s="10"/>
      <c r="AU605" s="10"/>
      <c r="AV605" s="167"/>
      <c r="AW605" s="280"/>
      <c r="AX605" s="29"/>
      <c r="AY605" s="24"/>
      <c r="AZ605" s="25"/>
      <c r="BA605" s="24"/>
      <c r="BB605" s="281"/>
      <c r="BC605" s="170"/>
      <c r="BD605" s="10">
        <v>49646</v>
      </c>
      <c r="BE605" s="10"/>
      <c r="BF605" s="10"/>
      <c r="BG605" s="10"/>
      <c r="BH605" s="10"/>
      <c r="BI605" s="76"/>
      <c r="BJ605" s="24"/>
      <c r="BK605" s="25"/>
      <c r="BL605" s="309" t="s">
        <v>894</v>
      </c>
      <c r="BM605" s="293"/>
      <c r="BN605" s="293"/>
      <c r="BO605" s="293"/>
      <c r="BP605" s="293"/>
      <c r="BQ605" s="293"/>
      <c r="BR605" s="293"/>
      <c r="BS605" s="293"/>
      <c r="BT605" s="293"/>
    </row>
    <row r="606" spans="1:72" s="1" customFormat="1" ht="34.35" customHeight="1">
      <c r="A606" s="91"/>
      <c r="B606" s="358" t="s">
        <v>2798</v>
      </c>
      <c r="C606" s="50" t="s">
        <v>1774</v>
      </c>
      <c r="D606" s="264" t="s">
        <v>1742</v>
      </c>
      <c r="E606" s="262" t="s">
        <v>1399</v>
      </c>
      <c r="F606" s="10"/>
      <c r="G606" s="31"/>
      <c r="H606" s="33"/>
      <c r="I606" s="183"/>
      <c r="J606" s="29"/>
      <c r="K606" s="24"/>
      <c r="L606" s="25"/>
      <c r="M606" s="69"/>
      <c r="N606" s="77"/>
      <c r="O606" s="73"/>
      <c r="P606" s="74"/>
      <c r="Q606" s="74"/>
      <c r="R606" s="75"/>
      <c r="S606" s="61"/>
      <c r="T606" s="60"/>
      <c r="U606" s="74"/>
      <c r="V606" s="76"/>
      <c r="W606" s="24"/>
      <c r="X606" s="25"/>
      <c r="Y606" s="77"/>
      <c r="Z606" s="106"/>
      <c r="AA606" s="73"/>
      <c r="AB606" s="88"/>
      <c r="AC606" s="116"/>
      <c r="AD606" s="74"/>
      <c r="AE606" s="76"/>
      <c r="AF606" s="24"/>
      <c r="AG606" s="25"/>
      <c r="AH606" s="77"/>
      <c r="AI606" s="77"/>
      <c r="AJ606" s="73"/>
      <c r="AK606" s="79"/>
      <c r="AL606" s="79"/>
      <c r="AM606" s="127"/>
      <c r="AN606" s="128"/>
      <c r="AO606" s="128"/>
      <c r="AP606" s="133"/>
      <c r="AQ606" s="127"/>
      <c r="AR606" s="134"/>
      <c r="AS606" s="132"/>
      <c r="AT606" s="10"/>
      <c r="AU606" s="10"/>
      <c r="AV606" s="167"/>
      <c r="AW606" s="280"/>
      <c r="AX606" s="29"/>
      <c r="AY606" s="24"/>
      <c r="AZ606" s="25"/>
      <c r="BA606" s="24"/>
      <c r="BB606" s="281"/>
      <c r="BC606" s="170"/>
      <c r="BD606" s="10">
        <v>55435</v>
      </c>
      <c r="BE606" s="10"/>
      <c r="BF606" s="10"/>
      <c r="BG606" s="10"/>
      <c r="BH606" s="10"/>
      <c r="BI606" s="76"/>
      <c r="BJ606" s="24"/>
      <c r="BK606" s="25"/>
      <c r="BL606" s="309" t="s">
        <v>894</v>
      </c>
      <c r="BM606" s="293"/>
      <c r="BN606" s="293"/>
      <c r="BO606" s="293"/>
      <c r="BP606" s="293"/>
      <c r="BQ606" s="293"/>
      <c r="BR606" s="293"/>
      <c r="BS606" s="293"/>
      <c r="BT606" s="293"/>
    </row>
    <row r="607" spans="1:72" s="1" customFormat="1" ht="34.35" customHeight="1">
      <c r="A607" s="91"/>
      <c r="B607" s="358" t="s">
        <v>2799</v>
      </c>
      <c r="C607" s="50" t="s">
        <v>1775</v>
      </c>
      <c r="D607" s="264" t="s">
        <v>1743</v>
      </c>
      <c r="E607" s="262" t="s">
        <v>827</v>
      </c>
      <c r="F607" s="10"/>
      <c r="G607" s="31"/>
      <c r="H607" s="33"/>
      <c r="I607" s="183"/>
      <c r="J607" s="29"/>
      <c r="K607" s="24"/>
      <c r="L607" s="25"/>
      <c r="M607" s="69"/>
      <c r="N607" s="77"/>
      <c r="O607" s="73"/>
      <c r="P607" s="74"/>
      <c r="Q607" s="74"/>
      <c r="R607" s="75"/>
      <c r="S607" s="61"/>
      <c r="T607" s="60"/>
      <c r="U607" s="74"/>
      <c r="V607" s="76"/>
      <c r="W607" s="24"/>
      <c r="X607" s="25"/>
      <c r="Y607" s="77"/>
      <c r="Z607" s="106"/>
      <c r="AA607" s="73"/>
      <c r="AB607" s="88"/>
      <c r="AC607" s="116"/>
      <c r="AD607" s="74"/>
      <c r="AE607" s="76"/>
      <c r="AF607" s="24"/>
      <c r="AG607" s="25"/>
      <c r="AH607" s="77"/>
      <c r="AI607" s="77"/>
      <c r="AJ607" s="73"/>
      <c r="AK607" s="79"/>
      <c r="AL607" s="79"/>
      <c r="AM607" s="127"/>
      <c r="AN607" s="128"/>
      <c r="AO607" s="128"/>
      <c r="AP607" s="133"/>
      <c r="AQ607" s="127"/>
      <c r="AR607" s="134"/>
      <c r="AS607" s="132"/>
      <c r="AT607" s="10"/>
      <c r="AU607" s="10"/>
      <c r="AV607" s="167"/>
      <c r="AW607" s="280"/>
      <c r="AX607" s="29"/>
      <c r="AY607" s="24"/>
      <c r="AZ607" s="25"/>
      <c r="BA607" s="24"/>
      <c r="BB607" s="281"/>
      <c r="BC607" s="170"/>
      <c r="BD607" s="10">
        <v>37068</v>
      </c>
      <c r="BE607" s="10"/>
      <c r="BF607" s="10"/>
      <c r="BG607" s="10"/>
      <c r="BH607" s="10"/>
      <c r="BI607" s="76"/>
      <c r="BJ607" s="24"/>
      <c r="BK607" s="25"/>
      <c r="BL607" s="309" t="s">
        <v>894</v>
      </c>
      <c r="BM607" s="293"/>
      <c r="BN607" s="293"/>
      <c r="BO607" s="293"/>
      <c r="BP607" s="293"/>
      <c r="BQ607" s="293"/>
      <c r="BR607" s="293"/>
      <c r="BS607" s="293"/>
      <c r="BT607" s="293"/>
    </row>
    <row r="608" spans="1:72" s="1" customFormat="1" ht="34.35" customHeight="1">
      <c r="A608" s="91"/>
      <c r="B608" s="358" t="s">
        <v>2800</v>
      </c>
      <c r="C608" s="50" t="s">
        <v>1776</v>
      </c>
      <c r="D608" s="264" t="s">
        <v>1744</v>
      </c>
      <c r="E608" s="262" t="s">
        <v>827</v>
      </c>
      <c r="F608" s="10"/>
      <c r="G608" s="31"/>
      <c r="H608" s="33"/>
      <c r="I608" s="183"/>
      <c r="J608" s="29"/>
      <c r="K608" s="24"/>
      <c r="L608" s="25"/>
      <c r="M608" s="69"/>
      <c r="N608" s="77"/>
      <c r="O608" s="73"/>
      <c r="P608" s="74"/>
      <c r="Q608" s="74"/>
      <c r="R608" s="75"/>
      <c r="S608" s="61"/>
      <c r="T608" s="60"/>
      <c r="U608" s="74"/>
      <c r="V608" s="76"/>
      <c r="W608" s="24"/>
      <c r="X608" s="25"/>
      <c r="Y608" s="77"/>
      <c r="Z608" s="106"/>
      <c r="AA608" s="73"/>
      <c r="AB608" s="88"/>
      <c r="AC608" s="116"/>
      <c r="AD608" s="74"/>
      <c r="AE608" s="76"/>
      <c r="AF608" s="24"/>
      <c r="AG608" s="25"/>
      <c r="AH608" s="77"/>
      <c r="AI608" s="77"/>
      <c r="AJ608" s="73"/>
      <c r="AK608" s="79"/>
      <c r="AL608" s="79"/>
      <c r="AM608" s="127"/>
      <c r="AN608" s="128"/>
      <c r="AO608" s="128"/>
      <c r="AP608" s="133"/>
      <c r="AQ608" s="127"/>
      <c r="AR608" s="134"/>
      <c r="AS608" s="132"/>
      <c r="AT608" s="10"/>
      <c r="AU608" s="10"/>
      <c r="AV608" s="167"/>
      <c r="AW608" s="280"/>
      <c r="AX608" s="29"/>
      <c r="AY608" s="24"/>
      <c r="AZ608" s="25"/>
      <c r="BA608" s="24"/>
      <c r="BB608" s="281"/>
      <c r="BC608" s="170"/>
      <c r="BD608" s="10">
        <v>43798</v>
      </c>
      <c r="BE608" s="10"/>
      <c r="BF608" s="10"/>
      <c r="BG608" s="10"/>
      <c r="BH608" s="10"/>
      <c r="BI608" s="76"/>
      <c r="BJ608" s="24"/>
      <c r="BK608" s="25"/>
      <c r="BL608" s="259" t="s">
        <v>894</v>
      </c>
      <c r="BM608" s="10">
        <v>67842</v>
      </c>
      <c r="BN608" s="45"/>
      <c r="BO608" s="45"/>
      <c r="BP608" s="45">
        <v>120000</v>
      </c>
      <c r="BQ608" s="29">
        <f t="shared" ref="BQ608" si="766">AVERAGE(BN608,BO608,BP608)</f>
        <v>120000</v>
      </c>
      <c r="BR608" s="24">
        <f t="shared" ref="BR608" si="767">BQ608-BM608</f>
        <v>52158</v>
      </c>
      <c r="BS608" s="25">
        <f t="shared" ref="BS608" si="768">+BR608/BM608</f>
        <v>0.76881577783673827</v>
      </c>
      <c r="BT608" s="29">
        <f t="shared" ref="BT608" si="769">BP608</f>
        <v>120000</v>
      </c>
    </row>
    <row r="609" spans="1:72" s="1" customFormat="1" ht="34.35" customHeight="1">
      <c r="A609" s="91"/>
      <c r="B609" s="358" t="s">
        <v>2801</v>
      </c>
      <c r="C609" s="50" t="s">
        <v>1777</v>
      </c>
      <c r="D609" s="264" t="s">
        <v>1745</v>
      </c>
      <c r="E609" s="262" t="s">
        <v>1399</v>
      </c>
      <c r="F609" s="10"/>
      <c r="G609" s="31"/>
      <c r="H609" s="33"/>
      <c r="I609" s="183"/>
      <c r="J609" s="29"/>
      <c r="K609" s="24"/>
      <c r="L609" s="25"/>
      <c r="M609" s="69"/>
      <c r="N609" s="77"/>
      <c r="O609" s="73"/>
      <c r="P609" s="74"/>
      <c r="Q609" s="74"/>
      <c r="R609" s="75"/>
      <c r="S609" s="61"/>
      <c r="T609" s="60"/>
      <c r="U609" s="74"/>
      <c r="V609" s="76"/>
      <c r="W609" s="24"/>
      <c r="X609" s="25"/>
      <c r="Y609" s="77"/>
      <c r="Z609" s="106"/>
      <c r="AA609" s="73"/>
      <c r="AB609" s="88"/>
      <c r="AC609" s="116"/>
      <c r="AD609" s="74"/>
      <c r="AE609" s="76"/>
      <c r="AF609" s="24"/>
      <c r="AG609" s="25"/>
      <c r="AH609" s="77"/>
      <c r="AI609" s="77"/>
      <c r="AJ609" s="73"/>
      <c r="AK609" s="79"/>
      <c r="AL609" s="79"/>
      <c r="AM609" s="127"/>
      <c r="AN609" s="128"/>
      <c r="AO609" s="128"/>
      <c r="AP609" s="133"/>
      <c r="AQ609" s="127"/>
      <c r="AR609" s="134"/>
      <c r="AS609" s="132"/>
      <c r="AT609" s="10"/>
      <c r="AU609" s="10"/>
      <c r="AV609" s="167"/>
      <c r="AW609" s="280"/>
      <c r="AX609" s="29"/>
      <c r="AY609" s="24"/>
      <c r="AZ609" s="25"/>
      <c r="BA609" s="24"/>
      <c r="BB609" s="281"/>
      <c r="BC609" s="170"/>
      <c r="BD609" s="10">
        <v>61862</v>
      </c>
      <c r="BE609" s="10"/>
      <c r="BF609" s="10"/>
      <c r="BG609" s="10"/>
      <c r="BH609" s="10"/>
      <c r="BI609" s="76"/>
      <c r="BJ609" s="24"/>
      <c r="BK609" s="25"/>
      <c r="BL609" s="309" t="s">
        <v>894</v>
      </c>
      <c r="BM609" s="293"/>
      <c r="BN609" s="293"/>
      <c r="BO609" s="293"/>
      <c r="BP609" s="293"/>
      <c r="BQ609" s="293"/>
      <c r="BR609" s="293"/>
      <c r="BS609" s="293"/>
      <c r="BT609" s="293"/>
    </row>
    <row r="610" spans="1:72" s="1" customFormat="1" ht="34.35" customHeight="1">
      <c r="A610" s="91"/>
      <c r="B610" s="358" t="s">
        <v>2802</v>
      </c>
      <c r="C610" s="50" t="s">
        <v>1778</v>
      </c>
      <c r="D610" s="264" t="s">
        <v>1746</v>
      </c>
      <c r="E610" s="262" t="s">
        <v>1399</v>
      </c>
      <c r="F610" s="10"/>
      <c r="G610" s="31"/>
      <c r="H610" s="33"/>
      <c r="I610" s="183"/>
      <c r="J610" s="29"/>
      <c r="K610" s="24"/>
      <c r="L610" s="25"/>
      <c r="M610" s="69"/>
      <c r="N610" s="77"/>
      <c r="O610" s="73"/>
      <c r="P610" s="74"/>
      <c r="Q610" s="74"/>
      <c r="R610" s="75"/>
      <c r="S610" s="61"/>
      <c r="T610" s="60"/>
      <c r="U610" s="74"/>
      <c r="V610" s="76"/>
      <c r="W610" s="24"/>
      <c r="X610" s="25"/>
      <c r="Y610" s="77"/>
      <c r="Z610" s="106"/>
      <c r="AA610" s="73"/>
      <c r="AB610" s="88"/>
      <c r="AC610" s="116"/>
      <c r="AD610" s="74"/>
      <c r="AE610" s="76"/>
      <c r="AF610" s="24"/>
      <c r="AG610" s="25"/>
      <c r="AH610" s="77"/>
      <c r="AI610" s="77"/>
      <c r="AJ610" s="73"/>
      <c r="AK610" s="79"/>
      <c r="AL610" s="79"/>
      <c r="AM610" s="127"/>
      <c r="AN610" s="128"/>
      <c r="AO610" s="128"/>
      <c r="AP610" s="133"/>
      <c r="AQ610" s="127"/>
      <c r="AR610" s="134"/>
      <c r="AS610" s="132"/>
      <c r="AT610" s="10"/>
      <c r="AU610" s="10"/>
      <c r="AV610" s="167"/>
      <c r="AW610" s="280"/>
      <c r="AX610" s="29"/>
      <c r="AY610" s="24"/>
      <c r="AZ610" s="25"/>
      <c r="BA610" s="24"/>
      <c r="BB610" s="281"/>
      <c r="BC610" s="170"/>
      <c r="BD610" s="10">
        <v>55435</v>
      </c>
      <c r="BE610" s="10"/>
      <c r="BF610" s="10"/>
      <c r="BG610" s="10"/>
      <c r="BH610" s="10"/>
      <c r="BI610" s="76"/>
      <c r="BJ610" s="24"/>
      <c r="BK610" s="25"/>
      <c r="BL610" s="309" t="s">
        <v>894</v>
      </c>
      <c r="BM610" s="293"/>
      <c r="BN610" s="293"/>
      <c r="BO610" s="293"/>
      <c r="BP610" s="293"/>
      <c r="BQ610" s="293"/>
      <c r="BR610" s="293"/>
      <c r="BS610" s="293"/>
      <c r="BT610" s="293"/>
    </row>
    <row r="611" spans="1:72" s="1" customFormat="1" ht="34.35" customHeight="1">
      <c r="A611" s="91"/>
      <c r="B611" s="358" t="s">
        <v>2803</v>
      </c>
      <c r="C611" s="50" t="s">
        <v>1779</v>
      </c>
      <c r="D611" s="264" t="s">
        <v>1747</v>
      </c>
      <c r="E611" s="262" t="s">
        <v>1399</v>
      </c>
      <c r="F611" s="10"/>
      <c r="G611" s="31"/>
      <c r="H611" s="33"/>
      <c r="I611" s="183"/>
      <c r="J611" s="29"/>
      <c r="K611" s="24"/>
      <c r="L611" s="25"/>
      <c r="M611" s="69"/>
      <c r="N611" s="77"/>
      <c r="O611" s="73"/>
      <c r="P611" s="74"/>
      <c r="Q611" s="74"/>
      <c r="R611" s="75"/>
      <c r="S611" s="61"/>
      <c r="T611" s="60"/>
      <c r="U611" s="74"/>
      <c r="V611" s="76"/>
      <c r="W611" s="24"/>
      <c r="X611" s="25"/>
      <c r="Y611" s="77"/>
      <c r="Z611" s="106"/>
      <c r="AA611" s="73"/>
      <c r="AB611" s="88"/>
      <c r="AC611" s="116"/>
      <c r="AD611" s="74"/>
      <c r="AE611" s="76"/>
      <c r="AF611" s="24"/>
      <c r="AG611" s="25"/>
      <c r="AH611" s="77"/>
      <c r="AI611" s="77"/>
      <c r="AJ611" s="73"/>
      <c r="AK611" s="79"/>
      <c r="AL611" s="79"/>
      <c r="AM611" s="127"/>
      <c r="AN611" s="128"/>
      <c r="AO611" s="128"/>
      <c r="AP611" s="133"/>
      <c r="AQ611" s="127"/>
      <c r="AR611" s="134"/>
      <c r="AS611" s="132"/>
      <c r="AT611" s="10"/>
      <c r="AU611" s="10"/>
      <c r="AV611" s="167"/>
      <c r="AW611" s="280"/>
      <c r="AX611" s="29"/>
      <c r="AY611" s="24"/>
      <c r="AZ611" s="25"/>
      <c r="BA611" s="24"/>
      <c r="BB611" s="281"/>
      <c r="BC611" s="170"/>
      <c r="BD611" s="10">
        <v>35635</v>
      </c>
      <c r="BE611" s="10"/>
      <c r="BF611" s="10"/>
      <c r="BG611" s="10"/>
      <c r="BH611" s="10"/>
      <c r="BI611" s="76"/>
      <c r="BJ611" s="24"/>
      <c r="BK611" s="25"/>
      <c r="BL611" s="309" t="s">
        <v>894</v>
      </c>
      <c r="BM611" s="293"/>
      <c r="BN611" s="293"/>
      <c r="BO611" s="293"/>
      <c r="BP611" s="293"/>
      <c r="BQ611" s="293"/>
      <c r="BR611" s="293"/>
      <c r="BS611" s="293"/>
      <c r="BT611" s="293"/>
    </row>
    <row r="612" spans="1:72" s="1" customFormat="1" ht="34.35" customHeight="1">
      <c r="A612" s="91"/>
      <c r="B612" s="358" t="s">
        <v>2804</v>
      </c>
      <c r="C612" s="50" t="s">
        <v>1780</v>
      </c>
      <c r="D612" s="264" t="s">
        <v>1748</v>
      </c>
      <c r="E612" s="262" t="s">
        <v>1399</v>
      </c>
      <c r="F612" s="10"/>
      <c r="G612" s="31"/>
      <c r="H612" s="33"/>
      <c r="I612" s="183"/>
      <c r="J612" s="29"/>
      <c r="K612" s="24"/>
      <c r="L612" s="25"/>
      <c r="M612" s="69"/>
      <c r="N612" s="77"/>
      <c r="O612" s="73"/>
      <c r="P612" s="74"/>
      <c r="Q612" s="74"/>
      <c r="R612" s="75"/>
      <c r="S612" s="61"/>
      <c r="T612" s="60"/>
      <c r="U612" s="74"/>
      <c r="V612" s="76"/>
      <c r="W612" s="24"/>
      <c r="X612" s="25"/>
      <c r="Y612" s="77"/>
      <c r="Z612" s="106"/>
      <c r="AA612" s="73"/>
      <c r="AB612" s="88"/>
      <c r="AC612" s="116"/>
      <c r="AD612" s="74"/>
      <c r="AE612" s="76"/>
      <c r="AF612" s="24"/>
      <c r="AG612" s="25"/>
      <c r="AH612" s="77"/>
      <c r="AI612" s="77"/>
      <c r="AJ612" s="73"/>
      <c r="AK612" s="79"/>
      <c r="AL612" s="79"/>
      <c r="AM612" s="127"/>
      <c r="AN612" s="128"/>
      <c r="AO612" s="128"/>
      <c r="AP612" s="133"/>
      <c r="AQ612" s="127"/>
      <c r="AR612" s="134"/>
      <c r="AS612" s="132"/>
      <c r="AT612" s="10"/>
      <c r="AU612" s="10"/>
      <c r="AV612" s="167"/>
      <c r="AW612" s="280"/>
      <c r="AX612" s="29"/>
      <c r="AY612" s="24"/>
      <c r="AZ612" s="25"/>
      <c r="BA612" s="24"/>
      <c r="BB612" s="281"/>
      <c r="BC612" s="170"/>
      <c r="BD612" s="10">
        <v>56954</v>
      </c>
      <c r="BE612" s="10"/>
      <c r="BF612" s="10"/>
      <c r="BG612" s="10"/>
      <c r="BH612" s="10"/>
      <c r="BI612" s="76"/>
      <c r="BJ612" s="24"/>
      <c r="BK612" s="25"/>
      <c r="BL612" s="310" t="s">
        <v>807</v>
      </c>
      <c r="BM612" s="293"/>
      <c r="BN612" s="293"/>
      <c r="BO612" s="293"/>
      <c r="BP612" s="293"/>
      <c r="BQ612" s="293"/>
      <c r="BR612" s="293"/>
      <c r="BS612" s="293"/>
      <c r="BT612" s="293"/>
    </row>
    <row r="613" spans="1:72" s="1" customFormat="1" ht="34.35" customHeight="1">
      <c r="A613" s="91"/>
      <c r="B613" s="358" t="s">
        <v>2805</v>
      </c>
      <c r="C613" s="50" t="s">
        <v>1781</v>
      </c>
      <c r="D613" s="264" t="s">
        <v>1749</v>
      </c>
      <c r="E613" s="262" t="s">
        <v>1399</v>
      </c>
      <c r="F613" s="10"/>
      <c r="G613" s="31"/>
      <c r="H613" s="33"/>
      <c r="I613" s="183"/>
      <c r="J613" s="29"/>
      <c r="K613" s="24"/>
      <c r="L613" s="25"/>
      <c r="M613" s="69"/>
      <c r="N613" s="77"/>
      <c r="O613" s="73"/>
      <c r="P613" s="74"/>
      <c r="Q613" s="74"/>
      <c r="R613" s="75"/>
      <c r="S613" s="61"/>
      <c r="T613" s="60"/>
      <c r="U613" s="74"/>
      <c r="V613" s="76"/>
      <c r="W613" s="24"/>
      <c r="X613" s="25"/>
      <c r="Y613" s="77"/>
      <c r="Z613" s="106"/>
      <c r="AA613" s="73"/>
      <c r="AB613" s="88"/>
      <c r="AC613" s="116"/>
      <c r="AD613" s="74"/>
      <c r="AE613" s="76"/>
      <c r="AF613" s="24"/>
      <c r="AG613" s="25"/>
      <c r="AH613" s="77"/>
      <c r="AI613" s="77"/>
      <c r="AJ613" s="73"/>
      <c r="AK613" s="79"/>
      <c r="AL613" s="79"/>
      <c r="AM613" s="127"/>
      <c r="AN613" s="128"/>
      <c r="AO613" s="128"/>
      <c r="AP613" s="133"/>
      <c r="AQ613" s="127"/>
      <c r="AR613" s="134"/>
      <c r="AS613" s="132"/>
      <c r="AT613" s="10"/>
      <c r="AU613" s="10"/>
      <c r="AV613" s="167"/>
      <c r="AW613" s="280"/>
      <c r="AX613" s="29"/>
      <c r="AY613" s="24"/>
      <c r="AZ613" s="25"/>
      <c r="BA613" s="24"/>
      <c r="BB613" s="281"/>
      <c r="BC613" s="170"/>
      <c r="BD613" s="10">
        <v>132419</v>
      </c>
      <c r="BE613" s="10"/>
      <c r="BF613" s="10"/>
      <c r="BG613" s="10"/>
      <c r="BH613" s="10"/>
      <c r="BI613" s="76"/>
      <c r="BJ613" s="24"/>
      <c r="BK613" s="25"/>
      <c r="BL613" s="310" t="s">
        <v>807</v>
      </c>
      <c r="BM613" s="293"/>
      <c r="BN613" s="293"/>
      <c r="BO613" s="293"/>
      <c r="BP613" s="293"/>
      <c r="BQ613" s="293"/>
      <c r="BR613" s="293"/>
      <c r="BS613" s="293"/>
      <c r="BT613" s="293"/>
    </row>
    <row r="614" spans="1:72" s="1" customFormat="1" ht="34.35" customHeight="1">
      <c r="A614" s="91"/>
      <c r="B614" s="358" t="s">
        <v>2806</v>
      </c>
      <c r="C614" s="50" t="s">
        <v>1782</v>
      </c>
      <c r="D614" s="264" t="s">
        <v>1749</v>
      </c>
      <c r="E614" s="262" t="s">
        <v>827</v>
      </c>
      <c r="F614" s="10"/>
      <c r="G614" s="31"/>
      <c r="H614" s="33"/>
      <c r="I614" s="183"/>
      <c r="J614" s="29"/>
      <c r="K614" s="24"/>
      <c r="L614" s="25"/>
      <c r="M614" s="69"/>
      <c r="N614" s="77"/>
      <c r="O614" s="73"/>
      <c r="P614" s="74"/>
      <c r="Q614" s="74"/>
      <c r="R614" s="75"/>
      <c r="S614" s="61"/>
      <c r="T614" s="60"/>
      <c r="U614" s="74"/>
      <c r="V614" s="76"/>
      <c r="W614" s="24"/>
      <c r="X614" s="25"/>
      <c r="Y614" s="77"/>
      <c r="Z614" s="106"/>
      <c r="AA614" s="73"/>
      <c r="AB614" s="88"/>
      <c r="AC614" s="116"/>
      <c r="AD614" s="74"/>
      <c r="AE614" s="76"/>
      <c r="AF614" s="24"/>
      <c r="AG614" s="25"/>
      <c r="AH614" s="77"/>
      <c r="AI614" s="77"/>
      <c r="AJ614" s="73"/>
      <c r="AK614" s="79"/>
      <c r="AL614" s="79"/>
      <c r="AM614" s="127"/>
      <c r="AN614" s="128"/>
      <c r="AO614" s="128"/>
      <c r="AP614" s="133"/>
      <c r="AQ614" s="127"/>
      <c r="AR614" s="134"/>
      <c r="AS614" s="132"/>
      <c r="AT614" s="10"/>
      <c r="AU614" s="10"/>
      <c r="AV614" s="167"/>
      <c r="AW614" s="280"/>
      <c r="AX614" s="29"/>
      <c r="AY614" s="24"/>
      <c r="AZ614" s="25"/>
      <c r="BA614" s="24"/>
      <c r="BB614" s="281"/>
      <c r="BC614" s="170"/>
      <c r="BD614" s="10">
        <v>35834</v>
      </c>
      <c r="BE614" s="10"/>
      <c r="BF614" s="10"/>
      <c r="BG614" s="10"/>
      <c r="BH614" s="10"/>
      <c r="BI614" s="76"/>
      <c r="BJ614" s="24"/>
      <c r="BK614" s="25"/>
      <c r="BL614" s="310" t="s">
        <v>807</v>
      </c>
      <c r="BM614" s="293"/>
      <c r="BN614" s="293"/>
      <c r="BO614" s="293"/>
      <c r="BP614" s="293"/>
      <c r="BQ614" s="293"/>
      <c r="BR614" s="293"/>
      <c r="BS614" s="293"/>
      <c r="BT614" s="293"/>
    </row>
    <row r="615" spans="1:72" s="1" customFormat="1" ht="34.35" customHeight="1">
      <c r="A615" s="91"/>
      <c r="B615" s="358" t="s">
        <v>2807</v>
      </c>
      <c r="C615" s="50" t="s">
        <v>1783</v>
      </c>
      <c r="D615" s="264" t="s">
        <v>1750</v>
      </c>
      <c r="E615" s="262" t="s">
        <v>1399</v>
      </c>
      <c r="F615" s="10"/>
      <c r="G615" s="31"/>
      <c r="H615" s="33"/>
      <c r="I615" s="183"/>
      <c r="J615" s="29"/>
      <c r="K615" s="24"/>
      <c r="L615" s="25"/>
      <c r="M615" s="69"/>
      <c r="N615" s="77"/>
      <c r="O615" s="73"/>
      <c r="P615" s="74"/>
      <c r="Q615" s="74"/>
      <c r="R615" s="75"/>
      <c r="S615" s="61"/>
      <c r="T615" s="60"/>
      <c r="U615" s="74"/>
      <c r="V615" s="76"/>
      <c r="W615" s="24"/>
      <c r="X615" s="25"/>
      <c r="Y615" s="77"/>
      <c r="Z615" s="106"/>
      <c r="AA615" s="73"/>
      <c r="AB615" s="88"/>
      <c r="AC615" s="116"/>
      <c r="AD615" s="74"/>
      <c r="AE615" s="76"/>
      <c r="AF615" s="24"/>
      <c r="AG615" s="25"/>
      <c r="AH615" s="77"/>
      <c r="AI615" s="77"/>
      <c r="AJ615" s="73"/>
      <c r="AK615" s="79"/>
      <c r="AL615" s="79"/>
      <c r="AM615" s="127"/>
      <c r="AN615" s="128"/>
      <c r="AO615" s="128"/>
      <c r="AP615" s="133"/>
      <c r="AQ615" s="127"/>
      <c r="AR615" s="134"/>
      <c r="AS615" s="132"/>
      <c r="AT615" s="10"/>
      <c r="AU615" s="10"/>
      <c r="AV615" s="167"/>
      <c r="AW615" s="280"/>
      <c r="AX615" s="29"/>
      <c r="AY615" s="24"/>
      <c r="AZ615" s="25"/>
      <c r="BA615" s="24"/>
      <c r="BB615" s="281"/>
      <c r="BC615" s="170"/>
      <c r="BD615" s="10">
        <v>78027</v>
      </c>
      <c r="BE615" s="10"/>
      <c r="BF615" s="10"/>
      <c r="BG615" s="10"/>
      <c r="BH615" s="10">
        <v>380000</v>
      </c>
      <c r="BI615" s="76">
        <f t="shared" ref="BI615:BI619" si="770">AVERAGE(BE615,BF615,BG615,BH615)</f>
        <v>380000</v>
      </c>
      <c r="BJ615" s="24">
        <f t="shared" si="764"/>
        <v>301973</v>
      </c>
      <c r="BK615" s="25">
        <f t="shared" si="750"/>
        <v>3.8701090648108987</v>
      </c>
      <c r="BL615" s="309">
        <f t="shared" ref="BL615" si="771">BI615</f>
        <v>380000</v>
      </c>
      <c r="BM615" s="293"/>
      <c r="BN615" s="293"/>
      <c r="BO615" s="293"/>
      <c r="BP615" s="293"/>
      <c r="BQ615" s="293"/>
      <c r="BR615" s="293"/>
      <c r="BS615" s="293"/>
      <c r="BT615" s="293"/>
    </row>
    <row r="616" spans="1:72" s="1" customFormat="1" ht="34.35" customHeight="1">
      <c r="A616" s="91"/>
      <c r="B616" s="358" t="s">
        <v>2808</v>
      </c>
      <c r="C616" s="50" t="s">
        <v>1784</v>
      </c>
      <c r="D616" s="264" t="s">
        <v>1751</v>
      </c>
      <c r="E616" s="262" t="s">
        <v>1399</v>
      </c>
      <c r="F616" s="10"/>
      <c r="G616" s="31"/>
      <c r="H616" s="33"/>
      <c r="I616" s="183"/>
      <c r="J616" s="29"/>
      <c r="K616" s="24"/>
      <c r="L616" s="25"/>
      <c r="M616" s="69"/>
      <c r="N616" s="77"/>
      <c r="O616" s="73"/>
      <c r="P616" s="74"/>
      <c r="Q616" s="74"/>
      <c r="R616" s="75"/>
      <c r="S616" s="61"/>
      <c r="T616" s="60"/>
      <c r="U616" s="74"/>
      <c r="V616" s="76"/>
      <c r="W616" s="24"/>
      <c r="X616" s="25"/>
      <c r="Y616" s="77"/>
      <c r="Z616" s="106"/>
      <c r="AA616" s="73"/>
      <c r="AB616" s="88"/>
      <c r="AC616" s="116"/>
      <c r="AD616" s="74"/>
      <c r="AE616" s="76"/>
      <c r="AF616" s="24"/>
      <c r="AG616" s="25"/>
      <c r="AH616" s="77"/>
      <c r="AI616" s="77"/>
      <c r="AJ616" s="73"/>
      <c r="AK616" s="79"/>
      <c r="AL616" s="79"/>
      <c r="AM616" s="127"/>
      <c r="AN616" s="128"/>
      <c r="AO616" s="128"/>
      <c r="AP616" s="133"/>
      <c r="AQ616" s="127"/>
      <c r="AR616" s="134"/>
      <c r="AS616" s="132"/>
      <c r="AT616" s="10"/>
      <c r="AU616" s="10"/>
      <c r="AV616" s="167"/>
      <c r="AW616" s="280"/>
      <c r="AX616" s="29"/>
      <c r="AY616" s="24"/>
      <c r="AZ616" s="25"/>
      <c r="BA616" s="24"/>
      <c r="BB616" s="281"/>
      <c r="BC616" s="170"/>
      <c r="BD616" s="10">
        <v>72854</v>
      </c>
      <c r="BE616" s="10"/>
      <c r="BF616" s="10"/>
      <c r="BG616" s="10"/>
      <c r="BH616" s="10"/>
      <c r="BI616" s="76"/>
      <c r="BJ616" s="24"/>
      <c r="BK616" s="25"/>
      <c r="BL616" s="309" t="s">
        <v>894</v>
      </c>
      <c r="BM616" s="293"/>
      <c r="BN616" s="293"/>
      <c r="BO616" s="293"/>
      <c r="BP616" s="293"/>
      <c r="BQ616" s="293"/>
      <c r="BR616" s="293"/>
      <c r="BS616" s="293"/>
      <c r="BT616" s="293"/>
    </row>
    <row r="617" spans="1:72" s="1" customFormat="1" ht="34.35" customHeight="1">
      <c r="A617" s="91"/>
      <c r="B617" s="358" t="s">
        <v>2809</v>
      </c>
      <c r="C617" s="50" t="s">
        <v>1785</v>
      </c>
      <c r="D617" s="264" t="s">
        <v>1752</v>
      </c>
      <c r="E617" s="262" t="s">
        <v>1466</v>
      </c>
      <c r="F617" s="10"/>
      <c r="G617" s="31"/>
      <c r="H617" s="33"/>
      <c r="I617" s="183"/>
      <c r="J617" s="29"/>
      <c r="K617" s="24"/>
      <c r="L617" s="25"/>
      <c r="M617" s="69"/>
      <c r="N617" s="77"/>
      <c r="O617" s="73"/>
      <c r="P617" s="74"/>
      <c r="Q617" s="74"/>
      <c r="R617" s="75"/>
      <c r="S617" s="61"/>
      <c r="T617" s="60"/>
      <c r="U617" s="74"/>
      <c r="V617" s="76"/>
      <c r="W617" s="24"/>
      <c r="X617" s="25"/>
      <c r="Y617" s="77"/>
      <c r="Z617" s="106"/>
      <c r="AA617" s="73"/>
      <c r="AB617" s="88"/>
      <c r="AC617" s="116"/>
      <c r="AD617" s="74"/>
      <c r="AE617" s="76"/>
      <c r="AF617" s="24"/>
      <c r="AG617" s="25"/>
      <c r="AH617" s="77"/>
      <c r="AI617" s="77"/>
      <c r="AJ617" s="73"/>
      <c r="AK617" s="79"/>
      <c r="AL617" s="79"/>
      <c r="AM617" s="127"/>
      <c r="AN617" s="128"/>
      <c r="AO617" s="128"/>
      <c r="AP617" s="133"/>
      <c r="AQ617" s="127"/>
      <c r="AR617" s="134"/>
      <c r="AS617" s="132"/>
      <c r="AT617" s="10"/>
      <c r="AU617" s="10"/>
      <c r="AV617" s="167"/>
      <c r="AW617" s="280"/>
      <c r="AX617" s="29"/>
      <c r="AY617" s="24"/>
      <c r="AZ617" s="25"/>
      <c r="BA617" s="24"/>
      <c r="BB617" s="281"/>
      <c r="BC617" s="170"/>
      <c r="BD617" s="10">
        <v>143106</v>
      </c>
      <c r="BE617" s="10"/>
      <c r="BF617" s="10"/>
      <c r="BG617" s="10"/>
      <c r="BH617" s="10"/>
      <c r="BI617" s="76"/>
      <c r="BJ617" s="24"/>
      <c r="BK617" s="25"/>
      <c r="BL617" s="310" t="s">
        <v>807</v>
      </c>
      <c r="BM617" s="293"/>
      <c r="BN617" s="293"/>
      <c r="BO617" s="293"/>
      <c r="BP617" s="293"/>
      <c r="BQ617" s="293"/>
      <c r="BR617" s="293"/>
      <c r="BS617" s="293"/>
      <c r="BT617" s="293"/>
    </row>
    <row r="618" spans="1:72" s="1" customFormat="1" ht="34.35" customHeight="1">
      <c r="A618" s="91"/>
      <c r="B618" s="358" t="s">
        <v>2810</v>
      </c>
      <c r="C618" s="50" t="s">
        <v>1786</v>
      </c>
      <c r="D618" s="264" t="s">
        <v>1753</v>
      </c>
      <c r="E618" s="262" t="s">
        <v>1466</v>
      </c>
      <c r="F618" s="10"/>
      <c r="G618" s="31"/>
      <c r="H618" s="33"/>
      <c r="I618" s="183"/>
      <c r="J618" s="29"/>
      <c r="K618" s="24"/>
      <c r="L618" s="25"/>
      <c r="M618" s="69"/>
      <c r="N618" s="77"/>
      <c r="O618" s="73"/>
      <c r="P618" s="74"/>
      <c r="Q618" s="74"/>
      <c r="R618" s="75"/>
      <c r="S618" s="61"/>
      <c r="T618" s="60"/>
      <c r="U618" s="74"/>
      <c r="V618" s="76"/>
      <c r="W618" s="24"/>
      <c r="X618" s="25"/>
      <c r="Y618" s="77"/>
      <c r="Z618" s="106"/>
      <c r="AA618" s="73"/>
      <c r="AB618" s="88"/>
      <c r="AC618" s="116"/>
      <c r="AD618" s="74"/>
      <c r="AE618" s="76"/>
      <c r="AF618" s="24"/>
      <c r="AG618" s="25"/>
      <c r="AH618" s="77"/>
      <c r="AI618" s="77"/>
      <c r="AJ618" s="73"/>
      <c r="AK618" s="79"/>
      <c r="AL618" s="79"/>
      <c r="AM618" s="127"/>
      <c r="AN618" s="128"/>
      <c r="AO618" s="128"/>
      <c r="AP618" s="133"/>
      <c r="AQ618" s="127"/>
      <c r="AR618" s="134"/>
      <c r="AS618" s="132"/>
      <c r="AT618" s="10"/>
      <c r="AU618" s="10"/>
      <c r="AV618" s="167"/>
      <c r="AW618" s="280"/>
      <c r="AX618" s="29"/>
      <c r="AY618" s="24"/>
      <c r="AZ618" s="25"/>
      <c r="BA618" s="24"/>
      <c r="BB618" s="281"/>
      <c r="BC618" s="170"/>
      <c r="BD618" s="10">
        <v>166535</v>
      </c>
      <c r="BE618" s="10"/>
      <c r="BF618" s="10"/>
      <c r="BG618" s="10"/>
      <c r="BH618" s="10"/>
      <c r="BI618" s="76"/>
      <c r="BJ618" s="24"/>
      <c r="BK618" s="25"/>
      <c r="BL618" s="310" t="s">
        <v>807</v>
      </c>
      <c r="BM618" s="293"/>
      <c r="BN618" s="293"/>
      <c r="BO618" s="293"/>
      <c r="BP618" s="293"/>
      <c r="BQ618" s="293"/>
      <c r="BR618" s="293"/>
      <c r="BS618" s="293"/>
      <c r="BT618" s="293"/>
    </row>
    <row r="619" spans="1:72" s="1" customFormat="1" ht="34.35" customHeight="1">
      <c r="A619" s="91"/>
      <c r="B619" s="358" t="s">
        <v>2811</v>
      </c>
      <c r="C619" s="50" t="s">
        <v>1787</v>
      </c>
      <c r="D619" s="264" t="s">
        <v>1754</v>
      </c>
      <c r="E619" s="262" t="s">
        <v>1466</v>
      </c>
      <c r="F619" s="10"/>
      <c r="G619" s="31"/>
      <c r="H619" s="33"/>
      <c r="I619" s="183"/>
      <c r="J619" s="29"/>
      <c r="K619" s="24"/>
      <c r="L619" s="25"/>
      <c r="M619" s="69"/>
      <c r="N619" s="77"/>
      <c r="O619" s="73"/>
      <c r="P619" s="74"/>
      <c r="Q619" s="74"/>
      <c r="R619" s="75"/>
      <c r="S619" s="61"/>
      <c r="T619" s="60"/>
      <c r="U619" s="74"/>
      <c r="V619" s="76"/>
      <c r="W619" s="24"/>
      <c r="X619" s="25"/>
      <c r="Y619" s="77"/>
      <c r="Z619" s="106"/>
      <c r="AA619" s="73"/>
      <c r="AB619" s="88"/>
      <c r="AC619" s="116"/>
      <c r="AD619" s="74"/>
      <c r="AE619" s="76"/>
      <c r="AF619" s="24"/>
      <c r="AG619" s="25"/>
      <c r="AH619" s="77"/>
      <c r="AI619" s="77"/>
      <c r="AJ619" s="73"/>
      <c r="AK619" s="79"/>
      <c r="AL619" s="79"/>
      <c r="AM619" s="127"/>
      <c r="AN619" s="128"/>
      <c r="AO619" s="128"/>
      <c r="AP619" s="133"/>
      <c r="AQ619" s="127"/>
      <c r="AR619" s="134"/>
      <c r="AS619" s="132"/>
      <c r="AT619" s="10"/>
      <c r="AU619" s="10"/>
      <c r="AV619" s="167"/>
      <c r="AW619" s="280"/>
      <c r="AX619" s="29"/>
      <c r="AY619" s="24"/>
      <c r="AZ619" s="25"/>
      <c r="BA619" s="24"/>
      <c r="BB619" s="281"/>
      <c r="BC619" s="170"/>
      <c r="BD619" s="10">
        <v>165215</v>
      </c>
      <c r="BE619" s="10"/>
      <c r="BF619" s="10"/>
      <c r="BG619" s="10"/>
      <c r="BH619" s="10">
        <v>450000</v>
      </c>
      <c r="BI619" s="76">
        <f t="shared" si="770"/>
        <v>450000</v>
      </c>
      <c r="BJ619" s="24">
        <f t="shared" si="764"/>
        <v>284785</v>
      </c>
      <c r="BK619" s="25">
        <f t="shared" si="750"/>
        <v>1.7237236328420542</v>
      </c>
      <c r="BL619" s="310" t="s">
        <v>807</v>
      </c>
      <c r="BM619" s="293"/>
      <c r="BN619" s="293"/>
      <c r="BO619" s="293"/>
      <c r="BP619" s="293"/>
      <c r="BQ619" s="293"/>
      <c r="BR619" s="293"/>
      <c r="BS619" s="293"/>
      <c r="BT619" s="293"/>
    </row>
    <row r="620" spans="1:72" s="1" customFormat="1" ht="34.35" customHeight="1">
      <c r="A620" s="91"/>
      <c r="B620" s="358" t="s">
        <v>2812</v>
      </c>
      <c r="C620" s="50" t="s">
        <v>1788</v>
      </c>
      <c r="D620" s="264" t="s">
        <v>1755</v>
      </c>
      <c r="E620" s="262" t="s">
        <v>1466</v>
      </c>
      <c r="F620" s="10"/>
      <c r="G620" s="31"/>
      <c r="H620" s="33"/>
      <c r="I620" s="183"/>
      <c r="J620" s="29"/>
      <c r="K620" s="24"/>
      <c r="L620" s="25"/>
      <c r="M620" s="69"/>
      <c r="N620" s="77"/>
      <c r="O620" s="73"/>
      <c r="P620" s="74"/>
      <c r="Q620" s="74"/>
      <c r="R620" s="75"/>
      <c r="S620" s="61"/>
      <c r="T620" s="60"/>
      <c r="U620" s="74"/>
      <c r="V620" s="76"/>
      <c r="W620" s="24"/>
      <c r="X620" s="25"/>
      <c r="Y620" s="77"/>
      <c r="Z620" s="106"/>
      <c r="AA620" s="73"/>
      <c r="AB620" s="88"/>
      <c r="AC620" s="116"/>
      <c r="AD620" s="74"/>
      <c r="AE620" s="76"/>
      <c r="AF620" s="24"/>
      <c r="AG620" s="25"/>
      <c r="AH620" s="77"/>
      <c r="AI620" s="77"/>
      <c r="AJ620" s="73"/>
      <c r="AK620" s="79"/>
      <c r="AL620" s="79"/>
      <c r="AM620" s="127"/>
      <c r="AN620" s="128"/>
      <c r="AO620" s="128"/>
      <c r="AP620" s="133"/>
      <c r="AQ620" s="127"/>
      <c r="AR620" s="134"/>
      <c r="AS620" s="132"/>
      <c r="AT620" s="10"/>
      <c r="AU620" s="10"/>
      <c r="AV620" s="167"/>
      <c r="AW620" s="280"/>
      <c r="AX620" s="29"/>
      <c r="AY620" s="24"/>
      <c r="AZ620" s="25"/>
      <c r="BA620" s="24"/>
      <c r="BB620" s="281"/>
      <c r="BC620" s="170"/>
      <c r="BD620" s="10">
        <v>136505</v>
      </c>
      <c r="BE620" s="10"/>
      <c r="BF620" s="10"/>
      <c r="BG620" s="10"/>
      <c r="BH620" s="10"/>
      <c r="BI620" s="76"/>
      <c r="BJ620" s="24"/>
      <c r="BK620" s="25"/>
      <c r="BL620" s="310" t="s">
        <v>807</v>
      </c>
      <c r="BM620" s="293"/>
      <c r="BN620" s="293"/>
      <c r="BO620" s="293"/>
      <c r="BP620" s="293"/>
      <c r="BQ620" s="293"/>
      <c r="BR620" s="293"/>
      <c r="BS620" s="293"/>
      <c r="BT620" s="293"/>
    </row>
    <row r="621" spans="1:72" s="1" customFormat="1" ht="30">
      <c r="A621" s="91"/>
      <c r="B621" s="358" t="s">
        <v>2813</v>
      </c>
      <c r="C621" s="50" t="s">
        <v>1789</v>
      </c>
      <c r="D621" s="264" t="s">
        <v>1756</v>
      </c>
      <c r="E621" s="262" t="s">
        <v>1466</v>
      </c>
      <c r="F621" s="10"/>
      <c r="G621" s="31"/>
      <c r="H621" s="33"/>
      <c r="I621" s="183"/>
      <c r="J621" s="29"/>
      <c r="K621" s="24"/>
      <c r="L621" s="25"/>
      <c r="M621" s="69"/>
      <c r="N621" s="77"/>
      <c r="O621" s="73"/>
      <c r="P621" s="74"/>
      <c r="Q621" s="74"/>
      <c r="R621" s="75"/>
      <c r="S621" s="61"/>
      <c r="T621" s="60"/>
      <c r="U621" s="74"/>
      <c r="V621" s="76"/>
      <c r="W621" s="24"/>
      <c r="X621" s="25"/>
      <c r="Y621" s="77"/>
      <c r="Z621" s="106"/>
      <c r="AA621" s="73"/>
      <c r="AB621" s="88"/>
      <c r="AC621" s="116"/>
      <c r="AD621" s="74"/>
      <c r="AE621" s="76"/>
      <c r="AF621" s="24"/>
      <c r="AG621" s="25"/>
      <c r="AH621" s="77"/>
      <c r="AI621" s="77"/>
      <c r="AJ621" s="73"/>
      <c r="AK621" s="79"/>
      <c r="AL621" s="79"/>
      <c r="AM621" s="127"/>
      <c r="AN621" s="128"/>
      <c r="AO621" s="128"/>
      <c r="AP621" s="133"/>
      <c r="AQ621" s="127"/>
      <c r="AR621" s="134"/>
      <c r="AS621" s="132"/>
      <c r="AT621" s="10"/>
      <c r="AU621" s="10"/>
      <c r="AV621" s="167"/>
      <c r="AW621" s="280"/>
      <c r="AX621" s="29"/>
      <c r="AY621" s="24"/>
      <c r="AZ621" s="25"/>
      <c r="BA621" s="24"/>
      <c r="BB621" s="281"/>
      <c r="BC621" s="170"/>
      <c r="BD621" s="10">
        <v>49380</v>
      </c>
      <c r="BE621" s="10"/>
      <c r="BF621" s="10"/>
      <c r="BG621" s="10"/>
      <c r="BH621" s="10"/>
      <c r="BI621" s="76"/>
      <c r="BJ621" s="24"/>
      <c r="BK621" s="25"/>
      <c r="BL621" s="309" t="s">
        <v>894</v>
      </c>
      <c r="BM621" s="293"/>
      <c r="BN621" s="293"/>
      <c r="BO621" s="293"/>
      <c r="BP621" s="293"/>
      <c r="BQ621" s="293"/>
      <c r="BR621" s="293"/>
      <c r="BS621" s="293"/>
      <c r="BT621" s="293"/>
    </row>
    <row r="622" spans="1:72" s="1" customFormat="1" ht="30">
      <c r="A622" s="91"/>
      <c r="B622" s="358" t="s">
        <v>2814</v>
      </c>
      <c r="C622" s="50" t="s">
        <v>2194</v>
      </c>
      <c r="D622" s="322" t="s">
        <v>2188</v>
      </c>
      <c r="E622" s="48" t="s">
        <v>13</v>
      </c>
      <c r="F622" s="10"/>
      <c r="G622" s="31"/>
      <c r="H622" s="33"/>
      <c r="I622" s="183"/>
      <c r="J622" s="29"/>
      <c r="K622" s="24"/>
      <c r="L622" s="25"/>
      <c r="M622" s="69"/>
      <c r="N622" s="77"/>
      <c r="O622" s="73"/>
      <c r="P622" s="74"/>
      <c r="Q622" s="74"/>
      <c r="R622" s="75"/>
      <c r="S622" s="61"/>
      <c r="T622" s="60"/>
      <c r="U622" s="74"/>
      <c r="V622" s="76"/>
      <c r="W622" s="24"/>
      <c r="X622" s="25"/>
      <c r="Y622" s="77"/>
      <c r="Z622" s="106"/>
      <c r="AA622" s="73"/>
      <c r="AB622" s="88"/>
      <c r="AC622" s="116"/>
      <c r="AD622" s="74"/>
      <c r="AE622" s="76"/>
      <c r="AF622" s="24"/>
      <c r="AG622" s="25"/>
      <c r="AH622" s="77"/>
      <c r="AI622" s="77"/>
      <c r="AJ622" s="73"/>
      <c r="AK622" s="79"/>
      <c r="AL622" s="79"/>
      <c r="AM622" s="127"/>
      <c r="AN622" s="128"/>
      <c r="AO622" s="128"/>
      <c r="AP622" s="133"/>
      <c r="AQ622" s="127"/>
      <c r="AR622" s="134"/>
      <c r="AS622" s="132"/>
      <c r="AT622" s="10"/>
      <c r="AU622" s="10"/>
      <c r="AV622" s="167"/>
      <c r="AW622" s="280"/>
      <c r="AX622" s="29"/>
      <c r="AY622" s="24"/>
      <c r="AZ622" s="25"/>
      <c r="BA622" s="24"/>
      <c r="BB622" s="281"/>
      <c r="BC622" s="170"/>
      <c r="BD622" s="10"/>
      <c r="BE622" s="10"/>
      <c r="BF622" s="10"/>
      <c r="BG622" s="10"/>
      <c r="BH622" s="10"/>
      <c r="BI622" s="76"/>
      <c r="BJ622" s="24"/>
      <c r="BK622" s="25"/>
      <c r="BL622" s="259"/>
      <c r="BM622" s="10">
        <v>53367</v>
      </c>
      <c r="BN622" s="45">
        <v>140000</v>
      </c>
      <c r="BO622" s="45">
        <v>62041</v>
      </c>
      <c r="BP622" s="45">
        <v>120000</v>
      </c>
      <c r="BQ622" s="29">
        <f t="shared" ref="BQ622:BQ627" si="772">AVERAGE(BN622,BO622,BP622)</f>
        <v>107347</v>
      </c>
      <c r="BR622" s="24">
        <f t="shared" ref="BR622:BR627" si="773">BQ622-BM622</f>
        <v>53980</v>
      </c>
      <c r="BS622" s="25">
        <f t="shared" ref="BS622:BS627" si="774">+BR622/BM622</f>
        <v>1.0114864991474133</v>
      </c>
      <c r="BT622" s="308">
        <f t="shared" ref="BT622:BT624" si="775">BQ622</f>
        <v>107347</v>
      </c>
    </row>
    <row r="623" spans="1:72" s="1" customFormat="1">
      <c r="A623" s="91"/>
      <c r="B623" s="358" t="s">
        <v>2815</v>
      </c>
      <c r="C623" s="50" t="s">
        <v>2195</v>
      </c>
      <c r="D623" s="322" t="s">
        <v>2189</v>
      </c>
      <c r="E623" s="48" t="s">
        <v>14</v>
      </c>
      <c r="F623" s="10"/>
      <c r="G623" s="31"/>
      <c r="H623" s="33"/>
      <c r="I623" s="183"/>
      <c r="J623" s="29"/>
      <c r="K623" s="24"/>
      <c r="L623" s="25"/>
      <c r="M623" s="69"/>
      <c r="N623" s="77"/>
      <c r="O623" s="73"/>
      <c r="P623" s="74"/>
      <c r="Q623" s="74"/>
      <c r="R623" s="75"/>
      <c r="S623" s="61"/>
      <c r="T623" s="60"/>
      <c r="U623" s="74"/>
      <c r="V623" s="76"/>
      <c r="W623" s="24"/>
      <c r="X623" s="25"/>
      <c r="Y623" s="77"/>
      <c r="Z623" s="106"/>
      <c r="AA623" s="73"/>
      <c r="AB623" s="88"/>
      <c r="AC623" s="116"/>
      <c r="AD623" s="74"/>
      <c r="AE623" s="76"/>
      <c r="AF623" s="24"/>
      <c r="AG623" s="25"/>
      <c r="AH623" s="77"/>
      <c r="AI623" s="77"/>
      <c r="AJ623" s="73"/>
      <c r="AK623" s="79"/>
      <c r="AL623" s="79"/>
      <c r="AM623" s="127"/>
      <c r="AN623" s="128"/>
      <c r="AO623" s="128"/>
      <c r="AP623" s="133"/>
      <c r="AQ623" s="127"/>
      <c r="AR623" s="134"/>
      <c r="AS623" s="132"/>
      <c r="AT623" s="10"/>
      <c r="AU623" s="10"/>
      <c r="AV623" s="167"/>
      <c r="AW623" s="280"/>
      <c r="AX623" s="29"/>
      <c r="AY623" s="24"/>
      <c r="AZ623" s="25"/>
      <c r="BA623" s="24"/>
      <c r="BB623" s="281"/>
      <c r="BC623" s="170"/>
      <c r="BD623" s="10"/>
      <c r="BE623" s="10"/>
      <c r="BF623" s="10"/>
      <c r="BG623" s="10"/>
      <c r="BH623" s="10"/>
      <c r="BI623" s="76"/>
      <c r="BJ623" s="24"/>
      <c r="BK623" s="25"/>
      <c r="BL623" s="259"/>
      <c r="BM623" s="10">
        <v>20048</v>
      </c>
      <c r="BN623" s="45"/>
      <c r="BO623" s="45">
        <v>23307</v>
      </c>
      <c r="BP623" s="45">
        <v>65000</v>
      </c>
      <c r="BQ623" s="29">
        <f t="shared" si="772"/>
        <v>44153.5</v>
      </c>
      <c r="BR623" s="24">
        <f t="shared" si="773"/>
        <v>24105.5</v>
      </c>
      <c r="BS623" s="25">
        <f t="shared" si="774"/>
        <v>1.2023892657621709</v>
      </c>
      <c r="BT623" s="308">
        <f t="shared" si="775"/>
        <v>44153.5</v>
      </c>
    </row>
    <row r="624" spans="1:72" s="1" customFormat="1" ht="30">
      <c r="A624" s="91"/>
      <c r="B624" s="358" t="s">
        <v>2816</v>
      </c>
      <c r="C624" s="50" t="s">
        <v>2196</v>
      </c>
      <c r="D624" s="322" t="s">
        <v>2190</v>
      </c>
      <c r="E624" s="48" t="s">
        <v>1466</v>
      </c>
      <c r="F624" s="10"/>
      <c r="G624" s="31"/>
      <c r="H624" s="33"/>
      <c r="I624" s="183"/>
      <c r="J624" s="29"/>
      <c r="K624" s="24"/>
      <c r="L624" s="25"/>
      <c r="M624" s="69"/>
      <c r="N624" s="77"/>
      <c r="O624" s="73"/>
      <c r="P624" s="74"/>
      <c r="Q624" s="74"/>
      <c r="R624" s="75"/>
      <c r="S624" s="61"/>
      <c r="T624" s="60"/>
      <c r="U624" s="74"/>
      <c r="V624" s="76"/>
      <c r="W624" s="24"/>
      <c r="X624" s="25"/>
      <c r="Y624" s="77"/>
      <c r="Z624" s="106"/>
      <c r="AA624" s="73"/>
      <c r="AB624" s="88"/>
      <c r="AC624" s="116"/>
      <c r="AD624" s="74"/>
      <c r="AE624" s="76"/>
      <c r="AF624" s="24"/>
      <c r="AG624" s="25"/>
      <c r="AH624" s="77"/>
      <c r="AI624" s="77"/>
      <c r="AJ624" s="73"/>
      <c r="AK624" s="79"/>
      <c r="AL624" s="79"/>
      <c r="AM624" s="127"/>
      <c r="AN624" s="128"/>
      <c r="AO624" s="128"/>
      <c r="AP624" s="133"/>
      <c r="AQ624" s="127"/>
      <c r="AR624" s="134"/>
      <c r="AS624" s="132"/>
      <c r="AT624" s="10"/>
      <c r="AU624" s="10"/>
      <c r="AV624" s="167"/>
      <c r="AW624" s="280"/>
      <c r="AX624" s="29"/>
      <c r="AY624" s="24"/>
      <c r="AZ624" s="25"/>
      <c r="BA624" s="24"/>
      <c r="BB624" s="281"/>
      <c r="BC624" s="170"/>
      <c r="BD624" s="10"/>
      <c r="BE624" s="10"/>
      <c r="BF624" s="10"/>
      <c r="BG624" s="10"/>
      <c r="BH624" s="10"/>
      <c r="BI624" s="76"/>
      <c r="BJ624" s="24"/>
      <c r="BK624" s="25"/>
      <c r="BL624" s="259"/>
      <c r="BM624" s="10">
        <v>83220</v>
      </c>
      <c r="BN624" s="45"/>
      <c r="BO624" s="45">
        <v>144412</v>
      </c>
      <c r="BP624" s="45">
        <v>75000</v>
      </c>
      <c r="BQ624" s="29">
        <f t="shared" si="772"/>
        <v>109706</v>
      </c>
      <c r="BR624" s="24">
        <f t="shared" si="773"/>
        <v>26486</v>
      </c>
      <c r="BS624" s="25">
        <f t="shared" si="774"/>
        <v>0.31826484018264839</v>
      </c>
      <c r="BT624" s="308">
        <f t="shared" si="775"/>
        <v>109706</v>
      </c>
    </row>
    <row r="625" spans="1:72" s="1" customFormat="1" ht="45">
      <c r="A625" s="91"/>
      <c r="B625" s="358" t="s">
        <v>2817</v>
      </c>
      <c r="C625" s="50" t="s">
        <v>2197</v>
      </c>
      <c r="D625" s="322" t="s">
        <v>2191</v>
      </c>
      <c r="E625" s="48" t="s">
        <v>827</v>
      </c>
      <c r="F625" s="10"/>
      <c r="G625" s="31"/>
      <c r="H625" s="33"/>
      <c r="I625" s="183"/>
      <c r="J625" s="29"/>
      <c r="K625" s="24"/>
      <c r="L625" s="25"/>
      <c r="M625" s="69"/>
      <c r="N625" s="77"/>
      <c r="O625" s="73"/>
      <c r="P625" s="74"/>
      <c r="Q625" s="74"/>
      <c r="R625" s="75"/>
      <c r="S625" s="61"/>
      <c r="T625" s="60"/>
      <c r="U625" s="74"/>
      <c r="V625" s="76"/>
      <c r="W625" s="24"/>
      <c r="X625" s="25"/>
      <c r="Y625" s="77"/>
      <c r="Z625" s="106"/>
      <c r="AA625" s="73"/>
      <c r="AB625" s="88"/>
      <c r="AC625" s="116"/>
      <c r="AD625" s="74"/>
      <c r="AE625" s="76"/>
      <c r="AF625" s="24"/>
      <c r="AG625" s="25"/>
      <c r="AH625" s="77"/>
      <c r="AI625" s="77"/>
      <c r="AJ625" s="73"/>
      <c r="AK625" s="79"/>
      <c r="AL625" s="79"/>
      <c r="AM625" s="127"/>
      <c r="AN625" s="128"/>
      <c r="AO625" s="128"/>
      <c r="AP625" s="133"/>
      <c r="AQ625" s="127"/>
      <c r="AR625" s="134"/>
      <c r="AS625" s="132"/>
      <c r="AT625" s="10"/>
      <c r="AU625" s="10"/>
      <c r="AV625" s="167"/>
      <c r="AW625" s="280"/>
      <c r="AX625" s="29"/>
      <c r="AY625" s="24"/>
      <c r="AZ625" s="25"/>
      <c r="BA625" s="24"/>
      <c r="BB625" s="281"/>
      <c r="BC625" s="170"/>
      <c r="BD625" s="10"/>
      <c r="BE625" s="10"/>
      <c r="BF625" s="10"/>
      <c r="BG625" s="10"/>
      <c r="BH625" s="10"/>
      <c r="BI625" s="76"/>
      <c r="BJ625" s="24"/>
      <c r="BK625" s="25"/>
      <c r="BL625" s="259"/>
      <c r="BM625" s="10">
        <v>117696</v>
      </c>
      <c r="BN625" s="45"/>
      <c r="BO625" s="45"/>
      <c r="BP625" s="45">
        <v>65000</v>
      </c>
      <c r="BQ625" s="29">
        <f t="shared" si="772"/>
        <v>65000</v>
      </c>
      <c r="BR625" s="24">
        <f t="shared" si="773"/>
        <v>-52696</v>
      </c>
      <c r="BS625" s="25">
        <f t="shared" si="774"/>
        <v>-0.44772974442631863</v>
      </c>
      <c r="BT625" s="29">
        <f>BP625</f>
        <v>65000</v>
      </c>
    </row>
    <row r="626" spans="1:72" s="1" customFormat="1" ht="45">
      <c r="A626" s="91"/>
      <c r="B626" s="358" t="s">
        <v>2818</v>
      </c>
      <c r="C626" s="50" t="s">
        <v>2198</v>
      </c>
      <c r="D626" s="322" t="s">
        <v>2192</v>
      </c>
      <c r="E626" s="48" t="s">
        <v>1466</v>
      </c>
      <c r="F626" s="10"/>
      <c r="G626" s="31"/>
      <c r="H626" s="33"/>
      <c r="I626" s="183"/>
      <c r="J626" s="29"/>
      <c r="K626" s="24"/>
      <c r="L626" s="25"/>
      <c r="M626" s="69"/>
      <c r="N626" s="77"/>
      <c r="O626" s="73"/>
      <c r="P626" s="74"/>
      <c r="Q626" s="74"/>
      <c r="R626" s="75"/>
      <c r="S626" s="61"/>
      <c r="T626" s="60"/>
      <c r="U626" s="74"/>
      <c r="V626" s="76"/>
      <c r="W626" s="24"/>
      <c r="X626" s="25"/>
      <c r="Y626" s="77"/>
      <c r="Z626" s="106"/>
      <c r="AA626" s="73"/>
      <c r="AB626" s="88"/>
      <c r="AC626" s="116"/>
      <c r="AD626" s="74"/>
      <c r="AE626" s="76"/>
      <c r="AF626" s="24"/>
      <c r="AG626" s="25"/>
      <c r="AH626" s="77"/>
      <c r="AI626" s="77"/>
      <c r="AJ626" s="73"/>
      <c r="AK626" s="79"/>
      <c r="AL626" s="79"/>
      <c r="AM626" s="127"/>
      <c r="AN626" s="128"/>
      <c r="AO626" s="128"/>
      <c r="AP626" s="133"/>
      <c r="AQ626" s="127"/>
      <c r="AR626" s="134"/>
      <c r="AS626" s="132"/>
      <c r="AT626" s="10"/>
      <c r="AU626" s="10"/>
      <c r="AV626" s="167"/>
      <c r="AW626" s="280"/>
      <c r="AX626" s="29"/>
      <c r="AY626" s="24"/>
      <c r="AZ626" s="25"/>
      <c r="BA626" s="24"/>
      <c r="BB626" s="281"/>
      <c r="BC626" s="170"/>
      <c r="BD626" s="10"/>
      <c r="BE626" s="10"/>
      <c r="BF626" s="10"/>
      <c r="BG626" s="10"/>
      <c r="BH626" s="10"/>
      <c r="BI626" s="76"/>
      <c r="BJ626" s="24"/>
      <c r="BK626" s="25"/>
      <c r="BL626" s="259"/>
      <c r="BM626" s="10">
        <v>78027</v>
      </c>
      <c r="BN626" s="45"/>
      <c r="BO626" s="45"/>
      <c r="BP626" s="45">
        <v>130000</v>
      </c>
      <c r="BQ626" s="29">
        <f t="shared" si="772"/>
        <v>130000</v>
      </c>
      <c r="BR626" s="24">
        <f t="shared" si="773"/>
        <v>51973</v>
      </c>
      <c r="BS626" s="25">
        <f t="shared" si="774"/>
        <v>0.66608994322478121</v>
      </c>
      <c r="BT626" s="29">
        <f>BP626</f>
        <v>130000</v>
      </c>
    </row>
    <row r="627" spans="1:72" s="1" customFormat="1" ht="30">
      <c r="A627" s="91"/>
      <c r="B627" s="358" t="s">
        <v>2819</v>
      </c>
      <c r="C627" s="50" t="s">
        <v>2199</v>
      </c>
      <c r="D627" s="322" t="s">
        <v>2193</v>
      </c>
      <c r="E627" s="48" t="s">
        <v>827</v>
      </c>
      <c r="F627" s="10"/>
      <c r="G627" s="31"/>
      <c r="H627" s="33"/>
      <c r="I627" s="183"/>
      <c r="J627" s="29"/>
      <c r="K627" s="24"/>
      <c r="L627" s="25"/>
      <c r="M627" s="69"/>
      <c r="N627" s="77"/>
      <c r="O627" s="73"/>
      <c r="P627" s="74"/>
      <c r="Q627" s="74"/>
      <c r="R627" s="75"/>
      <c r="S627" s="61"/>
      <c r="T627" s="60"/>
      <c r="U627" s="74"/>
      <c r="V627" s="76"/>
      <c r="W627" s="24"/>
      <c r="X627" s="25"/>
      <c r="Y627" s="77"/>
      <c r="Z627" s="106"/>
      <c r="AA627" s="73"/>
      <c r="AB627" s="88"/>
      <c r="AC627" s="116"/>
      <c r="AD627" s="74"/>
      <c r="AE627" s="76"/>
      <c r="AF627" s="24"/>
      <c r="AG627" s="25"/>
      <c r="AH627" s="77"/>
      <c r="AI627" s="77"/>
      <c r="AJ627" s="73"/>
      <c r="AK627" s="79"/>
      <c r="AL627" s="79"/>
      <c r="AM627" s="127"/>
      <c r="AN627" s="128"/>
      <c r="AO627" s="128"/>
      <c r="AP627" s="133"/>
      <c r="AQ627" s="127"/>
      <c r="AR627" s="134"/>
      <c r="AS627" s="132"/>
      <c r="AT627" s="10"/>
      <c r="AU627" s="10"/>
      <c r="AV627" s="167"/>
      <c r="AW627" s="280"/>
      <c r="AX627" s="29"/>
      <c r="AY627" s="24"/>
      <c r="AZ627" s="25"/>
      <c r="BA627" s="24"/>
      <c r="BB627" s="281"/>
      <c r="BC627" s="170"/>
      <c r="BD627" s="10"/>
      <c r="BE627" s="10"/>
      <c r="BF627" s="10"/>
      <c r="BG627" s="10"/>
      <c r="BH627" s="10"/>
      <c r="BI627" s="76"/>
      <c r="BJ627" s="24"/>
      <c r="BK627" s="25"/>
      <c r="BL627" s="259"/>
      <c r="BM627" s="10">
        <v>105442</v>
      </c>
      <c r="BN627" s="45"/>
      <c r="BO627" s="45"/>
      <c r="BP627" s="45">
        <v>135000</v>
      </c>
      <c r="BQ627" s="29">
        <f t="shared" si="772"/>
        <v>135000</v>
      </c>
      <c r="BR627" s="24">
        <f t="shared" si="773"/>
        <v>29558</v>
      </c>
      <c r="BS627" s="25">
        <f t="shared" si="774"/>
        <v>0.28032472828664101</v>
      </c>
      <c r="BT627" s="29">
        <f t="shared" ref="BT627" si="776">BP627</f>
        <v>135000</v>
      </c>
    </row>
    <row r="628" spans="1:72" ht="32.450000000000003" customHeight="1">
      <c r="A628" s="91" t="s">
        <v>30</v>
      </c>
      <c r="B628" s="358" t="s">
        <v>2820</v>
      </c>
      <c r="C628" s="252" t="s">
        <v>759</v>
      </c>
      <c r="D628" s="47" t="s">
        <v>30</v>
      </c>
      <c r="E628" s="47"/>
      <c r="F628" s="47"/>
      <c r="G628" s="47"/>
      <c r="H628" s="47"/>
      <c r="I628" s="47"/>
      <c r="J628" s="47"/>
      <c r="K628" s="47"/>
      <c r="L628" s="47"/>
      <c r="M628" s="91"/>
      <c r="N628" s="47"/>
      <c r="O628" s="47"/>
      <c r="P628" s="47"/>
      <c r="Q628" s="47"/>
      <c r="R628" s="47"/>
      <c r="S628" s="47"/>
      <c r="T628" s="47"/>
      <c r="U628" s="47"/>
      <c r="V628" s="47"/>
      <c r="W628" s="47"/>
      <c r="X628" s="47"/>
      <c r="Y628" s="47"/>
      <c r="Z628" s="47"/>
      <c r="AA628" s="47"/>
      <c r="AB628" s="47"/>
      <c r="AC628" s="47"/>
      <c r="AD628" s="47"/>
      <c r="AE628" s="47"/>
      <c r="AF628" s="47"/>
      <c r="AG628" s="47"/>
      <c r="AH628" s="47"/>
      <c r="AI628" s="47"/>
      <c r="AJ628" s="147"/>
      <c r="AK628" s="148"/>
      <c r="AL628" s="148"/>
      <c r="AM628" s="149"/>
      <c r="AN628" s="148"/>
      <c r="AO628" s="148"/>
      <c r="AP628" s="133"/>
      <c r="AQ628" s="127"/>
      <c r="AR628" s="134"/>
      <c r="AS628" s="132"/>
      <c r="AT628" s="120"/>
      <c r="AU628" s="120"/>
      <c r="AV628" s="120"/>
      <c r="AW628" s="120"/>
      <c r="AX628" s="120"/>
      <c r="AY628" s="120"/>
      <c r="AZ628" s="120"/>
      <c r="BA628" s="120"/>
      <c r="BB628" s="120"/>
      <c r="BC628" s="253"/>
      <c r="BD628" s="173"/>
      <c r="BE628" s="173"/>
      <c r="BF628" s="173"/>
      <c r="BG628" s="274"/>
      <c r="BH628" s="173"/>
      <c r="BI628" s="76"/>
      <c r="BJ628" s="24"/>
      <c r="BK628" s="25"/>
      <c r="BL628" s="259"/>
      <c r="BM628" s="323"/>
      <c r="BN628" s="324"/>
      <c r="BO628" s="324"/>
      <c r="BP628" s="323"/>
      <c r="BQ628" s="29"/>
      <c r="BR628" s="24"/>
      <c r="BS628" s="25"/>
      <c r="BT628" s="308"/>
    </row>
    <row r="629" spans="1:72" ht="30">
      <c r="A629" s="91" t="s">
        <v>30</v>
      </c>
      <c r="B629" s="358" t="s">
        <v>2821</v>
      </c>
      <c r="C629" s="50" t="s">
        <v>285</v>
      </c>
      <c r="D629" s="99" t="s">
        <v>625</v>
      </c>
      <c r="E629" s="48" t="s">
        <v>13</v>
      </c>
      <c r="F629" s="10">
        <v>28472</v>
      </c>
      <c r="G629" s="33">
        <v>37031</v>
      </c>
      <c r="H629" s="33">
        <v>48140</v>
      </c>
      <c r="I629" s="35">
        <v>32367.4</v>
      </c>
      <c r="J629" s="29">
        <f t="shared" si="595"/>
        <v>39179.466666666667</v>
      </c>
      <c r="K629" s="24">
        <f t="shared" si="596"/>
        <v>10707.466666666667</v>
      </c>
      <c r="L629" s="25">
        <f t="shared" si="597"/>
        <v>0.37607005713215325</v>
      </c>
      <c r="M629" s="69" t="str">
        <f t="shared" si="598"/>
        <v>REVISAR PRECIO</v>
      </c>
      <c r="N629" s="77">
        <f t="shared" si="594"/>
        <v>39179.466666666667</v>
      </c>
      <c r="O629" s="73">
        <v>19289</v>
      </c>
      <c r="P629" s="74">
        <v>28750</v>
      </c>
      <c r="Q629" s="74">
        <v>40000</v>
      </c>
      <c r="R629" s="75">
        <v>33125</v>
      </c>
      <c r="S629" s="61">
        <v>28749.999999999996</v>
      </c>
      <c r="T629" s="60">
        <v>12000</v>
      </c>
      <c r="U629" s="74">
        <v>33062.499999999993</v>
      </c>
      <c r="V629" s="76">
        <f t="shared" ref="V629:V645" si="777">AVERAGE(P629,Q629,R629,S629,T629,U629)</f>
        <v>29281.25</v>
      </c>
      <c r="W629" s="24">
        <f t="shared" ref="W629:W645" si="778">V629-O629</f>
        <v>9992.25</v>
      </c>
      <c r="X629" s="25">
        <f t="shared" ref="X629:X645" si="779">+W629/O629</f>
        <v>0.51802840997459687</v>
      </c>
      <c r="Y629" s="77" t="str">
        <f t="shared" ref="Y629:Y645" si="780">+IF(X629&lt;35%,V629,"REVISAR PRECIO")</f>
        <v>REVISAR PRECIO</v>
      </c>
      <c r="Z629" s="106">
        <f t="shared" ref="Z629:Z645" si="781">V629</f>
        <v>29281.25</v>
      </c>
      <c r="AA629" s="73">
        <v>19289</v>
      </c>
      <c r="AB629" s="88">
        <v>28000</v>
      </c>
      <c r="AC629" s="116">
        <v>28000</v>
      </c>
      <c r="AD629" s="74">
        <v>27500</v>
      </c>
      <c r="AE629" s="76">
        <f t="shared" ref="AE629:AE645" si="782">AVERAGE(AB629,AC629,AD629)</f>
        <v>27833.333333333332</v>
      </c>
      <c r="AF629" s="24">
        <f t="shared" ref="AF629:AF645" si="783">AE629-AA629</f>
        <v>8544.3333333333321</v>
      </c>
      <c r="AG629" s="25">
        <f t="shared" ref="AG629:AG645" si="784">+AF629/AA629</f>
        <v>0.44296403822558622</v>
      </c>
      <c r="AH629" s="77" t="str">
        <f t="shared" ref="AH629:AH645" si="785">+IF(AG629&lt;35%,AE629,"REVISAR PRECIO")</f>
        <v>REVISAR PRECIO</v>
      </c>
      <c r="AI629" s="77">
        <f t="shared" ref="AI629:AI645" si="786">AE629</f>
        <v>27833.333333333332</v>
      </c>
      <c r="AJ629" s="73">
        <v>19289</v>
      </c>
      <c r="AK629" s="79">
        <v>33125</v>
      </c>
      <c r="AL629" s="79">
        <v>25000</v>
      </c>
      <c r="AM629" s="127">
        <v>30000</v>
      </c>
      <c r="AN629" s="128">
        <v>23000</v>
      </c>
      <c r="AO629" s="128">
        <v>25000</v>
      </c>
      <c r="AP629" s="133">
        <f t="shared" ref="AP629:AP645" si="787">AVERAGE(AK629,AL629,AM629,AN629,AO629)</f>
        <v>27225</v>
      </c>
      <c r="AQ629" s="127">
        <f t="shared" ref="AQ629:AQ645" si="788">AP629-AJ629</f>
        <v>7936</v>
      </c>
      <c r="AR629" s="134">
        <f t="shared" ref="AR629:AR645" si="789">+AQ629/AJ629</f>
        <v>0.41142620146197312</v>
      </c>
      <c r="AS629" s="132">
        <f t="shared" ref="AS629:AS645" si="790">AP629</f>
        <v>27225</v>
      </c>
      <c r="AT629" s="250"/>
      <c r="AU629" s="250"/>
      <c r="AV629" s="250"/>
      <c r="AW629" s="250"/>
      <c r="AX629" s="250"/>
      <c r="AY629" s="250"/>
      <c r="AZ629" s="250"/>
      <c r="BA629" s="250"/>
      <c r="BB629" s="250"/>
      <c r="BC629" s="251"/>
      <c r="BD629" s="10">
        <v>17181</v>
      </c>
      <c r="BE629" s="10">
        <v>35000</v>
      </c>
      <c r="BF629" s="10"/>
      <c r="BG629" s="268">
        <v>41000</v>
      </c>
      <c r="BH629" s="10">
        <v>45000</v>
      </c>
      <c r="BI629" s="76">
        <f t="shared" ref="BI629:BI632" si="791">AVERAGE(BE629,BF629,BG629,BH629)</f>
        <v>40333.333333333336</v>
      </c>
      <c r="BJ629" s="24">
        <f t="shared" ref="BJ629:BJ632" si="792">BI629-BD629</f>
        <v>23152.333333333336</v>
      </c>
      <c r="BK629" s="25">
        <f t="shared" ref="BK629:BK632" si="793">+BJ629/BD629</f>
        <v>1.347554469084066</v>
      </c>
      <c r="BL629" s="259">
        <f t="shared" ref="BL629:BL632" si="794">BI629</f>
        <v>40333.333333333336</v>
      </c>
      <c r="BM629" s="10">
        <v>19184</v>
      </c>
      <c r="BN629" s="45">
        <v>30000</v>
      </c>
      <c r="BO629" s="45">
        <v>22307</v>
      </c>
      <c r="BP629" s="45">
        <v>30000</v>
      </c>
      <c r="BQ629" s="29">
        <f t="shared" ref="BQ629:BQ645" si="795">AVERAGE(BN629,BO629,BP629)</f>
        <v>27435.666666666668</v>
      </c>
      <c r="BR629" s="24">
        <f t="shared" ref="BR629:BR645" si="796">BQ629-BM629</f>
        <v>8251.6666666666679</v>
      </c>
      <c r="BS629" s="25">
        <f t="shared" ref="BS629:BS645" si="797">+BR629/BM629</f>
        <v>0.43013274951348351</v>
      </c>
      <c r="BT629" s="308">
        <f t="shared" ref="BT629:BT645" si="798">BQ629</f>
        <v>27435.666666666668</v>
      </c>
    </row>
    <row r="630" spans="1:72" ht="30">
      <c r="A630" s="91" t="s">
        <v>30</v>
      </c>
      <c r="B630" s="358" t="s">
        <v>2822</v>
      </c>
      <c r="C630" s="50" t="s">
        <v>286</v>
      </c>
      <c r="D630" s="99" t="s">
        <v>626</v>
      </c>
      <c r="E630" s="48" t="s">
        <v>13</v>
      </c>
      <c r="F630" s="10">
        <v>46502</v>
      </c>
      <c r="G630" s="33">
        <v>60480</v>
      </c>
      <c r="H630" s="33">
        <v>78624</v>
      </c>
      <c r="I630" s="35">
        <v>52864</v>
      </c>
      <c r="J630" s="29">
        <f t="shared" si="595"/>
        <v>63989.333333333336</v>
      </c>
      <c r="K630" s="24">
        <f t="shared" si="596"/>
        <v>17487.333333333336</v>
      </c>
      <c r="L630" s="25">
        <f t="shared" si="597"/>
        <v>0.37605551015726929</v>
      </c>
      <c r="M630" s="69" t="str">
        <f t="shared" si="598"/>
        <v>REVISAR PRECIO</v>
      </c>
      <c r="N630" s="77">
        <f t="shared" si="594"/>
        <v>63989.333333333336</v>
      </c>
      <c r="O630" s="73">
        <v>14941</v>
      </c>
      <c r="P630" s="74">
        <v>28074.375</v>
      </c>
      <c r="Q630" s="74">
        <v>35000</v>
      </c>
      <c r="R630" s="75">
        <v>32346.5625</v>
      </c>
      <c r="S630" s="61">
        <v>28074.374999999996</v>
      </c>
      <c r="T630" s="60">
        <v>9000</v>
      </c>
      <c r="U630" s="74">
        <v>32285.531249999993</v>
      </c>
      <c r="V630" s="76">
        <f t="shared" si="777"/>
        <v>27463.473958333332</v>
      </c>
      <c r="W630" s="24">
        <f t="shared" si="778"/>
        <v>12522.473958333332</v>
      </c>
      <c r="X630" s="25">
        <f t="shared" si="779"/>
        <v>0.83812823494634447</v>
      </c>
      <c r="Y630" s="77" t="str">
        <f t="shared" si="780"/>
        <v>REVISAR PRECIO</v>
      </c>
      <c r="Z630" s="106">
        <f t="shared" si="781"/>
        <v>27463.473958333332</v>
      </c>
      <c r="AA630" s="73">
        <v>14941</v>
      </c>
      <c r="AB630" s="88">
        <v>25000</v>
      </c>
      <c r="AC630" s="116">
        <v>23000</v>
      </c>
      <c r="AD630" s="74">
        <v>26853.75</v>
      </c>
      <c r="AE630" s="76">
        <f t="shared" si="782"/>
        <v>24951.25</v>
      </c>
      <c r="AF630" s="24">
        <f t="shared" si="783"/>
        <v>10010.25</v>
      </c>
      <c r="AG630" s="25">
        <f t="shared" si="784"/>
        <v>0.66998527541663877</v>
      </c>
      <c r="AH630" s="77" t="str">
        <f t="shared" si="785"/>
        <v>REVISAR PRECIO</v>
      </c>
      <c r="AI630" s="77">
        <f t="shared" si="786"/>
        <v>24951.25</v>
      </c>
      <c r="AJ630" s="73">
        <v>14941</v>
      </c>
      <c r="AK630" s="79">
        <v>32346.5625</v>
      </c>
      <c r="AL630" s="79">
        <f>+AL641</f>
        <v>24412.5</v>
      </c>
      <c r="AM630" s="127">
        <v>29295</v>
      </c>
      <c r="AN630" s="128">
        <v>30000</v>
      </c>
      <c r="AO630" s="128">
        <v>25000</v>
      </c>
      <c r="AP630" s="133">
        <f t="shared" si="787"/>
        <v>28210.8125</v>
      </c>
      <c r="AQ630" s="127">
        <f t="shared" si="788"/>
        <v>13269.8125</v>
      </c>
      <c r="AR630" s="134">
        <f t="shared" si="789"/>
        <v>0.88814754701827192</v>
      </c>
      <c r="AS630" s="132">
        <f t="shared" si="790"/>
        <v>28210.8125</v>
      </c>
      <c r="AT630" s="250"/>
      <c r="AU630" s="250"/>
      <c r="AV630" s="250"/>
      <c r="AW630" s="250"/>
      <c r="AX630" s="250"/>
      <c r="AY630" s="250"/>
      <c r="AZ630" s="250"/>
      <c r="BA630" s="250"/>
      <c r="BB630" s="250"/>
      <c r="BC630" s="251"/>
      <c r="BD630" s="10">
        <v>13308</v>
      </c>
      <c r="BE630" s="10">
        <v>8500</v>
      </c>
      <c r="BF630" s="10"/>
      <c r="BG630" s="268">
        <v>11000</v>
      </c>
      <c r="BH630" s="10">
        <v>15000</v>
      </c>
      <c r="BI630" s="76">
        <f t="shared" si="791"/>
        <v>11500</v>
      </c>
      <c r="BJ630" s="24">
        <f t="shared" si="792"/>
        <v>-1808</v>
      </c>
      <c r="BK630" s="25">
        <f t="shared" si="793"/>
        <v>-0.13585813044785092</v>
      </c>
      <c r="BL630" s="259">
        <f t="shared" si="794"/>
        <v>11500</v>
      </c>
      <c r="BM630" s="10">
        <v>14866</v>
      </c>
      <c r="BN630" s="45">
        <v>25000</v>
      </c>
      <c r="BO630" s="45">
        <v>17277</v>
      </c>
      <c r="BP630" s="45">
        <v>70000</v>
      </c>
      <c r="BQ630" s="29">
        <f t="shared" si="795"/>
        <v>37425.666666666664</v>
      </c>
      <c r="BR630" s="24">
        <f t="shared" si="796"/>
        <v>22559.666666666664</v>
      </c>
      <c r="BS630" s="25">
        <f t="shared" si="797"/>
        <v>1.5175344185837929</v>
      </c>
      <c r="BT630" s="308">
        <f t="shared" si="798"/>
        <v>37425.666666666664</v>
      </c>
    </row>
    <row r="631" spans="1:72" ht="30">
      <c r="A631" s="91" t="s">
        <v>30</v>
      </c>
      <c r="B631" s="358" t="s">
        <v>2823</v>
      </c>
      <c r="C631" s="50" t="s">
        <v>287</v>
      </c>
      <c r="D631" s="99" t="s">
        <v>627</v>
      </c>
      <c r="E631" s="48" t="s">
        <v>10</v>
      </c>
      <c r="F631" s="10">
        <v>10006</v>
      </c>
      <c r="G631" s="33">
        <v>13014</v>
      </c>
      <c r="H631" s="31">
        <v>16918</v>
      </c>
      <c r="I631" s="35">
        <v>11375.2</v>
      </c>
      <c r="J631" s="29">
        <f t="shared" si="595"/>
        <v>13769.066666666666</v>
      </c>
      <c r="K631" s="24">
        <f t="shared" si="596"/>
        <v>3763.0666666666657</v>
      </c>
      <c r="L631" s="25">
        <f t="shared" si="597"/>
        <v>0.37608101805583305</v>
      </c>
      <c r="M631" s="69" t="str">
        <f t="shared" si="598"/>
        <v>REVISAR PRECIO</v>
      </c>
      <c r="N631" s="77">
        <f t="shared" si="594"/>
        <v>13769.066666666666</v>
      </c>
      <c r="O631" s="73">
        <v>2886</v>
      </c>
      <c r="P631" s="74">
        <v>17250</v>
      </c>
      <c r="Q631" s="74">
        <v>28000</v>
      </c>
      <c r="R631" s="75">
        <v>19875</v>
      </c>
      <c r="S631" s="61">
        <v>17250</v>
      </c>
      <c r="T631" s="60">
        <v>18000</v>
      </c>
      <c r="U631" s="74">
        <v>19837.5</v>
      </c>
      <c r="V631" s="76">
        <f t="shared" si="777"/>
        <v>20035.416666666668</v>
      </c>
      <c r="W631" s="24">
        <f t="shared" si="778"/>
        <v>17149.416666666668</v>
      </c>
      <c r="X631" s="25">
        <f t="shared" si="779"/>
        <v>5.9422788172788179</v>
      </c>
      <c r="Y631" s="77" t="str">
        <f t="shared" si="780"/>
        <v>REVISAR PRECIO</v>
      </c>
      <c r="Z631" s="106">
        <f t="shared" si="781"/>
        <v>20035.416666666668</v>
      </c>
      <c r="AA631" s="73">
        <v>2886</v>
      </c>
      <c r="AB631" s="88">
        <v>17000</v>
      </c>
      <c r="AC631" s="116">
        <v>17000</v>
      </c>
      <c r="AD631" s="74">
        <v>16500</v>
      </c>
      <c r="AE631" s="76">
        <f t="shared" si="782"/>
        <v>16833.333333333332</v>
      </c>
      <c r="AF631" s="24">
        <f t="shared" si="783"/>
        <v>13947.333333333332</v>
      </c>
      <c r="AG631" s="25">
        <f t="shared" si="784"/>
        <v>4.832755832755832</v>
      </c>
      <c r="AH631" s="77" t="str">
        <f t="shared" si="785"/>
        <v>REVISAR PRECIO</v>
      </c>
      <c r="AI631" s="77">
        <f t="shared" si="786"/>
        <v>16833.333333333332</v>
      </c>
      <c r="AJ631" s="73">
        <v>2886</v>
      </c>
      <c r="AK631" s="79">
        <v>19875</v>
      </c>
      <c r="AL631" s="79">
        <f>+AL629*0.6</f>
        <v>15000</v>
      </c>
      <c r="AM631" s="127">
        <v>18000</v>
      </c>
      <c r="AN631" s="128">
        <v>15000</v>
      </c>
      <c r="AO631" s="128">
        <v>17000</v>
      </c>
      <c r="AP631" s="133">
        <f t="shared" si="787"/>
        <v>16975</v>
      </c>
      <c r="AQ631" s="127">
        <f t="shared" si="788"/>
        <v>14089</v>
      </c>
      <c r="AR631" s="134">
        <f t="shared" si="789"/>
        <v>4.8818433818433817</v>
      </c>
      <c r="AS631" s="132">
        <f t="shared" si="790"/>
        <v>16975</v>
      </c>
      <c r="AT631" s="250"/>
      <c r="AU631" s="250"/>
      <c r="AV631" s="250"/>
      <c r="AW631" s="250"/>
      <c r="AX631" s="250"/>
      <c r="AY631" s="250"/>
      <c r="AZ631" s="250"/>
      <c r="BA631" s="250"/>
      <c r="BB631" s="250"/>
      <c r="BC631" s="251"/>
      <c r="BD631" s="10">
        <v>2573</v>
      </c>
      <c r="BE631" s="10">
        <v>14000</v>
      </c>
      <c r="BF631" s="10"/>
      <c r="BG631" s="268">
        <v>17000</v>
      </c>
      <c r="BH631" s="10">
        <v>20000</v>
      </c>
      <c r="BI631" s="76">
        <f t="shared" si="791"/>
        <v>17000</v>
      </c>
      <c r="BJ631" s="24">
        <f t="shared" si="792"/>
        <v>14427</v>
      </c>
      <c r="BK631" s="25">
        <f t="shared" si="793"/>
        <v>5.6070734551107657</v>
      </c>
      <c r="BL631" s="259">
        <f t="shared" si="794"/>
        <v>17000</v>
      </c>
      <c r="BM631" s="10">
        <v>2866</v>
      </c>
      <c r="BN631" s="45">
        <v>12000</v>
      </c>
      <c r="BO631" s="45">
        <v>15000</v>
      </c>
      <c r="BP631" s="45">
        <v>15000</v>
      </c>
      <c r="BQ631" s="29">
        <f t="shared" si="795"/>
        <v>14000</v>
      </c>
      <c r="BR631" s="24">
        <f t="shared" si="796"/>
        <v>11134</v>
      </c>
      <c r="BS631" s="25">
        <f t="shared" si="797"/>
        <v>3.8848569434752269</v>
      </c>
      <c r="BT631" s="308">
        <f t="shared" si="798"/>
        <v>14000</v>
      </c>
    </row>
    <row r="632" spans="1:72" ht="30">
      <c r="A632" s="91" t="s">
        <v>30</v>
      </c>
      <c r="B632" s="358" t="s">
        <v>2824</v>
      </c>
      <c r="C632" s="50" t="s">
        <v>288</v>
      </c>
      <c r="D632" s="99" t="s">
        <v>628</v>
      </c>
      <c r="E632" s="48" t="s">
        <v>10</v>
      </c>
      <c r="F632" s="10">
        <v>13743</v>
      </c>
      <c r="G632" s="33">
        <v>17874</v>
      </c>
      <c r="H632" s="31">
        <v>23236</v>
      </c>
      <c r="I632" s="35">
        <v>15623.2</v>
      </c>
      <c r="J632" s="29">
        <f t="shared" si="595"/>
        <v>18911.066666666666</v>
      </c>
      <c r="K632" s="24">
        <f t="shared" si="596"/>
        <v>5168.0666666666657</v>
      </c>
      <c r="L632" s="25">
        <f t="shared" si="597"/>
        <v>0.37605083800237687</v>
      </c>
      <c r="M632" s="69" t="str">
        <f t="shared" si="598"/>
        <v>REVISAR PRECIO</v>
      </c>
      <c r="N632" s="77">
        <f t="shared" si="594"/>
        <v>18911.066666666666</v>
      </c>
      <c r="O632" s="73">
        <v>2886</v>
      </c>
      <c r="P632" s="74">
        <v>17250</v>
      </c>
      <c r="Q632" s="74">
        <v>28000</v>
      </c>
      <c r="R632" s="75">
        <v>19875</v>
      </c>
      <c r="S632" s="61">
        <v>17250</v>
      </c>
      <c r="T632" s="60">
        <v>14000</v>
      </c>
      <c r="U632" s="74">
        <v>19837.5</v>
      </c>
      <c r="V632" s="76">
        <f t="shared" si="777"/>
        <v>19368.75</v>
      </c>
      <c r="W632" s="24">
        <f t="shared" si="778"/>
        <v>16482.75</v>
      </c>
      <c r="X632" s="25">
        <f t="shared" si="779"/>
        <v>5.7112785862785866</v>
      </c>
      <c r="Y632" s="77" t="str">
        <f t="shared" si="780"/>
        <v>REVISAR PRECIO</v>
      </c>
      <c r="Z632" s="106">
        <f t="shared" si="781"/>
        <v>19368.75</v>
      </c>
      <c r="AA632" s="73">
        <v>2886</v>
      </c>
      <c r="AB632" s="88">
        <v>15000</v>
      </c>
      <c r="AC632" s="116">
        <v>15000</v>
      </c>
      <c r="AD632" s="74">
        <v>16500</v>
      </c>
      <c r="AE632" s="76">
        <f t="shared" si="782"/>
        <v>15500</v>
      </c>
      <c r="AF632" s="24">
        <f t="shared" si="783"/>
        <v>12614</v>
      </c>
      <c r="AG632" s="25">
        <f t="shared" si="784"/>
        <v>4.3707553707553704</v>
      </c>
      <c r="AH632" s="77" t="str">
        <f t="shared" si="785"/>
        <v>REVISAR PRECIO</v>
      </c>
      <c r="AI632" s="77">
        <f t="shared" si="786"/>
        <v>15500</v>
      </c>
      <c r="AJ632" s="73">
        <v>2886</v>
      </c>
      <c r="AK632" s="79">
        <v>19875</v>
      </c>
      <c r="AL632" s="79">
        <f>+AL631</f>
        <v>15000</v>
      </c>
      <c r="AM632" s="127">
        <v>18000</v>
      </c>
      <c r="AN632" s="128">
        <v>15000</v>
      </c>
      <c r="AO632" s="128">
        <v>15000</v>
      </c>
      <c r="AP632" s="133">
        <f t="shared" si="787"/>
        <v>16575</v>
      </c>
      <c r="AQ632" s="127">
        <f t="shared" si="788"/>
        <v>13689</v>
      </c>
      <c r="AR632" s="134">
        <f t="shared" si="789"/>
        <v>4.743243243243243</v>
      </c>
      <c r="AS632" s="132">
        <f t="shared" si="790"/>
        <v>16575</v>
      </c>
      <c r="AT632" s="250"/>
      <c r="AU632" s="250"/>
      <c r="AV632" s="250"/>
      <c r="AW632" s="250"/>
      <c r="AX632" s="250"/>
      <c r="AY632" s="250"/>
      <c r="AZ632" s="250"/>
      <c r="BA632" s="250"/>
      <c r="BB632" s="250"/>
      <c r="BC632" s="251"/>
      <c r="BD632" s="10">
        <v>2573</v>
      </c>
      <c r="BE632" s="10">
        <v>14000</v>
      </c>
      <c r="BF632" s="10"/>
      <c r="BG632" s="268">
        <v>17000</v>
      </c>
      <c r="BH632" s="10">
        <v>20000</v>
      </c>
      <c r="BI632" s="76">
        <f t="shared" si="791"/>
        <v>17000</v>
      </c>
      <c r="BJ632" s="24">
        <f t="shared" si="792"/>
        <v>14427</v>
      </c>
      <c r="BK632" s="25">
        <f t="shared" si="793"/>
        <v>5.6070734551107657</v>
      </c>
      <c r="BL632" s="259">
        <f t="shared" si="794"/>
        <v>17000</v>
      </c>
      <c r="BM632" s="10">
        <v>2866</v>
      </c>
      <c r="BN632" s="45">
        <v>12000</v>
      </c>
      <c r="BO632" s="45">
        <v>15000</v>
      </c>
      <c r="BP632" s="45">
        <v>15000</v>
      </c>
      <c r="BQ632" s="29">
        <f t="shared" si="795"/>
        <v>14000</v>
      </c>
      <c r="BR632" s="24">
        <f t="shared" si="796"/>
        <v>11134</v>
      </c>
      <c r="BS632" s="25">
        <f t="shared" si="797"/>
        <v>3.8848569434752269</v>
      </c>
      <c r="BT632" s="308">
        <f t="shared" si="798"/>
        <v>14000</v>
      </c>
    </row>
    <row r="633" spans="1:72" ht="30">
      <c r="A633" s="91" t="s">
        <v>30</v>
      </c>
      <c r="B633" s="358" t="s">
        <v>2825</v>
      </c>
      <c r="C633" s="50" t="s">
        <v>289</v>
      </c>
      <c r="D633" s="99" t="s">
        <v>629</v>
      </c>
      <c r="E633" s="48" t="s">
        <v>10</v>
      </c>
      <c r="F633" s="10">
        <v>47758</v>
      </c>
      <c r="G633" s="33">
        <v>62114</v>
      </c>
      <c r="H633" s="33">
        <v>80748</v>
      </c>
      <c r="I633" s="35">
        <v>54291.8</v>
      </c>
      <c r="J633" s="29">
        <f t="shared" si="595"/>
        <v>65717.933333333334</v>
      </c>
      <c r="K633" s="24">
        <f t="shared" si="596"/>
        <v>17959.933333333334</v>
      </c>
      <c r="L633" s="25">
        <f t="shared" si="597"/>
        <v>0.37606125326297862</v>
      </c>
      <c r="M633" s="69" t="str">
        <f t="shared" si="598"/>
        <v>REVISAR PRECIO</v>
      </c>
      <c r="N633" s="77">
        <f t="shared" si="594"/>
        <v>65717.933333333334</v>
      </c>
      <c r="O633" s="73">
        <v>32351</v>
      </c>
      <c r="P633" s="74">
        <v>25300</v>
      </c>
      <c r="Q633" s="74">
        <v>35000</v>
      </c>
      <c r="R633" s="75">
        <v>29150</v>
      </c>
      <c r="S633" s="61">
        <v>25299.999999999996</v>
      </c>
      <c r="T633" s="60">
        <v>28000</v>
      </c>
      <c r="U633" s="74">
        <v>29094.999999999993</v>
      </c>
      <c r="V633" s="76">
        <f t="shared" si="777"/>
        <v>28640.833333333332</v>
      </c>
      <c r="W633" s="24">
        <f t="shared" si="778"/>
        <v>-3710.1666666666679</v>
      </c>
      <c r="X633" s="25">
        <f t="shared" si="779"/>
        <v>-0.11468475987347124</v>
      </c>
      <c r="Y633" s="77">
        <f t="shared" si="780"/>
        <v>28640.833333333332</v>
      </c>
      <c r="Z633" s="106">
        <f t="shared" si="781"/>
        <v>28640.833333333332</v>
      </c>
      <c r="AA633" s="73">
        <v>32351</v>
      </c>
      <c r="AB633" s="88">
        <v>23100</v>
      </c>
      <c r="AC633" s="116">
        <v>25000</v>
      </c>
      <c r="AD633" s="74">
        <v>24200</v>
      </c>
      <c r="AE633" s="76">
        <f t="shared" si="782"/>
        <v>24100</v>
      </c>
      <c r="AF633" s="24">
        <f t="shared" si="783"/>
        <v>-8251</v>
      </c>
      <c r="AG633" s="25">
        <f t="shared" si="784"/>
        <v>-0.25504621186362092</v>
      </c>
      <c r="AH633" s="77">
        <f t="shared" si="785"/>
        <v>24100</v>
      </c>
      <c r="AI633" s="77">
        <f t="shared" si="786"/>
        <v>24100</v>
      </c>
      <c r="AJ633" s="73">
        <v>32351</v>
      </c>
      <c r="AK633" s="79">
        <v>29150</v>
      </c>
      <c r="AL633" s="79">
        <v>22000</v>
      </c>
      <c r="AM633" s="127">
        <v>26400</v>
      </c>
      <c r="AN633" s="128">
        <v>23000</v>
      </c>
      <c r="AO633" s="128">
        <v>25000</v>
      </c>
      <c r="AP633" s="133">
        <f t="shared" si="787"/>
        <v>25110</v>
      </c>
      <c r="AQ633" s="127">
        <f t="shared" si="788"/>
        <v>-7241</v>
      </c>
      <c r="AR633" s="134">
        <f t="shared" si="789"/>
        <v>-0.2238261568421378</v>
      </c>
      <c r="AS633" s="132">
        <f t="shared" si="790"/>
        <v>25110</v>
      </c>
      <c r="AT633" s="250"/>
      <c r="AU633" s="250"/>
      <c r="AV633" s="250"/>
      <c r="AW633" s="250"/>
      <c r="AX633" s="250"/>
      <c r="AY633" s="250"/>
      <c r="AZ633" s="250"/>
      <c r="BA633" s="250"/>
      <c r="BB633" s="250"/>
      <c r="BC633" s="251"/>
      <c r="BM633" s="10">
        <v>32189</v>
      </c>
      <c r="BN633" s="45">
        <v>25000</v>
      </c>
      <c r="BO633" s="45">
        <v>37420</v>
      </c>
      <c r="BP633" s="45">
        <v>65000</v>
      </c>
      <c r="BQ633" s="29">
        <f t="shared" si="795"/>
        <v>42473.333333333336</v>
      </c>
      <c r="BR633" s="24">
        <f t="shared" si="796"/>
        <v>10284.333333333336</v>
      </c>
      <c r="BS633" s="25">
        <f t="shared" si="797"/>
        <v>0.31949837936355074</v>
      </c>
      <c r="BT633" s="308">
        <f t="shared" si="798"/>
        <v>42473.333333333336</v>
      </c>
    </row>
    <row r="634" spans="1:72" ht="30">
      <c r="A634" s="91" t="s">
        <v>30</v>
      </c>
      <c r="B634" s="358" t="s">
        <v>2826</v>
      </c>
      <c r="C634" s="50" t="s">
        <v>290</v>
      </c>
      <c r="D634" s="99" t="s">
        <v>630</v>
      </c>
      <c r="E634" s="48" t="s">
        <v>13</v>
      </c>
      <c r="F634" s="10">
        <v>46970</v>
      </c>
      <c r="G634" s="33">
        <v>61088</v>
      </c>
      <c r="H634" s="31">
        <v>79414</v>
      </c>
      <c r="I634" s="35">
        <v>53395</v>
      </c>
      <c r="J634" s="29">
        <f t="shared" si="595"/>
        <v>64632.333333333336</v>
      </c>
      <c r="K634" s="24">
        <f t="shared" si="596"/>
        <v>17662.333333333336</v>
      </c>
      <c r="L634" s="25">
        <f t="shared" si="597"/>
        <v>0.37603434816549575</v>
      </c>
      <c r="M634" s="69" t="str">
        <f t="shared" si="598"/>
        <v>REVISAR PRECIO</v>
      </c>
      <c r="N634" s="77">
        <f t="shared" si="594"/>
        <v>64632.333333333336</v>
      </c>
      <c r="O634" s="73">
        <v>25117</v>
      </c>
      <c r="P634" s="74">
        <v>40434</v>
      </c>
      <c r="Q634" s="74">
        <v>42000</v>
      </c>
      <c r="R634" s="75">
        <v>46587</v>
      </c>
      <c r="S634" s="61">
        <v>40434</v>
      </c>
      <c r="T634" s="60">
        <v>45000</v>
      </c>
      <c r="U634" s="74">
        <v>46499.1</v>
      </c>
      <c r="V634" s="76">
        <f t="shared" si="777"/>
        <v>43492.35</v>
      </c>
      <c r="W634" s="24">
        <f t="shared" si="778"/>
        <v>18375.349999999999</v>
      </c>
      <c r="X634" s="25">
        <f t="shared" si="779"/>
        <v>0.73159015806027783</v>
      </c>
      <c r="Y634" s="77" t="str">
        <f t="shared" si="780"/>
        <v>REVISAR PRECIO</v>
      </c>
      <c r="Z634" s="106">
        <f t="shared" si="781"/>
        <v>43492.35</v>
      </c>
      <c r="AA634" s="73">
        <v>25117</v>
      </c>
      <c r="AB634" s="88">
        <v>40000</v>
      </c>
      <c r="AC634" s="116">
        <v>40000</v>
      </c>
      <c r="AD634" s="74">
        <v>38676</v>
      </c>
      <c r="AE634" s="76">
        <f t="shared" si="782"/>
        <v>39558.666666666664</v>
      </c>
      <c r="AF634" s="24">
        <f t="shared" si="783"/>
        <v>14441.666666666664</v>
      </c>
      <c r="AG634" s="25">
        <f t="shared" si="784"/>
        <v>0.57497578001619076</v>
      </c>
      <c r="AH634" s="77" t="str">
        <f t="shared" si="785"/>
        <v>REVISAR PRECIO</v>
      </c>
      <c r="AI634" s="77">
        <f t="shared" si="786"/>
        <v>39558.666666666664</v>
      </c>
      <c r="AJ634" s="73">
        <v>25117</v>
      </c>
      <c r="AK634" s="79">
        <v>46587</v>
      </c>
      <c r="AL634" s="79">
        <f>29300*1.2</f>
        <v>35160</v>
      </c>
      <c r="AM634" s="127">
        <v>42192</v>
      </c>
      <c r="AN634" s="128">
        <v>48500</v>
      </c>
      <c r="AO634" s="128">
        <v>40000</v>
      </c>
      <c r="AP634" s="133">
        <f t="shared" si="787"/>
        <v>42487.8</v>
      </c>
      <c r="AQ634" s="127">
        <f t="shared" si="788"/>
        <v>17370.800000000003</v>
      </c>
      <c r="AR634" s="134">
        <f t="shared" si="789"/>
        <v>0.69159533383763994</v>
      </c>
      <c r="AS634" s="132">
        <f t="shared" si="790"/>
        <v>42487.8</v>
      </c>
      <c r="AT634" s="250"/>
      <c r="AU634" s="250"/>
      <c r="AV634" s="250"/>
      <c r="AW634" s="250"/>
      <c r="AX634" s="250"/>
      <c r="AY634" s="250"/>
      <c r="AZ634" s="250"/>
      <c r="BA634" s="250"/>
      <c r="BB634" s="250"/>
      <c r="BC634" s="251"/>
      <c r="BD634" s="10">
        <v>21690</v>
      </c>
      <c r="BE634" s="10">
        <v>22000</v>
      </c>
      <c r="BF634" s="10"/>
      <c r="BG634" s="268">
        <v>26000</v>
      </c>
      <c r="BH634" s="10">
        <v>30000</v>
      </c>
      <c r="BI634" s="76">
        <f t="shared" ref="BI634:BI645" si="799">AVERAGE(BE634,BF634,BG634,BH634)</f>
        <v>26000</v>
      </c>
      <c r="BJ634" s="24">
        <f t="shared" ref="BJ634:BJ645" si="800">BI634-BD634</f>
        <v>4310</v>
      </c>
      <c r="BK634" s="25">
        <f t="shared" ref="BK634:BK645" si="801">+BJ634/BD634</f>
        <v>0.1987090825265099</v>
      </c>
      <c r="BL634" s="259">
        <f t="shared" ref="BL634:BL645" si="802">BI634</f>
        <v>26000</v>
      </c>
      <c r="BM634" s="10">
        <v>23902</v>
      </c>
      <c r="BN634" s="45">
        <v>40000</v>
      </c>
      <c r="BO634" s="45">
        <v>29291</v>
      </c>
      <c r="BP634" s="45">
        <v>45000</v>
      </c>
      <c r="BQ634" s="29">
        <f t="shared" si="795"/>
        <v>38097</v>
      </c>
      <c r="BR634" s="24">
        <f t="shared" si="796"/>
        <v>14195</v>
      </c>
      <c r="BS634" s="25">
        <f t="shared" si="797"/>
        <v>0.59388335704125172</v>
      </c>
      <c r="BT634" s="308">
        <f t="shared" si="798"/>
        <v>38097</v>
      </c>
    </row>
    <row r="635" spans="1:72" ht="30">
      <c r="A635" s="91" t="s">
        <v>30</v>
      </c>
      <c r="B635" s="358" t="s">
        <v>2827</v>
      </c>
      <c r="C635" s="50" t="s">
        <v>291</v>
      </c>
      <c r="D635" s="99" t="s">
        <v>631</v>
      </c>
      <c r="E635" s="48" t="s">
        <v>13</v>
      </c>
      <c r="F635" s="10">
        <v>50135</v>
      </c>
      <c r="G635" s="33">
        <v>65205</v>
      </c>
      <c r="H635" s="31">
        <v>65205</v>
      </c>
      <c r="I635" s="35">
        <v>56994</v>
      </c>
      <c r="J635" s="29">
        <f t="shared" si="595"/>
        <v>62468</v>
      </c>
      <c r="K635" s="24">
        <f t="shared" si="596"/>
        <v>12333</v>
      </c>
      <c r="L635" s="25">
        <f t="shared" si="597"/>
        <v>0.24599581130946443</v>
      </c>
      <c r="M635" s="69">
        <f t="shared" si="598"/>
        <v>62468</v>
      </c>
      <c r="N635" s="77">
        <f t="shared" ref="N635:N745" si="803">J635</f>
        <v>62468</v>
      </c>
      <c r="O635" s="73">
        <v>26816</v>
      </c>
      <c r="P635" s="74">
        <v>43470</v>
      </c>
      <c r="Q635" s="74">
        <v>46000</v>
      </c>
      <c r="R635" s="75">
        <v>50085</v>
      </c>
      <c r="S635" s="61">
        <v>43470</v>
      </c>
      <c r="T635" s="60">
        <v>54000</v>
      </c>
      <c r="U635" s="74">
        <v>49990.499999999993</v>
      </c>
      <c r="V635" s="76">
        <f t="shared" si="777"/>
        <v>47835.916666666664</v>
      </c>
      <c r="W635" s="24">
        <f t="shared" si="778"/>
        <v>21019.916666666664</v>
      </c>
      <c r="X635" s="25">
        <f t="shared" si="779"/>
        <v>0.78385727426412088</v>
      </c>
      <c r="Y635" s="77" t="str">
        <f t="shared" si="780"/>
        <v>REVISAR PRECIO</v>
      </c>
      <c r="Z635" s="106">
        <f t="shared" si="781"/>
        <v>47835.916666666664</v>
      </c>
      <c r="AA635" s="73">
        <v>26816</v>
      </c>
      <c r="AB635" s="88">
        <v>40000</v>
      </c>
      <c r="AC635" s="116">
        <v>40000</v>
      </c>
      <c r="AD635" s="74">
        <v>41580</v>
      </c>
      <c r="AE635" s="76">
        <f t="shared" si="782"/>
        <v>40526.666666666664</v>
      </c>
      <c r="AF635" s="24">
        <f t="shared" si="783"/>
        <v>13710.666666666664</v>
      </c>
      <c r="AG635" s="25">
        <f t="shared" si="784"/>
        <v>0.51128679395385834</v>
      </c>
      <c r="AH635" s="77" t="str">
        <f t="shared" si="785"/>
        <v>REVISAR PRECIO</v>
      </c>
      <c r="AI635" s="77">
        <f t="shared" si="786"/>
        <v>40526.666666666664</v>
      </c>
      <c r="AJ635" s="73">
        <v>26816</v>
      </c>
      <c r="AK635" s="79">
        <v>50085</v>
      </c>
      <c r="AL635" s="79">
        <f>31500*1.2</f>
        <v>37800</v>
      </c>
      <c r="AM635" s="127">
        <v>45360</v>
      </c>
      <c r="AN635" s="128">
        <v>48500</v>
      </c>
      <c r="AO635" s="128">
        <v>45000</v>
      </c>
      <c r="AP635" s="133">
        <f t="shared" si="787"/>
        <v>45349</v>
      </c>
      <c r="AQ635" s="127">
        <f t="shared" si="788"/>
        <v>18533</v>
      </c>
      <c r="AR635" s="134">
        <f t="shared" si="789"/>
        <v>0.69111724343675418</v>
      </c>
      <c r="AS635" s="132">
        <f t="shared" si="790"/>
        <v>45349</v>
      </c>
      <c r="AT635" s="250"/>
      <c r="AU635" s="250"/>
      <c r="AV635" s="250"/>
      <c r="AW635" s="250"/>
      <c r="AX635" s="250"/>
      <c r="AY635" s="250"/>
      <c r="AZ635" s="250"/>
      <c r="BA635" s="250"/>
      <c r="BB635" s="250"/>
      <c r="BC635" s="251"/>
      <c r="BD635" s="10">
        <v>23010</v>
      </c>
      <c r="BE635" s="10">
        <v>23000</v>
      </c>
      <c r="BF635" s="10"/>
      <c r="BG635" s="268">
        <v>26000</v>
      </c>
      <c r="BH635" s="10">
        <v>30000</v>
      </c>
      <c r="BI635" s="76">
        <f t="shared" si="799"/>
        <v>26333.333333333332</v>
      </c>
      <c r="BJ635" s="24">
        <f t="shared" si="800"/>
        <v>3323.3333333333321</v>
      </c>
      <c r="BK635" s="25">
        <f t="shared" si="801"/>
        <v>0.14442995798927996</v>
      </c>
      <c r="BL635" s="259">
        <f t="shared" si="802"/>
        <v>26333.333333333332</v>
      </c>
      <c r="BM635" s="10">
        <v>25316</v>
      </c>
      <c r="BN635" s="45">
        <v>40000</v>
      </c>
      <c r="BO635" s="45">
        <v>31237</v>
      </c>
      <c r="BP635" s="45">
        <v>45000</v>
      </c>
      <c r="BQ635" s="29">
        <f t="shared" si="795"/>
        <v>38745.666666666664</v>
      </c>
      <c r="BR635" s="24">
        <f t="shared" si="796"/>
        <v>13429.666666666664</v>
      </c>
      <c r="BS635" s="25">
        <f t="shared" si="797"/>
        <v>0.53048138199820916</v>
      </c>
      <c r="BT635" s="308">
        <f t="shared" si="798"/>
        <v>38745.666666666664</v>
      </c>
    </row>
    <row r="636" spans="1:72" ht="30">
      <c r="A636" s="91" t="s">
        <v>30</v>
      </c>
      <c r="B636" s="358" t="s">
        <v>2828</v>
      </c>
      <c r="C636" s="50" t="s">
        <v>292</v>
      </c>
      <c r="D636" s="99" t="s">
        <v>632</v>
      </c>
      <c r="E636" s="48" t="s">
        <v>13</v>
      </c>
      <c r="F636" s="10">
        <v>38396</v>
      </c>
      <c r="G636" s="33">
        <v>49937</v>
      </c>
      <c r="H636" s="31">
        <v>64917</v>
      </c>
      <c r="I636" s="35">
        <v>43648.2</v>
      </c>
      <c r="J636" s="29">
        <f t="shared" si="595"/>
        <v>52834.066666666673</v>
      </c>
      <c r="K636" s="24">
        <f t="shared" si="596"/>
        <v>14438.066666666673</v>
      </c>
      <c r="L636" s="25">
        <f t="shared" si="597"/>
        <v>0.37603048928707866</v>
      </c>
      <c r="M636" s="69" t="str">
        <f t="shared" si="598"/>
        <v>REVISAR PRECIO</v>
      </c>
      <c r="N636" s="77">
        <f t="shared" si="803"/>
        <v>52834.066666666673</v>
      </c>
      <c r="O636" s="73">
        <v>20532</v>
      </c>
      <c r="P636" s="74">
        <v>27065.94</v>
      </c>
      <c r="Q636" s="74">
        <v>38000</v>
      </c>
      <c r="R636" s="75">
        <v>31184.67</v>
      </c>
      <c r="S636" s="61">
        <v>27065.939999999995</v>
      </c>
      <c r="T636" s="60">
        <v>65000</v>
      </c>
      <c r="U636" s="74">
        <v>31125.830999999991</v>
      </c>
      <c r="V636" s="76">
        <f t="shared" si="777"/>
        <v>36573.730166666668</v>
      </c>
      <c r="W636" s="24">
        <f t="shared" si="778"/>
        <v>16041.730166666668</v>
      </c>
      <c r="X636" s="25">
        <f t="shared" si="779"/>
        <v>0.78130382654717845</v>
      </c>
      <c r="Y636" s="77" t="str">
        <f t="shared" si="780"/>
        <v>REVISAR PRECIO</v>
      </c>
      <c r="Z636" s="106">
        <f t="shared" si="781"/>
        <v>36573.730166666668</v>
      </c>
      <c r="AA636" s="73">
        <v>20532</v>
      </c>
      <c r="AB636" s="88">
        <v>25000</v>
      </c>
      <c r="AC636" s="116">
        <v>25000</v>
      </c>
      <c r="AD636" s="74">
        <v>25889.16</v>
      </c>
      <c r="AE636" s="76">
        <f t="shared" si="782"/>
        <v>25296.386666666669</v>
      </c>
      <c r="AF636" s="24">
        <f t="shared" si="783"/>
        <v>4764.386666666669</v>
      </c>
      <c r="AG636" s="25">
        <f t="shared" si="784"/>
        <v>0.23204688616143918</v>
      </c>
      <c r="AH636" s="77">
        <f t="shared" si="785"/>
        <v>25296.386666666669</v>
      </c>
      <c r="AI636" s="77">
        <f t="shared" si="786"/>
        <v>25296.386666666669</v>
      </c>
      <c r="AJ636" s="73">
        <v>20532</v>
      </c>
      <c r="AK636" s="79">
        <v>31184.67</v>
      </c>
      <c r="AL636" s="79">
        <f>19613*1.2</f>
        <v>23535.599999999999</v>
      </c>
      <c r="AM636" s="127">
        <v>28242.719999999998</v>
      </c>
      <c r="AN636" s="128">
        <v>28500</v>
      </c>
      <c r="AO636" s="128">
        <v>25000</v>
      </c>
      <c r="AP636" s="133">
        <f t="shared" si="787"/>
        <v>27292.597999999998</v>
      </c>
      <c r="AQ636" s="127">
        <f t="shared" si="788"/>
        <v>6760.5979999999981</v>
      </c>
      <c r="AR636" s="134">
        <f t="shared" si="789"/>
        <v>0.32927128384960053</v>
      </c>
      <c r="AS636" s="132">
        <f t="shared" si="790"/>
        <v>27292.597999999998</v>
      </c>
      <c r="AT636" s="250"/>
      <c r="AU636" s="250"/>
      <c r="AV636" s="250"/>
      <c r="AW636" s="250"/>
      <c r="AX636" s="250"/>
      <c r="AY636" s="250"/>
      <c r="AZ636" s="250"/>
      <c r="BA636" s="250"/>
      <c r="BB636" s="250"/>
      <c r="BC636" s="251"/>
      <c r="BD636" s="10">
        <v>18292</v>
      </c>
      <c r="BE636" s="10">
        <v>25000</v>
      </c>
      <c r="BF636" s="10"/>
      <c r="BG636" s="268">
        <v>28000</v>
      </c>
      <c r="BH636" s="10">
        <v>30000</v>
      </c>
      <c r="BI636" s="76">
        <f t="shared" si="799"/>
        <v>27666.666666666668</v>
      </c>
      <c r="BJ636" s="24">
        <f t="shared" si="800"/>
        <v>9374.6666666666679</v>
      </c>
      <c r="BK636" s="25">
        <f t="shared" si="801"/>
        <v>0.5125009111451273</v>
      </c>
      <c r="BL636" s="259">
        <f t="shared" si="802"/>
        <v>27666.666666666668</v>
      </c>
      <c r="BM636" s="10">
        <v>20428</v>
      </c>
      <c r="BN636" s="45"/>
      <c r="BO636" s="45">
        <v>23750</v>
      </c>
      <c r="BP636" s="45">
        <v>40000</v>
      </c>
      <c r="BQ636" s="29">
        <f t="shared" si="795"/>
        <v>31875</v>
      </c>
      <c r="BR636" s="24">
        <f t="shared" si="796"/>
        <v>11447</v>
      </c>
      <c r="BS636" s="25">
        <f t="shared" si="797"/>
        <v>0.56035833170158611</v>
      </c>
      <c r="BT636" s="308">
        <f t="shared" si="798"/>
        <v>31875</v>
      </c>
    </row>
    <row r="637" spans="1:72" ht="30">
      <c r="A637" s="91" t="s">
        <v>30</v>
      </c>
      <c r="B637" s="358" t="s">
        <v>2829</v>
      </c>
      <c r="C637" s="50" t="s">
        <v>293</v>
      </c>
      <c r="D637" s="99" t="s">
        <v>633</v>
      </c>
      <c r="E637" s="48" t="s">
        <v>13</v>
      </c>
      <c r="F637" s="10">
        <v>36974</v>
      </c>
      <c r="G637" s="33">
        <v>48087</v>
      </c>
      <c r="H637" s="33">
        <v>62513</v>
      </c>
      <c r="I637" s="35">
        <v>42031.6</v>
      </c>
      <c r="J637" s="29">
        <f t="shared" si="595"/>
        <v>50877.200000000004</v>
      </c>
      <c r="K637" s="24">
        <f t="shared" si="596"/>
        <v>13903.200000000004</v>
      </c>
      <c r="L637" s="25">
        <f t="shared" si="597"/>
        <v>0.37602639692757084</v>
      </c>
      <c r="M637" s="69" t="str">
        <f t="shared" si="598"/>
        <v>REVISAR PRECIO</v>
      </c>
      <c r="N637" s="77">
        <f t="shared" si="803"/>
        <v>50877.200000000004</v>
      </c>
      <c r="O637" s="73">
        <v>19772</v>
      </c>
      <c r="P637" s="74">
        <v>27674.75</v>
      </c>
      <c r="Q637" s="74">
        <v>32000</v>
      </c>
      <c r="R637" s="75">
        <v>31886.125</v>
      </c>
      <c r="S637" s="61">
        <v>27674.749999999996</v>
      </c>
      <c r="T637" s="60">
        <v>63000</v>
      </c>
      <c r="U637" s="74">
        <v>31825.962499999994</v>
      </c>
      <c r="V637" s="76">
        <f t="shared" si="777"/>
        <v>35676.931250000001</v>
      </c>
      <c r="W637" s="24">
        <f t="shared" si="778"/>
        <v>15904.931250000001</v>
      </c>
      <c r="X637" s="25">
        <f t="shared" si="779"/>
        <v>0.80441691533481696</v>
      </c>
      <c r="Y637" s="77" t="str">
        <f t="shared" si="780"/>
        <v>REVISAR PRECIO</v>
      </c>
      <c r="Z637" s="106">
        <f t="shared" si="781"/>
        <v>35676.931250000001</v>
      </c>
      <c r="AA637" s="73">
        <v>19772</v>
      </c>
      <c r="AB637" s="88">
        <v>28000</v>
      </c>
      <c r="AC637" s="116">
        <v>28000</v>
      </c>
      <c r="AD637" s="74">
        <v>26471.5</v>
      </c>
      <c r="AE637" s="76">
        <f t="shared" si="782"/>
        <v>27490.5</v>
      </c>
      <c r="AF637" s="24">
        <f t="shared" si="783"/>
        <v>7718.5</v>
      </c>
      <c r="AG637" s="25">
        <f t="shared" si="784"/>
        <v>0.39037527817115114</v>
      </c>
      <c r="AH637" s="77" t="str">
        <f t="shared" si="785"/>
        <v>REVISAR PRECIO</v>
      </c>
      <c r="AI637" s="77">
        <f t="shared" si="786"/>
        <v>27490.5</v>
      </c>
      <c r="AJ637" s="73">
        <v>19772</v>
      </c>
      <c r="AK637" s="79">
        <v>31886.125</v>
      </c>
      <c r="AL637" s="79">
        <f>19252*1.25</f>
        <v>24065</v>
      </c>
      <c r="AM637" s="127">
        <v>28878</v>
      </c>
      <c r="AN637" s="128">
        <v>28600</v>
      </c>
      <c r="AO637" s="128">
        <v>29000</v>
      </c>
      <c r="AP637" s="133">
        <f t="shared" si="787"/>
        <v>28485.825000000001</v>
      </c>
      <c r="AQ637" s="127">
        <f t="shared" si="788"/>
        <v>8713.8250000000007</v>
      </c>
      <c r="AR637" s="134">
        <f t="shared" si="789"/>
        <v>0.44071540562411493</v>
      </c>
      <c r="AS637" s="132">
        <f t="shared" si="790"/>
        <v>28485.825000000001</v>
      </c>
      <c r="AT637" s="250"/>
      <c r="AU637" s="250"/>
      <c r="AV637" s="250"/>
      <c r="AW637" s="250"/>
      <c r="AX637" s="250"/>
      <c r="AY637" s="250"/>
      <c r="AZ637" s="250"/>
      <c r="BA637" s="250"/>
      <c r="BB637" s="250"/>
      <c r="BC637" s="251"/>
      <c r="BD637" s="10">
        <v>17181</v>
      </c>
      <c r="BE637" s="10">
        <v>25000</v>
      </c>
      <c r="BF637" s="10"/>
      <c r="BG637" s="268">
        <v>28000</v>
      </c>
      <c r="BH637" s="10">
        <v>30000</v>
      </c>
      <c r="BI637" s="76">
        <f t="shared" si="799"/>
        <v>27666.666666666668</v>
      </c>
      <c r="BJ637" s="24">
        <f t="shared" si="800"/>
        <v>10485.666666666668</v>
      </c>
      <c r="BK637" s="25">
        <f t="shared" si="801"/>
        <v>0.61030595813204513</v>
      </c>
      <c r="BL637" s="259">
        <f t="shared" si="802"/>
        <v>27666.666666666668</v>
      </c>
      <c r="BM637" s="10">
        <v>18966</v>
      </c>
      <c r="BN637" s="45"/>
      <c r="BO637" s="45">
        <v>23100</v>
      </c>
      <c r="BP637" s="45">
        <v>40000</v>
      </c>
      <c r="BQ637" s="29">
        <f t="shared" si="795"/>
        <v>31550</v>
      </c>
      <c r="BR637" s="24">
        <f t="shared" si="796"/>
        <v>12584</v>
      </c>
      <c r="BS637" s="25">
        <f t="shared" si="797"/>
        <v>0.6635031108299061</v>
      </c>
      <c r="BT637" s="308">
        <f t="shared" si="798"/>
        <v>31550</v>
      </c>
    </row>
    <row r="638" spans="1:72" ht="30">
      <c r="A638" s="91" t="s">
        <v>30</v>
      </c>
      <c r="B638" s="358" t="s">
        <v>2830</v>
      </c>
      <c r="C638" s="50" t="s">
        <v>294</v>
      </c>
      <c r="D638" s="99" t="s">
        <v>634</v>
      </c>
      <c r="E638" s="48" t="s">
        <v>13</v>
      </c>
      <c r="F638" s="10">
        <v>35801</v>
      </c>
      <c r="G638" s="33">
        <v>46562</v>
      </c>
      <c r="H638" s="31">
        <v>60530</v>
      </c>
      <c r="I638" s="35">
        <v>40698.199999999997</v>
      </c>
      <c r="J638" s="29">
        <f t="shared" si="595"/>
        <v>49263.4</v>
      </c>
      <c r="K638" s="24">
        <f t="shared" si="596"/>
        <v>13462.400000000001</v>
      </c>
      <c r="L638" s="25">
        <f t="shared" si="597"/>
        <v>0.37603418898913443</v>
      </c>
      <c r="M638" s="69" t="str">
        <f t="shared" si="598"/>
        <v>REVISAR PRECIO</v>
      </c>
      <c r="N638" s="77">
        <f t="shared" si="803"/>
        <v>49263.4</v>
      </c>
      <c r="O638" s="73">
        <v>19146</v>
      </c>
      <c r="P638" s="74">
        <v>27311.0625</v>
      </c>
      <c r="Q638" s="74">
        <v>30000</v>
      </c>
      <c r="R638" s="75">
        <v>31467.09375</v>
      </c>
      <c r="S638" s="61">
        <v>27311.062499999996</v>
      </c>
      <c r="T638" s="60">
        <v>60000</v>
      </c>
      <c r="U638" s="74">
        <v>31407.721874999992</v>
      </c>
      <c r="V638" s="76">
        <f t="shared" si="777"/>
        <v>34582.823437499996</v>
      </c>
      <c r="W638" s="24">
        <f t="shared" si="778"/>
        <v>15436.823437499996</v>
      </c>
      <c r="X638" s="25">
        <f t="shared" si="779"/>
        <v>0.80626885184894992</v>
      </c>
      <c r="Y638" s="77" t="str">
        <f t="shared" si="780"/>
        <v>REVISAR PRECIO</v>
      </c>
      <c r="Z638" s="106">
        <f t="shared" si="781"/>
        <v>34582.823437499996</v>
      </c>
      <c r="AA638" s="73">
        <v>19146</v>
      </c>
      <c r="AB638" s="88">
        <v>26000</v>
      </c>
      <c r="AC638" s="116">
        <v>26000</v>
      </c>
      <c r="AD638" s="74">
        <v>26123.625</v>
      </c>
      <c r="AE638" s="76">
        <f t="shared" si="782"/>
        <v>26041.208333333332</v>
      </c>
      <c r="AF638" s="24">
        <f t="shared" si="783"/>
        <v>6895.2083333333321</v>
      </c>
      <c r="AG638" s="25">
        <f t="shared" si="784"/>
        <v>0.36013832306138788</v>
      </c>
      <c r="AH638" s="77" t="str">
        <f t="shared" si="785"/>
        <v>REVISAR PRECIO</v>
      </c>
      <c r="AI638" s="77">
        <f t="shared" si="786"/>
        <v>26041.208333333332</v>
      </c>
      <c r="AJ638" s="73">
        <v>19146</v>
      </c>
      <c r="AK638" s="79">
        <v>31467.09375</v>
      </c>
      <c r="AL638" s="79">
        <f>18999*1.25</f>
        <v>23748.75</v>
      </c>
      <c r="AM638" s="127">
        <v>28498.5</v>
      </c>
      <c r="AN638" s="128">
        <v>22900</v>
      </c>
      <c r="AO638" s="128">
        <v>32000</v>
      </c>
      <c r="AP638" s="133">
        <f t="shared" si="787"/>
        <v>27722.868750000001</v>
      </c>
      <c r="AQ638" s="127">
        <f t="shared" si="788"/>
        <v>8576.8687500000015</v>
      </c>
      <c r="AR638" s="134">
        <f t="shared" si="789"/>
        <v>0.44797183484801012</v>
      </c>
      <c r="AS638" s="132">
        <f t="shared" si="790"/>
        <v>27722.868750000001</v>
      </c>
      <c r="AT638" s="250"/>
      <c r="AU638" s="250"/>
      <c r="AV638" s="250"/>
      <c r="AW638" s="250"/>
      <c r="AX638" s="250"/>
      <c r="AY638" s="250"/>
      <c r="AZ638" s="250"/>
      <c r="BA638" s="250"/>
      <c r="BB638" s="250"/>
      <c r="BC638" s="251"/>
      <c r="BD638" s="10">
        <v>16801</v>
      </c>
      <c r="BE638" s="10">
        <v>26000</v>
      </c>
      <c r="BF638" s="10"/>
      <c r="BG638" s="268">
        <v>29000</v>
      </c>
      <c r="BH638" s="10">
        <v>30000</v>
      </c>
      <c r="BI638" s="76">
        <f t="shared" si="799"/>
        <v>28333.333333333332</v>
      </c>
      <c r="BJ638" s="24">
        <f t="shared" si="800"/>
        <v>11532.333333333332</v>
      </c>
      <c r="BK638" s="25">
        <f t="shared" si="801"/>
        <v>0.68640755510584683</v>
      </c>
      <c r="BL638" s="259">
        <f t="shared" si="802"/>
        <v>28333.333333333332</v>
      </c>
      <c r="BM638" s="10">
        <v>18558</v>
      </c>
      <c r="BN638" s="45"/>
      <c r="BO638" s="45">
        <v>22499</v>
      </c>
      <c r="BP638" s="45">
        <v>40000</v>
      </c>
      <c r="BQ638" s="29">
        <f t="shared" si="795"/>
        <v>31249.5</v>
      </c>
      <c r="BR638" s="24">
        <f t="shared" si="796"/>
        <v>12691.5</v>
      </c>
      <c r="BS638" s="25">
        <f t="shared" si="797"/>
        <v>0.68388296152602646</v>
      </c>
      <c r="BT638" s="308">
        <f t="shared" si="798"/>
        <v>31249.5</v>
      </c>
    </row>
    <row r="639" spans="1:72" ht="30">
      <c r="A639" s="91" t="s">
        <v>30</v>
      </c>
      <c r="B639" s="358" t="s">
        <v>2831</v>
      </c>
      <c r="C639" s="50" t="s">
        <v>295</v>
      </c>
      <c r="D639" s="99" t="s">
        <v>635</v>
      </c>
      <c r="E639" s="48" t="s">
        <v>10</v>
      </c>
      <c r="F639" s="10">
        <v>70522</v>
      </c>
      <c r="G639" s="33">
        <v>91719</v>
      </c>
      <c r="H639" s="31">
        <v>119235</v>
      </c>
      <c r="I639" s="35">
        <v>80169.2</v>
      </c>
      <c r="J639" s="29">
        <f t="shared" si="595"/>
        <v>97041.066666666666</v>
      </c>
      <c r="K639" s="24">
        <f t="shared" si="596"/>
        <v>26519.066666666666</v>
      </c>
      <c r="L639" s="25">
        <f t="shared" si="597"/>
        <v>0.37603962829566184</v>
      </c>
      <c r="M639" s="69" t="str">
        <f t="shared" si="598"/>
        <v>REVISAR PRECIO</v>
      </c>
      <c r="N639" s="77">
        <f t="shared" si="803"/>
        <v>97041.066666666666</v>
      </c>
      <c r="O639" s="73">
        <v>37714</v>
      </c>
      <c r="P639" s="74">
        <v>25300</v>
      </c>
      <c r="Q639" s="74">
        <v>85000</v>
      </c>
      <c r="R639" s="75">
        <v>29150</v>
      </c>
      <c r="S639" s="61">
        <v>25299.999999999996</v>
      </c>
      <c r="T639" s="60">
        <v>120000</v>
      </c>
      <c r="U639" s="74">
        <v>29094.999999999993</v>
      </c>
      <c r="V639" s="76">
        <f t="shared" si="777"/>
        <v>52307.5</v>
      </c>
      <c r="W639" s="24">
        <f t="shared" si="778"/>
        <v>14593.5</v>
      </c>
      <c r="X639" s="25">
        <f t="shared" si="779"/>
        <v>0.38695179508935673</v>
      </c>
      <c r="Y639" s="77" t="str">
        <f t="shared" si="780"/>
        <v>REVISAR PRECIO</v>
      </c>
      <c r="Z639" s="106">
        <f t="shared" si="781"/>
        <v>52307.5</v>
      </c>
      <c r="AA639" s="73">
        <v>37714</v>
      </c>
      <c r="AB639" s="88">
        <v>25000</v>
      </c>
      <c r="AC639" s="116">
        <v>25000</v>
      </c>
      <c r="AD639" s="74">
        <v>24200</v>
      </c>
      <c r="AE639" s="76">
        <f t="shared" si="782"/>
        <v>24733.333333333332</v>
      </c>
      <c r="AF639" s="24">
        <f t="shared" si="783"/>
        <v>-12980.666666666668</v>
      </c>
      <c r="AG639" s="25">
        <f t="shared" si="784"/>
        <v>-0.34418695091124429</v>
      </c>
      <c r="AH639" s="77">
        <f t="shared" si="785"/>
        <v>24733.333333333332</v>
      </c>
      <c r="AI639" s="77">
        <f t="shared" si="786"/>
        <v>24733.333333333332</v>
      </c>
      <c r="AJ639" s="73">
        <v>37714</v>
      </c>
      <c r="AK639" s="79">
        <v>29150</v>
      </c>
      <c r="AL639" s="79">
        <f>+AL633</f>
        <v>22000</v>
      </c>
      <c r="AM639" s="127">
        <v>26400</v>
      </c>
      <c r="AN639" s="128">
        <v>28000</v>
      </c>
      <c r="AO639" s="128">
        <v>25000</v>
      </c>
      <c r="AP639" s="133">
        <f t="shared" si="787"/>
        <v>26110</v>
      </c>
      <c r="AQ639" s="127">
        <f t="shared" si="788"/>
        <v>-11604</v>
      </c>
      <c r="AR639" s="134">
        <f t="shared" si="789"/>
        <v>-0.30768414912234182</v>
      </c>
      <c r="AS639" s="132">
        <f t="shared" si="790"/>
        <v>26110</v>
      </c>
      <c r="AT639" s="250"/>
      <c r="AU639" s="250"/>
      <c r="AV639" s="250"/>
      <c r="AW639" s="250"/>
      <c r="AX639" s="250"/>
      <c r="AY639" s="250"/>
      <c r="AZ639" s="250"/>
      <c r="BA639" s="250"/>
      <c r="BB639" s="250"/>
      <c r="BC639" s="251"/>
      <c r="BD639" s="10">
        <v>33603</v>
      </c>
      <c r="BE639" s="10">
        <v>25000</v>
      </c>
      <c r="BF639" s="10"/>
      <c r="BG639" s="268">
        <v>28000</v>
      </c>
      <c r="BH639" s="10">
        <v>40000</v>
      </c>
      <c r="BI639" s="76">
        <f t="shared" si="799"/>
        <v>31000</v>
      </c>
      <c r="BJ639" s="24">
        <f t="shared" si="800"/>
        <v>-2603</v>
      </c>
      <c r="BK639" s="25">
        <f t="shared" si="801"/>
        <v>-7.7463321727226739E-2</v>
      </c>
      <c r="BL639" s="259">
        <f t="shared" si="802"/>
        <v>31000</v>
      </c>
      <c r="BM639" s="10">
        <v>37524</v>
      </c>
      <c r="BN639" s="45">
        <v>25000</v>
      </c>
      <c r="BO639" s="45">
        <v>43626</v>
      </c>
      <c r="BP639" s="45">
        <v>25000</v>
      </c>
      <c r="BQ639" s="29">
        <f t="shared" si="795"/>
        <v>31208.666666666668</v>
      </c>
      <c r="BR639" s="24">
        <f t="shared" si="796"/>
        <v>-6315.3333333333321</v>
      </c>
      <c r="BS639" s="25">
        <f t="shared" si="797"/>
        <v>-0.16830117613616172</v>
      </c>
      <c r="BT639" s="308">
        <f t="shared" si="798"/>
        <v>31208.666666666668</v>
      </c>
    </row>
    <row r="640" spans="1:72" ht="30">
      <c r="A640" s="91" t="s">
        <v>30</v>
      </c>
      <c r="B640" s="358" t="s">
        <v>2832</v>
      </c>
      <c r="C640" s="50" t="s">
        <v>296</v>
      </c>
      <c r="D640" s="99" t="s">
        <v>636</v>
      </c>
      <c r="E640" s="48" t="s">
        <v>13</v>
      </c>
      <c r="F640" s="10">
        <v>32894</v>
      </c>
      <c r="G640" s="33">
        <v>42782</v>
      </c>
      <c r="H640" s="33">
        <v>55616</v>
      </c>
      <c r="I640" s="35">
        <v>37394.199999999997</v>
      </c>
      <c r="J640" s="29">
        <f t="shared" si="595"/>
        <v>45264.066666666673</v>
      </c>
      <c r="K640" s="24">
        <f t="shared" si="596"/>
        <v>12370.066666666673</v>
      </c>
      <c r="L640" s="25">
        <f t="shared" si="597"/>
        <v>0.37605845037595526</v>
      </c>
      <c r="M640" s="69" t="str">
        <f t="shared" si="598"/>
        <v>REVISAR PRECIO</v>
      </c>
      <c r="N640" s="77">
        <f t="shared" si="803"/>
        <v>45264.066666666673</v>
      </c>
      <c r="O640" s="73">
        <v>17590</v>
      </c>
      <c r="P640" s="74">
        <v>27185.309999999998</v>
      </c>
      <c r="Q640" s="74">
        <v>42000</v>
      </c>
      <c r="R640" s="75">
        <v>31322.204999999994</v>
      </c>
      <c r="S640" s="61">
        <v>27185.309999999994</v>
      </c>
      <c r="T640" s="60">
        <v>70000</v>
      </c>
      <c r="U640" s="74">
        <v>31263.106499999991</v>
      </c>
      <c r="V640" s="76">
        <f t="shared" si="777"/>
        <v>38159.32191666666</v>
      </c>
      <c r="W640" s="24">
        <f t="shared" si="778"/>
        <v>20569.32191666666</v>
      </c>
      <c r="X640" s="25">
        <f t="shared" si="779"/>
        <v>1.1693758906575702</v>
      </c>
      <c r="Y640" s="77" t="str">
        <f t="shared" si="780"/>
        <v>REVISAR PRECIO</v>
      </c>
      <c r="Z640" s="106">
        <f t="shared" si="781"/>
        <v>38159.32191666666</v>
      </c>
      <c r="AA640" s="73">
        <v>17590</v>
      </c>
      <c r="AB640" s="88">
        <v>26000</v>
      </c>
      <c r="AC640" s="116">
        <v>26000</v>
      </c>
      <c r="AD640" s="74">
        <v>26003.339999999997</v>
      </c>
      <c r="AE640" s="76">
        <f t="shared" si="782"/>
        <v>26001.113333333331</v>
      </c>
      <c r="AF640" s="24">
        <f t="shared" si="783"/>
        <v>8411.113333333331</v>
      </c>
      <c r="AG640" s="25">
        <f t="shared" si="784"/>
        <v>0.47817585749478858</v>
      </c>
      <c r="AH640" s="77" t="str">
        <f t="shared" si="785"/>
        <v>REVISAR PRECIO</v>
      </c>
      <c r="AI640" s="77">
        <f t="shared" si="786"/>
        <v>26001.113333333331</v>
      </c>
      <c r="AJ640" s="73">
        <v>17590</v>
      </c>
      <c r="AK640" s="79">
        <v>31322.204999999994</v>
      </c>
      <c r="AL640" s="79">
        <f>20556*1.15</f>
        <v>23639.399999999998</v>
      </c>
      <c r="AM640" s="127">
        <v>28367.279999999999</v>
      </c>
      <c r="AN640" s="128">
        <v>27000</v>
      </c>
      <c r="AO640" s="128">
        <v>24000</v>
      </c>
      <c r="AP640" s="133">
        <f t="shared" si="787"/>
        <v>26865.777000000002</v>
      </c>
      <c r="AQ640" s="127">
        <f t="shared" si="788"/>
        <v>9275.7770000000019</v>
      </c>
      <c r="AR640" s="134">
        <f t="shared" si="789"/>
        <v>0.52733240477544074</v>
      </c>
      <c r="AS640" s="132">
        <f t="shared" si="790"/>
        <v>26865.777000000002</v>
      </c>
      <c r="AT640" s="250"/>
      <c r="AU640" s="250"/>
      <c r="AV640" s="250"/>
      <c r="AW640" s="250"/>
      <c r="AX640" s="250"/>
      <c r="AY640" s="250"/>
      <c r="AZ640" s="250"/>
      <c r="BA640" s="250"/>
      <c r="BB640" s="250"/>
      <c r="BC640" s="251"/>
      <c r="BD640" s="10">
        <v>15083</v>
      </c>
      <c r="BE640" s="10">
        <v>22000</v>
      </c>
      <c r="BF640" s="10"/>
      <c r="BG640" s="268">
        <v>26000</v>
      </c>
      <c r="BH640" s="10">
        <v>30000</v>
      </c>
      <c r="BI640" s="76">
        <f t="shared" si="799"/>
        <v>26000</v>
      </c>
      <c r="BJ640" s="24">
        <f t="shared" si="800"/>
        <v>10917</v>
      </c>
      <c r="BK640" s="25">
        <f t="shared" si="801"/>
        <v>0.72379500099449712</v>
      </c>
      <c r="BL640" s="259">
        <f t="shared" si="802"/>
        <v>26000</v>
      </c>
      <c r="BM640" s="10">
        <v>16593</v>
      </c>
      <c r="BN640" s="45">
        <v>30000</v>
      </c>
      <c r="BO640" s="45">
        <v>20488</v>
      </c>
      <c r="BP640" s="45">
        <v>35000</v>
      </c>
      <c r="BQ640" s="29">
        <f t="shared" si="795"/>
        <v>28496</v>
      </c>
      <c r="BR640" s="24">
        <f t="shared" si="796"/>
        <v>11903</v>
      </c>
      <c r="BS640" s="25">
        <f t="shared" si="797"/>
        <v>0.71735069005002106</v>
      </c>
      <c r="BT640" s="308">
        <f t="shared" si="798"/>
        <v>28496</v>
      </c>
    </row>
    <row r="641" spans="1:72" ht="30">
      <c r="A641" s="91" t="s">
        <v>30</v>
      </c>
      <c r="B641" s="358" t="s">
        <v>2833</v>
      </c>
      <c r="C641" s="50" t="s">
        <v>297</v>
      </c>
      <c r="D641" s="99" t="s">
        <v>637</v>
      </c>
      <c r="E641" s="48" t="s">
        <v>13</v>
      </c>
      <c r="F641" s="10">
        <v>30507</v>
      </c>
      <c r="G641" s="33">
        <v>39677</v>
      </c>
      <c r="H641" s="31">
        <v>51579</v>
      </c>
      <c r="I641" s="35">
        <v>34680.199999999997</v>
      </c>
      <c r="J641" s="29">
        <f t="shared" si="595"/>
        <v>41978.73333333333</v>
      </c>
      <c r="K641" s="24">
        <f t="shared" si="596"/>
        <v>11471.73333333333</v>
      </c>
      <c r="L641" s="25">
        <f t="shared" si="597"/>
        <v>0.37603610100414103</v>
      </c>
      <c r="M641" s="69" t="str">
        <f t="shared" si="598"/>
        <v>REVISAR PRECIO</v>
      </c>
      <c r="N641" s="77">
        <f t="shared" si="803"/>
        <v>41978.73333333333</v>
      </c>
      <c r="O641" s="73">
        <v>16308</v>
      </c>
      <c r="P641" s="74">
        <v>28074.375</v>
      </c>
      <c r="Q641" s="74">
        <v>40000</v>
      </c>
      <c r="R641" s="75">
        <v>32346.5625</v>
      </c>
      <c r="S641" s="61">
        <v>28074.374999999996</v>
      </c>
      <c r="T641" s="60">
        <v>65000</v>
      </c>
      <c r="U641" s="74">
        <v>32285.531249999993</v>
      </c>
      <c r="V641" s="76">
        <f t="shared" si="777"/>
        <v>37630.140625</v>
      </c>
      <c r="W641" s="24">
        <f t="shared" si="778"/>
        <v>21322.140625</v>
      </c>
      <c r="X641" s="25">
        <f t="shared" si="779"/>
        <v>1.3074650861540349</v>
      </c>
      <c r="Y641" s="77" t="str">
        <f t="shared" si="780"/>
        <v>REVISAR PRECIO</v>
      </c>
      <c r="Z641" s="106">
        <f t="shared" si="781"/>
        <v>37630.140625</v>
      </c>
      <c r="AA641" s="73">
        <v>16308</v>
      </c>
      <c r="AB641" s="88">
        <v>27500</v>
      </c>
      <c r="AC641" s="116">
        <v>29000</v>
      </c>
      <c r="AD641" s="74">
        <v>26853.75</v>
      </c>
      <c r="AE641" s="76">
        <f t="shared" si="782"/>
        <v>27784.583333333332</v>
      </c>
      <c r="AF641" s="24">
        <f t="shared" si="783"/>
        <v>11476.583333333332</v>
      </c>
      <c r="AG641" s="25">
        <f t="shared" si="784"/>
        <v>0.70373947346905397</v>
      </c>
      <c r="AH641" s="77" t="str">
        <f t="shared" si="785"/>
        <v>REVISAR PRECIO</v>
      </c>
      <c r="AI641" s="77">
        <f t="shared" si="786"/>
        <v>27784.583333333332</v>
      </c>
      <c r="AJ641" s="73">
        <v>16308</v>
      </c>
      <c r="AK641" s="79">
        <v>32346.5625</v>
      </c>
      <c r="AL641" s="79">
        <f>19530*1.25</f>
        <v>24412.5</v>
      </c>
      <c r="AM641" s="127">
        <v>29295</v>
      </c>
      <c r="AN641" s="128">
        <v>27000</v>
      </c>
      <c r="AO641" s="128">
        <v>24000</v>
      </c>
      <c r="AP641" s="133">
        <f t="shared" si="787"/>
        <v>27410.8125</v>
      </c>
      <c r="AQ641" s="127">
        <f t="shared" si="788"/>
        <v>11102.8125</v>
      </c>
      <c r="AR641" s="134">
        <f t="shared" si="789"/>
        <v>0.68081999632082413</v>
      </c>
      <c r="AS641" s="132">
        <f t="shared" si="790"/>
        <v>27410.8125</v>
      </c>
      <c r="AT641" s="250"/>
      <c r="AU641" s="250"/>
      <c r="AV641" s="250"/>
      <c r="AW641" s="250"/>
      <c r="AX641" s="250"/>
      <c r="AY641" s="250"/>
      <c r="AZ641" s="250"/>
      <c r="BA641" s="250"/>
      <c r="BB641" s="250"/>
      <c r="BC641" s="251"/>
      <c r="BD641" s="10">
        <v>14162</v>
      </c>
      <c r="BE641" s="10">
        <v>23000</v>
      </c>
      <c r="BF641" s="10"/>
      <c r="BG641" s="268">
        <v>26000</v>
      </c>
      <c r="BH641" s="10">
        <v>30000</v>
      </c>
      <c r="BI641" s="76">
        <f t="shared" si="799"/>
        <v>26333.333333333332</v>
      </c>
      <c r="BJ641" s="24">
        <f t="shared" si="800"/>
        <v>12171.333333333332</v>
      </c>
      <c r="BK641" s="25">
        <f t="shared" si="801"/>
        <v>0.85943604952219543</v>
      </c>
      <c r="BL641" s="259">
        <f t="shared" si="802"/>
        <v>26333.333333333332</v>
      </c>
      <c r="BM641" s="10">
        <v>15625</v>
      </c>
      <c r="BN641" s="45">
        <v>30000</v>
      </c>
      <c r="BO641" s="45">
        <v>19041</v>
      </c>
      <c r="BP641" s="45">
        <v>35000</v>
      </c>
      <c r="BQ641" s="29">
        <f t="shared" si="795"/>
        <v>28013.666666666668</v>
      </c>
      <c r="BR641" s="24">
        <f t="shared" si="796"/>
        <v>12388.666666666668</v>
      </c>
      <c r="BS641" s="25">
        <f t="shared" si="797"/>
        <v>0.79287466666666673</v>
      </c>
      <c r="BT641" s="308">
        <f t="shared" si="798"/>
        <v>28013.666666666668</v>
      </c>
    </row>
    <row r="642" spans="1:72" ht="30">
      <c r="A642" s="91" t="s">
        <v>30</v>
      </c>
      <c r="B642" s="358" t="s">
        <v>2834</v>
      </c>
      <c r="C642" s="50" t="s">
        <v>298</v>
      </c>
      <c r="D642" s="99" t="s">
        <v>638</v>
      </c>
      <c r="E642" s="48" t="s">
        <v>13</v>
      </c>
      <c r="F642" s="10">
        <v>43804</v>
      </c>
      <c r="G642" s="33">
        <v>56970</v>
      </c>
      <c r="H642" s="31">
        <v>74061</v>
      </c>
      <c r="I642" s="35">
        <v>49796</v>
      </c>
      <c r="J642" s="29">
        <f t="shared" ref="J642:J752" si="804">AVERAGE(G642,H642,I642)</f>
        <v>60275.666666666664</v>
      </c>
      <c r="K642" s="24">
        <f t="shared" ref="K642:K752" si="805">J642-F642</f>
        <v>16471.666666666664</v>
      </c>
      <c r="L642" s="25">
        <f t="shared" ref="L642:L752" si="806">+K642/F642</f>
        <v>0.37603110827017316</v>
      </c>
      <c r="M642" s="69" t="str">
        <f t="shared" ref="M642:M752" si="807">+IF(L642&lt;35%,J642,"REVISAR PRECIO")</f>
        <v>REVISAR PRECIO</v>
      </c>
      <c r="N642" s="77">
        <f t="shared" si="803"/>
        <v>60275.666666666664</v>
      </c>
      <c r="O642" s="73">
        <v>15938</v>
      </c>
      <c r="P642" s="74">
        <v>26450</v>
      </c>
      <c r="Q642" s="74">
        <v>38000</v>
      </c>
      <c r="R642" s="75">
        <v>30475</v>
      </c>
      <c r="S642" s="61">
        <v>26449.999999999996</v>
      </c>
      <c r="T642" s="60">
        <v>60000</v>
      </c>
      <c r="U642" s="74">
        <v>30417.499999999993</v>
      </c>
      <c r="V642" s="76">
        <f t="shared" si="777"/>
        <v>35298.75</v>
      </c>
      <c r="W642" s="24">
        <f t="shared" si="778"/>
        <v>19360.75</v>
      </c>
      <c r="X642" s="25">
        <f t="shared" si="779"/>
        <v>1.214754046931861</v>
      </c>
      <c r="Y642" s="77" t="str">
        <f t="shared" si="780"/>
        <v>REVISAR PRECIO</v>
      </c>
      <c r="Z642" s="106">
        <f t="shared" si="781"/>
        <v>35298.75</v>
      </c>
      <c r="AA642" s="73">
        <v>15938</v>
      </c>
      <c r="AB642" s="88">
        <v>25000</v>
      </c>
      <c r="AC642" s="116">
        <v>25000</v>
      </c>
      <c r="AD642" s="74">
        <v>25300</v>
      </c>
      <c r="AE642" s="76">
        <f t="shared" si="782"/>
        <v>25100</v>
      </c>
      <c r="AF642" s="24">
        <f t="shared" si="783"/>
        <v>9162</v>
      </c>
      <c r="AG642" s="25">
        <f t="shared" si="784"/>
        <v>0.5748525536453758</v>
      </c>
      <c r="AH642" s="77" t="str">
        <f t="shared" si="785"/>
        <v>REVISAR PRECIO</v>
      </c>
      <c r="AI642" s="77">
        <f t="shared" si="786"/>
        <v>25100</v>
      </c>
      <c r="AJ642" s="73">
        <v>15938</v>
      </c>
      <c r="AK642" s="79">
        <v>30475</v>
      </c>
      <c r="AL642" s="79">
        <f>18400*1.25</f>
        <v>23000</v>
      </c>
      <c r="AM642" s="127">
        <v>27600</v>
      </c>
      <c r="AN642" s="128">
        <v>27000</v>
      </c>
      <c r="AO642" s="128">
        <v>24000</v>
      </c>
      <c r="AP642" s="129">
        <f t="shared" si="787"/>
        <v>26415</v>
      </c>
      <c r="AQ642" s="130">
        <f t="shared" si="788"/>
        <v>10477</v>
      </c>
      <c r="AR642" s="131">
        <f t="shared" si="789"/>
        <v>0.65735976910528293</v>
      </c>
      <c r="AS642" s="132">
        <f t="shared" si="790"/>
        <v>26415</v>
      </c>
      <c r="AT642" s="250"/>
      <c r="AU642" s="250"/>
      <c r="AV642" s="250"/>
      <c r="AW642" s="250"/>
      <c r="AX642" s="250"/>
      <c r="AY642" s="250"/>
      <c r="AZ642" s="250"/>
      <c r="BA642" s="250"/>
      <c r="BB642" s="250"/>
      <c r="BC642" s="251"/>
      <c r="BD642" s="10">
        <v>13887</v>
      </c>
      <c r="BE642" s="10">
        <v>22000</v>
      </c>
      <c r="BF642" s="10"/>
      <c r="BG642" s="268">
        <v>26000</v>
      </c>
      <c r="BH642" s="10">
        <v>30000</v>
      </c>
      <c r="BI642" s="76">
        <f t="shared" si="799"/>
        <v>26000</v>
      </c>
      <c r="BJ642" s="24">
        <f t="shared" si="800"/>
        <v>12113</v>
      </c>
      <c r="BK642" s="25">
        <f t="shared" si="801"/>
        <v>0.8722546266292216</v>
      </c>
      <c r="BL642" s="259">
        <f t="shared" si="802"/>
        <v>26000</v>
      </c>
      <c r="BM642" s="10">
        <v>15330</v>
      </c>
      <c r="BN642" s="45">
        <v>30000</v>
      </c>
      <c r="BO642" s="45">
        <v>18614</v>
      </c>
      <c r="BP642" s="45">
        <v>35000</v>
      </c>
      <c r="BQ642" s="29">
        <f t="shared" si="795"/>
        <v>27871.333333333332</v>
      </c>
      <c r="BR642" s="24">
        <f t="shared" si="796"/>
        <v>12541.333333333332</v>
      </c>
      <c r="BS642" s="25">
        <f t="shared" si="797"/>
        <v>0.81809088932376595</v>
      </c>
      <c r="BT642" s="308">
        <f t="shared" si="798"/>
        <v>27871.333333333332</v>
      </c>
    </row>
    <row r="643" spans="1:72" ht="30">
      <c r="A643" s="91" t="s">
        <v>30</v>
      </c>
      <c r="B643" s="358" t="s">
        <v>2835</v>
      </c>
      <c r="C643" s="50" t="s">
        <v>299</v>
      </c>
      <c r="D643" s="99" t="s">
        <v>639</v>
      </c>
      <c r="E643" s="48" t="s">
        <v>13</v>
      </c>
      <c r="F643" s="10">
        <v>68404</v>
      </c>
      <c r="G643" s="31">
        <v>88965</v>
      </c>
      <c r="H643" s="33">
        <v>115655</v>
      </c>
      <c r="I643" s="35">
        <v>77762</v>
      </c>
      <c r="J643" s="29">
        <f t="shared" si="804"/>
        <v>94127.333333333328</v>
      </c>
      <c r="K643" s="24">
        <f t="shared" si="805"/>
        <v>25723.333333333328</v>
      </c>
      <c r="L643" s="25">
        <f t="shared" si="806"/>
        <v>0.3760501335204568</v>
      </c>
      <c r="M643" s="69" t="str">
        <f t="shared" si="807"/>
        <v>REVISAR PRECIO</v>
      </c>
      <c r="N643" s="77">
        <f t="shared" si="803"/>
        <v>94127.333333333328</v>
      </c>
      <c r="O643" s="73"/>
      <c r="P643" s="74">
        <v>28750</v>
      </c>
      <c r="Q643" s="74">
        <v>50000</v>
      </c>
      <c r="R643" s="75">
        <v>33125</v>
      </c>
      <c r="S643" s="61">
        <v>28749.999999999996</v>
      </c>
      <c r="T643" s="60">
        <v>68000</v>
      </c>
      <c r="U643" s="74">
        <v>33062.499999999993</v>
      </c>
      <c r="V643" s="76">
        <f t="shared" si="777"/>
        <v>40281.25</v>
      </c>
      <c r="W643" s="24">
        <f t="shared" si="778"/>
        <v>40281.25</v>
      </c>
      <c r="X643" s="25"/>
      <c r="Y643" s="77">
        <f t="shared" si="780"/>
        <v>40281.25</v>
      </c>
      <c r="Z643" s="106">
        <f t="shared" si="781"/>
        <v>40281.25</v>
      </c>
      <c r="AA643" s="73"/>
      <c r="AB643" s="88">
        <v>28000</v>
      </c>
      <c r="AC643" s="116">
        <v>32000</v>
      </c>
      <c r="AD643" s="74">
        <v>27500</v>
      </c>
      <c r="AE643" s="76">
        <f t="shared" si="782"/>
        <v>29166.666666666668</v>
      </c>
      <c r="AF643" s="24">
        <f t="shared" si="783"/>
        <v>29166.666666666668</v>
      </c>
      <c r="AG643" s="25"/>
      <c r="AH643" s="77"/>
      <c r="AI643" s="77">
        <f t="shared" si="786"/>
        <v>29166.666666666668</v>
      </c>
      <c r="AJ643" s="73"/>
      <c r="AK643" s="79">
        <v>33125</v>
      </c>
      <c r="AL643" s="79">
        <f>+AL629</f>
        <v>25000</v>
      </c>
      <c r="AM643" s="127">
        <v>30000</v>
      </c>
      <c r="AN643" s="128">
        <v>26000</v>
      </c>
      <c r="AO643" s="128">
        <v>30000</v>
      </c>
      <c r="AP643" s="133">
        <f t="shared" si="787"/>
        <v>28825</v>
      </c>
      <c r="AQ643" s="127">
        <f t="shared" si="788"/>
        <v>28825</v>
      </c>
      <c r="AR643" s="134"/>
      <c r="AS643" s="132">
        <f t="shared" si="790"/>
        <v>28825</v>
      </c>
      <c r="AT643" s="250"/>
      <c r="AU643" s="250"/>
      <c r="AV643" s="250"/>
      <c r="AW643" s="250"/>
      <c r="AX643" s="250"/>
      <c r="AY643" s="250"/>
      <c r="AZ643" s="250"/>
      <c r="BA643" s="250"/>
      <c r="BB643" s="250"/>
      <c r="BC643" s="251"/>
      <c r="BD643" s="10">
        <v>41292</v>
      </c>
      <c r="BE643" s="10"/>
      <c r="BF643" s="10"/>
      <c r="BG643" s="268"/>
      <c r="BH643" s="10">
        <v>45000</v>
      </c>
      <c r="BI643" s="76">
        <f t="shared" si="799"/>
        <v>45000</v>
      </c>
      <c r="BJ643" s="24">
        <f t="shared" si="800"/>
        <v>3708</v>
      </c>
      <c r="BK643" s="25">
        <f t="shared" si="801"/>
        <v>8.979947689625109E-2</v>
      </c>
      <c r="BL643" s="259">
        <f t="shared" si="802"/>
        <v>45000</v>
      </c>
      <c r="BM643" s="10">
        <v>46105</v>
      </c>
      <c r="BN643" s="45">
        <v>35000</v>
      </c>
      <c r="BO643" s="45">
        <v>53602</v>
      </c>
      <c r="BP643" s="45">
        <v>35000</v>
      </c>
      <c r="BQ643" s="29">
        <f t="shared" si="795"/>
        <v>41200.666666666664</v>
      </c>
      <c r="BR643" s="24">
        <f t="shared" si="796"/>
        <v>-4904.3333333333358</v>
      </c>
      <c r="BS643" s="25">
        <f t="shared" si="797"/>
        <v>-0.10637313378881544</v>
      </c>
      <c r="BT643" s="308">
        <f t="shared" si="798"/>
        <v>41200.666666666664</v>
      </c>
    </row>
    <row r="644" spans="1:72" ht="30">
      <c r="A644" s="91" t="s">
        <v>30</v>
      </c>
      <c r="B644" s="358" t="s">
        <v>2836</v>
      </c>
      <c r="C644" s="50" t="s">
        <v>300</v>
      </c>
      <c r="D644" s="99" t="s">
        <v>640</v>
      </c>
      <c r="E644" s="48" t="s">
        <v>13</v>
      </c>
      <c r="F644" s="10">
        <v>39008</v>
      </c>
      <c r="G644" s="33">
        <v>50733</v>
      </c>
      <c r="H644" s="31">
        <v>50733</v>
      </c>
      <c r="I644" s="35">
        <v>44344.4</v>
      </c>
      <c r="J644" s="29">
        <f t="shared" si="804"/>
        <v>48603.466666666667</v>
      </c>
      <c r="K644" s="24">
        <f t="shared" si="805"/>
        <v>9595.4666666666672</v>
      </c>
      <c r="L644" s="25">
        <f t="shared" si="806"/>
        <v>0.24598714793546625</v>
      </c>
      <c r="M644" s="69">
        <f t="shared" si="807"/>
        <v>48603.466666666667</v>
      </c>
      <c r="N644" s="77">
        <f t="shared" si="803"/>
        <v>48603.466666666667</v>
      </c>
      <c r="O644" s="73">
        <v>26418</v>
      </c>
      <c r="P644" s="74">
        <v>41952</v>
      </c>
      <c r="Q644" s="74">
        <v>38000</v>
      </c>
      <c r="R644" s="75">
        <v>48336</v>
      </c>
      <c r="S644" s="61">
        <v>41952</v>
      </c>
      <c r="T644" s="60">
        <v>60000</v>
      </c>
      <c r="U644" s="74">
        <v>48244.799999999996</v>
      </c>
      <c r="V644" s="76">
        <f t="shared" si="777"/>
        <v>46414.133333333331</v>
      </c>
      <c r="W644" s="24">
        <f t="shared" si="778"/>
        <v>19996.133333333331</v>
      </c>
      <c r="X644" s="25">
        <f t="shared" si="779"/>
        <v>0.75691321573674508</v>
      </c>
      <c r="Y644" s="77" t="str">
        <f t="shared" si="780"/>
        <v>REVISAR PRECIO</v>
      </c>
      <c r="Z644" s="106">
        <f t="shared" si="781"/>
        <v>46414.133333333331</v>
      </c>
      <c r="AA644" s="73">
        <v>26418</v>
      </c>
      <c r="AB644" s="88">
        <v>40000</v>
      </c>
      <c r="AC644" s="116">
        <v>40000</v>
      </c>
      <c r="AD644" s="74">
        <v>40128</v>
      </c>
      <c r="AE644" s="76">
        <f t="shared" si="782"/>
        <v>40042.666666666664</v>
      </c>
      <c r="AF644" s="24">
        <f t="shared" si="783"/>
        <v>13624.666666666664</v>
      </c>
      <c r="AG644" s="25">
        <f t="shared" si="784"/>
        <v>0.51573422161657445</v>
      </c>
      <c r="AH644" s="77" t="str">
        <f t="shared" si="785"/>
        <v>REVISAR PRECIO</v>
      </c>
      <c r="AI644" s="77">
        <f t="shared" si="786"/>
        <v>40042.666666666664</v>
      </c>
      <c r="AJ644" s="73">
        <v>26418</v>
      </c>
      <c r="AK644" s="79">
        <v>48336</v>
      </c>
      <c r="AL644" s="79">
        <f>30400*1.2</f>
        <v>36480</v>
      </c>
      <c r="AM644" s="127">
        <v>43776</v>
      </c>
      <c r="AN644" s="128">
        <v>45000</v>
      </c>
      <c r="AO644" s="128">
        <v>40000</v>
      </c>
      <c r="AP644" s="124">
        <f t="shared" si="787"/>
        <v>42718.400000000001</v>
      </c>
      <c r="AQ644" s="125">
        <f t="shared" si="788"/>
        <v>16300.400000000001</v>
      </c>
      <c r="AR644" s="126">
        <f t="shared" si="789"/>
        <v>0.61701869937164056</v>
      </c>
      <c r="AS644" s="132">
        <f t="shared" si="790"/>
        <v>42718.400000000001</v>
      </c>
      <c r="AT644" s="250"/>
      <c r="AU644" s="250"/>
      <c r="AV644" s="250"/>
      <c r="AW644" s="250"/>
      <c r="AX644" s="250"/>
      <c r="AY644" s="250"/>
      <c r="AZ644" s="250"/>
      <c r="BA644" s="250"/>
      <c r="BB644" s="250"/>
      <c r="BC644" s="251"/>
      <c r="BD644" s="10">
        <v>23000</v>
      </c>
      <c r="BE644" s="10">
        <v>25000</v>
      </c>
      <c r="BF644" s="10"/>
      <c r="BG644" s="268">
        <v>28000</v>
      </c>
      <c r="BH644" s="10">
        <v>30000</v>
      </c>
      <c r="BI644" s="76">
        <f t="shared" si="799"/>
        <v>27666.666666666668</v>
      </c>
      <c r="BJ644" s="24">
        <f t="shared" si="800"/>
        <v>4666.6666666666679</v>
      </c>
      <c r="BK644" s="25">
        <f t="shared" si="801"/>
        <v>0.20289855072463772</v>
      </c>
      <c r="BL644" s="259">
        <f t="shared" si="802"/>
        <v>27666.666666666668</v>
      </c>
      <c r="BM644" s="10">
        <v>25392</v>
      </c>
      <c r="BN644" s="45"/>
      <c r="BO644" s="45">
        <v>30867</v>
      </c>
      <c r="BP644" s="45">
        <v>45000</v>
      </c>
      <c r="BQ644" s="29">
        <f t="shared" si="795"/>
        <v>37933.5</v>
      </c>
      <c r="BR644" s="24">
        <f t="shared" si="796"/>
        <v>12541.5</v>
      </c>
      <c r="BS644" s="25">
        <f t="shared" si="797"/>
        <v>0.49391540642722115</v>
      </c>
      <c r="BT644" s="308">
        <f t="shared" si="798"/>
        <v>37933.5</v>
      </c>
    </row>
    <row r="645" spans="1:72" ht="30">
      <c r="A645" s="91" t="s">
        <v>30</v>
      </c>
      <c r="B645" s="358" t="s">
        <v>2837</v>
      </c>
      <c r="C645" s="50" t="s">
        <v>301</v>
      </c>
      <c r="D645" s="99" t="s">
        <v>641</v>
      </c>
      <c r="E645" s="48" t="s">
        <v>13</v>
      </c>
      <c r="F645" s="10">
        <v>34202</v>
      </c>
      <c r="G645" s="33">
        <v>44483</v>
      </c>
      <c r="H645" s="31">
        <v>57827</v>
      </c>
      <c r="I645" s="35">
        <v>38881</v>
      </c>
      <c r="J645" s="29">
        <f t="shared" si="804"/>
        <v>47063.666666666664</v>
      </c>
      <c r="K645" s="24">
        <f t="shared" si="805"/>
        <v>12861.666666666664</v>
      </c>
      <c r="L645" s="25">
        <f t="shared" si="806"/>
        <v>0.3760501335204568</v>
      </c>
      <c r="M645" s="69" t="str">
        <f t="shared" si="807"/>
        <v>REVISAR PRECIO</v>
      </c>
      <c r="N645" s="77">
        <f t="shared" si="803"/>
        <v>47063.666666666664</v>
      </c>
      <c r="O645" s="73">
        <v>23161</v>
      </c>
      <c r="P645" s="74">
        <v>36984</v>
      </c>
      <c r="Q645" s="74">
        <v>38000</v>
      </c>
      <c r="R645" s="75">
        <v>42612</v>
      </c>
      <c r="S645" s="61">
        <v>36984</v>
      </c>
      <c r="T645" s="60">
        <v>60000</v>
      </c>
      <c r="U645" s="74">
        <v>42531.6</v>
      </c>
      <c r="V645" s="76">
        <f t="shared" si="777"/>
        <v>42851.933333333334</v>
      </c>
      <c r="W645" s="24">
        <f t="shared" si="778"/>
        <v>19690.933333333334</v>
      </c>
      <c r="X645" s="25">
        <f t="shared" si="779"/>
        <v>0.85017630211706463</v>
      </c>
      <c r="Y645" s="77" t="str">
        <f t="shared" si="780"/>
        <v>REVISAR PRECIO</v>
      </c>
      <c r="Z645" s="106">
        <f t="shared" si="781"/>
        <v>42851.933333333334</v>
      </c>
      <c r="AA645" s="73">
        <v>23161</v>
      </c>
      <c r="AB645" s="88">
        <v>35000</v>
      </c>
      <c r="AC645" s="116">
        <v>35000</v>
      </c>
      <c r="AD645" s="74">
        <v>35376</v>
      </c>
      <c r="AE645" s="76">
        <f t="shared" si="782"/>
        <v>35125.333333333336</v>
      </c>
      <c r="AF645" s="24">
        <f t="shared" si="783"/>
        <v>11964.333333333336</v>
      </c>
      <c r="AG645" s="25">
        <f t="shared" si="784"/>
        <v>0.51657239900407304</v>
      </c>
      <c r="AH645" s="77" t="str">
        <f t="shared" si="785"/>
        <v>REVISAR PRECIO</v>
      </c>
      <c r="AI645" s="77">
        <f t="shared" si="786"/>
        <v>35125.333333333336</v>
      </c>
      <c r="AJ645" s="73">
        <v>23161</v>
      </c>
      <c r="AK645" s="79">
        <v>42612</v>
      </c>
      <c r="AL645" s="79">
        <f>26800*1.2</f>
        <v>32160</v>
      </c>
      <c r="AM645" s="127">
        <v>38592</v>
      </c>
      <c r="AN645" s="128">
        <v>35000</v>
      </c>
      <c r="AO645" s="128">
        <v>35000</v>
      </c>
      <c r="AP645" s="133">
        <f t="shared" si="787"/>
        <v>36672.800000000003</v>
      </c>
      <c r="AQ645" s="127">
        <f t="shared" si="788"/>
        <v>13511.800000000003</v>
      </c>
      <c r="AR645" s="134">
        <f t="shared" si="789"/>
        <v>0.58338586416821392</v>
      </c>
      <c r="AS645" s="132">
        <f t="shared" si="790"/>
        <v>36672.800000000003</v>
      </c>
      <c r="AT645" s="250"/>
      <c r="AU645" s="250"/>
      <c r="AV645" s="250"/>
      <c r="AW645" s="250"/>
      <c r="AX645" s="250"/>
      <c r="AY645" s="250"/>
      <c r="AZ645" s="250"/>
      <c r="BA645" s="250"/>
      <c r="BB645" s="250"/>
      <c r="BC645" s="251"/>
      <c r="BD645" s="10">
        <v>20067</v>
      </c>
      <c r="BE645" s="10">
        <v>24000</v>
      </c>
      <c r="BF645" s="10"/>
      <c r="BG645" s="268">
        <v>27000</v>
      </c>
      <c r="BH645" s="10">
        <v>30000</v>
      </c>
      <c r="BI645" s="76">
        <f t="shared" si="799"/>
        <v>27000</v>
      </c>
      <c r="BJ645" s="24">
        <f t="shared" si="800"/>
        <v>6933</v>
      </c>
      <c r="BK645" s="25">
        <f t="shared" si="801"/>
        <v>0.34549259979070113</v>
      </c>
      <c r="BL645" s="259">
        <f t="shared" si="802"/>
        <v>27000</v>
      </c>
      <c r="BM645" s="10">
        <v>22137</v>
      </c>
      <c r="BN645" s="45"/>
      <c r="BO645" s="45">
        <v>27026</v>
      </c>
      <c r="BP645" s="45">
        <v>45000</v>
      </c>
      <c r="BQ645" s="29">
        <f t="shared" si="795"/>
        <v>36013</v>
      </c>
      <c r="BR645" s="24">
        <f t="shared" si="796"/>
        <v>13876</v>
      </c>
      <c r="BS645" s="25">
        <f t="shared" si="797"/>
        <v>0.62682386953968472</v>
      </c>
      <c r="BT645" s="308">
        <f t="shared" si="798"/>
        <v>36013</v>
      </c>
    </row>
    <row r="646" spans="1:72" s="1" customFormat="1" ht="50.1" customHeight="1">
      <c r="A646" s="91"/>
      <c r="B646" s="358" t="s">
        <v>2838</v>
      </c>
      <c r="C646" s="50" t="s">
        <v>1142</v>
      </c>
      <c r="D646" s="177" t="s">
        <v>1097</v>
      </c>
      <c r="E646" s="141" t="s">
        <v>13</v>
      </c>
      <c r="F646" s="10"/>
      <c r="G646" s="33"/>
      <c r="H646" s="31"/>
      <c r="I646" s="183"/>
      <c r="J646" s="29"/>
      <c r="K646" s="24"/>
      <c r="L646" s="25"/>
      <c r="M646" s="69"/>
      <c r="N646" s="77"/>
      <c r="O646" s="73"/>
      <c r="P646" s="74"/>
      <c r="Q646" s="74"/>
      <c r="R646" s="75"/>
      <c r="S646" s="61"/>
      <c r="T646" s="60"/>
      <c r="U646" s="74"/>
      <c r="V646" s="76"/>
      <c r="W646" s="24"/>
      <c r="X646" s="25"/>
      <c r="Y646" s="77"/>
      <c r="Z646" s="106"/>
      <c r="AA646" s="73"/>
      <c r="AB646" s="88"/>
      <c r="AC646" s="116"/>
      <c r="AD646" s="74"/>
      <c r="AE646" s="76"/>
      <c r="AF646" s="24"/>
      <c r="AG646" s="25"/>
      <c r="AH646" s="77"/>
      <c r="AI646" s="77"/>
      <c r="AJ646" s="73"/>
      <c r="AK646" s="79"/>
      <c r="AL646" s="79"/>
      <c r="AM646" s="127"/>
      <c r="AN646" s="128"/>
      <c r="AO646" s="128"/>
      <c r="AP646" s="133"/>
      <c r="AQ646" s="127"/>
      <c r="AR646" s="134"/>
      <c r="AS646" s="132"/>
      <c r="AT646" s="10">
        <v>18910</v>
      </c>
      <c r="AU646" s="10">
        <v>25000</v>
      </c>
      <c r="AV646" s="167">
        <v>75000</v>
      </c>
      <c r="AW646" s="168">
        <v>18600</v>
      </c>
      <c r="AX646" s="29">
        <f t="shared" ref="AX646:AX666" si="808">AVERAGE(AU646,AW646)</f>
        <v>21800</v>
      </c>
      <c r="AY646" s="24">
        <f t="shared" ref="AY646:AY666" si="809">AX646-AT646</f>
        <v>2890</v>
      </c>
      <c r="AZ646" s="25">
        <f t="shared" ref="AZ646:AZ666" si="810">+AY646/AT646</f>
        <v>0.15282919090428346</v>
      </c>
      <c r="BA646" s="24">
        <f t="shared" ref="BA646:BA666" si="811">AV646-AT646</f>
        <v>56090</v>
      </c>
      <c r="BB646" s="169">
        <f t="shared" ref="BB646:BB666" si="812">+BA646/AT646</f>
        <v>2.966155473294553</v>
      </c>
      <c r="BC646" s="170">
        <f t="shared" ref="BC646:BC666" si="813">AX646</f>
        <v>21800</v>
      </c>
      <c r="BD646" s="150"/>
      <c r="BE646" s="150"/>
      <c r="BF646" s="150"/>
      <c r="BG646" s="150"/>
      <c r="BH646" s="150"/>
      <c r="BI646" s="150"/>
      <c r="BJ646" s="150"/>
      <c r="BK646" s="150"/>
      <c r="BL646" s="150"/>
      <c r="BM646" s="293"/>
      <c r="BN646" s="293"/>
      <c r="BO646" s="293"/>
      <c r="BP646" s="293"/>
      <c r="BQ646" s="293"/>
      <c r="BR646" s="293"/>
      <c r="BS646" s="293"/>
      <c r="BT646" s="293"/>
    </row>
    <row r="647" spans="1:72" s="1" customFormat="1" ht="50.1" customHeight="1">
      <c r="A647" s="91"/>
      <c r="B647" s="358" t="s">
        <v>2839</v>
      </c>
      <c r="C647" s="50" t="s">
        <v>1143</v>
      </c>
      <c r="D647" s="177" t="s">
        <v>1098</v>
      </c>
      <c r="E647" s="141" t="s">
        <v>13</v>
      </c>
      <c r="F647" s="10"/>
      <c r="G647" s="33"/>
      <c r="H647" s="31"/>
      <c r="I647" s="183"/>
      <c r="J647" s="29"/>
      <c r="K647" s="24"/>
      <c r="L647" s="25"/>
      <c r="M647" s="69"/>
      <c r="N647" s="77"/>
      <c r="O647" s="73"/>
      <c r="P647" s="74"/>
      <c r="Q647" s="74"/>
      <c r="R647" s="75"/>
      <c r="S647" s="61"/>
      <c r="T647" s="60"/>
      <c r="U647" s="74"/>
      <c r="V647" s="76"/>
      <c r="W647" s="24"/>
      <c r="X647" s="25"/>
      <c r="Y647" s="77"/>
      <c r="Z647" s="106"/>
      <c r="AA647" s="73"/>
      <c r="AB647" s="88"/>
      <c r="AC647" s="116"/>
      <c r="AD647" s="74"/>
      <c r="AE647" s="76"/>
      <c r="AF647" s="24"/>
      <c r="AG647" s="25"/>
      <c r="AH647" s="77"/>
      <c r="AI647" s="77"/>
      <c r="AJ647" s="73"/>
      <c r="AK647" s="79"/>
      <c r="AL647" s="79"/>
      <c r="AM647" s="127"/>
      <c r="AN647" s="128"/>
      <c r="AO647" s="128"/>
      <c r="AP647" s="133"/>
      <c r="AQ647" s="127"/>
      <c r="AR647" s="134"/>
      <c r="AS647" s="132"/>
      <c r="AT647" s="10">
        <v>14107</v>
      </c>
      <c r="AU647" s="10">
        <v>12719</v>
      </c>
      <c r="AV647" s="167">
        <v>38157</v>
      </c>
      <c r="AW647" s="168">
        <v>12450</v>
      </c>
      <c r="AX647" s="29">
        <f t="shared" si="808"/>
        <v>12584.5</v>
      </c>
      <c r="AY647" s="24">
        <f t="shared" si="809"/>
        <v>-1522.5</v>
      </c>
      <c r="AZ647" s="25">
        <f t="shared" si="810"/>
        <v>-0.10792514354575743</v>
      </c>
      <c r="BA647" s="24">
        <f t="shared" si="811"/>
        <v>24050</v>
      </c>
      <c r="BB647" s="169">
        <f t="shared" si="812"/>
        <v>1.7048273906571205</v>
      </c>
      <c r="BC647" s="170">
        <f t="shared" si="813"/>
        <v>12584.5</v>
      </c>
      <c r="BD647" s="150"/>
      <c r="BE647" s="150"/>
      <c r="BF647" s="150"/>
      <c r="BG647" s="150"/>
      <c r="BH647" s="150"/>
      <c r="BI647" s="150"/>
      <c r="BJ647" s="150"/>
      <c r="BK647" s="150"/>
      <c r="BL647" s="150"/>
      <c r="BM647" s="293"/>
      <c r="BN647" s="293"/>
      <c r="BO647" s="293"/>
      <c r="BP647" s="293"/>
      <c r="BQ647" s="293"/>
      <c r="BR647" s="293"/>
      <c r="BS647" s="293"/>
      <c r="BT647" s="293"/>
    </row>
    <row r="648" spans="1:72" s="1" customFormat="1" ht="50.1" customHeight="1">
      <c r="A648" s="91"/>
      <c r="B648" s="358" t="s">
        <v>2840</v>
      </c>
      <c r="C648" s="50" t="s">
        <v>1144</v>
      </c>
      <c r="D648" s="177" t="s">
        <v>1099</v>
      </c>
      <c r="E648" s="141" t="s">
        <v>13</v>
      </c>
      <c r="F648" s="10"/>
      <c r="G648" s="33"/>
      <c r="H648" s="31"/>
      <c r="I648" s="183"/>
      <c r="J648" s="29"/>
      <c r="K648" s="24"/>
      <c r="L648" s="25"/>
      <c r="M648" s="69"/>
      <c r="N648" s="77"/>
      <c r="O648" s="73"/>
      <c r="P648" s="74"/>
      <c r="Q648" s="74"/>
      <c r="R648" s="75"/>
      <c r="S648" s="61"/>
      <c r="T648" s="60"/>
      <c r="U648" s="74"/>
      <c r="V648" s="76"/>
      <c r="W648" s="24"/>
      <c r="X648" s="25"/>
      <c r="Y648" s="77"/>
      <c r="Z648" s="106"/>
      <c r="AA648" s="73"/>
      <c r="AB648" s="88"/>
      <c r="AC648" s="116"/>
      <c r="AD648" s="74"/>
      <c r="AE648" s="76"/>
      <c r="AF648" s="24"/>
      <c r="AG648" s="25"/>
      <c r="AH648" s="77"/>
      <c r="AI648" s="77"/>
      <c r="AJ648" s="73"/>
      <c r="AK648" s="79"/>
      <c r="AL648" s="79"/>
      <c r="AM648" s="127"/>
      <c r="AN648" s="128"/>
      <c r="AO648" s="128"/>
      <c r="AP648" s="133"/>
      <c r="AQ648" s="127"/>
      <c r="AR648" s="134"/>
      <c r="AS648" s="132"/>
      <c r="AT648" s="10">
        <v>14648</v>
      </c>
      <c r="AU648" s="10">
        <v>24413</v>
      </c>
      <c r="AV648" s="167">
        <v>73239</v>
      </c>
      <c r="AW648" s="168">
        <v>24000</v>
      </c>
      <c r="AX648" s="29">
        <f t="shared" si="808"/>
        <v>24206.5</v>
      </c>
      <c r="AY648" s="24">
        <f t="shared" si="809"/>
        <v>9558.5</v>
      </c>
      <c r="AZ648" s="25">
        <f t="shared" si="810"/>
        <v>0.65254642271982521</v>
      </c>
      <c r="BA648" s="24">
        <f t="shared" si="811"/>
        <v>58591</v>
      </c>
      <c r="BB648" s="169">
        <f t="shared" si="812"/>
        <v>3.9999317312943745</v>
      </c>
      <c r="BC648" s="170">
        <f t="shared" si="813"/>
        <v>24206.5</v>
      </c>
      <c r="BD648" s="150"/>
      <c r="BE648" s="150"/>
      <c r="BF648" s="150"/>
      <c r="BG648" s="150"/>
      <c r="BH648" s="150"/>
      <c r="BI648" s="150"/>
      <c r="BJ648" s="150"/>
      <c r="BK648" s="150"/>
      <c r="BL648" s="150"/>
      <c r="BM648" s="293"/>
      <c r="BN648" s="293"/>
      <c r="BO648" s="293"/>
      <c r="BP648" s="293"/>
      <c r="BQ648" s="293"/>
      <c r="BR648" s="293"/>
      <c r="BS648" s="293"/>
      <c r="BT648" s="293"/>
    </row>
    <row r="649" spans="1:72" s="1" customFormat="1" ht="50.1" customHeight="1">
      <c r="A649" s="91"/>
      <c r="B649" s="358" t="s">
        <v>2841</v>
      </c>
      <c r="C649" s="50" t="s">
        <v>1145</v>
      </c>
      <c r="D649" s="177" t="s">
        <v>1100</v>
      </c>
      <c r="E649" s="141" t="s">
        <v>10</v>
      </c>
      <c r="F649" s="10"/>
      <c r="G649" s="33"/>
      <c r="H649" s="31"/>
      <c r="I649" s="183"/>
      <c r="J649" s="29"/>
      <c r="K649" s="24"/>
      <c r="L649" s="25"/>
      <c r="M649" s="69"/>
      <c r="N649" s="77"/>
      <c r="O649" s="73"/>
      <c r="P649" s="74"/>
      <c r="Q649" s="74"/>
      <c r="R649" s="75"/>
      <c r="S649" s="61"/>
      <c r="T649" s="60"/>
      <c r="U649" s="74"/>
      <c r="V649" s="76"/>
      <c r="W649" s="24"/>
      <c r="X649" s="25"/>
      <c r="Y649" s="77"/>
      <c r="Z649" s="106"/>
      <c r="AA649" s="73"/>
      <c r="AB649" s="88"/>
      <c r="AC649" s="116"/>
      <c r="AD649" s="74"/>
      <c r="AE649" s="76"/>
      <c r="AF649" s="24"/>
      <c r="AG649" s="25"/>
      <c r="AH649" s="77"/>
      <c r="AI649" s="77"/>
      <c r="AJ649" s="73"/>
      <c r="AK649" s="79"/>
      <c r="AL649" s="79"/>
      <c r="AM649" s="127"/>
      <c r="AN649" s="128"/>
      <c r="AO649" s="128"/>
      <c r="AP649" s="133"/>
      <c r="AQ649" s="127"/>
      <c r="AR649" s="134"/>
      <c r="AS649" s="132"/>
      <c r="AT649" s="10">
        <v>15692</v>
      </c>
      <c r="AU649" s="10">
        <v>24413</v>
      </c>
      <c r="AV649" s="167">
        <v>73239</v>
      </c>
      <c r="AW649" s="168">
        <v>15600</v>
      </c>
      <c r="AX649" s="29">
        <f t="shared" si="808"/>
        <v>20006.5</v>
      </c>
      <c r="AY649" s="24">
        <f t="shared" si="809"/>
        <v>4314.5</v>
      </c>
      <c r="AZ649" s="25">
        <f t="shared" si="810"/>
        <v>0.27494901860820803</v>
      </c>
      <c r="BA649" s="24">
        <f t="shared" si="811"/>
        <v>57547</v>
      </c>
      <c r="BB649" s="169">
        <f t="shared" si="812"/>
        <v>3.6672826918174866</v>
      </c>
      <c r="BC649" s="170">
        <f t="shared" si="813"/>
        <v>20006.5</v>
      </c>
      <c r="BD649" s="150"/>
      <c r="BE649" s="150"/>
      <c r="BF649" s="150"/>
      <c r="BG649" s="150"/>
      <c r="BH649" s="150"/>
      <c r="BI649" s="150"/>
      <c r="BJ649" s="150"/>
      <c r="BK649" s="150"/>
      <c r="BL649" s="150"/>
      <c r="BM649" s="293"/>
      <c r="BN649" s="293"/>
      <c r="BO649" s="293"/>
      <c r="BP649" s="293"/>
      <c r="BQ649" s="293"/>
      <c r="BR649" s="293"/>
      <c r="BS649" s="293"/>
      <c r="BT649" s="293"/>
    </row>
    <row r="650" spans="1:72" s="1" customFormat="1" ht="50.1" customHeight="1">
      <c r="A650" s="91"/>
      <c r="B650" s="358" t="s">
        <v>2842</v>
      </c>
      <c r="C650" s="50" t="s">
        <v>1146</v>
      </c>
      <c r="D650" s="177" t="s">
        <v>1101</v>
      </c>
      <c r="E650" s="141" t="s">
        <v>10</v>
      </c>
      <c r="F650" s="10"/>
      <c r="G650" s="33"/>
      <c r="H650" s="31"/>
      <c r="I650" s="183"/>
      <c r="J650" s="29"/>
      <c r="K650" s="24"/>
      <c r="L650" s="25"/>
      <c r="M650" s="69"/>
      <c r="N650" s="77"/>
      <c r="O650" s="73"/>
      <c r="P650" s="74"/>
      <c r="Q650" s="74"/>
      <c r="R650" s="75"/>
      <c r="S650" s="61"/>
      <c r="T650" s="60"/>
      <c r="U650" s="74"/>
      <c r="V650" s="76"/>
      <c r="W650" s="24"/>
      <c r="X650" s="25"/>
      <c r="Y650" s="77"/>
      <c r="Z650" s="106"/>
      <c r="AA650" s="73"/>
      <c r="AB650" s="88"/>
      <c r="AC650" s="116"/>
      <c r="AD650" s="74"/>
      <c r="AE650" s="76"/>
      <c r="AF650" s="24"/>
      <c r="AG650" s="25"/>
      <c r="AH650" s="77"/>
      <c r="AI650" s="77"/>
      <c r="AJ650" s="73"/>
      <c r="AK650" s="79"/>
      <c r="AL650" s="79"/>
      <c r="AM650" s="127"/>
      <c r="AN650" s="128"/>
      <c r="AO650" s="128"/>
      <c r="AP650" s="133"/>
      <c r="AQ650" s="127"/>
      <c r="AR650" s="134"/>
      <c r="AS650" s="132"/>
      <c r="AT650" s="10">
        <v>2829</v>
      </c>
      <c r="AU650" s="10">
        <v>15000</v>
      </c>
      <c r="AV650" s="167">
        <v>45000</v>
      </c>
      <c r="AW650" s="168">
        <v>12000</v>
      </c>
      <c r="AX650" s="29">
        <f t="shared" si="808"/>
        <v>13500</v>
      </c>
      <c r="AY650" s="24">
        <f t="shared" si="809"/>
        <v>10671</v>
      </c>
      <c r="AZ650" s="25">
        <f t="shared" si="810"/>
        <v>3.772004241781548</v>
      </c>
      <c r="BA650" s="24">
        <f t="shared" si="811"/>
        <v>42171</v>
      </c>
      <c r="BB650" s="169">
        <f t="shared" si="812"/>
        <v>14.906680805938494</v>
      </c>
      <c r="BC650" s="170">
        <f t="shared" si="813"/>
        <v>13500</v>
      </c>
      <c r="BD650" s="150"/>
      <c r="BE650" s="150"/>
      <c r="BF650" s="150"/>
      <c r="BG650" s="150"/>
      <c r="BH650" s="150"/>
      <c r="BI650" s="150"/>
      <c r="BJ650" s="150"/>
      <c r="BK650" s="150"/>
      <c r="BL650" s="150"/>
      <c r="BM650" s="293"/>
      <c r="BN650" s="293"/>
      <c r="BO650" s="293"/>
      <c r="BP650" s="293"/>
      <c r="BQ650" s="293"/>
      <c r="BR650" s="293"/>
      <c r="BS650" s="293"/>
      <c r="BT650" s="293"/>
    </row>
    <row r="651" spans="1:72" s="1" customFormat="1" ht="50.1" customHeight="1">
      <c r="A651" s="91"/>
      <c r="B651" s="358" t="s">
        <v>2843</v>
      </c>
      <c r="C651" s="50" t="s">
        <v>1147</v>
      </c>
      <c r="D651" s="177" t="s">
        <v>1102</v>
      </c>
      <c r="E651" s="141" t="s">
        <v>10</v>
      </c>
      <c r="F651" s="10"/>
      <c r="G651" s="33"/>
      <c r="H651" s="31"/>
      <c r="I651" s="183"/>
      <c r="J651" s="29"/>
      <c r="K651" s="24"/>
      <c r="L651" s="25"/>
      <c r="M651" s="69"/>
      <c r="N651" s="77"/>
      <c r="O651" s="73"/>
      <c r="P651" s="74"/>
      <c r="Q651" s="74"/>
      <c r="R651" s="75"/>
      <c r="S651" s="61"/>
      <c r="T651" s="60"/>
      <c r="U651" s="74"/>
      <c r="V651" s="76"/>
      <c r="W651" s="24"/>
      <c r="X651" s="25"/>
      <c r="Y651" s="77"/>
      <c r="Z651" s="106"/>
      <c r="AA651" s="73"/>
      <c r="AB651" s="88"/>
      <c r="AC651" s="116"/>
      <c r="AD651" s="74"/>
      <c r="AE651" s="76"/>
      <c r="AF651" s="24"/>
      <c r="AG651" s="25"/>
      <c r="AH651" s="77"/>
      <c r="AI651" s="77"/>
      <c r="AJ651" s="73"/>
      <c r="AK651" s="79"/>
      <c r="AL651" s="79"/>
      <c r="AM651" s="127"/>
      <c r="AN651" s="128"/>
      <c r="AO651" s="128"/>
      <c r="AP651" s="133"/>
      <c r="AQ651" s="127"/>
      <c r="AR651" s="134"/>
      <c r="AS651" s="132"/>
      <c r="AT651" s="10">
        <v>2829</v>
      </c>
      <c r="AU651" s="10">
        <v>15000</v>
      </c>
      <c r="AV651" s="167">
        <v>30000</v>
      </c>
      <c r="AW651" s="168">
        <v>12000</v>
      </c>
      <c r="AX651" s="29">
        <f t="shared" si="808"/>
        <v>13500</v>
      </c>
      <c r="AY651" s="24">
        <f t="shared" si="809"/>
        <v>10671</v>
      </c>
      <c r="AZ651" s="25">
        <f t="shared" si="810"/>
        <v>3.772004241781548</v>
      </c>
      <c r="BA651" s="24">
        <f t="shared" si="811"/>
        <v>27171</v>
      </c>
      <c r="BB651" s="169">
        <f t="shared" si="812"/>
        <v>9.6044538706256635</v>
      </c>
      <c r="BC651" s="170">
        <f t="shared" si="813"/>
        <v>13500</v>
      </c>
      <c r="BD651" s="150"/>
      <c r="BE651" s="150"/>
      <c r="BF651" s="150"/>
      <c r="BG651" s="150"/>
      <c r="BH651" s="150"/>
      <c r="BI651" s="150"/>
      <c r="BJ651" s="150"/>
      <c r="BK651" s="150"/>
      <c r="BL651" s="150"/>
      <c r="BM651" s="293"/>
      <c r="BN651" s="293"/>
      <c r="BO651" s="293"/>
      <c r="BP651" s="293"/>
      <c r="BQ651" s="293"/>
      <c r="BR651" s="293"/>
      <c r="BS651" s="293"/>
      <c r="BT651" s="293"/>
    </row>
    <row r="652" spans="1:72" s="1" customFormat="1" ht="50.1" customHeight="1">
      <c r="A652" s="91"/>
      <c r="B652" s="358" t="s">
        <v>2844</v>
      </c>
      <c r="C652" s="50" t="s">
        <v>1148</v>
      </c>
      <c r="D652" s="177" t="s">
        <v>1103</v>
      </c>
      <c r="E652" s="141" t="s">
        <v>10</v>
      </c>
      <c r="F652" s="10"/>
      <c r="G652" s="33"/>
      <c r="H652" s="31"/>
      <c r="I652" s="183"/>
      <c r="J652" s="29"/>
      <c r="K652" s="24"/>
      <c r="L652" s="25"/>
      <c r="M652" s="69"/>
      <c r="N652" s="77"/>
      <c r="O652" s="73"/>
      <c r="P652" s="74"/>
      <c r="Q652" s="74"/>
      <c r="R652" s="75"/>
      <c r="S652" s="61"/>
      <c r="T652" s="60"/>
      <c r="U652" s="74"/>
      <c r="V652" s="76"/>
      <c r="W652" s="24"/>
      <c r="X652" s="25"/>
      <c r="Y652" s="77"/>
      <c r="Z652" s="106"/>
      <c r="AA652" s="73"/>
      <c r="AB652" s="88"/>
      <c r="AC652" s="116"/>
      <c r="AD652" s="74"/>
      <c r="AE652" s="76"/>
      <c r="AF652" s="24"/>
      <c r="AG652" s="25"/>
      <c r="AH652" s="77"/>
      <c r="AI652" s="77"/>
      <c r="AJ652" s="73"/>
      <c r="AK652" s="79"/>
      <c r="AL652" s="79"/>
      <c r="AM652" s="127"/>
      <c r="AN652" s="128"/>
      <c r="AO652" s="128"/>
      <c r="AP652" s="133"/>
      <c r="AQ652" s="127"/>
      <c r="AR652" s="134"/>
      <c r="AS652" s="132"/>
      <c r="AT652" s="10">
        <v>31715</v>
      </c>
      <c r="AU652" s="10">
        <v>22000</v>
      </c>
      <c r="AV652" s="167">
        <v>44000</v>
      </c>
      <c r="AW652" s="168">
        <v>28700</v>
      </c>
      <c r="AX652" s="29">
        <f t="shared" si="808"/>
        <v>25350</v>
      </c>
      <c r="AY652" s="24">
        <f t="shared" si="809"/>
        <v>-6365</v>
      </c>
      <c r="AZ652" s="25">
        <f t="shared" si="810"/>
        <v>-0.20069367807031374</v>
      </c>
      <c r="BA652" s="24">
        <f t="shared" si="811"/>
        <v>12285</v>
      </c>
      <c r="BB652" s="169">
        <f t="shared" si="812"/>
        <v>0.38735614062746332</v>
      </c>
      <c r="BC652" s="170">
        <f t="shared" si="813"/>
        <v>25350</v>
      </c>
      <c r="BD652" s="150"/>
      <c r="BE652" s="150"/>
      <c r="BF652" s="150"/>
      <c r="BG652" s="150"/>
      <c r="BH652" s="150"/>
      <c r="BI652" s="150"/>
      <c r="BJ652" s="150"/>
      <c r="BK652" s="150"/>
      <c r="BL652" s="150"/>
      <c r="BM652" s="293"/>
      <c r="BN652" s="293"/>
      <c r="BO652" s="293"/>
      <c r="BP652" s="293"/>
      <c r="BQ652" s="293"/>
      <c r="BR652" s="293"/>
      <c r="BS652" s="293"/>
      <c r="BT652" s="293"/>
    </row>
    <row r="653" spans="1:72" s="1" customFormat="1" ht="50.1" customHeight="1">
      <c r="A653" s="91"/>
      <c r="B653" s="358" t="s">
        <v>2845</v>
      </c>
      <c r="C653" s="50" t="s">
        <v>1149</v>
      </c>
      <c r="D653" s="177" t="s">
        <v>1104</v>
      </c>
      <c r="E653" s="141" t="s">
        <v>13</v>
      </c>
      <c r="F653" s="10"/>
      <c r="G653" s="33"/>
      <c r="H653" s="31"/>
      <c r="I653" s="183"/>
      <c r="J653" s="29"/>
      <c r="K653" s="24"/>
      <c r="L653" s="25"/>
      <c r="M653" s="69"/>
      <c r="N653" s="77"/>
      <c r="O653" s="73"/>
      <c r="P653" s="74"/>
      <c r="Q653" s="74"/>
      <c r="R653" s="75"/>
      <c r="S653" s="61"/>
      <c r="T653" s="60"/>
      <c r="U653" s="74"/>
      <c r="V653" s="76"/>
      <c r="W653" s="24"/>
      <c r="X653" s="25"/>
      <c r="Y653" s="77"/>
      <c r="Z653" s="106"/>
      <c r="AA653" s="73"/>
      <c r="AB653" s="88"/>
      <c r="AC653" s="116"/>
      <c r="AD653" s="74"/>
      <c r="AE653" s="76"/>
      <c r="AF653" s="24"/>
      <c r="AG653" s="25"/>
      <c r="AH653" s="77"/>
      <c r="AI653" s="77"/>
      <c r="AJ653" s="73"/>
      <c r="AK653" s="79"/>
      <c r="AL653" s="79"/>
      <c r="AM653" s="127"/>
      <c r="AN653" s="128"/>
      <c r="AO653" s="128"/>
      <c r="AP653" s="133"/>
      <c r="AQ653" s="127"/>
      <c r="AR653" s="134"/>
      <c r="AS653" s="132"/>
      <c r="AT653" s="10">
        <v>24833</v>
      </c>
      <c r="AU653" s="10">
        <v>35160</v>
      </c>
      <c r="AV653" s="167">
        <v>70320</v>
      </c>
      <c r="AW653" s="168">
        <v>33450</v>
      </c>
      <c r="AX653" s="29">
        <f t="shared" si="808"/>
        <v>34305</v>
      </c>
      <c r="AY653" s="24">
        <f t="shared" si="809"/>
        <v>9472</v>
      </c>
      <c r="AZ653" s="25">
        <f t="shared" si="810"/>
        <v>0.3814279386300487</v>
      </c>
      <c r="BA653" s="24">
        <f t="shared" si="811"/>
        <v>45487</v>
      </c>
      <c r="BB653" s="169">
        <f t="shared" si="812"/>
        <v>1.8317158619578786</v>
      </c>
      <c r="BC653" s="170">
        <f t="shared" si="813"/>
        <v>34305</v>
      </c>
      <c r="BD653" s="150"/>
      <c r="BE653" s="150"/>
      <c r="BF653" s="150"/>
      <c r="BG653" s="150"/>
      <c r="BH653" s="150"/>
      <c r="BI653" s="150"/>
      <c r="BJ653" s="150"/>
      <c r="BK653" s="150"/>
      <c r="BL653" s="150"/>
      <c r="BM653" s="293"/>
      <c r="BN653" s="293"/>
      <c r="BO653" s="293"/>
      <c r="BP653" s="293"/>
      <c r="BQ653" s="293"/>
      <c r="BR653" s="293"/>
      <c r="BS653" s="293"/>
      <c r="BT653" s="293"/>
    </row>
    <row r="654" spans="1:72" s="1" customFormat="1" ht="50.1" customHeight="1">
      <c r="A654" s="91"/>
      <c r="B654" s="358" t="s">
        <v>2846</v>
      </c>
      <c r="C654" s="50" t="s">
        <v>1150</v>
      </c>
      <c r="D654" s="177" t="s">
        <v>1105</v>
      </c>
      <c r="E654" s="141" t="s">
        <v>13</v>
      </c>
      <c r="F654" s="10"/>
      <c r="G654" s="33"/>
      <c r="H654" s="31"/>
      <c r="I654" s="183"/>
      <c r="J654" s="29"/>
      <c r="K654" s="24"/>
      <c r="L654" s="25"/>
      <c r="M654" s="69"/>
      <c r="N654" s="77"/>
      <c r="O654" s="73"/>
      <c r="P654" s="74"/>
      <c r="Q654" s="74"/>
      <c r="R654" s="75"/>
      <c r="S654" s="61"/>
      <c r="T654" s="60"/>
      <c r="U654" s="74"/>
      <c r="V654" s="76"/>
      <c r="W654" s="24"/>
      <c r="X654" s="25"/>
      <c r="Y654" s="77"/>
      <c r="Z654" s="106"/>
      <c r="AA654" s="73"/>
      <c r="AB654" s="88"/>
      <c r="AC654" s="116"/>
      <c r="AD654" s="74"/>
      <c r="AE654" s="76"/>
      <c r="AF654" s="24"/>
      <c r="AG654" s="25"/>
      <c r="AH654" s="77"/>
      <c r="AI654" s="77"/>
      <c r="AJ654" s="73"/>
      <c r="AK654" s="79"/>
      <c r="AL654" s="79"/>
      <c r="AM654" s="127"/>
      <c r="AN654" s="128"/>
      <c r="AO654" s="128"/>
      <c r="AP654" s="133"/>
      <c r="AQ654" s="127"/>
      <c r="AR654" s="134"/>
      <c r="AS654" s="132"/>
      <c r="AT654" s="10">
        <v>26475</v>
      </c>
      <c r="AU654" s="10">
        <v>37800</v>
      </c>
      <c r="AV654" s="167">
        <v>75600</v>
      </c>
      <c r="AW654" s="168">
        <v>36780</v>
      </c>
      <c r="AX654" s="29">
        <f t="shared" si="808"/>
        <v>37290</v>
      </c>
      <c r="AY654" s="24">
        <f t="shared" si="809"/>
        <v>10815</v>
      </c>
      <c r="AZ654" s="25">
        <f t="shared" si="810"/>
        <v>0.4084985835694051</v>
      </c>
      <c r="BA654" s="24">
        <f t="shared" si="811"/>
        <v>49125</v>
      </c>
      <c r="BB654" s="169">
        <f t="shared" si="812"/>
        <v>1.8555240793201133</v>
      </c>
      <c r="BC654" s="170">
        <f t="shared" si="813"/>
        <v>37290</v>
      </c>
      <c r="BD654" s="150"/>
      <c r="BE654" s="150"/>
      <c r="BF654" s="150"/>
      <c r="BG654" s="150"/>
      <c r="BH654" s="150"/>
      <c r="BI654" s="150"/>
      <c r="BJ654" s="150"/>
      <c r="BK654" s="150"/>
      <c r="BL654" s="150"/>
      <c r="BM654" s="293"/>
      <c r="BN654" s="293"/>
      <c r="BO654" s="293"/>
      <c r="BP654" s="293"/>
      <c r="BQ654" s="293"/>
      <c r="BR654" s="293"/>
      <c r="BS654" s="293"/>
      <c r="BT654" s="293"/>
    </row>
    <row r="655" spans="1:72" s="1" customFormat="1" ht="50.1" customHeight="1">
      <c r="A655" s="91"/>
      <c r="B655" s="358" t="s">
        <v>2847</v>
      </c>
      <c r="C655" s="50" t="s">
        <v>1151</v>
      </c>
      <c r="D655" s="177" t="s">
        <v>1106</v>
      </c>
      <c r="E655" s="141" t="s">
        <v>13</v>
      </c>
      <c r="F655" s="10"/>
      <c r="G655" s="33"/>
      <c r="H655" s="31"/>
      <c r="I655" s="183"/>
      <c r="J655" s="29"/>
      <c r="K655" s="24"/>
      <c r="L655" s="25"/>
      <c r="M655" s="69"/>
      <c r="N655" s="77"/>
      <c r="O655" s="73"/>
      <c r="P655" s="74"/>
      <c r="Q655" s="74"/>
      <c r="R655" s="75"/>
      <c r="S655" s="61"/>
      <c r="T655" s="60"/>
      <c r="U655" s="74"/>
      <c r="V655" s="76"/>
      <c r="W655" s="24"/>
      <c r="X655" s="25"/>
      <c r="Y655" s="77"/>
      <c r="Z655" s="106"/>
      <c r="AA655" s="73"/>
      <c r="AB655" s="88"/>
      <c r="AC655" s="116"/>
      <c r="AD655" s="74"/>
      <c r="AE655" s="76"/>
      <c r="AF655" s="24"/>
      <c r="AG655" s="25"/>
      <c r="AH655" s="77"/>
      <c r="AI655" s="77"/>
      <c r="AJ655" s="73"/>
      <c r="AK655" s="79"/>
      <c r="AL655" s="79"/>
      <c r="AM655" s="127"/>
      <c r="AN655" s="128"/>
      <c r="AO655" s="128"/>
      <c r="AP655" s="133"/>
      <c r="AQ655" s="127"/>
      <c r="AR655" s="134"/>
      <c r="AS655" s="132"/>
      <c r="AT655" s="10">
        <v>20135</v>
      </c>
      <c r="AU655" s="10">
        <v>23535.599999999999</v>
      </c>
      <c r="AV655" s="167">
        <v>47071.199999999997</v>
      </c>
      <c r="AW655" s="168">
        <v>28700</v>
      </c>
      <c r="AX655" s="29">
        <f t="shared" si="808"/>
        <v>26117.8</v>
      </c>
      <c r="AY655" s="24">
        <f t="shared" si="809"/>
        <v>5982.7999999999993</v>
      </c>
      <c r="AZ655" s="25">
        <f t="shared" si="810"/>
        <v>0.29713434318351128</v>
      </c>
      <c r="BA655" s="24">
        <f t="shared" si="811"/>
        <v>26936.199999999997</v>
      </c>
      <c r="BB655" s="169">
        <f t="shared" si="812"/>
        <v>1.3377799851005709</v>
      </c>
      <c r="BC655" s="170">
        <f t="shared" si="813"/>
        <v>26117.8</v>
      </c>
      <c r="BD655" s="150"/>
      <c r="BE655" s="150"/>
      <c r="BF655" s="150"/>
      <c r="BG655" s="150"/>
      <c r="BH655" s="150"/>
      <c r="BI655" s="150"/>
      <c r="BJ655" s="150"/>
      <c r="BK655" s="150"/>
      <c r="BL655" s="150"/>
      <c r="BM655" s="293"/>
      <c r="BN655" s="293"/>
      <c r="BO655" s="293"/>
      <c r="BP655" s="293"/>
      <c r="BQ655" s="293"/>
      <c r="BR655" s="293"/>
      <c r="BS655" s="293"/>
      <c r="BT655" s="293"/>
    </row>
    <row r="656" spans="1:72" s="1" customFormat="1" ht="50.1" customHeight="1">
      <c r="A656" s="91"/>
      <c r="B656" s="358" t="s">
        <v>2848</v>
      </c>
      <c r="C656" s="50" t="s">
        <v>1152</v>
      </c>
      <c r="D656" s="177" t="s">
        <v>1107</v>
      </c>
      <c r="E656" s="141" t="s">
        <v>13</v>
      </c>
      <c r="F656" s="10"/>
      <c r="G656" s="33"/>
      <c r="H656" s="31"/>
      <c r="I656" s="183"/>
      <c r="J656" s="29"/>
      <c r="K656" s="24"/>
      <c r="L656" s="25"/>
      <c r="M656" s="69"/>
      <c r="N656" s="77"/>
      <c r="O656" s="73"/>
      <c r="P656" s="74"/>
      <c r="Q656" s="74"/>
      <c r="R656" s="75"/>
      <c r="S656" s="61"/>
      <c r="T656" s="60"/>
      <c r="U656" s="74"/>
      <c r="V656" s="76"/>
      <c r="W656" s="24"/>
      <c r="X656" s="25"/>
      <c r="Y656" s="77"/>
      <c r="Z656" s="106"/>
      <c r="AA656" s="73"/>
      <c r="AB656" s="88"/>
      <c r="AC656" s="116"/>
      <c r="AD656" s="74"/>
      <c r="AE656" s="76"/>
      <c r="AF656" s="24"/>
      <c r="AG656" s="25"/>
      <c r="AH656" s="77"/>
      <c r="AI656" s="77"/>
      <c r="AJ656" s="73"/>
      <c r="AK656" s="79"/>
      <c r="AL656" s="79"/>
      <c r="AM656" s="127"/>
      <c r="AN656" s="128"/>
      <c r="AO656" s="128"/>
      <c r="AP656" s="133"/>
      <c r="AQ656" s="127"/>
      <c r="AR656" s="134"/>
      <c r="AS656" s="132"/>
      <c r="AT656" s="10">
        <v>19584</v>
      </c>
      <c r="AU656" s="10">
        <v>24065</v>
      </c>
      <c r="AV656" s="167">
        <v>48130</v>
      </c>
      <c r="AW656" s="168">
        <v>28700</v>
      </c>
      <c r="AX656" s="29">
        <f t="shared" si="808"/>
        <v>26382.5</v>
      </c>
      <c r="AY656" s="24">
        <f t="shared" si="809"/>
        <v>6798.5</v>
      </c>
      <c r="AZ656" s="25">
        <f t="shared" si="810"/>
        <v>0.34714562908496732</v>
      </c>
      <c r="BA656" s="24">
        <f t="shared" si="811"/>
        <v>28546</v>
      </c>
      <c r="BB656" s="169">
        <f t="shared" si="812"/>
        <v>1.4576184640522876</v>
      </c>
      <c r="BC656" s="170">
        <f t="shared" si="813"/>
        <v>26382.5</v>
      </c>
      <c r="BD656" s="150"/>
      <c r="BE656" s="150"/>
      <c r="BF656" s="150"/>
      <c r="BG656" s="150"/>
      <c r="BH656" s="150"/>
      <c r="BI656" s="150"/>
      <c r="BJ656" s="150"/>
      <c r="BK656" s="150"/>
      <c r="BL656" s="150"/>
      <c r="BM656" s="293"/>
      <c r="BN656" s="293"/>
      <c r="BO656" s="293"/>
      <c r="BP656" s="293"/>
      <c r="BQ656" s="293"/>
      <c r="BR656" s="293"/>
      <c r="BS656" s="293"/>
      <c r="BT656" s="293"/>
    </row>
    <row r="657" spans="1:72" s="1" customFormat="1" ht="50.1" customHeight="1">
      <c r="A657" s="91"/>
      <c r="B657" s="358" t="s">
        <v>2849</v>
      </c>
      <c r="C657" s="50" t="s">
        <v>1153</v>
      </c>
      <c r="D657" s="177" t="s">
        <v>1108</v>
      </c>
      <c r="E657" s="141" t="s">
        <v>13</v>
      </c>
      <c r="F657" s="10"/>
      <c r="G657" s="33"/>
      <c r="H657" s="31"/>
      <c r="I657" s="183"/>
      <c r="J657" s="29"/>
      <c r="K657" s="24"/>
      <c r="L657" s="25"/>
      <c r="M657" s="69"/>
      <c r="N657" s="77"/>
      <c r="O657" s="73"/>
      <c r="P657" s="74"/>
      <c r="Q657" s="74"/>
      <c r="R657" s="75"/>
      <c r="S657" s="61"/>
      <c r="T657" s="60"/>
      <c r="U657" s="74"/>
      <c r="V657" s="76"/>
      <c r="W657" s="24"/>
      <c r="X657" s="25"/>
      <c r="Y657" s="77"/>
      <c r="Z657" s="106"/>
      <c r="AA657" s="73"/>
      <c r="AB657" s="88"/>
      <c r="AC657" s="116"/>
      <c r="AD657" s="74"/>
      <c r="AE657" s="76"/>
      <c r="AF657" s="24"/>
      <c r="AG657" s="25"/>
      <c r="AH657" s="77"/>
      <c r="AI657" s="77"/>
      <c r="AJ657" s="73"/>
      <c r="AK657" s="79"/>
      <c r="AL657" s="79"/>
      <c r="AM657" s="127"/>
      <c r="AN657" s="128"/>
      <c r="AO657" s="128"/>
      <c r="AP657" s="133"/>
      <c r="AQ657" s="127"/>
      <c r="AR657" s="134"/>
      <c r="AS657" s="132"/>
      <c r="AT657" s="10">
        <v>19072</v>
      </c>
      <c r="AU657" s="10">
        <v>23748.75</v>
      </c>
      <c r="AV657" s="167">
        <v>47497.5</v>
      </c>
      <c r="AW657" s="168">
        <v>28700</v>
      </c>
      <c r="AX657" s="29">
        <f t="shared" si="808"/>
        <v>26224.375</v>
      </c>
      <c r="AY657" s="24">
        <f t="shared" si="809"/>
        <v>7152.375</v>
      </c>
      <c r="AZ657" s="25">
        <f t="shared" si="810"/>
        <v>0.37501966233221479</v>
      </c>
      <c r="BA657" s="24">
        <f t="shared" si="811"/>
        <v>28425.5</v>
      </c>
      <c r="BB657" s="169">
        <f t="shared" si="812"/>
        <v>1.4904309983221478</v>
      </c>
      <c r="BC657" s="170">
        <f t="shared" si="813"/>
        <v>26224.375</v>
      </c>
      <c r="BD657" s="150"/>
      <c r="BE657" s="150"/>
      <c r="BF657" s="150"/>
      <c r="BG657" s="150"/>
      <c r="BH657" s="150"/>
      <c r="BI657" s="150"/>
      <c r="BJ657" s="150"/>
      <c r="BK657" s="150"/>
      <c r="BL657" s="150"/>
      <c r="BM657" s="293"/>
      <c r="BN657" s="293"/>
      <c r="BO657" s="293"/>
      <c r="BP657" s="293"/>
      <c r="BQ657" s="293"/>
      <c r="BR657" s="293"/>
      <c r="BS657" s="293"/>
      <c r="BT657" s="293"/>
    </row>
    <row r="658" spans="1:72" s="1" customFormat="1" ht="50.1" customHeight="1">
      <c r="A658" s="91"/>
      <c r="B658" s="358" t="s">
        <v>2850</v>
      </c>
      <c r="C658" s="50" t="s">
        <v>1154</v>
      </c>
      <c r="D658" s="177" t="s">
        <v>1109</v>
      </c>
      <c r="E658" s="141" t="s">
        <v>10</v>
      </c>
      <c r="F658" s="10"/>
      <c r="G658" s="33"/>
      <c r="H658" s="31"/>
      <c r="I658" s="183"/>
      <c r="J658" s="29"/>
      <c r="K658" s="24"/>
      <c r="L658" s="25"/>
      <c r="M658" s="69"/>
      <c r="N658" s="77"/>
      <c r="O658" s="73"/>
      <c r="P658" s="74"/>
      <c r="Q658" s="74"/>
      <c r="R658" s="75"/>
      <c r="S658" s="61"/>
      <c r="T658" s="60"/>
      <c r="U658" s="74"/>
      <c r="V658" s="76"/>
      <c r="W658" s="24"/>
      <c r="X658" s="25"/>
      <c r="Y658" s="77"/>
      <c r="Z658" s="106"/>
      <c r="AA658" s="73"/>
      <c r="AB658" s="88"/>
      <c r="AC658" s="116"/>
      <c r="AD658" s="74"/>
      <c r="AE658" s="76"/>
      <c r="AF658" s="24"/>
      <c r="AG658" s="25"/>
      <c r="AH658" s="77"/>
      <c r="AI658" s="77"/>
      <c r="AJ658" s="73"/>
      <c r="AK658" s="79"/>
      <c r="AL658" s="79"/>
      <c r="AM658" s="127"/>
      <c r="AN658" s="128"/>
      <c r="AO658" s="128"/>
      <c r="AP658" s="133"/>
      <c r="AQ658" s="127"/>
      <c r="AR658" s="134"/>
      <c r="AS658" s="132"/>
      <c r="AT658" s="10">
        <v>36974</v>
      </c>
      <c r="AU658" s="10">
        <v>22000</v>
      </c>
      <c r="AV658" s="167">
        <v>66000</v>
      </c>
      <c r="AW658" s="168">
        <v>32450</v>
      </c>
      <c r="AX658" s="29">
        <f t="shared" si="808"/>
        <v>27225</v>
      </c>
      <c r="AY658" s="24">
        <f t="shared" si="809"/>
        <v>-9749</v>
      </c>
      <c r="AZ658" s="25">
        <f t="shared" si="810"/>
        <v>-0.26367176935143616</v>
      </c>
      <c r="BA658" s="24">
        <f t="shared" si="811"/>
        <v>29026</v>
      </c>
      <c r="BB658" s="169">
        <f t="shared" si="812"/>
        <v>0.78503813490560936</v>
      </c>
      <c r="BC658" s="170">
        <f t="shared" si="813"/>
        <v>27225</v>
      </c>
      <c r="BD658" s="150"/>
      <c r="BE658" s="150"/>
      <c r="BF658" s="150"/>
      <c r="BG658" s="150"/>
      <c r="BH658" s="150"/>
      <c r="BI658" s="150"/>
      <c r="BJ658" s="150"/>
      <c r="BK658" s="150"/>
      <c r="BL658" s="150"/>
      <c r="BM658" s="293"/>
      <c r="BN658" s="293"/>
      <c r="BO658" s="293"/>
      <c r="BP658" s="293"/>
      <c r="BQ658" s="293"/>
      <c r="BR658" s="293"/>
      <c r="BS658" s="293"/>
      <c r="BT658" s="293"/>
    </row>
    <row r="659" spans="1:72" s="1" customFormat="1" ht="50.1" customHeight="1">
      <c r="A659" s="91"/>
      <c r="B659" s="358" t="s">
        <v>2851</v>
      </c>
      <c r="C659" s="50" t="s">
        <v>1155</v>
      </c>
      <c r="D659" s="177" t="s">
        <v>1110</v>
      </c>
      <c r="E659" s="141" t="s">
        <v>13</v>
      </c>
      <c r="F659" s="10"/>
      <c r="G659" s="33"/>
      <c r="H659" s="31"/>
      <c r="I659" s="183"/>
      <c r="J659" s="29"/>
      <c r="K659" s="24"/>
      <c r="L659" s="25"/>
      <c r="M659" s="69"/>
      <c r="N659" s="77"/>
      <c r="O659" s="73"/>
      <c r="P659" s="74"/>
      <c r="Q659" s="74"/>
      <c r="R659" s="75"/>
      <c r="S659" s="61"/>
      <c r="T659" s="60"/>
      <c r="U659" s="74"/>
      <c r="V659" s="76"/>
      <c r="W659" s="24"/>
      <c r="X659" s="25"/>
      <c r="Y659" s="77"/>
      <c r="Z659" s="106"/>
      <c r="AA659" s="73"/>
      <c r="AB659" s="88"/>
      <c r="AC659" s="116"/>
      <c r="AD659" s="74"/>
      <c r="AE659" s="76"/>
      <c r="AF659" s="24"/>
      <c r="AG659" s="25"/>
      <c r="AH659" s="77"/>
      <c r="AI659" s="77"/>
      <c r="AJ659" s="73"/>
      <c r="AK659" s="79"/>
      <c r="AL659" s="79"/>
      <c r="AM659" s="127"/>
      <c r="AN659" s="128"/>
      <c r="AO659" s="128"/>
      <c r="AP659" s="133"/>
      <c r="AQ659" s="127"/>
      <c r="AR659" s="134"/>
      <c r="AS659" s="132"/>
      <c r="AT659" s="10">
        <v>17363</v>
      </c>
      <c r="AU659" s="10">
        <v>23639.399999999998</v>
      </c>
      <c r="AV659" s="167">
        <v>70918.2</v>
      </c>
      <c r="AW659" s="168">
        <v>23000</v>
      </c>
      <c r="AX659" s="29">
        <f t="shared" si="808"/>
        <v>23319.699999999997</v>
      </c>
      <c r="AY659" s="24">
        <f t="shared" si="809"/>
        <v>5956.6999999999971</v>
      </c>
      <c r="AZ659" s="25">
        <f t="shared" si="810"/>
        <v>0.34306859413695773</v>
      </c>
      <c r="BA659" s="24">
        <f t="shared" si="811"/>
        <v>53555.199999999997</v>
      </c>
      <c r="BB659" s="169">
        <f t="shared" si="812"/>
        <v>3.084443932500144</v>
      </c>
      <c r="BC659" s="170">
        <f t="shared" si="813"/>
        <v>23319.699999999997</v>
      </c>
      <c r="BD659" s="150"/>
      <c r="BE659" s="150"/>
      <c r="BF659" s="150"/>
      <c r="BG659" s="150"/>
      <c r="BH659" s="150"/>
      <c r="BI659" s="150"/>
      <c r="BJ659" s="150"/>
      <c r="BK659" s="150"/>
      <c r="BL659" s="150"/>
      <c r="BM659" s="293"/>
      <c r="BN659" s="293"/>
      <c r="BO659" s="293"/>
      <c r="BP659" s="293"/>
      <c r="BQ659" s="293"/>
      <c r="BR659" s="293"/>
      <c r="BS659" s="293"/>
      <c r="BT659" s="293"/>
    </row>
    <row r="660" spans="1:72" s="1" customFormat="1" ht="50.1" customHeight="1">
      <c r="A660" s="91"/>
      <c r="B660" s="358" t="s">
        <v>2852</v>
      </c>
      <c r="C660" s="50" t="s">
        <v>1156</v>
      </c>
      <c r="D660" s="177" t="s">
        <v>1111</v>
      </c>
      <c r="E660" s="141" t="s">
        <v>13</v>
      </c>
      <c r="F660" s="10"/>
      <c r="G660" s="33"/>
      <c r="H660" s="31"/>
      <c r="I660" s="183"/>
      <c r="J660" s="29"/>
      <c r="K660" s="24"/>
      <c r="L660" s="25"/>
      <c r="M660" s="69"/>
      <c r="N660" s="77"/>
      <c r="O660" s="73"/>
      <c r="P660" s="74"/>
      <c r="Q660" s="74"/>
      <c r="R660" s="75"/>
      <c r="S660" s="61"/>
      <c r="T660" s="60"/>
      <c r="U660" s="74"/>
      <c r="V660" s="76"/>
      <c r="W660" s="24"/>
      <c r="X660" s="25"/>
      <c r="Y660" s="77"/>
      <c r="Z660" s="106"/>
      <c r="AA660" s="73"/>
      <c r="AB660" s="88"/>
      <c r="AC660" s="116"/>
      <c r="AD660" s="74"/>
      <c r="AE660" s="76"/>
      <c r="AF660" s="24"/>
      <c r="AG660" s="25"/>
      <c r="AH660" s="77"/>
      <c r="AI660" s="77"/>
      <c r="AJ660" s="73"/>
      <c r="AK660" s="79"/>
      <c r="AL660" s="79"/>
      <c r="AM660" s="127"/>
      <c r="AN660" s="128"/>
      <c r="AO660" s="128"/>
      <c r="AP660" s="133"/>
      <c r="AQ660" s="127"/>
      <c r="AR660" s="134"/>
      <c r="AS660" s="132"/>
      <c r="AT660" s="10">
        <v>16138</v>
      </c>
      <c r="AU660" s="10">
        <v>24412.5</v>
      </c>
      <c r="AV660" s="167">
        <v>73237.5</v>
      </c>
      <c r="AW660" s="168">
        <v>23000</v>
      </c>
      <c r="AX660" s="29">
        <f t="shared" si="808"/>
        <v>23706.25</v>
      </c>
      <c r="AY660" s="24">
        <f t="shared" si="809"/>
        <v>7568.25</v>
      </c>
      <c r="AZ660" s="25">
        <f t="shared" si="810"/>
        <v>0.46897075226174245</v>
      </c>
      <c r="BA660" s="24">
        <f t="shared" si="811"/>
        <v>57099.5</v>
      </c>
      <c r="BB660" s="169">
        <f t="shared" si="812"/>
        <v>3.5382017598215394</v>
      </c>
      <c r="BC660" s="170">
        <f t="shared" si="813"/>
        <v>23706.25</v>
      </c>
      <c r="BD660" s="150"/>
      <c r="BE660" s="150"/>
      <c r="BF660" s="150"/>
      <c r="BG660" s="150"/>
      <c r="BH660" s="150"/>
      <c r="BI660" s="150"/>
      <c r="BJ660" s="150"/>
      <c r="BK660" s="150"/>
      <c r="BL660" s="150"/>
      <c r="BM660" s="293"/>
      <c r="BN660" s="293"/>
      <c r="BO660" s="293"/>
      <c r="BP660" s="293"/>
      <c r="BQ660" s="293"/>
      <c r="BR660" s="293"/>
      <c r="BS660" s="293"/>
      <c r="BT660" s="293"/>
    </row>
    <row r="661" spans="1:72" s="1" customFormat="1" ht="50.1" customHeight="1">
      <c r="A661" s="91"/>
      <c r="B661" s="358" t="s">
        <v>2853</v>
      </c>
      <c r="C661" s="50" t="s">
        <v>1157</v>
      </c>
      <c r="D661" s="177" t="s">
        <v>1112</v>
      </c>
      <c r="E661" s="141" t="s">
        <v>13</v>
      </c>
      <c r="F661" s="10"/>
      <c r="G661" s="33"/>
      <c r="H661" s="31"/>
      <c r="I661" s="183"/>
      <c r="J661" s="29"/>
      <c r="K661" s="24"/>
      <c r="L661" s="25"/>
      <c r="M661" s="69"/>
      <c r="N661" s="77"/>
      <c r="O661" s="73"/>
      <c r="P661" s="74"/>
      <c r="Q661" s="74"/>
      <c r="R661" s="75"/>
      <c r="S661" s="61"/>
      <c r="T661" s="60"/>
      <c r="U661" s="74"/>
      <c r="V661" s="76"/>
      <c r="W661" s="24"/>
      <c r="X661" s="25"/>
      <c r="Y661" s="77"/>
      <c r="Z661" s="106"/>
      <c r="AA661" s="73"/>
      <c r="AB661" s="88"/>
      <c r="AC661" s="116"/>
      <c r="AD661" s="74"/>
      <c r="AE661" s="76"/>
      <c r="AF661" s="24"/>
      <c r="AG661" s="25"/>
      <c r="AH661" s="77"/>
      <c r="AI661" s="77"/>
      <c r="AJ661" s="73"/>
      <c r="AK661" s="79"/>
      <c r="AL661" s="79"/>
      <c r="AM661" s="127"/>
      <c r="AN661" s="128"/>
      <c r="AO661" s="128"/>
      <c r="AP661" s="133"/>
      <c r="AQ661" s="127"/>
      <c r="AR661" s="134"/>
      <c r="AS661" s="132"/>
      <c r="AT661" s="10">
        <v>15777</v>
      </c>
      <c r="AU661" s="10">
        <v>23000</v>
      </c>
      <c r="AV661" s="167">
        <v>69000</v>
      </c>
      <c r="AW661" s="168">
        <v>23000</v>
      </c>
      <c r="AX661" s="29">
        <f t="shared" si="808"/>
        <v>23000</v>
      </c>
      <c r="AY661" s="24">
        <f t="shared" si="809"/>
        <v>7223</v>
      </c>
      <c r="AZ661" s="25">
        <f t="shared" si="810"/>
        <v>0.45781834315776132</v>
      </c>
      <c r="BA661" s="24">
        <f t="shared" si="811"/>
        <v>53223</v>
      </c>
      <c r="BB661" s="169">
        <f t="shared" si="812"/>
        <v>3.3734550294732837</v>
      </c>
      <c r="BC661" s="170">
        <f t="shared" si="813"/>
        <v>23000</v>
      </c>
      <c r="BD661" s="150"/>
      <c r="BE661" s="150"/>
      <c r="BF661" s="150"/>
      <c r="BG661" s="150"/>
      <c r="BH661" s="150"/>
      <c r="BI661" s="150"/>
      <c r="BJ661" s="150"/>
      <c r="BK661" s="150"/>
      <c r="BL661" s="150"/>
      <c r="BM661" s="293"/>
      <c r="BN661" s="293"/>
      <c r="BO661" s="293"/>
      <c r="BP661" s="293"/>
      <c r="BQ661" s="293"/>
      <c r="BR661" s="293"/>
      <c r="BS661" s="293"/>
      <c r="BT661" s="293"/>
    </row>
    <row r="662" spans="1:72" s="1" customFormat="1" ht="57" customHeight="1">
      <c r="A662" s="91"/>
      <c r="B662" s="358" t="s">
        <v>2854</v>
      </c>
      <c r="C662" s="50" t="s">
        <v>1158</v>
      </c>
      <c r="D662" s="177" t="s">
        <v>1113</v>
      </c>
      <c r="E662" s="141" t="s">
        <v>13</v>
      </c>
      <c r="F662" s="10"/>
      <c r="G662" s="33"/>
      <c r="H662" s="31"/>
      <c r="I662" s="183"/>
      <c r="J662" s="29"/>
      <c r="K662" s="24"/>
      <c r="L662" s="25"/>
      <c r="M662" s="69"/>
      <c r="N662" s="77"/>
      <c r="O662" s="73"/>
      <c r="P662" s="74"/>
      <c r="Q662" s="74"/>
      <c r="R662" s="75"/>
      <c r="S662" s="61"/>
      <c r="T662" s="60"/>
      <c r="U662" s="74"/>
      <c r="V662" s="76"/>
      <c r="W662" s="24"/>
      <c r="X662" s="25"/>
      <c r="Y662" s="77"/>
      <c r="Z662" s="106"/>
      <c r="AA662" s="73"/>
      <c r="AB662" s="88"/>
      <c r="AC662" s="116"/>
      <c r="AD662" s="74"/>
      <c r="AE662" s="76"/>
      <c r="AF662" s="24"/>
      <c r="AG662" s="25"/>
      <c r="AH662" s="77"/>
      <c r="AI662" s="77"/>
      <c r="AJ662" s="73"/>
      <c r="AK662" s="79"/>
      <c r="AL662" s="79"/>
      <c r="AM662" s="127"/>
      <c r="AN662" s="128"/>
      <c r="AO662" s="128"/>
      <c r="AP662" s="133"/>
      <c r="AQ662" s="127"/>
      <c r="AR662" s="134"/>
      <c r="AS662" s="132"/>
      <c r="AT662" s="10">
        <v>45431</v>
      </c>
      <c r="AU662" s="10">
        <v>25000</v>
      </c>
      <c r="AV662" s="167">
        <v>75000</v>
      </c>
      <c r="AW662" s="168">
        <v>20000</v>
      </c>
      <c r="AX662" s="29">
        <f t="shared" si="808"/>
        <v>22500</v>
      </c>
      <c r="AY662" s="24">
        <f t="shared" si="809"/>
        <v>-22931</v>
      </c>
      <c r="AZ662" s="25">
        <f t="shared" si="810"/>
        <v>-0.50474345711078339</v>
      </c>
      <c r="BA662" s="24">
        <f t="shared" si="811"/>
        <v>29569</v>
      </c>
      <c r="BB662" s="169">
        <f t="shared" si="812"/>
        <v>0.65085514296405533</v>
      </c>
      <c r="BC662" s="170">
        <f t="shared" si="813"/>
        <v>22500</v>
      </c>
      <c r="BD662" s="150"/>
      <c r="BE662" s="150"/>
      <c r="BF662" s="150"/>
      <c r="BG662" s="150"/>
      <c r="BH662" s="150"/>
      <c r="BI662" s="150"/>
      <c r="BJ662" s="150"/>
      <c r="BK662" s="150"/>
      <c r="BL662" s="150"/>
      <c r="BM662" s="293"/>
      <c r="BN662" s="293"/>
      <c r="BO662" s="293"/>
      <c r="BP662" s="293"/>
      <c r="BQ662" s="293"/>
      <c r="BR662" s="293"/>
      <c r="BS662" s="293"/>
      <c r="BT662" s="293"/>
    </row>
    <row r="663" spans="1:72" s="1" customFormat="1" ht="63.95" customHeight="1">
      <c r="A663" s="91"/>
      <c r="B663" s="358" t="s">
        <v>2855</v>
      </c>
      <c r="C663" s="50" t="s">
        <v>1159</v>
      </c>
      <c r="D663" s="177" t="s">
        <v>1114</v>
      </c>
      <c r="E663" s="141" t="s">
        <v>13</v>
      </c>
      <c r="F663" s="10"/>
      <c r="G663" s="33"/>
      <c r="H663" s="31"/>
      <c r="I663" s="183"/>
      <c r="J663" s="29"/>
      <c r="K663" s="24"/>
      <c r="L663" s="25"/>
      <c r="M663" s="69"/>
      <c r="N663" s="77"/>
      <c r="O663" s="73"/>
      <c r="P663" s="74"/>
      <c r="Q663" s="74"/>
      <c r="R663" s="75"/>
      <c r="S663" s="61"/>
      <c r="T663" s="60"/>
      <c r="U663" s="74"/>
      <c r="V663" s="76"/>
      <c r="W663" s="24"/>
      <c r="X663" s="25"/>
      <c r="Y663" s="77"/>
      <c r="Z663" s="106"/>
      <c r="AA663" s="73"/>
      <c r="AB663" s="88"/>
      <c r="AC663" s="116"/>
      <c r="AD663" s="74"/>
      <c r="AE663" s="76"/>
      <c r="AF663" s="24"/>
      <c r="AG663" s="25"/>
      <c r="AH663" s="77"/>
      <c r="AI663" s="77"/>
      <c r="AJ663" s="73"/>
      <c r="AK663" s="79"/>
      <c r="AL663" s="79"/>
      <c r="AM663" s="127"/>
      <c r="AN663" s="128"/>
      <c r="AO663" s="128"/>
      <c r="AP663" s="133"/>
      <c r="AQ663" s="127"/>
      <c r="AR663" s="134"/>
      <c r="AS663" s="132"/>
      <c r="AT663" s="10">
        <v>108528</v>
      </c>
      <c r="AU663" s="10"/>
      <c r="AV663" s="167">
        <v>459000</v>
      </c>
      <c r="AW663" s="168">
        <v>145700</v>
      </c>
      <c r="AX663" s="29">
        <f t="shared" si="808"/>
        <v>145700</v>
      </c>
      <c r="AY663" s="24">
        <f t="shared" si="809"/>
        <v>37172</v>
      </c>
      <c r="AZ663" s="25">
        <f t="shared" si="810"/>
        <v>0.3425106884859207</v>
      </c>
      <c r="BA663" s="24">
        <f t="shared" si="811"/>
        <v>350472</v>
      </c>
      <c r="BB663" s="169">
        <f t="shared" si="812"/>
        <v>3.2293233082706765</v>
      </c>
      <c r="BC663" s="170">
        <f t="shared" si="813"/>
        <v>145700</v>
      </c>
      <c r="BD663" s="150"/>
      <c r="BE663" s="150"/>
      <c r="BF663" s="150"/>
      <c r="BG663" s="150"/>
      <c r="BH663" s="150"/>
      <c r="BI663" s="150"/>
      <c r="BJ663" s="150"/>
      <c r="BK663" s="150"/>
      <c r="BL663" s="150"/>
      <c r="BM663" s="293"/>
      <c r="BN663" s="293"/>
      <c r="BO663" s="293"/>
      <c r="BP663" s="293"/>
      <c r="BQ663" s="293"/>
      <c r="BR663" s="293"/>
      <c r="BS663" s="293"/>
      <c r="BT663" s="293"/>
    </row>
    <row r="664" spans="1:72" s="1" customFormat="1" ht="50.1" customHeight="1">
      <c r="A664" s="91"/>
      <c r="B664" s="358" t="s">
        <v>2856</v>
      </c>
      <c r="C664" s="50" t="s">
        <v>1160</v>
      </c>
      <c r="D664" s="177" t="s">
        <v>1115</v>
      </c>
      <c r="E664" s="141" t="s">
        <v>13</v>
      </c>
      <c r="F664" s="10"/>
      <c r="G664" s="33"/>
      <c r="H664" s="31"/>
      <c r="I664" s="183"/>
      <c r="J664" s="29"/>
      <c r="K664" s="24"/>
      <c r="L664" s="25"/>
      <c r="M664" s="69"/>
      <c r="N664" s="77"/>
      <c r="O664" s="73"/>
      <c r="P664" s="74"/>
      <c r="Q664" s="74"/>
      <c r="R664" s="75"/>
      <c r="S664" s="61"/>
      <c r="T664" s="60"/>
      <c r="U664" s="74"/>
      <c r="V664" s="76"/>
      <c r="W664" s="24"/>
      <c r="X664" s="25"/>
      <c r="Y664" s="77"/>
      <c r="Z664" s="106"/>
      <c r="AA664" s="73"/>
      <c r="AB664" s="88"/>
      <c r="AC664" s="116"/>
      <c r="AD664" s="74"/>
      <c r="AE664" s="76"/>
      <c r="AF664" s="24"/>
      <c r="AG664" s="25"/>
      <c r="AH664" s="77"/>
      <c r="AI664" s="77"/>
      <c r="AJ664" s="73"/>
      <c r="AK664" s="79"/>
      <c r="AL664" s="79"/>
      <c r="AM664" s="127"/>
      <c r="AN664" s="128"/>
      <c r="AO664" s="128"/>
      <c r="AP664" s="133"/>
      <c r="AQ664" s="127"/>
      <c r="AR664" s="134"/>
      <c r="AS664" s="132"/>
      <c r="AT664" s="10">
        <v>26162</v>
      </c>
      <c r="AU664" s="10">
        <v>36480</v>
      </c>
      <c r="AV664" s="167">
        <v>109440</v>
      </c>
      <c r="AW664" s="168">
        <v>34500</v>
      </c>
      <c r="AX664" s="29">
        <f t="shared" si="808"/>
        <v>35490</v>
      </c>
      <c r="AY664" s="24">
        <f t="shared" si="809"/>
        <v>9328</v>
      </c>
      <c r="AZ664" s="25">
        <f t="shared" si="810"/>
        <v>0.35654766455163978</v>
      </c>
      <c r="BA664" s="24">
        <f t="shared" si="811"/>
        <v>83278</v>
      </c>
      <c r="BB664" s="169">
        <f t="shared" si="812"/>
        <v>3.1831664245852762</v>
      </c>
      <c r="BC664" s="170">
        <f t="shared" si="813"/>
        <v>35490</v>
      </c>
      <c r="BD664" s="150"/>
      <c r="BE664" s="150"/>
      <c r="BF664" s="150"/>
      <c r="BG664" s="150"/>
      <c r="BH664" s="150"/>
      <c r="BI664" s="150"/>
      <c r="BJ664" s="150"/>
      <c r="BK664" s="150"/>
      <c r="BL664" s="150"/>
      <c r="BM664" s="293"/>
      <c r="BN664" s="293"/>
      <c r="BO664" s="293"/>
      <c r="BP664" s="293"/>
      <c r="BQ664" s="293"/>
      <c r="BR664" s="293"/>
      <c r="BS664" s="293"/>
      <c r="BT664" s="293"/>
    </row>
    <row r="665" spans="1:72" s="1" customFormat="1" ht="50.1" customHeight="1">
      <c r="A665" s="91"/>
      <c r="B665" s="358" t="s">
        <v>2857</v>
      </c>
      <c r="C665" s="50" t="s">
        <v>1161</v>
      </c>
      <c r="D665" s="177" t="s">
        <v>1116</v>
      </c>
      <c r="E665" s="141" t="s">
        <v>13</v>
      </c>
      <c r="F665" s="10"/>
      <c r="G665" s="33"/>
      <c r="H665" s="31"/>
      <c r="I665" s="183"/>
      <c r="J665" s="29"/>
      <c r="K665" s="24"/>
      <c r="L665" s="25"/>
      <c r="M665" s="69"/>
      <c r="N665" s="77"/>
      <c r="O665" s="73"/>
      <c r="P665" s="74"/>
      <c r="Q665" s="74"/>
      <c r="R665" s="75"/>
      <c r="S665" s="61"/>
      <c r="T665" s="60"/>
      <c r="U665" s="74"/>
      <c r="V665" s="76"/>
      <c r="W665" s="24"/>
      <c r="X665" s="25"/>
      <c r="Y665" s="77"/>
      <c r="Z665" s="106"/>
      <c r="AA665" s="73"/>
      <c r="AB665" s="88"/>
      <c r="AC665" s="116"/>
      <c r="AD665" s="74"/>
      <c r="AE665" s="76"/>
      <c r="AF665" s="24"/>
      <c r="AG665" s="25"/>
      <c r="AH665" s="77"/>
      <c r="AI665" s="77"/>
      <c r="AJ665" s="73"/>
      <c r="AK665" s="79"/>
      <c r="AL665" s="79"/>
      <c r="AM665" s="127"/>
      <c r="AN665" s="128"/>
      <c r="AO665" s="128"/>
      <c r="AP665" s="133"/>
      <c r="AQ665" s="127"/>
      <c r="AR665" s="134"/>
      <c r="AS665" s="132"/>
      <c r="AT665" s="10">
        <v>22906</v>
      </c>
      <c r="AU665" s="10">
        <v>32160</v>
      </c>
      <c r="AV665" s="167">
        <v>96480</v>
      </c>
      <c r="AW665" s="168">
        <v>32000</v>
      </c>
      <c r="AX665" s="29">
        <f t="shared" si="808"/>
        <v>32080</v>
      </c>
      <c r="AY665" s="24">
        <f t="shared" si="809"/>
        <v>9174</v>
      </c>
      <c r="AZ665" s="207">
        <f t="shared" si="810"/>
        <v>0.40050641753252425</v>
      </c>
      <c r="BA665" s="24">
        <f t="shared" si="811"/>
        <v>73574</v>
      </c>
      <c r="BB665" s="169">
        <f t="shared" si="812"/>
        <v>3.2119968567187636</v>
      </c>
      <c r="BC665" s="170">
        <f t="shared" si="813"/>
        <v>32080</v>
      </c>
      <c r="BD665" s="150"/>
      <c r="BE665" s="150"/>
      <c r="BF665" s="150"/>
      <c r="BG665" s="150"/>
      <c r="BH665" s="150"/>
      <c r="BI665" s="150"/>
      <c r="BJ665" s="150"/>
      <c r="BK665" s="150"/>
      <c r="BL665" s="150"/>
      <c r="BM665" s="293"/>
      <c r="BN665" s="293"/>
      <c r="BO665" s="293"/>
      <c r="BP665" s="293"/>
      <c r="BQ665" s="293"/>
      <c r="BR665" s="293"/>
      <c r="BS665" s="293"/>
      <c r="BT665" s="293"/>
    </row>
    <row r="666" spans="1:72" s="1" customFormat="1" ht="50.1" customHeight="1">
      <c r="A666" s="91"/>
      <c r="B666" s="358" t="s">
        <v>2858</v>
      </c>
      <c r="C666" s="50" t="s">
        <v>1162</v>
      </c>
      <c r="D666" s="177" t="s">
        <v>1117</v>
      </c>
      <c r="E666" s="141" t="s">
        <v>10</v>
      </c>
      <c r="F666" s="10"/>
      <c r="G666" s="33"/>
      <c r="H666" s="31"/>
      <c r="I666" s="183"/>
      <c r="J666" s="29"/>
      <c r="K666" s="24"/>
      <c r="L666" s="25"/>
      <c r="M666" s="69"/>
      <c r="N666" s="77"/>
      <c r="O666" s="73"/>
      <c r="P666" s="74"/>
      <c r="Q666" s="74"/>
      <c r="R666" s="75"/>
      <c r="S666" s="61"/>
      <c r="T666" s="60"/>
      <c r="U666" s="74"/>
      <c r="V666" s="76"/>
      <c r="W666" s="24"/>
      <c r="X666" s="25"/>
      <c r="Y666" s="77"/>
      <c r="Z666" s="106"/>
      <c r="AA666" s="73"/>
      <c r="AB666" s="88"/>
      <c r="AC666" s="116"/>
      <c r="AD666" s="74"/>
      <c r="AE666" s="76"/>
      <c r="AF666" s="24"/>
      <c r="AG666" s="25"/>
      <c r="AH666" s="77"/>
      <c r="AI666" s="77"/>
      <c r="AJ666" s="73"/>
      <c r="AK666" s="79"/>
      <c r="AL666" s="79"/>
      <c r="AM666" s="127"/>
      <c r="AN666" s="128"/>
      <c r="AO666" s="128"/>
      <c r="AP666" s="133"/>
      <c r="AQ666" s="127"/>
      <c r="AR666" s="134"/>
      <c r="AS666" s="132"/>
      <c r="AT666" s="10">
        <v>14012</v>
      </c>
      <c r="AU666" s="10"/>
      <c r="AV666" s="167">
        <v>300000</v>
      </c>
      <c r="AW666" s="168">
        <v>45000</v>
      </c>
      <c r="AX666" s="29">
        <f t="shared" si="808"/>
        <v>45000</v>
      </c>
      <c r="AY666" s="24">
        <f t="shared" si="809"/>
        <v>30988</v>
      </c>
      <c r="AZ666" s="25">
        <f t="shared" si="810"/>
        <v>2.2115329717385097</v>
      </c>
      <c r="BA666" s="24">
        <f t="shared" si="811"/>
        <v>285988</v>
      </c>
      <c r="BB666" s="169">
        <f t="shared" si="812"/>
        <v>20.410219811590064</v>
      </c>
      <c r="BC666" s="170">
        <f t="shared" si="813"/>
        <v>45000</v>
      </c>
      <c r="BD666" s="150"/>
      <c r="BE666" s="150"/>
      <c r="BF666" s="150"/>
      <c r="BG666" s="150"/>
      <c r="BH666" s="150"/>
      <c r="BI666" s="150"/>
      <c r="BJ666" s="150"/>
      <c r="BK666" s="150"/>
      <c r="BL666" s="150"/>
      <c r="BM666" s="293"/>
      <c r="BN666" s="293"/>
      <c r="BO666" s="293"/>
      <c r="BP666" s="293"/>
      <c r="BQ666" s="293"/>
      <c r="BR666" s="293"/>
      <c r="BS666" s="293"/>
      <c r="BT666" s="293"/>
    </row>
    <row r="667" spans="1:72" s="1" customFormat="1" ht="30.95" customHeight="1">
      <c r="A667" s="91"/>
      <c r="B667" s="358" t="s">
        <v>2859</v>
      </c>
      <c r="C667" s="50" t="s">
        <v>1802</v>
      </c>
      <c r="D667" s="264" t="s">
        <v>1790</v>
      </c>
      <c r="E667" s="263" t="s">
        <v>1399</v>
      </c>
      <c r="F667" s="10"/>
      <c r="G667" s="33"/>
      <c r="H667" s="31"/>
      <c r="I667" s="183"/>
      <c r="J667" s="29"/>
      <c r="K667" s="24"/>
      <c r="L667" s="25"/>
      <c r="M667" s="69"/>
      <c r="N667" s="77"/>
      <c r="O667" s="73"/>
      <c r="P667" s="74"/>
      <c r="Q667" s="74"/>
      <c r="R667" s="75"/>
      <c r="S667" s="61"/>
      <c r="T667" s="60"/>
      <c r="U667" s="74"/>
      <c r="V667" s="76"/>
      <c r="W667" s="24"/>
      <c r="X667" s="25"/>
      <c r="Y667" s="77"/>
      <c r="Z667" s="106"/>
      <c r="AA667" s="73"/>
      <c r="AB667" s="88"/>
      <c r="AC667" s="116"/>
      <c r="AD667" s="74"/>
      <c r="AE667" s="76"/>
      <c r="AF667" s="24"/>
      <c r="AG667" s="25"/>
      <c r="AH667" s="77"/>
      <c r="AI667" s="77"/>
      <c r="AJ667" s="73"/>
      <c r="AK667" s="79"/>
      <c r="AL667" s="79"/>
      <c r="AM667" s="127"/>
      <c r="AN667" s="128"/>
      <c r="AO667" s="128"/>
      <c r="AP667" s="133"/>
      <c r="AQ667" s="127"/>
      <c r="AR667" s="134"/>
      <c r="AS667" s="132"/>
      <c r="AT667" s="10"/>
      <c r="AU667" s="10"/>
      <c r="AV667" s="167"/>
      <c r="AW667" s="168"/>
      <c r="AX667" s="29"/>
      <c r="AY667" s="24"/>
      <c r="AZ667" s="25"/>
      <c r="BA667" s="24"/>
      <c r="BB667" s="169"/>
      <c r="BC667" s="170"/>
      <c r="BD667" s="10">
        <v>12824</v>
      </c>
      <c r="BE667" s="10">
        <v>22500</v>
      </c>
      <c r="BF667" s="10"/>
      <c r="BG667" s="268">
        <v>25000</v>
      </c>
      <c r="BH667" s="10">
        <v>30000</v>
      </c>
      <c r="BI667" s="76">
        <f t="shared" ref="BI667:BI678" si="814">AVERAGE(BE667,BF667,BG667,BH667)</f>
        <v>25833.333333333332</v>
      </c>
      <c r="BJ667" s="24">
        <f t="shared" ref="BJ667:BJ678" si="815">BI667-BD667</f>
        <v>13009.333333333332</v>
      </c>
      <c r="BK667" s="25">
        <f t="shared" ref="BK667:BK678" si="816">+BJ667/BD667</f>
        <v>1.0144520690372218</v>
      </c>
      <c r="BL667" s="259">
        <f t="shared" ref="BL667:BL678" si="817">BI667</f>
        <v>25833.333333333332</v>
      </c>
      <c r="BM667" s="10">
        <v>14315</v>
      </c>
      <c r="BN667" s="45">
        <v>20000</v>
      </c>
      <c r="BO667" s="45">
        <v>16643</v>
      </c>
      <c r="BP667" s="45">
        <v>45000</v>
      </c>
      <c r="BQ667" s="29">
        <f t="shared" ref="BQ667" si="818">AVERAGE(BN667,BO667,BP667)</f>
        <v>27214.333333333332</v>
      </c>
      <c r="BR667" s="24">
        <f t="shared" ref="BR667" si="819">BQ667-BM667</f>
        <v>12899.333333333332</v>
      </c>
      <c r="BS667" s="25">
        <f t="shared" ref="BS667" si="820">+BR667/BM667</f>
        <v>0.90110606589824183</v>
      </c>
      <c r="BT667" s="308">
        <f t="shared" ref="BT667" si="821">BQ667</f>
        <v>27214.333333333332</v>
      </c>
    </row>
    <row r="668" spans="1:72" s="1" customFormat="1" ht="30">
      <c r="A668" s="91"/>
      <c r="B668" s="358" t="s">
        <v>2860</v>
      </c>
      <c r="C668" s="50" t="s">
        <v>1803</v>
      </c>
      <c r="D668" s="264" t="s">
        <v>1791</v>
      </c>
      <c r="E668" s="262" t="s">
        <v>827</v>
      </c>
      <c r="F668" s="10"/>
      <c r="G668" s="33"/>
      <c r="H668" s="31"/>
      <c r="I668" s="183"/>
      <c r="J668" s="29"/>
      <c r="K668" s="24"/>
      <c r="L668" s="25"/>
      <c r="M668" s="69"/>
      <c r="N668" s="77"/>
      <c r="O668" s="73"/>
      <c r="P668" s="74"/>
      <c r="Q668" s="74"/>
      <c r="R668" s="75"/>
      <c r="S668" s="61"/>
      <c r="T668" s="60"/>
      <c r="U668" s="74"/>
      <c r="V668" s="76"/>
      <c r="W668" s="24"/>
      <c r="X668" s="25"/>
      <c r="Y668" s="77"/>
      <c r="Z668" s="106"/>
      <c r="AA668" s="73"/>
      <c r="AB668" s="88"/>
      <c r="AC668" s="116"/>
      <c r="AD668" s="74"/>
      <c r="AE668" s="76"/>
      <c r="AF668" s="24"/>
      <c r="AG668" s="25"/>
      <c r="AH668" s="77"/>
      <c r="AI668" s="77"/>
      <c r="AJ668" s="73"/>
      <c r="AK668" s="79"/>
      <c r="AL668" s="79"/>
      <c r="AM668" s="127"/>
      <c r="AN668" s="128"/>
      <c r="AO668" s="128"/>
      <c r="AP668" s="133"/>
      <c r="AQ668" s="127"/>
      <c r="AR668" s="134"/>
      <c r="AS668" s="132"/>
      <c r="AT668" s="10"/>
      <c r="AU668" s="10"/>
      <c r="AV668" s="167"/>
      <c r="AW668" s="168"/>
      <c r="AX668" s="29"/>
      <c r="AY668" s="24"/>
      <c r="AZ668" s="25"/>
      <c r="BA668" s="24"/>
      <c r="BB668" s="169"/>
      <c r="BC668" s="170"/>
      <c r="BD668" s="10">
        <v>14267</v>
      </c>
      <c r="BE668" s="10">
        <v>18000</v>
      </c>
      <c r="BF668" s="10"/>
      <c r="BG668" s="268">
        <v>22000</v>
      </c>
      <c r="BH668" s="10">
        <v>25000</v>
      </c>
      <c r="BI668" s="76">
        <f t="shared" si="814"/>
        <v>21666.666666666668</v>
      </c>
      <c r="BJ668" s="24">
        <f t="shared" si="815"/>
        <v>7399.6666666666679</v>
      </c>
      <c r="BK668" s="25">
        <f t="shared" si="816"/>
        <v>0.51865610616574387</v>
      </c>
      <c r="BL668" s="309">
        <f t="shared" si="817"/>
        <v>21666.666666666668</v>
      </c>
      <c r="BM668" s="293"/>
      <c r="BN668" s="293"/>
      <c r="BO668" s="293"/>
      <c r="BP668" s="293"/>
      <c r="BQ668" s="293"/>
      <c r="BR668" s="293"/>
      <c r="BS668" s="293"/>
      <c r="BT668" s="293"/>
    </row>
    <row r="669" spans="1:72" s="1" customFormat="1">
      <c r="A669" s="91"/>
      <c r="B669" s="358" t="s">
        <v>2861</v>
      </c>
      <c r="C669" s="50" t="s">
        <v>1804</v>
      </c>
      <c r="D669" s="264" t="s">
        <v>1792</v>
      </c>
      <c r="E669" s="262" t="s">
        <v>827</v>
      </c>
      <c r="F669" s="10"/>
      <c r="G669" s="33"/>
      <c r="H669" s="31"/>
      <c r="I669" s="183"/>
      <c r="J669" s="29"/>
      <c r="K669" s="24"/>
      <c r="L669" s="25"/>
      <c r="M669" s="69"/>
      <c r="N669" s="77"/>
      <c r="O669" s="73"/>
      <c r="P669" s="74"/>
      <c r="Q669" s="74"/>
      <c r="R669" s="75"/>
      <c r="S669" s="61"/>
      <c r="T669" s="60"/>
      <c r="U669" s="74"/>
      <c r="V669" s="76"/>
      <c r="W669" s="24"/>
      <c r="X669" s="25"/>
      <c r="Y669" s="77"/>
      <c r="Z669" s="106"/>
      <c r="AA669" s="73"/>
      <c r="AB669" s="88"/>
      <c r="AC669" s="116"/>
      <c r="AD669" s="74"/>
      <c r="AE669" s="76"/>
      <c r="AF669" s="24"/>
      <c r="AG669" s="25"/>
      <c r="AH669" s="77"/>
      <c r="AI669" s="77"/>
      <c r="AJ669" s="73"/>
      <c r="AK669" s="79"/>
      <c r="AL669" s="79"/>
      <c r="AM669" s="127"/>
      <c r="AN669" s="128"/>
      <c r="AO669" s="128"/>
      <c r="AP669" s="133"/>
      <c r="AQ669" s="127"/>
      <c r="AR669" s="134"/>
      <c r="AS669" s="132"/>
      <c r="AT669" s="10"/>
      <c r="AU669" s="10"/>
      <c r="AV669" s="167"/>
      <c r="AW669" s="168"/>
      <c r="AX669" s="29"/>
      <c r="AY669" s="24"/>
      <c r="AZ669" s="25"/>
      <c r="BA669" s="24"/>
      <c r="BB669" s="169"/>
      <c r="BC669" s="170"/>
      <c r="BD669" s="10">
        <v>28829</v>
      </c>
      <c r="BE669" s="10">
        <v>24500</v>
      </c>
      <c r="BF669" s="10"/>
      <c r="BG669" s="268">
        <v>28000</v>
      </c>
      <c r="BH669" s="10">
        <v>25000</v>
      </c>
      <c r="BI669" s="76">
        <f t="shared" si="814"/>
        <v>25833.333333333332</v>
      </c>
      <c r="BJ669" s="24">
        <f t="shared" si="815"/>
        <v>-2995.6666666666679</v>
      </c>
      <c r="BK669" s="25">
        <f t="shared" si="816"/>
        <v>-0.10391157052505005</v>
      </c>
      <c r="BL669" s="309">
        <f t="shared" si="817"/>
        <v>25833.333333333332</v>
      </c>
      <c r="BM669" s="293"/>
      <c r="BN669" s="293"/>
      <c r="BO669" s="293"/>
      <c r="BP669" s="293"/>
      <c r="BQ669" s="293"/>
      <c r="BR669" s="293"/>
      <c r="BS669" s="293"/>
      <c r="BT669" s="293"/>
    </row>
    <row r="670" spans="1:72" s="1" customFormat="1" ht="50.1" customHeight="1">
      <c r="A670" s="91"/>
      <c r="B670" s="358" t="s">
        <v>2862</v>
      </c>
      <c r="C670" s="50" t="s">
        <v>1805</v>
      </c>
      <c r="D670" s="264" t="s">
        <v>1793</v>
      </c>
      <c r="E670" s="263" t="s">
        <v>1399</v>
      </c>
      <c r="F670" s="10"/>
      <c r="G670" s="33"/>
      <c r="H670" s="31"/>
      <c r="I670" s="183"/>
      <c r="J670" s="29"/>
      <c r="K670" s="24"/>
      <c r="L670" s="25"/>
      <c r="M670" s="69"/>
      <c r="N670" s="77"/>
      <c r="O670" s="73"/>
      <c r="P670" s="74"/>
      <c r="Q670" s="74"/>
      <c r="R670" s="75"/>
      <c r="S670" s="61"/>
      <c r="T670" s="60"/>
      <c r="U670" s="74"/>
      <c r="V670" s="76"/>
      <c r="W670" s="24"/>
      <c r="X670" s="25"/>
      <c r="Y670" s="77"/>
      <c r="Z670" s="106"/>
      <c r="AA670" s="73"/>
      <c r="AB670" s="88"/>
      <c r="AC670" s="116"/>
      <c r="AD670" s="74"/>
      <c r="AE670" s="76"/>
      <c r="AF670" s="24"/>
      <c r="AG670" s="25"/>
      <c r="AH670" s="77"/>
      <c r="AI670" s="77"/>
      <c r="AJ670" s="73"/>
      <c r="AK670" s="79"/>
      <c r="AL670" s="79"/>
      <c r="AM670" s="127"/>
      <c r="AN670" s="128"/>
      <c r="AO670" s="128"/>
      <c r="AP670" s="133"/>
      <c r="AQ670" s="127"/>
      <c r="AR670" s="134"/>
      <c r="AS670" s="132"/>
      <c r="AT670" s="10"/>
      <c r="AU670" s="10"/>
      <c r="AV670" s="167"/>
      <c r="AW670" s="168"/>
      <c r="AX670" s="29"/>
      <c r="AY670" s="24"/>
      <c r="AZ670" s="25"/>
      <c r="BA670" s="24"/>
      <c r="BB670" s="169"/>
      <c r="BC670" s="170"/>
      <c r="BD670" s="10">
        <v>98645</v>
      </c>
      <c r="BE670" s="10"/>
      <c r="BF670" s="10"/>
      <c r="BG670" s="268"/>
      <c r="BH670" s="10">
        <v>95000</v>
      </c>
      <c r="BI670" s="76">
        <f t="shared" si="814"/>
        <v>95000</v>
      </c>
      <c r="BJ670" s="24">
        <f t="shared" si="815"/>
        <v>-3645</v>
      </c>
      <c r="BK670" s="25">
        <f t="shared" si="816"/>
        <v>-3.695068173754372E-2</v>
      </c>
      <c r="BL670" s="259">
        <f t="shared" si="817"/>
        <v>95000</v>
      </c>
      <c r="BM670" s="10">
        <v>110150</v>
      </c>
      <c r="BN670" s="45"/>
      <c r="BO670" s="45">
        <v>128052</v>
      </c>
      <c r="BP670" s="45">
        <v>185000</v>
      </c>
      <c r="BQ670" s="29">
        <f t="shared" ref="BQ670" si="822">AVERAGE(BN670,BO670,BP670)</f>
        <v>156526</v>
      </c>
      <c r="BR670" s="24">
        <f t="shared" ref="BR670" si="823">BQ670-BM670</f>
        <v>46376</v>
      </c>
      <c r="BS670" s="25">
        <f t="shared" ref="BS670" si="824">+BR670/BM670</f>
        <v>0.42102587380844303</v>
      </c>
      <c r="BT670" s="308">
        <f t="shared" ref="BT670" si="825">BQ670</f>
        <v>156526</v>
      </c>
    </row>
    <row r="671" spans="1:72" s="1" customFormat="1" ht="33.950000000000003" customHeight="1">
      <c r="A671" s="91"/>
      <c r="B671" s="358" t="s">
        <v>2863</v>
      </c>
      <c r="C671" s="50" t="s">
        <v>1806</v>
      </c>
      <c r="D671" s="264" t="s">
        <v>1794</v>
      </c>
      <c r="E671" s="262" t="s">
        <v>999</v>
      </c>
      <c r="F671" s="10"/>
      <c r="G671" s="33"/>
      <c r="H671" s="31"/>
      <c r="I671" s="183"/>
      <c r="J671" s="29"/>
      <c r="K671" s="24"/>
      <c r="L671" s="25"/>
      <c r="M671" s="69"/>
      <c r="N671" s="77"/>
      <c r="O671" s="73"/>
      <c r="P671" s="74"/>
      <c r="Q671" s="74"/>
      <c r="R671" s="75"/>
      <c r="S671" s="61"/>
      <c r="T671" s="60"/>
      <c r="U671" s="74"/>
      <c r="V671" s="76"/>
      <c r="W671" s="24"/>
      <c r="X671" s="25"/>
      <c r="Y671" s="77"/>
      <c r="Z671" s="106"/>
      <c r="AA671" s="73"/>
      <c r="AB671" s="88"/>
      <c r="AC671" s="116"/>
      <c r="AD671" s="74"/>
      <c r="AE671" s="76"/>
      <c r="AF671" s="24"/>
      <c r="AG671" s="25"/>
      <c r="AH671" s="77"/>
      <c r="AI671" s="77"/>
      <c r="AJ671" s="73"/>
      <c r="AK671" s="79"/>
      <c r="AL671" s="79"/>
      <c r="AM671" s="127"/>
      <c r="AN671" s="128"/>
      <c r="AO671" s="128"/>
      <c r="AP671" s="133"/>
      <c r="AQ671" s="127"/>
      <c r="AR671" s="134"/>
      <c r="AS671" s="132"/>
      <c r="AT671" s="10"/>
      <c r="AU671" s="10"/>
      <c r="AV671" s="167"/>
      <c r="AW671" s="168"/>
      <c r="AX671" s="29"/>
      <c r="AY671" s="24"/>
      <c r="AZ671" s="25"/>
      <c r="BA671" s="24"/>
      <c r="BB671" s="169"/>
      <c r="BC671" s="170"/>
      <c r="BD671" s="10">
        <v>52977</v>
      </c>
      <c r="BE671" s="10"/>
      <c r="BF671" s="10"/>
      <c r="BG671" s="268"/>
      <c r="BH671" s="10">
        <v>55000</v>
      </c>
      <c r="BI671" s="76">
        <f t="shared" si="814"/>
        <v>55000</v>
      </c>
      <c r="BJ671" s="24">
        <f t="shared" si="815"/>
        <v>2023</v>
      </c>
      <c r="BK671" s="25">
        <f t="shared" si="816"/>
        <v>3.8186382769881268E-2</v>
      </c>
      <c r="BL671" s="309">
        <f t="shared" si="817"/>
        <v>55000</v>
      </c>
      <c r="BM671" s="293"/>
      <c r="BN671" s="293"/>
      <c r="BO671" s="293"/>
      <c r="BP671" s="293"/>
      <c r="BQ671" s="293"/>
      <c r="BR671" s="293"/>
      <c r="BS671" s="293"/>
      <c r="BT671" s="293"/>
    </row>
    <row r="672" spans="1:72" s="1" customFormat="1">
      <c r="A672" s="91"/>
      <c r="B672" s="358" t="s">
        <v>2864</v>
      </c>
      <c r="C672" s="50" t="s">
        <v>1807</v>
      </c>
      <c r="D672" s="264" t="s">
        <v>1795</v>
      </c>
      <c r="E672" s="262" t="s">
        <v>1457</v>
      </c>
      <c r="F672" s="10"/>
      <c r="G672" s="33"/>
      <c r="H672" s="31"/>
      <c r="I672" s="183"/>
      <c r="J672" s="29"/>
      <c r="K672" s="24"/>
      <c r="L672" s="25"/>
      <c r="M672" s="69"/>
      <c r="N672" s="77"/>
      <c r="O672" s="73"/>
      <c r="P672" s="74"/>
      <c r="Q672" s="74"/>
      <c r="R672" s="75"/>
      <c r="S672" s="61"/>
      <c r="T672" s="60"/>
      <c r="U672" s="74"/>
      <c r="V672" s="76"/>
      <c r="W672" s="24"/>
      <c r="X672" s="25"/>
      <c r="Y672" s="77"/>
      <c r="Z672" s="106"/>
      <c r="AA672" s="73"/>
      <c r="AB672" s="88"/>
      <c r="AC672" s="116"/>
      <c r="AD672" s="74"/>
      <c r="AE672" s="76"/>
      <c r="AF672" s="24"/>
      <c r="AG672" s="25"/>
      <c r="AH672" s="77"/>
      <c r="AI672" s="77"/>
      <c r="AJ672" s="73"/>
      <c r="AK672" s="79"/>
      <c r="AL672" s="79"/>
      <c r="AM672" s="127"/>
      <c r="AN672" s="128"/>
      <c r="AO672" s="128"/>
      <c r="AP672" s="133"/>
      <c r="AQ672" s="127"/>
      <c r="AR672" s="134"/>
      <c r="AS672" s="132"/>
      <c r="AT672" s="10"/>
      <c r="AU672" s="10"/>
      <c r="AV672" s="167"/>
      <c r="AW672" s="168"/>
      <c r="AX672" s="29"/>
      <c r="AY672" s="24"/>
      <c r="AZ672" s="25"/>
      <c r="BA672" s="24"/>
      <c r="BB672" s="169"/>
      <c r="BC672" s="170"/>
      <c r="BD672" s="10">
        <v>16108</v>
      </c>
      <c r="BE672" s="10">
        <v>25000</v>
      </c>
      <c r="BF672" s="10"/>
      <c r="BG672" s="268">
        <v>28000</v>
      </c>
      <c r="BH672" s="10">
        <v>30000</v>
      </c>
      <c r="BI672" s="76">
        <f t="shared" si="814"/>
        <v>27666.666666666668</v>
      </c>
      <c r="BJ672" s="24">
        <f t="shared" si="815"/>
        <v>11558.666666666668</v>
      </c>
      <c r="BK672" s="25">
        <f t="shared" si="816"/>
        <v>0.71757304858869309</v>
      </c>
      <c r="BL672" s="309">
        <f t="shared" si="817"/>
        <v>27666.666666666668</v>
      </c>
      <c r="BM672" s="293"/>
      <c r="BN672" s="293"/>
      <c r="BO672" s="293"/>
      <c r="BP672" s="293"/>
      <c r="BQ672" s="293"/>
      <c r="BR672" s="293"/>
      <c r="BS672" s="293"/>
      <c r="BT672" s="293"/>
    </row>
    <row r="673" spans="1:72" s="1" customFormat="1" ht="42" customHeight="1">
      <c r="A673" s="91"/>
      <c r="B673" s="358" t="s">
        <v>2865</v>
      </c>
      <c r="C673" s="50" t="s">
        <v>1808</v>
      </c>
      <c r="D673" s="264" t="s">
        <v>1796</v>
      </c>
      <c r="E673" s="262" t="s">
        <v>1457</v>
      </c>
      <c r="F673" s="10"/>
      <c r="G673" s="33"/>
      <c r="H673" s="31"/>
      <c r="I673" s="183"/>
      <c r="J673" s="29"/>
      <c r="K673" s="24"/>
      <c r="L673" s="25"/>
      <c r="M673" s="69"/>
      <c r="N673" s="77"/>
      <c r="O673" s="73"/>
      <c r="P673" s="74"/>
      <c r="Q673" s="74"/>
      <c r="R673" s="75"/>
      <c r="S673" s="61"/>
      <c r="T673" s="60"/>
      <c r="U673" s="74"/>
      <c r="V673" s="76"/>
      <c r="W673" s="24"/>
      <c r="X673" s="25"/>
      <c r="Y673" s="77"/>
      <c r="Z673" s="106"/>
      <c r="AA673" s="73"/>
      <c r="AB673" s="88"/>
      <c r="AC673" s="116"/>
      <c r="AD673" s="74"/>
      <c r="AE673" s="76"/>
      <c r="AF673" s="24"/>
      <c r="AG673" s="25"/>
      <c r="AH673" s="77"/>
      <c r="AI673" s="77"/>
      <c r="AJ673" s="73"/>
      <c r="AK673" s="79"/>
      <c r="AL673" s="79"/>
      <c r="AM673" s="127"/>
      <c r="AN673" s="128"/>
      <c r="AO673" s="128"/>
      <c r="AP673" s="133"/>
      <c r="AQ673" s="127"/>
      <c r="AR673" s="134"/>
      <c r="AS673" s="132"/>
      <c r="AT673" s="10"/>
      <c r="AU673" s="10"/>
      <c r="AV673" s="167"/>
      <c r="AW673" s="168"/>
      <c r="AX673" s="29"/>
      <c r="AY673" s="24"/>
      <c r="AZ673" s="25"/>
      <c r="BA673" s="24"/>
      <c r="BB673" s="169"/>
      <c r="BC673" s="170"/>
      <c r="BD673" s="10">
        <v>15795</v>
      </c>
      <c r="BE673" s="10">
        <v>18000</v>
      </c>
      <c r="BF673" s="10"/>
      <c r="BG673" s="268">
        <v>21000</v>
      </c>
      <c r="BH673" s="10">
        <v>250000</v>
      </c>
      <c r="BI673" s="76">
        <f t="shared" si="814"/>
        <v>96333.333333333328</v>
      </c>
      <c r="BJ673" s="24">
        <f t="shared" si="815"/>
        <v>80538.333333333328</v>
      </c>
      <c r="BK673" s="25">
        <f t="shared" si="816"/>
        <v>5.0989764693468391</v>
      </c>
      <c r="BL673" s="309">
        <f t="shared" si="817"/>
        <v>96333.333333333328</v>
      </c>
      <c r="BM673" s="293"/>
      <c r="BN673" s="293"/>
      <c r="BO673" s="293"/>
      <c r="BP673" s="293"/>
      <c r="BQ673" s="293"/>
      <c r="BR673" s="293"/>
      <c r="BS673" s="293"/>
      <c r="BT673" s="293"/>
    </row>
    <row r="674" spans="1:72" s="1" customFormat="1" ht="39" customHeight="1">
      <c r="A674" s="91"/>
      <c r="B674" s="358" t="s">
        <v>2866</v>
      </c>
      <c r="C674" s="50" t="s">
        <v>1809</v>
      </c>
      <c r="D674" s="264" t="s">
        <v>1797</v>
      </c>
      <c r="E674" s="263" t="s">
        <v>1399</v>
      </c>
      <c r="F674" s="10"/>
      <c r="G674" s="33"/>
      <c r="H674" s="31"/>
      <c r="I674" s="183"/>
      <c r="J674" s="29"/>
      <c r="K674" s="24"/>
      <c r="L674" s="25"/>
      <c r="M674" s="69"/>
      <c r="N674" s="77"/>
      <c r="O674" s="73"/>
      <c r="P674" s="74"/>
      <c r="Q674" s="74"/>
      <c r="R674" s="75"/>
      <c r="S674" s="61"/>
      <c r="T674" s="60"/>
      <c r="U674" s="74"/>
      <c r="V674" s="76"/>
      <c r="W674" s="24"/>
      <c r="X674" s="25"/>
      <c r="Y674" s="77"/>
      <c r="Z674" s="106"/>
      <c r="AA674" s="73"/>
      <c r="AB674" s="88"/>
      <c r="AC674" s="116"/>
      <c r="AD674" s="74"/>
      <c r="AE674" s="76"/>
      <c r="AF674" s="24"/>
      <c r="AG674" s="25"/>
      <c r="AH674" s="77"/>
      <c r="AI674" s="77"/>
      <c r="AJ674" s="73"/>
      <c r="AK674" s="79"/>
      <c r="AL674" s="79"/>
      <c r="AM674" s="127"/>
      <c r="AN674" s="128"/>
      <c r="AO674" s="128"/>
      <c r="AP674" s="133"/>
      <c r="AQ674" s="127"/>
      <c r="AR674" s="134"/>
      <c r="AS674" s="132"/>
      <c r="AT674" s="10"/>
      <c r="AU674" s="10"/>
      <c r="AV674" s="167"/>
      <c r="AW674" s="168"/>
      <c r="AX674" s="29"/>
      <c r="AY674" s="24"/>
      <c r="AZ674" s="25"/>
      <c r="BA674" s="24"/>
      <c r="BB674" s="169"/>
      <c r="BC674" s="170"/>
      <c r="BD674" s="10">
        <v>17124</v>
      </c>
      <c r="BE674" s="10"/>
      <c r="BF674" s="10"/>
      <c r="BG674" s="268">
        <v>21000</v>
      </c>
      <c r="BH674" s="10">
        <v>45000</v>
      </c>
      <c r="BI674" s="76">
        <f t="shared" si="814"/>
        <v>33000</v>
      </c>
      <c r="BJ674" s="24">
        <f t="shared" si="815"/>
        <v>15876</v>
      </c>
      <c r="BK674" s="25">
        <f t="shared" si="816"/>
        <v>0.92711983181499646</v>
      </c>
      <c r="BL674" s="309">
        <f t="shared" si="817"/>
        <v>33000</v>
      </c>
      <c r="BM674" s="293"/>
      <c r="BN674" s="293"/>
      <c r="BO674" s="293"/>
      <c r="BP674" s="293"/>
      <c r="BQ674" s="293"/>
      <c r="BR674" s="293"/>
      <c r="BS674" s="293"/>
      <c r="BT674" s="293"/>
    </row>
    <row r="675" spans="1:72" s="1" customFormat="1" ht="30">
      <c r="A675" s="91"/>
      <c r="B675" s="358" t="s">
        <v>2867</v>
      </c>
      <c r="C675" s="50" t="s">
        <v>1810</v>
      </c>
      <c r="D675" s="264" t="s">
        <v>1798</v>
      </c>
      <c r="E675" s="263" t="s">
        <v>1466</v>
      </c>
      <c r="F675" s="10"/>
      <c r="G675" s="33"/>
      <c r="H675" s="31"/>
      <c r="I675" s="183"/>
      <c r="J675" s="29"/>
      <c r="K675" s="24"/>
      <c r="L675" s="25"/>
      <c r="M675" s="69"/>
      <c r="N675" s="77"/>
      <c r="O675" s="73"/>
      <c r="P675" s="74"/>
      <c r="Q675" s="74"/>
      <c r="R675" s="75"/>
      <c r="S675" s="61"/>
      <c r="T675" s="60"/>
      <c r="U675" s="74"/>
      <c r="V675" s="76"/>
      <c r="W675" s="24"/>
      <c r="X675" s="25"/>
      <c r="Y675" s="77"/>
      <c r="Z675" s="106"/>
      <c r="AA675" s="73"/>
      <c r="AB675" s="88"/>
      <c r="AC675" s="116"/>
      <c r="AD675" s="74"/>
      <c r="AE675" s="76"/>
      <c r="AF675" s="24"/>
      <c r="AG675" s="25"/>
      <c r="AH675" s="77"/>
      <c r="AI675" s="77"/>
      <c r="AJ675" s="73"/>
      <c r="AK675" s="79"/>
      <c r="AL675" s="79"/>
      <c r="AM675" s="127"/>
      <c r="AN675" s="128"/>
      <c r="AO675" s="128"/>
      <c r="AP675" s="133"/>
      <c r="AQ675" s="127"/>
      <c r="AR675" s="134"/>
      <c r="AS675" s="132"/>
      <c r="AT675" s="10"/>
      <c r="AU675" s="10"/>
      <c r="AV675" s="167"/>
      <c r="AW675" s="168"/>
      <c r="AX675" s="29"/>
      <c r="AY675" s="24"/>
      <c r="AZ675" s="25"/>
      <c r="BA675" s="24"/>
      <c r="BB675" s="169"/>
      <c r="BC675" s="170"/>
      <c r="BD675" s="10">
        <v>19204</v>
      </c>
      <c r="BE675" s="10">
        <v>18000</v>
      </c>
      <c r="BF675" s="10"/>
      <c r="BG675" s="268">
        <v>19000</v>
      </c>
      <c r="BH675" s="10">
        <v>25000</v>
      </c>
      <c r="BI675" s="76">
        <f t="shared" si="814"/>
        <v>20666.666666666668</v>
      </c>
      <c r="BJ675" s="24">
        <f t="shared" si="815"/>
        <v>1462.6666666666679</v>
      </c>
      <c r="BK675" s="25">
        <f t="shared" si="816"/>
        <v>7.616468791224057E-2</v>
      </c>
      <c r="BL675" s="309">
        <f t="shared" si="817"/>
        <v>20666.666666666668</v>
      </c>
      <c r="BM675" s="293"/>
      <c r="BN675" s="293"/>
      <c r="BO675" s="293"/>
      <c r="BP675" s="293"/>
      <c r="BQ675" s="293"/>
      <c r="BR675" s="293"/>
      <c r="BS675" s="293"/>
      <c r="BT675" s="293"/>
    </row>
    <row r="676" spans="1:72" s="1" customFormat="1" ht="42" customHeight="1">
      <c r="A676" s="91"/>
      <c r="B676" s="358" t="s">
        <v>2868</v>
      </c>
      <c r="C676" s="50" t="s">
        <v>1811</v>
      </c>
      <c r="D676" s="264" t="s">
        <v>1799</v>
      </c>
      <c r="E676" s="263" t="s">
        <v>1466</v>
      </c>
      <c r="F676" s="10"/>
      <c r="G676" s="33"/>
      <c r="H676" s="31"/>
      <c r="I676" s="183"/>
      <c r="J676" s="29"/>
      <c r="K676" s="24"/>
      <c r="L676" s="25"/>
      <c r="M676" s="69"/>
      <c r="N676" s="77"/>
      <c r="O676" s="73"/>
      <c r="P676" s="74"/>
      <c r="Q676" s="74"/>
      <c r="R676" s="75"/>
      <c r="S676" s="61"/>
      <c r="T676" s="60"/>
      <c r="U676" s="74"/>
      <c r="V676" s="76"/>
      <c r="W676" s="24"/>
      <c r="X676" s="25"/>
      <c r="Y676" s="77"/>
      <c r="Z676" s="106"/>
      <c r="AA676" s="73"/>
      <c r="AB676" s="88"/>
      <c r="AC676" s="116"/>
      <c r="AD676" s="74"/>
      <c r="AE676" s="76"/>
      <c r="AF676" s="24"/>
      <c r="AG676" s="25"/>
      <c r="AH676" s="77"/>
      <c r="AI676" s="77"/>
      <c r="AJ676" s="73"/>
      <c r="AK676" s="79"/>
      <c r="AL676" s="79"/>
      <c r="AM676" s="127"/>
      <c r="AN676" s="128"/>
      <c r="AO676" s="128"/>
      <c r="AP676" s="133"/>
      <c r="AQ676" s="127"/>
      <c r="AR676" s="134"/>
      <c r="AS676" s="132"/>
      <c r="AT676" s="10"/>
      <c r="AU676" s="10"/>
      <c r="AV676" s="167"/>
      <c r="AW676" s="168"/>
      <c r="AX676" s="29"/>
      <c r="AY676" s="24"/>
      <c r="AZ676" s="25"/>
      <c r="BA676" s="24"/>
      <c r="BB676" s="169"/>
      <c r="BC676" s="170"/>
      <c r="BD676" s="10">
        <v>68337</v>
      </c>
      <c r="BE676" s="10">
        <v>16000</v>
      </c>
      <c r="BF676" s="10"/>
      <c r="BG676" s="268">
        <v>38000</v>
      </c>
      <c r="BH676" s="10">
        <v>45000</v>
      </c>
      <c r="BI676" s="76">
        <f t="shared" si="814"/>
        <v>33000</v>
      </c>
      <c r="BJ676" s="24">
        <f t="shared" si="815"/>
        <v>-35337</v>
      </c>
      <c r="BK676" s="25">
        <f t="shared" si="816"/>
        <v>-0.51709908248825676</v>
      </c>
      <c r="BL676" s="309">
        <f t="shared" si="817"/>
        <v>33000</v>
      </c>
      <c r="BM676" s="293"/>
      <c r="BN676" s="293"/>
      <c r="BO676" s="293"/>
      <c r="BP676" s="293"/>
      <c r="BQ676" s="293"/>
      <c r="BR676" s="293"/>
      <c r="BS676" s="293"/>
      <c r="BT676" s="293"/>
    </row>
    <row r="677" spans="1:72" s="1" customFormat="1" ht="39.950000000000003" customHeight="1">
      <c r="A677" s="91"/>
      <c r="B677" s="358" t="s">
        <v>2869</v>
      </c>
      <c r="C677" s="50" t="s">
        <v>1812</v>
      </c>
      <c r="D677" s="264" t="s">
        <v>1800</v>
      </c>
      <c r="E677" s="263" t="s">
        <v>1426</v>
      </c>
      <c r="F677" s="10"/>
      <c r="G677" s="33"/>
      <c r="H677" s="31"/>
      <c r="I677" s="183"/>
      <c r="J677" s="29"/>
      <c r="K677" s="24"/>
      <c r="L677" s="25"/>
      <c r="M677" s="69"/>
      <c r="N677" s="77"/>
      <c r="O677" s="73"/>
      <c r="P677" s="74"/>
      <c r="Q677" s="74"/>
      <c r="R677" s="75"/>
      <c r="S677" s="61"/>
      <c r="T677" s="60"/>
      <c r="U677" s="74"/>
      <c r="V677" s="76"/>
      <c r="W677" s="24"/>
      <c r="X677" s="25"/>
      <c r="Y677" s="77"/>
      <c r="Z677" s="106"/>
      <c r="AA677" s="73"/>
      <c r="AB677" s="88"/>
      <c r="AC677" s="116"/>
      <c r="AD677" s="74"/>
      <c r="AE677" s="76"/>
      <c r="AF677" s="24"/>
      <c r="AG677" s="25"/>
      <c r="AH677" s="77"/>
      <c r="AI677" s="77"/>
      <c r="AJ677" s="73"/>
      <c r="AK677" s="79"/>
      <c r="AL677" s="79"/>
      <c r="AM677" s="127"/>
      <c r="AN677" s="128"/>
      <c r="AO677" s="128"/>
      <c r="AP677" s="133"/>
      <c r="AQ677" s="127"/>
      <c r="AR677" s="134"/>
      <c r="AS677" s="132"/>
      <c r="AT677" s="10"/>
      <c r="AU677" s="10"/>
      <c r="AV677" s="167"/>
      <c r="AW677" s="168"/>
      <c r="AX677" s="29"/>
      <c r="AY677" s="24"/>
      <c r="AZ677" s="25"/>
      <c r="BA677" s="24"/>
      <c r="BB677" s="169"/>
      <c r="BC677" s="170"/>
      <c r="BD677" s="10">
        <v>31501</v>
      </c>
      <c r="BE677" s="10">
        <v>35000</v>
      </c>
      <c r="BF677" s="10"/>
      <c r="BG677" s="268">
        <v>38000</v>
      </c>
      <c r="BH677" s="10" t="s">
        <v>1421</v>
      </c>
      <c r="BI677" s="76">
        <f t="shared" si="814"/>
        <v>36500</v>
      </c>
      <c r="BJ677" s="24">
        <f t="shared" si="815"/>
        <v>4999</v>
      </c>
      <c r="BK677" s="25">
        <f t="shared" si="816"/>
        <v>0.15869337481349799</v>
      </c>
      <c r="BL677" s="309">
        <f t="shared" si="817"/>
        <v>36500</v>
      </c>
      <c r="BM677" s="293"/>
      <c r="BN677" s="293"/>
      <c r="BO677" s="293"/>
      <c r="BP677" s="293"/>
      <c r="BQ677" s="293"/>
      <c r="BR677" s="293"/>
      <c r="BS677" s="293"/>
      <c r="BT677" s="293"/>
    </row>
    <row r="678" spans="1:72" s="1" customFormat="1" ht="50.1" customHeight="1">
      <c r="A678" s="91"/>
      <c r="B678" s="358" t="s">
        <v>2870</v>
      </c>
      <c r="C678" s="50" t="s">
        <v>1813</v>
      </c>
      <c r="D678" s="264" t="s">
        <v>1801</v>
      </c>
      <c r="E678" s="263" t="s">
        <v>1466</v>
      </c>
      <c r="F678" s="10"/>
      <c r="G678" s="33"/>
      <c r="H678" s="31"/>
      <c r="I678" s="183"/>
      <c r="J678" s="29"/>
      <c r="K678" s="24"/>
      <c r="L678" s="25"/>
      <c r="M678" s="69"/>
      <c r="N678" s="77"/>
      <c r="O678" s="73"/>
      <c r="P678" s="74"/>
      <c r="Q678" s="74"/>
      <c r="R678" s="75"/>
      <c r="S678" s="61"/>
      <c r="T678" s="60"/>
      <c r="U678" s="74"/>
      <c r="V678" s="76"/>
      <c r="W678" s="24"/>
      <c r="X678" s="25"/>
      <c r="Y678" s="77"/>
      <c r="Z678" s="106"/>
      <c r="AA678" s="73"/>
      <c r="AB678" s="88"/>
      <c r="AC678" s="116"/>
      <c r="AD678" s="74"/>
      <c r="AE678" s="76"/>
      <c r="AF678" s="24"/>
      <c r="AG678" s="25"/>
      <c r="AH678" s="77"/>
      <c r="AI678" s="77"/>
      <c r="AJ678" s="73"/>
      <c r="AK678" s="79"/>
      <c r="AL678" s="79"/>
      <c r="AM678" s="127"/>
      <c r="AN678" s="128"/>
      <c r="AO678" s="128"/>
      <c r="AP678" s="133"/>
      <c r="AQ678" s="127"/>
      <c r="AR678" s="134"/>
      <c r="AS678" s="132"/>
      <c r="AT678" s="10"/>
      <c r="AU678" s="10"/>
      <c r="AV678" s="167"/>
      <c r="AW678" s="168"/>
      <c r="AX678" s="29"/>
      <c r="AY678" s="24"/>
      <c r="AZ678" s="25"/>
      <c r="BA678" s="24"/>
      <c r="BB678" s="169"/>
      <c r="BC678" s="170"/>
      <c r="BD678" s="10">
        <v>64687</v>
      </c>
      <c r="BE678" s="10">
        <v>35000</v>
      </c>
      <c r="BF678" s="10"/>
      <c r="BG678" s="268">
        <v>38000</v>
      </c>
      <c r="BH678" s="10">
        <v>60000</v>
      </c>
      <c r="BI678" s="76">
        <f t="shared" si="814"/>
        <v>44333.333333333336</v>
      </c>
      <c r="BJ678" s="24">
        <f t="shared" si="815"/>
        <v>-20353.666666666664</v>
      </c>
      <c r="BK678" s="25">
        <f t="shared" si="816"/>
        <v>-0.31464848681600111</v>
      </c>
      <c r="BL678" s="309">
        <f t="shared" si="817"/>
        <v>44333.333333333336</v>
      </c>
      <c r="BM678" s="293"/>
      <c r="BN678" s="293"/>
      <c r="BO678" s="293"/>
      <c r="BP678" s="293"/>
      <c r="BQ678" s="293"/>
      <c r="BR678" s="293"/>
      <c r="BS678" s="293"/>
      <c r="BT678" s="293"/>
    </row>
    <row r="679" spans="1:72" ht="44.45" customHeight="1">
      <c r="A679" s="91" t="s">
        <v>31</v>
      </c>
      <c r="B679" s="358" t="s">
        <v>2871</v>
      </c>
      <c r="C679" s="252" t="s">
        <v>760</v>
      </c>
      <c r="D679" s="47" t="s">
        <v>31</v>
      </c>
      <c r="E679" s="47"/>
      <c r="F679" s="47"/>
      <c r="G679" s="47"/>
      <c r="H679" s="47"/>
      <c r="I679" s="47"/>
      <c r="J679" s="47"/>
      <c r="K679" s="47"/>
      <c r="L679" s="47"/>
      <c r="M679" s="91"/>
      <c r="N679" s="47"/>
      <c r="O679" s="47"/>
      <c r="P679" s="47"/>
      <c r="Q679" s="47"/>
      <c r="R679" s="47"/>
      <c r="S679" s="47"/>
      <c r="T679" s="47"/>
      <c r="U679" s="47"/>
      <c r="V679" s="47"/>
      <c r="W679" s="47"/>
      <c r="X679" s="47"/>
      <c r="Y679" s="47"/>
      <c r="Z679" s="47"/>
      <c r="AA679" s="47"/>
      <c r="AB679" s="47"/>
      <c r="AC679" s="47"/>
      <c r="AD679" s="47"/>
      <c r="AE679" s="47"/>
      <c r="AF679" s="47"/>
      <c r="AG679" s="47"/>
      <c r="AH679" s="47"/>
      <c r="AI679" s="47"/>
      <c r="AJ679" s="147"/>
      <c r="AK679" s="148"/>
      <c r="AL679" s="148"/>
      <c r="AM679" s="149"/>
      <c r="AN679" s="148"/>
      <c r="AO679" s="148"/>
      <c r="AP679" s="133"/>
      <c r="AQ679" s="127"/>
      <c r="AR679" s="134"/>
      <c r="AS679" s="132"/>
      <c r="AT679" s="173"/>
      <c r="AU679" s="173"/>
      <c r="AV679" s="174"/>
      <c r="AW679" s="175"/>
      <c r="AX679" s="29"/>
      <c r="AY679" s="24"/>
      <c r="AZ679" s="25"/>
      <c r="BA679" s="24"/>
      <c r="BB679" s="169"/>
      <c r="BC679" s="170"/>
      <c r="BD679" s="173"/>
      <c r="BE679" s="173"/>
      <c r="BF679" s="173"/>
      <c r="BG679" s="274"/>
      <c r="BH679" s="266"/>
      <c r="BI679" s="76"/>
      <c r="BJ679" s="24"/>
      <c r="BK679" s="25"/>
      <c r="BL679" s="259"/>
      <c r="BM679" s="323"/>
      <c r="BN679" s="324"/>
      <c r="BO679" s="324"/>
      <c r="BP679" s="323"/>
      <c r="BQ679" s="29"/>
      <c r="BR679" s="24"/>
      <c r="BS679" s="25"/>
      <c r="BT679" s="308"/>
    </row>
    <row r="680" spans="1:72" ht="39" customHeight="1">
      <c r="A680" s="91" t="s">
        <v>31</v>
      </c>
      <c r="B680" s="358" t="s">
        <v>2872</v>
      </c>
      <c r="C680" s="50" t="s">
        <v>302</v>
      </c>
      <c r="D680" s="99" t="s">
        <v>642</v>
      </c>
      <c r="E680" s="48" t="s">
        <v>13</v>
      </c>
      <c r="F680" s="10">
        <v>20220</v>
      </c>
      <c r="G680" s="33">
        <v>26298</v>
      </c>
      <c r="H680" s="31">
        <v>34187</v>
      </c>
      <c r="I680" s="35">
        <v>22986.400000000001</v>
      </c>
      <c r="J680" s="29">
        <f t="shared" si="804"/>
        <v>27823.8</v>
      </c>
      <c r="K680" s="24">
        <f t="shared" si="805"/>
        <v>7603.7999999999993</v>
      </c>
      <c r="L680" s="25">
        <f t="shared" si="806"/>
        <v>0.37605341246290797</v>
      </c>
      <c r="M680" s="69" t="str">
        <f t="shared" si="807"/>
        <v>REVISAR PRECIO</v>
      </c>
      <c r="N680" s="77">
        <f t="shared" si="803"/>
        <v>27823.8</v>
      </c>
      <c r="O680" s="73">
        <v>15804</v>
      </c>
      <c r="P680" s="74">
        <v>13800</v>
      </c>
      <c r="Q680" s="74">
        <v>15000</v>
      </c>
      <c r="R680" s="75">
        <v>15900</v>
      </c>
      <c r="S680" s="61">
        <v>21505</v>
      </c>
      <c r="T680" s="60">
        <v>60000</v>
      </c>
      <c r="U680" s="74">
        <v>24730.749999999996</v>
      </c>
      <c r="V680" s="76">
        <f t="shared" ref="V680:V712" si="826">AVERAGE(P680,Q680,R680,S680,T680,U680)</f>
        <v>25155.958333333332</v>
      </c>
      <c r="W680" s="24">
        <f t="shared" ref="W680:W712" si="827">V680-O680</f>
        <v>9351.9583333333321</v>
      </c>
      <c r="X680" s="25">
        <f t="shared" ref="X680:X712" si="828">+W680/O680</f>
        <v>0.59174628785961347</v>
      </c>
      <c r="Y680" s="77" t="str">
        <f t="shared" ref="Y680:Y712" si="829">+IF(X680&lt;35%,V680,"REVISAR PRECIO")</f>
        <v>REVISAR PRECIO</v>
      </c>
      <c r="Z680" s="106">
        <f t="shared" ref="Z680:Z712" si="830">V680</f>
        <v>25155.958333333332</v>
      </c>
      <c r="AA680" s="73">
        <v>15804</v>
      </c>
      <c r="AB680" s="88">
        <v>14600</v>
      </c>
      <c r="AC680" s="116">
        <v>16500</v>
      </c>
      <c r="AD680" s="74">
        <v>13200</v>
      </c>
      <c r="AE680" s="76">
        <f t="shared" ref="AE680:AE712" si="831">AVERAGE(AB680,AC680,AD680)</f>
        <v>14766.666666666666</v>
      </c>
      <c r="AF680" s="24">
        <f t="shared" ref="AF680:AF712" si="832">AE680-AA680</f>
        <v>-1037.3333333333339</v>
      </c>
      <c r="AG680" s="25">
        <f t="shared" ref="AG680:AG712" si="833">+AF680/AA680</f>
        <v>-6.5637391377710325E-2</v>
      </c>
      <c r="AH680" s="77">
        <f t="shared" ref="AH680:AH702" si="834">+IF(AG680&lt;35%,AE680,"REVISAR PRECIO")</f>
        <v>14766.666666666666</v>
      </c>
      <c r="AI680" s="77">
        <f t="shared" ref="AI680:AI712" si="835">AE680</f>
        <v>14766.666666666666</v>
      </c>
      <c r="AJ680" s="73">
        <v>15804</v>
      </c>
      <c r="AK680" s="79">
        <v>15900</v>
      </c>
      <c r="AL680" s="79">
        <v>12000</v>
      </c>
      <c r="AM680" s="127">
        <v>14400</v>
      </c>
      <c r="AN680" s="128">
        <v>12500</v>
      </c>
      <c r="AO680" s="128">
        <v>13000</v>
      </c>
      <c r="AP680" s="133">
        <f t="shared" ref="AP680:AP712" si="836">AVERAGE(AK680,AL680,AM680,AN680,AO680)</f>
        <v>13560</v>
      </c>
      <c r="AQ680" s="127">
        <f t="shared" ref="AQ680:AQ712" si="837">AP680-AJ680</f>
        <v>-2244</v>
      </c>
      <c r="AR680" s="134">
        <f t="shared" ref="AR680:AR702" si="838">+AQ680/AJ680</f>
        <v>-0.14198936977980259</v>
      </c>
      <c r="AS680" s="132">
        <f t="shared" ref="AS680:AS712" si="839">AP680</f>
        <v>13560</v>
      </c>
      <c r="AT680" s="10">
        <v>14382</v>
      </c>
      <c r="AU680" s="10">
        <v>12000</v>
      </c>
      <c r="AV680" s="167">
        <v>24000</v>
      </c>
      <c r="AW680" s="168">
        <v>18700</v>
      </c>
      <c r="AX680" s="29">
        <f t="shared" ref="AX680:AX702" si="840">AVERAGE(AU680,AW680)</f>
        <v>15350</v>
      </c>
      <c r="AY680" s="24">
        <f t="shared" ref="AY680:AY702" si="841">AX680-AT680</f>
        <v>968</v>
      </c>
      <c r="AZ680" s="25">
        <f t="shared" ref="AZ680:AZ702" si="842">+AY680/AT680</f>
        <v>6.7306355166179943E-2</v>
      </c>
      <c r="BA680" s="24">
        <f t="shared" ref="BA680:BA702" si="843">AV680-AT680</f>
        <v>9618</v>
      </c>
      <c r="BB680" s="169">
        <f t="shared" ref="BB680:BB702" si="844">+BA680/AT680</f>
        <v>0.66875260742594911</v>
      </c>
      <c r="BC680" s="170">
        <f t="shared" ref="BC680:BC702" si="845">AX680</f>
        <v>15350</v>
      </c>
      <c r="BD680" s="10">
        <v>12653</v>
      </c>
      <c r="BE680" s="10">
        <v>28500</v>
      </c>
      <c r="BF680" s="10"/>
      <c r="BG680" s="268">
        <v>34000</v>
      </c>
      <c r="BH680" s="10">
        <v>30000</v>
      </c>
      <c r="BI680" s="76">
        <f t="shared" ref="BI680:BI701" si="846">AVERAGE(BE680,BF680,BG680,BH680)</f>
        <v>30833.333333333332</v>
      </c>
      <c r="BJ680" s="24">
        <f t="shared" ref="BJ680:BJ701" si="847">BI680-BD680</f>
        <v>18180.333333333332</v>
      </c>
      <c r="BK680" s="25">
        <f t="shared" ref="BK680:BK701" si="848">+BJ680/BD680</f>
        <v>1.4368397481493189</v>
      </c>
      <c r="BL680" s="259">
        <f t="shared" ref="BL680:BL701" si="849">BI680</f>
        <v>30833.333333333332</v>
      </c>
      <c r="BM680" s="10">
        <v>13716</v>
      </c>
      <c r="BN680" s="45">
        <v>14000</v>
      </c>
      <c r="BO680" s="45">
        <v>16971</v>
      </c>
      <c r="BP680" s="45">
        <v>20000</v>
      </c>
      <c r="BQ680" s="29">
        <f t="shared" ref="BQ680:BQ701" si="850">AVERAGE(BN680,BO680,BP680)</f>
        <v>16990.333333333332</v>
      </c>
      <c r="BR680" s="24">
        <f t="shared" ref="BR680:BR701" si="851">BQ680-BM680</f>
        <v>3274.3333333333321</v>
      </c>
      <c r="BS680" s="25">
        <f t="shared" ref="BS680:BS701" si="852">+BR680/BM680</f>
        <v>0.23872363176825109</v>
      </c>
      <c r="BT680" s="308">
        <f t="shared" ref="BT680:BT701" si="853">BQ680</f>
        <v>16990.333333333332</v>
      </c>
    </row>
    <row r="681" spans="1:72" ht="39" customHeight="1">
      <c r="A681" s="91" t="s">
        <v>31</v>
      </c>
      <c r="B681" s="358" t="s">
        <v>2873</v>
      </c>
      <c r="C681" s="50" t="s">
        <v>303</v>
      </c>
      <c r="D681" s="99" t="s">
        <v>643</v>
      </c>
      <c r="E681" s="48" t="s">
        <v>13</v>
      </c>
      <c r="F681" s="10">
        <v>31462</v>
      </c>
      <c r="G681" s="31">
        <v>40919</v>
      </c>
      <c r="H681" s="31">
        <v>53194</v>
      </c>
      <c r="I681" s="35">
        <v>35765.800000000003</v>
      </c>
      <c r="J681" s="29">
        <f t="shared" si="804"/>
        <v>43292.933333333334</v>
      </c>
      <c r="K681" s="24">
        <f t="shared" si="805"/>
        <v>11830.933333333334</v>
      </c>
      <c r="L681" s="25">
        <f t="shared" si="806"/>
        <v>0.37603881931642408</v>
      </c>
      <c r="M681" s="69" t="str">
        <f t="shared" si="807"/>
        <v>REVISAR PRECIO</v>
      </c>
      <c r="N681" s="77">
        <f t="shared" si="803"/>
        <v>43292.933333333334</v>
      </c>
      <c r="O681" s="73">
        <v>24586</v>
      </c>
      <c r="P681" s="74">
        <v>33350</v>
      </c>
      <c r="Q681" s="74">
        <v>42000</v>
      </c>
      <c r="R681" s="75">
        <v>38425</v>
      </c>
      <c r="S681" s="61">
        <v>33350</v>
      </c>
      <c r="T681" s="60">
        <v>65000</v>
      </c>
      <c r="U681" s="74">
        <v>38352.5</v>
      </c>
      <c r="V681" s="76">
        <f t="shared" si="826"/>
        <v>41746.25</v>
      </c>
      <c r="W681" s="24">
        <f t="shared" si="827"/>
        <v>17160.25</v>
      </c>
      <c r="X681" s="25">
        <f t="shared" si="828"/>
        <v>0.69796835597494511</v>
      </c>
      <c r="Y681" s="77" t="str">
        <f t="shared" si="829"/>
        <v>REVISAR PRECIO</v>
      </c>
      <c r="Z681" s="106">
        <f t="shared" si="830"/>
        <v>41746.25</v>
      </c>
      <c r="AA681" s="73">
        <v>24586</v>
      </c>
      <c r="AB681" s="88">
        <v>30000</v>
      </c>
      <c r="AC681" s="116">
        <v>30000</v>
      </c>
      <c r="AD681" s="74">
        <v>31900</v>
      </c>
      <c r="AE681" s="76">
        <f t="shared" si="831"/>
        <v>30633.333333333332</v>
      </c>
      <c r="AF681" s="24">
        <f t="shared" si="832"/>
        <v>6047.3333333333321</v>
      </c>
      <c r="AG681" s="25">
        <f t="shared" si="833"/>
        <v>0.24596653922286391</v>
      </c>
      <c r="AH681" s="77">
        <f t="shared" si="834"/>
        <v>30633.333333333332</v>
      </c>
      <c r="AI681" s="77">
        <f t="shared" si="835"/>
        <v>30633.333333333332</v>
      </c>
      <c r="AJ681" s="73">
        <v>24586</v>
      </c>
      <c r="AK681" s="79">
        <v>38425</v>
      </c>
      <c r="AL681" s="79">
        <v>29000</v>
      </c>
      <c r="AM681" s="127">
        <v>34800</v>
      </c>
      <c r="AN681" s="128">
        <v>29900</v>
      </c>
      <c r="AO681" s="128">
        <v>30000</v>
      </c>
      <c r="AP681" s="133">
        <f t="shared" si="836"/>
        <v>32425</v>
      </c>
      <c r="AQ681" s="127">
        <f t="shared" si="837"/>
        <v>7839</v>
      </c>
      <c r="AR681" s="134">
        <f t="shared" si="838"/>
        <v>0.31883999023834703</v>
      </c>
      <c r="AS681" s="132">
        <f t="shared" si="839"/>
        <v>32425</v>
      </c>
      <c r="AT681" s="10">
        <v>24122</v>
      </c>
      <c r="AU681" s="10">
        <v>29000</v>
      </c>
      <c r="AV681" s="167">
        <v>58000</v>
      </c>
      <c r="AW681" s="168">
        <v>26700</v>
      </c>
      <c r="AX681" s="29">
        <f t="shared" si="840"/>
        <v>27850</v>
      </c>
      <c r="AY681" s="24">
        <f t="shared" si="841"/>
        <v>3728</v>
      </c>
      <c r="AZ681" s="25">
        <f t="shared" si="842"/>
        <v>0.15454771577812784</v>
      </c>
      <c r="BA681" s="24">
        <f t="shared" si="843"/>
        <v>33878</v>
      </c>
      <c r="BB681" s="169">
        <f t="shared" si="844"/>
        <v>1.4044440759472681</v>
      </c>
      <c r="BC681" s="170">
        <f t="shared" si="845"/>
        <v>27850</v>
      </c>
      <c r="BD681" s="10">
        <v>20561</v>
      </c>
      <c r="BE681" s="10">
        <v>35000</v>
      </c>
      <c r="BF681" s="10"/>
      <c r="BG681" s="268">
        <v>40000</v>
      </c>
      <c r="BH681" s="10">
        <v>30000</v>
      </c>
      <c r="BI681" s="76">
        <f t="shared" si="846"/>
        <v>35000</v>
      </c>
      <c r="BJ681" s="24">
        <f t="shared" si="847"/>
        <v>14439</v>
      </c>
      <c r="BK681" s="25">
        <f t="shared" si="848"/>
        <v>0.70225183600019458</v>
      </c>
      <c r="BL681" s="259">
        <f t="shared" si="849"/>
        <v>35000</v>
      </c>
      <c r="BM681" s="10">
        <v>22507</v>
      </c>
      <c r="BN681" s="45">
        <v>27000</v>
      </c>
      <c r="BO681" s="45">
        <v>28455</v>
      </c>
      <c r="BP681" s="45">
        <v>45000</v>
      </c>
      <c r="BQ681" s="29">
        <f t="shared" si="850"/>
        <v>33485</v>
      </c>
      <c r="BR681" s="24">
        <f t="shared" si="851"/>
        <v>10978</v>
      </c>
      <c r="BS681" s="25">
        <f t="shared" si="852"/>
        <v>0.48775936375349893</v>
      </c>
      <c r="BT681" s="308">
        <f t="shared" si="853"/>
        <v>33485</v>
      </c>
    </row>
    <row r="682" spans="1:72" ht="39" customHeight="1">
      <c r="A682" s="91" t="s">
        <v>31</v>
      </c>
      <c r="B682" s="358" t="s">
        <v>2874</v>
      </c>
      <c r="C682" s="50" t="s">
        <v>304</v>
      </c>
      <c r="D682" s="99" t="s">
        <v>644</v>
      </c>
      <c r="E682" s="48" t="s">
        <v>13</v>
      </c>
      <c r="F682" s="10">
        <v>56623</v>
      </c>
      <c r="G682" s="31">
        <v>73643</v>
      </c>
      <c r="H682" s="31">
        <v>95735</v>
      </c>
      <c r="I682" s="35">
        <v>64369</v>
      </c>
      <c r="J682" s="29">
        <f t="shared" si="804"/>
        <v>77915.666666666672</v>
      </c>
      <c r="K682" s="24">
        <f t="shared" si="805"/>
        <v>21292.666666666672</v>
      </c>
      <c r="L682" s="25">
        <f t="shared" si="806"/>
        <v>0.37604271526882488</v>
      </c>
      <c r="M682" s="69" t="str">
        <f t="shared" si="807"/>
        <v>REVISAR PRECIO</v>
      </c>
      <c r="N682" s="77">
        <f t="shared" si="803"/>
        <v>77915.666666666672</v>
      </c>
      <c r="O682" s="73">
        <v>44253</v>
      </c>
      <c r="P682" s="74">
        <v>55200</v>
      </c>
      <c r="Q682" s="74">
        <v>65000</v>
      </c>
      <c r="R682" s="75">
        <v>63600</v>
      </c>
      <c r="S682" s="61">
        <v>75210</v>
      </c>
      <c r="T682" s="60">
        <v>95000</v>
      </c>
      <c r="U682" s="74">
        <v>86491.5</v>
      </c>
      <c r="V682" s="76">
        <f t="shared" si="826"/>
        <v>73416.916666666672</v>
      </c>
      <c r="W682" s="24">
        <f t="shared" si="827"/>
        <v>29163.916666666672</v>
      </c>
      <c r="X682" s="25">
        <f t="shared" si="828"/>
        <v>0.65902688329981407</v>
      </c>
      <c r="Y682" s="77" t="str">
        <f t="shared" si="829"/>
        <v>REVISAR PRECIO</v>
      </c>
      <c r="Z682" s="106">
        <f t="shared" si="830"/>
        <v>73416.916666666672</v>
      </c>
      <c r="AA682" s="73">
        <v>44253</v>
      </c>
      <c r="AB682" s="88">
        <v>50000</v>
      </c>
      <c r="AC682" s="116">
        <v>50000</v>
      </c>
      <c r="AD682" s="74">
        <v>52800</v>
      </c>
      <c r="AE682" s="76">
        <f t="shared" si="831"/>
        <v>50933.333333333336</v>
      </c>
      <c r="AF682" s="24">
        <f t="shared" si="832"/>
        <v>6680.3333333333358</v>
      </c>
      <c r="AG682" s="25">
        <f t="shared" si="833"/>
        <v>0.15095775051032329</v>
      </c>
      <c r="AH682" s="77">
        <f t="shared" si="834"/>
        <v>50933.333333333336</v>
      </c>
      <c r="AI682" s="77">
        <f t="shared" si="835"/>
        <v>50933.333333333336</v>
      </c>
      <c r="AJ682" s="73">
        <v>44253</v>
      </c>
      <c r="AK682" s="79">
        <v>63600</v>
      </c>
      <c r="AL682" s="79">
        <v>48000</v>
      </c>
      <c r="AM682" s="127">
        <v>57600</v>
      </c>
      <c r="AN682" s="128">
        <v>50000</v>
      </c>
      <c r="AO682" s="128">
        <v>50000</v>
      </c>
      <c r="AP682" s="133">
        <f t="shared" si="836"/>
        <v>53840</v>
      </c>
      <c r="AQ682" s="127">
        <f t="shared" si="837"/>
        <v>9587</v>
      </c>
      <c r="AR682" s="134">
        <f t="shared" si="838"/>
        <v>0.21664067972792805</v>
      </c>
      <c r="AS682" s="132">
        <f t="shared" si="839"/>
        <v>53840</v>
      </c>
      <c r="AT682" s="10">
        <v>43391</v>
      </c>
      <c r="AU682" s="10">
        <v>48000</v>
      </c>
      <c r="AV682" s="167">
        <v>96000</v>
      </c>
      <c r="AW682" s="168">
        <v>45600</v>
      </c>
      <c r="AX682" s="29">
        <f t="shared" si="840"/>
        <v>46800</v>
      </c>
      <c r="AY682" s="24">
        <f t="shared" si="841"/>
        <v>3409</v>
      </c>
      <c r="AZ682" s="25">
        <f t="shared" si="842"/>
        <v>7.8564679311377936E-2</v>
      </c>
      <c r="BA682" s="24">
        <f t="shared" si="843"/>
        <v>52609</v>
      </c>
      <c r="BB682" s="169">
        <f t="shared" si="844"/>
        <v>1.2124403678182112</v>
      </c>
      <c r="BC682" s="170">
        <f t="shared" si="845"/>
        <v>46800</v>
      </c>
      <c r="BD682" s="10">
        <v>39432</v>
      </c>
      <c r="BE682" s="10"/>
      <c r="BF682" s="10"/>
      <c r="BG682" s="268"/>
      <c r="BH682" s="10">
        <v>75000</v>
      </c>
      <c r="BI682" s="76">
        <f t="shared" si="846"/>
        <v>75000</v>
      </c>
      <c r="BJ682" s="24">
        <f t="shared" si="847"/>
        <v>35568</v>
      </c>
      <c r="BK682" s="25">
        <f t="shared" si="848"/>
        <v>0.90200852099817408</v>
      </c>
      <c r="BL682" s="259">
        <f t="shared" si="849"/>
        <v>75000</v>
      </c>
      <c r="BM682" s="10">
        <v>44036</v>
      </c>
      <c r="BN682" s="45">
        <v>65000</v>
      </c>
      <c r="BO682" s="45">
        <v>51191</v>
      </c>
      <c r="BP682" s="45">
        <v>75000</v>
      </c>
      <c r="BQ682" s="29">
        <f t="shared" si="850"/>
        <v>63730.333333333336</v>
      </c>
      <c r="BR682" s="24">
        <f t="shared" si="851"/>
        <v>19694.333333333336</v>
      </c>
      <c r="BS682" s="25">
        <f t="shared" si="852"/>
        <v>0.44723256729342664</v>
      </c>
      <c r="BT682" s="308">
        <f t="shared" si="853"/>
        <v>63730.333333333336</v>
      </c>
    </row>
    <row r="683" spans="1:72" ht="50.1" customHeight="1">
      <c r="A683" s="91" t="s">
        <v>31</v>
      </c>
      <c r="B683" s="358" t="s">
        <v>2875</v>
      </c>
      <c r="C683" s="50" t="s">
        <v>305</v>
      </c>
      <c r="D683" s="99" t="s">
        <v>645</v>
      </c>
      <c r="E683" s="48" t="s">
        <v>13</v>
      </c>
      <c r="F683" s="10">
        <v>176149</v>
      </c>
      <c r="G683" s="31">
        <v>229095</v>
      </c>
      <c r="H683" s="31">
        <v>297824</v>
      </c>
      <c r="I683" s="35">
        <v>200246</v>
      </c>
      <c r="J683" s="29">
        <f t="shared" si="804"/>
        <v>242388.33333333334</v>
      </c>
      <c r="K683" s="24">
        <f t="shared" si="805"/>
        <v>66239.333333333343</v>
      </c>
      <c r="L683" s="25">
        <f t="shared" si="806"/>
        <v>0.37604149517359364</v>
      </c>
      <c r="M683" s="69" t="str">
        <f t="shared" si="807"/>
        <v>REVISAR PRECIO</v>
      </c>
      <c r="N683" s="77">
        <f t="shared" si="803"/>
        <v>242388.33333333334</v>
      </c>
      <c r="O683" s="73">
        <v>147095</v>
      </c>
      <c r="P683" s="74">
        <v>97750</v>
      </c>
      <c r="Q683" s="74">
        <v>130000</v>
      </c>
      <c r="R683" s="75">
        <v>112625</v>
      </c>
      <c r="S683" s="61">
        <v>128799.99999999999</v>
      </c>
      <c r="T683" s="60">
        <v>160000</v>
      </c>
      <c r="U683" s="74">
        <v>148119.99999999997</v>
      </c>
      <c r="V683" s="76">
        <f t="shared" si="826"/>
        <v>129549.16666666667</v>
      </c>
      <c r="W683" s="24">
        <f t="shared" si="827"/>
        <v>-17545.833333333328</v>
      </c>
      <c r="X683" s="25">
        <f t="shared" si="828"/>
        <v>-0.11928232321515571</v>
      </c>
      <c r="Y683" s="77">
        <f t="shared" si="829"/>
        <v>129549.16666666667</v>
      </c>
      <c r="Z683" s="106">
        <f t="shared" si="830"/>
        <v>129549.16666666667</v>
      </c>
      <c r="AA683" s="73">
        <v>147095</v>
      </c>
      <c r="AB683" s="88">
        <v>115000</v>
      </c>
      <c r="AC683" s="116">
        <v>135000</v>
      </c>
      <c r="AD683" s="74">
        <v>93500</v>
      </c>
      <c r="AE683" s="76">
        <f t="shared" si="831"/>
        <v>114500</v>
      </c>
      <c r="AF683" s="24">
        <f t="shared" si="832"/>
        <v>-32595</v>
      </c>
      <c r="AG683" s="25">
        <f t="shared" si="833"/>
        <v>-0.22159148849383051</v>
      </c>
      <c r="AH683" s="77">
        <f t="shared" si="834"/>
        <v>114500</v>
      </c>
      <c r="AI683" s="77">
        <f t="shared" si="835"/>
        <v>114500</v>
      </c>
      <c r="AJ683" s="73">
        <v>147095</v>
      </c>
      <c r="AK683" s="79">
        <v>112625</v>
      </c>
      <c r="AL683" s="79">
        <v>85000</v>
      </c>
      <c r="AM683" s="127">
        <v>102000</v>
      </c>
      <c r="AN683" s="128">
        <v>110000</v>
      </c>
      <c r="AO683" s="128">
        <v>108000</v>
      </c>
      <c r="AP683" s="133">
        <f t="shared" si="836"/>
        <v>103525</v>
      </c>
      <c r="AQ683" s="127">
        <f t="shared" si="837"/>
        <v>-43570</v>
      </c>
      <c r="AR683" s="134">
        <f t="shared" si="838"/>
        <v>-0.29620313402902887</v>
      </c>
      <c r="AS683" s="132">
        <f t="shared" si="839"/>
        <v>103525</v>
      </c>
      <c r="AT683" s="10">
        <v>147095</v>
      </c>
      <c r="AU683" s="10">
        <v>85000</v>
      </c>
      <c r="AV683" s="167">
        <v>170000</v>
      </c>
      <c r="AW683" s="168">
        <v>82900</v>
      </c>
      <c r="AX683" s="29">
        <f t="shared" si="840"/>
        <v>83950</v>
      </c>
      <c r="AY683" s="24">
        <f t="shared" si="841"/>
        <v>-63145</v>
      </c>
      <c r="AZ683" s="25">
        <f t="shared" si="842"/>
        <v>-0.4292803970223325</v>
      </c>
      <c r="BA683" s="24">
        <f t="shared" si="843"/>
        <v>22905</v>
      </c>
      <c r="BB683" s="169">
        <f t="shared" si="844"/>
        <v>0.15571569393929094</v>
      </c>
      <c r="BC683" s="170">
        <f t="shared" si="845"/>
        <v>83950</v>
      </c>
      <c r="BD683" s="10">
        <v>132391</v>
      </c>
      <c r="BE683" s="10"/>
      <c r="BF683" s="10"/>
      <c r="BG683" s="268"/>
      <c r="BH683" s="10">
        <v>220000</v>
      </c>
      <c r="BI683" s="76">
        <f t="shared" si="846"/>
        <v>220000</v>
      </c>
      <c r="BJ683" s="24">
        <f t="shared" si="847"/>
        <v>87609</v>
      </c>
      <c r="BK683" s="25">
        <f t="shared" si="848"/>
        <v>0.66174437839430178</v>
      </c>
      <c r="BL683" s="259">
        <f t="shared" si="849"/>
        <v>220000</v>
      </c>
      <c r="BM683" s="10">
        <v>147095</v>
      </c>
      <c r="BN683" s="45">
        <v>95000</v>
      </c>
      <c r="BO683" s="45">
        <v>173557</v>
      </c>
      <c r="BP683" s="45">
        <v>90000</v>
      </c>
      <c r="BQ683" s="29">
        <f t="shared" si="850"/>
        <v>119519</v>
      </c>
      <c r="BR683" s="24">
        <f t="shared" si="851"/>
        <v>-27576</v>
      </c>
      <c r="BS683" s="25">
        <f t="shared" si="852"/>
        <v>-0.1874706822121758</v>
      </c>
      <c r="BT683" s="308">
        <f t="shared" si="853"/>
        <v>119519</v>
      </c>
    </row>
    <row r="684" spans="1:72" ht="41.1" customHeight="1">
      <c r="A684" s="91" t="s">
        <v>31</v>
      </c>
      <c r="B684" s="358" t="s">
        <v>2876</v>
      </c>
      <c r="C684" s="50" t="s">
        <v>306</v>
      </c>
      <c r="D684" s="99" t="s">
        <v>646</v>
      </c>
      <c r="E684" s="48" t="s">
        <v>10</v>
      </c>
      <c r="F684" s="10">
        <v>15902</v>
      </c>
      <c r="G684" s="31">
        <v>20682</v>
      </c>
      <c r="H684" s="31">
        <v>26887</v>
      </c>
      <c r="I684" s="35">
        <v>18077.599999999999</v>
      </c>
      <c r="J684" s="29">
        <f t="shared" si="804"/>
        <v>21882.2</v>
      </c>
      <c r="K684" s="24">
        <f t="shared" si="805"/>
        <v>5980.2000000000007</v>
      </c>
      <c r="L684" s="25">
        <f t="shared" si="806"/>
        <v>0.37606590365991704</v>
      </c>
      <c r="M684" s="69" t="str">
        <f t="shared" si="807"/>
        <v>REVISAR PRECIO</v>
      </c>
      <c r="N684" s="77">
        <f t="shared" si="803"/>
        <v>21882.2</v>
      </c>
      <c r="O684" s="73">
        <v>12426</v>
      </c>
      <c r="P684" s="74">
        <v>14950</v>
      </c>
      <c r="Q684" s="74">
        <v>22000</v>
      </c>
      <c r="R684" s="75">
        <v>17225</v>
      </c>
      <c r="S684" s="61">
        <v>14949.999999999998</v>
      </c>
      <c r="T684" s="60">
        <v>38000</v>
      </c>
      <c r="U684" s="74">
        <v>17192.499999999996</v>
      </c>
      <c r="V684" s="76">
        <f t="shared" si="826"/>
        <v>20719.583333333332</v>
      </c>
      <c r="W684" s="24">
        <f t="shared" si="827"/>
        <v>8293.5833333333321</v>
      </c>
      <c r="X684" s="25">
        <f t="shared" si="828"/>
        <v>0.66743789902891781</v>
      </c>
      <c r="Y684" s="77" t="str">
        <f t="shared" si="829"/>
        <v>REVISAR PRECIO</v>
      </c>
      <c r="Z684" s="106">
        <f t="shared" si="830"/>
        <v>20719.583333333332</v>
      </c>
      <c r="AA684" s="73">
        <v>12426</v>
      </c>
      <c r="AB684" s="88">
        <v>15000</v>
      </c>
      <c r="AC684" s="116">
        <v>15000</v>
      </c>
      <c r="AD684" s="74">
        <v>14300</v>
      </c>
      <c r="AE684" s="76">
        <f t="shared" si="831"/>
        <v>14766.666666666666</v>
      </c>
      <c r="AF684" s="24">
        <f t="shared" si="832"/>
        <v>2340.6666666666661</v>
      </c>
      <c r="AG684" s="25">
        <f t="shared" si="833"/>
        <v>0.18836847470357848</v>
      </c>
      <c r="AH684" s="77">
        <f t="shared" si="834"/>
        <v>14766.666666666666</v>
      </c>
      <c r="AI684" s="77">
        <f t="shared" si="835"/>
        <v>14766.666666666666</v>
      </c>
      <c r="AJ684" s="73">
        <v>12426</v>
      </c>
      <c r="AK684" s="79">
        <v>17225</v>
      </c>
      <c r="AL684" s="79">
        <v>13000</v>
      </c>
      <c r="AM684" s="127">
        <v>15600</v>
      </c>
      <c r="AN684" s="128">
        <v>13000</v>
      </c>
      <c r="AO684" s="128">
        <v>13000</v>
      </c>
      <c r="AP684" s="133">
        <f t="shared" si="836"/>
        <v>14365</v>
      </c>
      <c r="AQ684" s="127">
        <f t="shared" si="837"/>
        <v>1939</v>
      </c>
      <c r="AR684" s="134">
        <f t="shared" si="838"/>
        <v>0.1560437791727024</v>
      </c>
      <c r="AS684" s="132">
        <f t="shared" si="839"/>
        <v>14365</v>
      </c>
      <c r="AT684" s="10">
        <v>12426</v>
      </c>
      <c r="AU684" s="10">
        <v>13000</v>
      </c>
      <c r="AV684" s="167">
        <v>26000</v>
      </c>
      <c r="AW684" s="168">
        <v>15000</v>
      </c>
      <c r="AX684" s="29">
        <f t="shared" si="840"/>
        <v>14000</v>
      </c>
      <c r="AY684" s="24">
        <f t="shared" si="841"/>
        <v>1574</v>
      </c>
      <c r="AZ684" s="25">
        <f t="shared" si="842"/>
        <v>0.12666988572348303</v>
      </c>
      <c r="BA684" s="24">
        <f t="shared" si="843"/>
        <v>13574</v>
      </c>
      <c r="BB684" s="169">
        <f t="shared" si="844"/>
        <v>1.0923869306293257</v>
      </c>
      <c r="BC684" s="170">
        <f t="shared" si="845"/>
        <v>14000</v>
      </c>
      <c r="BD684" s="10">
        <v>11182</v>
      </c>
      <c r="BE684" s="10">
        <v>22500</v>
      </c>
      <c r="BF684" s="10"/>
      <c r="BG684" s="268">
        <v>26000</v>
      </c>
      <c r="BH684" s="10">
        <v>30000</v>
      </c>
      <c r="BI684" s="76">
        <f t="shared" si="846"/>
        <v>26166.666666666668</v>
      </c>
      <c r="BJ684" s="24">
        <f t="shared" si="847"/>
        <v>14984.666666666668</v>
      </c>
      <c r="BK684" s="25">
        <f t="shared" si="848"/>
        <v>1.3400703511596019</v>
      </c>
      <c r="BL684" s="259">
        <f t="shared" si="849"/>
        <v>26166.666666666668</v>
      </c>
      <c r="BM684" s="10">
        <v>12426</v>
      </c>
      <c r="BN684" s="45">
        <v>19000</v>
      </c>
      <c r="BO684" s="45">
        <v>14664</v>
      </c>
      <c r="BP684" s="45">
        <v>45000</v>
      </c>
      <c r="BQ684" s="29">
        <f t="shared" si="850"/>
        <v>26221.333333333332</v>
      </c>
      <c r="BR684" s="24">
        <f t="shared" si="851"/>
        <v>13795.333333333332</v>
      </c>
      <c r="BS684" s="25">
        <f t="shared" si="852"/>
        <v>1.1101990450131445</v>
      </c>
      <c r="BT684" s="308">
        <f t="shared" si="853"/>
        <v>26221.333333333332</v>
      </c>
    </row>
    <row r="685" spans="1:72" ht="41.1" customHeight="1">
      <c r="A685" s="91" t="s">
        <v>31</v>
      </c>
      <c r="B685" s="358" t="s">
        <v>2877</v>
      </c>
      <c r="C685" s="50" t="s">
        <v>307</v>
      </c>
      <c r="D685" s="99" t="s">
        <v>647</v>
      </c>
      <c r="E685" s="48" t="s">
        <v>10</v>
      </c>
      <c r="F685" s="10">
        <v>51443</v>
      </c>
      <c r="G685" s="31">
        <v>66906</v>
      </c>
      <c r="H685" s="33">
        <v>66906</v>
      </c>
      <c r="I685" s="35">
        <v>58480.800000000003</v>
      </c>
      <c r="J685" s="29">
        <f t="shared" si="804"/>
        <v>64097.599999999999</v>
      </c>
      <c r="K685" s="24">
        <f t="shared" si="805"/>
        <v>12654.599999999999</v>
      </c>
      <c r="L685" s="25">
        <f t="shared" si="806"/>
        <v>0.24599265206150495</v>
      </c>
      <c r="M685" s="69">
        <f t="shared" si="807"/>
        <v>64097.599999999999</v>
      </c>
      <c r="N685" s="77">
        <f t="shared" si="803"/>
        <v>64097.599999999999</v>
      </c>
      <c r="O685" s="73">
        <v>40210</v>
      </c>
      <c r="P685" s="74">
        <v>49450</v>
      </c>
      <c r="Q685" s="74">
        <v>55000</v>
      </c>
      <c r="R685" s="75">
        <v>56975</v>
      </c>
      <c r="S685" s="61">
        <v>49449.999999999993</v>
      </c>
      <c r="T685" s="60">
        <v>35000</v>
      </c>
      <c r="U685" s="74">
        <v>56867.499999999985</v>
      </c>
      <c r="V685" s="76">
        <f t="shared" si="826"/>
        <v>50457.083333333336</v>
      </c>
      <c r="W685" s="24">
        <f t="shared" si="827"/>
        <v>10247.083333333336</v>
      </c>
      <c r="X685" s="25">
        <f t="shared" si="828"/>
        <v>0.25483917765066738</v>
      </c>
      <c r="Y685" s="77">
        <f t="shared" si="829"/>
        <v>50457.083333333336</v>
      </c>
      <c r="Z685" s="106">
        <f t="shared" si="830"/>
        <v>50457.083333333336</v>
      </c>
      <c r="AA685" s="73">
        <v>40210</v>
      </c>
      <c r="AB685" s="88">
        <v>50000</v>
      </c>
      <c r="AC685" s="116">
        <v>50000</v>
      </c>
      <c r="AD685" s="74">
        <v>47300</v>
      </c>
      <c r="AE685" s="76">
        <f t="shared" si="831"/>
        <v>49100</v>
      </c>
      <c r="AF685" s="24">
        <f t="shared" si="832"/>
        <v>8890</v>
      </c>
      <c r="AG685" s="25">
        <f t="shared" si="833"/>
        <v>0.22108928127331509</v>
      </c>
      <c r="AH685" s="77">
        <f t="shared" si="834"/>
        <v>49100</v>
      </c>
      <c r="AI685" s="77">
        <f t="shared" si="835"/>
        <v>49100</v>
      </c>
      <c r="AJ685" s="73">
        <v>40210</v>
      </c>
      <c r="AK685" s="79">
        <v>56975</v>
      </c>
      <c r="AL685" s="79">
        <v>43000</v>
      </c>
      <c r="AM685" s="127">
        <v>51600</v>
      </c>
      <c r="AN685" s="128">
        <v>43000</v>
      </c>
      <c r="AO685" s="128">
        <v>45000</v>
      </c>
      <c r="AP685" s="133">
        <f t="shared" si="836"/>
        <v>47915</v>
      </c>
      <c r="AQ685" s="127">
        <f t="shared" si="837"/>
        <v>7705</v>
      </c>
      <c r="AR685" s="134">
        <f t="shared" si="838"/>
        <v>0.19161900024869435</v>
      </c>
      <c r="AS685" s="132">
        <f t="shared" si="839"/>
        <v>47915</v>
      </c>
      <c r="AT685" s="10">
        <v>40211</v>
      </c>
      <c r="AU685" s="10">
        <v>43000</v>
      </c>
      <c r="AV685" s="167">
        <v>86000</v>
      </c>
      <c r="AW685" s="168">
        <v>39000</v>
      </c>
      <c r="AX685" s="29">
        <f t="shared" si="840"/>
        <v>41000</v>
      </c>
      <c r="AY685" s="24">
        <f t="shared" si="841"/>
        <v>789</v>
      </c>
      <c r="AZ685" s="25">
        <f t="shared" si="842"/>
        <v>1.9621496605406481E-2</v>
      </c>
      <c r="BA685" s="24">
        <f t="shared" si="843"/>
        <v>45789</v>
      </c>
      <c r="BB685" s="169">
        <f t="shared" si="844"/>
        <v>1.1387182611723161</v>
      </c>
      <c r="BC685" s="170">
        <f t="shared" si="845"/>
        <v>41000</v>
      </c>
      <c r="BD685" s="10">
        <v>36185</v>
      </c>
      <c r="BE685" s="10">
        <v>28500</v>
      </c>
      <c r="BF685" s="10"/>
      <c r="BG685" s="268">
        <v>35000</v>
      </c>
      <c r="BH685" s="10">
        <v>30000</v>
      </c>
      <c r="BI685" s="76">
        <f t="shared" si="846"/>
        <v>31166.666666666668</v>
      </c>
      <c r="BJ685" s="24">
        <f t="shared" si="847"/>
        <v>-5018.3333333333321</v>
      </c>
      <c r="BK685" s="25">
        <f t="shared" si="848"/>
        <v>-0.13868545898392518</v>
      </c>
      <c r="BL685" s="259">
        <f t="shared" si="849"/>
        <v>31166.666666666668</v>
      </c>
      <c r="BM685" s="10">
        <v>40210</v>
      </c>
      <c r="BN685" s="45">
        <v>60000</v>
      </c>
      <c r="BO685" s="45">
        <v>47440</v>
      </c>
      <c r="BP685" s="45">
        <v>58000</v>
      </c>
      <c r="BQ685" s="29">
        <f t="shared" si="850"/>
        <v>55146.666666666664</v>
      </c>
      <c r="BR685" s="24">
        <f t="shared" si="851"/>
        <v>14936.666666666664</v>
      </c>
      <c r="BS685" s="25">
        <f t="shared" si="852"/>
        <v>0.37146646771118291</v>
      </c>
      <c r="BT685" s="308">
        <f t="shared" si="853"/>
        <v>55146.666666666664</v>
      </c>
    </row>
    <row r="686" spans="1:72" ht="41.1" customHeight="1">
      <c r="A686" s="91" t="s">
        <v>31</v>
      </c>
      <c r="B686" s="358" t="s">
        <v>2878</v>
      </c>
      <c r="C686" s="50" t="s">
        <v>308</v>
      </c>
      <c r="D686" s="99" t="s">
        <v>648</v>
      </c>
      <c r="E686" s="48" t="s">
        <v>10</v>
      </c>
      <c r="F686" s="10">
        <v>8231</v>
      </c>
      <c r="G686" s="31">
        <v>10706</v>
      </c>
      <c r="H686" s="33">
        <v>13917</v>
      </c>
      <c r="I686" s="35">
        <v>9357.4</v>
      </c>
      <c r="J686" s="29">
        <f t="shared" si="804"/>
        <v>11326.800000000001</v>
      </c>
      <c r="K686" s="24">
        <f t="shared" si="805"/>
        <v>3095.8000000000011</v>
      </c>
      <c r="L686" s="25">
        <f t="shared" si="806"/>
        <v>0.37611468837322332</v>
      </c>
      <c r="M686" s="69" t="str">
        <f t="shared" si="807"/>
        <v>REVISAR PRECIO</v>
      </c>
      <c r="N686" s="77">
        <f t="shared" si="803"/>
        <v>11326.800000000001</v>
      </c>
      <c r="O686" s="73">
        <v>6436</v>
      </c>
      <c r="P686" s="74">
        <v>7935</v>
      </c>
      <c r="Q686" s="74">
        <v>14500</v>
      </c>
      <c r="R686" s="75">
        <v>9142.5</v>
      </c>
      <c r="S686" s="61">
        <v>10062.5</v>
      </c>
      <c r="T686" s="60">
        <v>38000</v>
      </c>
      <c r="U686" s="74">
        <v>11571.875</v>
      </c>
      <c r="V686" s="76">
        <f t="shared" si="826"/>
        <v>15201.979166666666</v>
      </c>
      <c r="W686" s="24">
        <f t="shared" si="827"/>
        <v>8765.9791666666661</v>
      </c>
      <c r="X686" s="25">
        <f t="shared" si="828"/>
        <v>1.3620228661694633</v>
      </c>
      <c r="Y686" s="77" t="str">
        <f t="shared" si="829"/>
        <v>REVISAR PRECIO</v>
      </c>
      <c r="Z686" s="106">
        <f t="shared" si="830"/>
        <v>15201.979166666666</v>
      </c>
      <c r="AA686" s="73">
        <v>6436</v>
      </c>
      <c r="AB686" s="88">
        <v>8000</v>
      </c>
      <c r="AC686" s="116">
        <v>8000</v>
      </c>
      <c r="AD686" s="74">
        <v>7590</v>
      </c>
      <c r="AE686" s="76">
        <f t="shared" si="831"/>
        <v>7863.333333333333</v>
      </c>
      <c r="AF686" s="24">
        <f t="shared" si="832"/>
        <v>1427.333333333333</v>
      </c>
      <c r="AG686" s="25">
        <f t="shared" si="833"/>
        <v>0.22177335819349489</v>
      </c>
      <c r="AH686" s="77">
        <f t="shared" si="834"/>
        <v>7863.333333333333</v>
      </c>
      <c r="AI686" s="77">
        <f t="shared" si="835"/>
        <v>7863.333333333333</v>
      </c>
      <c r="AJ686" s="73">
        <v>6436</v>
      </c>
      <c r="AK686" s="79">
        <v>9142.5</v>
      </c>
      <c r="AL686" s="79">
        <v>6900</v>
      </c>
      <c r="AM686" s="127">
        <v>8280</v>
      </c>
      <c r="AN686" s="128">
        <v>7200</v>
      </c>
      <c r="AO686" s="128">
        <v>7000</v>
      </c>
      <c r="AP686" s="133">
        <f t="shared" si="836"/>
        <v>7704.5</v>
      </c>
      <c r="AQ686" s="127">
        <f t="shared" si="837"/>
        <v>1268.5</v>
      </c>
      <c r="AR686" s="134">
        <f t="shared" si="838"/>
        <v>0.197094468614046</v>
      </c>
      <c r="AS686" s="132">
        <f t="shared" si="839"/>
        <v>7704.5</v>
      </c>
      <c r="AT686" s="10">
        <v>6436</v>
      </c>
      <c r="AU686" s="10">
        <v>6000</v>
      </c>
      <c r="AV686" s="167">
        <v>24000</v>
      </c>
      <c r="AW686" s="168">
        <v>12000</v>
      </c>
      <c r="AX686" s="29">
        <f t="shared" si="840"/>
        <v>9000</v>
      </c>
      <c r="AY686" s="24">
        <f t="shared" si="841"/>
        <v>2564</v>
      </c>
      <c r="AZ686" s="25">
        <f t="shared" si="842"/>
        <v>0.39838408949658172</v>
      </c>
      <c r="BA686" s="24">
        <f t="shared" si="843"/>
        <v>17564</v>
      </c>
      <c r="BB686" s="169">
        <f t="shared" si="844"/>
        <v>2.7290242386575514</v>
      </c>
      <c r="BC686" s="170">
        <f t="shared" si="845"/>
        <v>9000</v>
      </c>
      <c r="BD686" s="10">
        <v>5791</v>
      </c>
      <c r="BE686" s="10">
        <v>31000</v>
      </c>
      <c r="BF686" s="10"/>
      <c r="BG686" s="268">
        <v>35000</v>
      </c>
      <c r="BH686" s="10">
        <v>30000</v>
      </c>
      <c r="BI686" s="76">
        <f t="shared" si="846"/>
        <v>32000</v>
      </c>
      <c r="BJ686" s="24">
        <f t="shared" si="847"/>
        <v>26209</v>
      </c>
      <c r="BK686" s="25">
        <f t="shared" si="848"/>
        <v>4.5258159212571227</v>
      </c>
      <c r="BL686" s="259">
        <f t="shared" si="849"/>
        <v>32000</v>
      </c>
      <c r="BM686" s="10">
        <v>6436</v>
      </c>
      <c r="BN686" s="45">
        <v>13000</v>
      </c>
      <c r="BO686" s="45">
        <v>7594</v>
      </c>
      <c r="BP686" s="45">
        <v>13000</v>
      </c>
      <c r="BQ686" s="29">
        <f t="shared" si="850"/>
        <v>11198</v>
      </c>
      <c r="BR686" s="24">
        <f t="shared" si="851"/>
        <v>4762</v>
      </c>
      <c r="BS686" s="25">
        <f t="shared" si="852"/>
        <v>0.73990055935363575</v>
      </c>
      <c r="BT686" s="308">
        <f t="shared" si="853"/>
        <v>11198</v>
      </c>
    </row>
    <row r="687" spans="1:72" ht="45" customHeight="1">
      <c r="A687" s="91" t="s">
        <v>31</v>
      </c>
      <c r="B687" s="358" t="s">
        <v>2879</v>
      </c>
      <c r="C687" s="50" t="s">
        <v>309</v>
      </c>
      <c r="D687" s="99" t="s">
        <v>649</v>
      </c>
      <c r="E687" s="48" t="s">
        <v>13</v>
      </c>
      <c r="F687" s="10">
        <v>111191</v>
      </c>
      <c r="G687" s="31">
        <v>144612</v>
      </c>
      <c r="H687" s="31">
        <v>187996</v>
      </c>
      <c r="I687" s="35">
        <v>126401.60000000001</v>
      </c>
      <c r="J687" s="29">
        <f t="shared" si="804"/>
        <v>153003.19999999998</v>
      </c>
      <c r="K687" s="24">
        <f t="shared" si="805"/>
        <v>41812.199999999983</v>
      </c>
      <c r="L687" s="25">
        <f t="shared" si="806"/>
        <v>0.37603942765151838</v>
      </c>
      <c r="M687" s="69" t="str">
        <f t="shared" si="807"/>
        <v>REVISAR PRECIO</v>
      </c>
      <c r="N687" s="77">
        <f t="shared" si="803"/>
        <v>153003.19999999998</v>
      </c>
      <c r="O687" s="73">
        <v>59280</v>
      </c>
      <c r="P687" s="74">
        <v>55200</v>
      </c>
      <c r="Q687" s="74">
        <v>85000</v>
      </c>
      <c r="R687" s="75">
        <v>63600</v>
      </c>
      <c r="S687" s="61">
        <v>66585</v>
      </c>
      <c r="T687" s="60">
        <v>95000</v>
      </c>
      <c r="U687" s="74">
        <v>76572.75</v>
      </c>
      <c r="V687" s="76">
        <f t="shared" si="826"/>
        <v>73659.625</v>
      </c>
      <c r="W687" s="24">
        <f t="shared" si="827"/>
        <v>14379.625</v>
      </c>
      <c r="X687" s="25">
        <f t="shared" si="828"/>
        <v>0.24257127192982456</v>
      </c>
      <c r="Y687" s="77">
        <f t="shared" si="829"/>
        <v>73659.625</v>
      </c>
      <c r="Z687" s="106">
        <f t="shared" si="830"/>
        <v>73659.625</v>
      </c>
      <c r="AA687" s="73">
        <v>59280</v>
      </c>
      <c r="AB687" s="88">
        <v>60000</v>
      </c>
      <c r="AC687" s="116">
        <v>60000</v>
      </c>
      <c r="AD687" s="74">
        <v>52800</v>
      </c>
      <c r="AE687" s="76">
        <f t="shared" si="831"/>
        <v>57600</v>
      </c>
      <c r="AF687" s="24">
        <f t="shared" si="832"/>
        <v>-1680</v>
      </c>
      <c r="AG687" s="25">
        <f t="shared" si="833"/>
        <v>-2.8340080971659919E-2</v>
      </c>
      <c r="AH687" s="77">
        <f t="shared" si="834"/>
        <v>57600</v>
      </c>
      <c r="AI687" s="77">
        <f t="shared" si="835"/>
        <v>57600</v>
      </c>
      <c r="AJ687" s="73">
        <v>59280</v>
      </c>
      <c r="AK687" s="79">
        <v>63600</v>
      </c>
      <c r="AL687" s="79">
        <f>+AL682</f>
        <v>48000</v>
      </c>
      <c r="AM687" s="127">
        <v>57600</v>
      </c>
      <c r="AN687" s="128">
        <v>59000</v>
      </c>
      <c r="AO687" s="128">
        <v>50000</v>
      </c>
      <c r="AP687" s="133">
        <f t="shared" si="836"/>
        <v>55640</v>
      </c>
      <c r="AQ687" s="127">
        <f t="shared" si="837"/>
        <v>-3640</v>
      </c>
      <c r="AR687" s="134">
        <f t="shared" si="838"/>
        <v>-6.1403508771929821E-2</v>
      </c>
      <c r="AS687" s="132">
        <f t="shared" si="839"/>
        <v>55640</v>
      </c>
      <c r="AT687" s="10">
        <v>58113</v>
      </c>
      <c r="AU687" s="10">
        <v>48000</v>
      </c>
      <c r="AV687" s="167">
        <v>192000</v>
      </c>
      <c r="AW687" s="168">
        <v>45600</v>
      </c>
      <c r="AX687" s="29">
        <f t="shared" si="840"/>
        <v>46800</v>
      </c>
      <c r="AY687" s="24">
        <f t="shared" si="841"/>
        <v>-11313</v>
      </c>
      <c r="AZ687" s="25">
        <f t="shared" si="842"/>
        <v>-0.19467244850549792</v>
      </c>
      <c r="BA687" s="24">
        <f t="shared" si="843"/>
        <v>133887</v>
      </c>
      <c r="BB687" s="169">
        <f t="shared" si="844"/>
        <v>2.3039079035671879</v>
      </c>
      <c r="BC687" s="170">
        <f t="shared" si="845"/>
        <v>46800</v>
      </c>
      <c r="BD687" s="10">
        <v>52825</v>
      </c>
      <c r="BE687" s="10">
        <v>215000</v>
      </c>
      <c r="BF687" s="10"/>
      <c r="BG687" s="268">
        <v>225000</v>
      </c>
      <c r="BH687" s="10">
        <v>220000</v>
      </c>
      <c r="BI687" s="76">
        <f t="shared" si="846"/>
        <v>220000</v>
      </c>
      <c r="BJ687" s="24">
        <f t="shared" si="847"/>
        <v>167175</v>
      </c>
      <c r="BK687" s="25">
        <f t="shared" si="848"/>
        <v>3.1646947468054898</v>
      </c>
      <c r="BL687" s="259">
        <f t="shared" si="849"/>
        <v>220000</v>
      </c>
      <c r="BM687" s="10">
        <v>58986</v>
      </c>
      <c r="BN687" s="45">
        <v>55000</v>
      </c>
      <c r="BO687" s="45">
        <v>68581</v>
      </c>
      <c r="BP687" s="45">
        <v>70000</v>
      </c>
      <c r="BQ687" s="29">
        <f t="shared" si="850"/>
        <v>64527</v>
      </c>
      <c r="BR687" s="24">
        <f t="shared" si="851"/>
        <v>5541</v>
      </c>
      <c r="BS687" s="25">
        <f t="shared" si="852"/>
        <v>9.3937544502085246E-2</v>
      </c>
      <c r="BT687" s="308">
        <f t="shared" si="853"/>
        <v>64527</v>
      </c>
    </row>
    <row r="688" spans="1:72" ht="45" customHeight="1">
      <c r="A688" s="91" t="s">
        <v>31</v>
      </c>
      <c r="B688" s="358" t="s">
        <v>2880</v>
      </c>
      <c r="C688" s="50" t="s">
        <v>310</v>
      </c>
      <c r="D688" s="99" t="s">
        <v>650</v>
      </c>
      <c r="E688" s="48" t="s">
        <v>13</v>
      </c>
      <c r="F688" s="10">
        <v>61460</v>
      </c>
      <c r="G688" s="31">
        <v>79934</v>
      </c>
      <c r="H688" s="31">
        <v>103914</v>
      </c>
      <c r="I688" s="35">
        <v>69867.8</v>
      </c>
      <c r="J688" s="29">
        <f t="shared" si="804"/>
        <v>84571.933333333334</v>
      </c>
      <c r="K688" s="24">
        <f t="shared" si="805"/>
        <v>23111.933333333334</v>
      </c>
      <c r="L688" s="25">
        <f t="shared" si="806"/>
        <v>0.37604837834906174</v>
      </c>
      <c r="M688" s="69" t="str">
        <f t="shared" si="807"/>
        <v>REVISAR PRECIO</v>
      </c>
      <c r="N688" s="77">
        <f t="shared" si="803"/>
        <v>84571.933333333334</v>
      </c>
      <c r="O688" s="73">
        <v>39032</v>
      </c>
      <c r="P688" s="74">
        <v>63250</v>
      </c>
      <c r="Q688" s="74">
        <v>80000</v>
      </c>
      <c r="R688" s="75">
        <v>72875</v>
      </c>
      <c r="S688" s="61">
        <v>66585</v>
      </c>
      <c r="T688" s="60">
        <v>90000</v>
      </c>
      <c r="U688" s="74">
        <v>76572.75</v>
      </c>
      <c r="V688" s="76">
        <f t="shared" si="826"/>
        <v>74880.458333333328</v>
      </c>
      <c r="W688" s="24">
        <f t="shared" si="827"/>
        <v>35848.458333333328</v>
      </c>
      <c r="X688" s="25">
        <f t="shared" si="828"/>
        <v>0.91843764945002382</v>
      </c>
      <c r="Y688" s="77" t="str">
        <f t="shared" si="829"/>
        <v>REVISAR PRECIO</v>
      </c>
      <c r="Z688" s="106">
        <f t="shared" si="830"/>
        <v>74880.458333333328</v>
      </c>
      <c r="AA688" s="73">
        <v>39032</v>
      </c>
      <c r="AB688" s="88">
        <v>60000</v>
      </c>
      <c r="AC688" s="116">
        <v>60000</v>
      </c>
      <c r="AD688" s="74">
        <v>60500</v>
      </c>
      <c r="AE688" s="76">
        <f t="shared" si="831"/>
        <v>60166.666666666664</v>
      </c>
      <c r="AF688" s="24">
        <f t="shared" si="832"/>
        <v>21134.666666666664</v>
      </c>
      <c r="AG688" s="25">
        <f t="shared" si="833"/>
        <v>0.54147024663523935</v>
      </c>
      <c r="AH688" s="77" t="str">
        <f t="shared" si="834"/>
        <v>REVISAR PRECIO</v>
      </c>
      <c r="AI688" s="77">
        <f t="shared" si="835"/>
        <v>60166.666666666664</v>
      </c>
      <c r="AJ688" s="73">
        <v>39032</v>
      </c>
      <c r="AK688" s="79">
        <v>72875</v>
      </c>
      <c r="AL688" s="79">
        <v>55000</v>
      </c>
      <c r="AM688" s="127">
        <v>66000</v>
      </c>
      <c r="AN688" s="128">
        <v>60000</v>
      </c>
      <c r="AO688" s="128">
        <v>60000</v>
      </c>
      <c r="AP688" s="133">
        <f t="shared" si="836"/>
        <v>62775</v>
      </c>
      <c r="AQ688" s="127">
        <f t="shared" si="837"/>
        <v>23743</v>
      </c>
      <c r="AR688" s="134">
        <f t="shared" si="838"/>
        <v>0.60829575732732122</v>
      </c>
      <c r="AS688" s="132">
        <f t="shared" si="839"/>
        <v>62775</v>
      </c>
      <c r="AT688" s="10">
        <v>38265</v>
      </c>
      <c r="AU688" s="10">
        <v>55000</v>
      </c>
      <c r="AV688" s="167">
        <v>220000</v>
      </c>
      <c r="AW688" s="168">
        <v>54000</v>
      </c>
      <c r="AX688" s="29">
        <f t="shared" si="840"/>
        <v>54500</v>
      </c>
      <c r="AY688" s="24">
        <f t="shared" si="841"/>
        <v>16235</v>
      </c>
      <c r="AZ688" s="25">
        <f t="shared" si="842"/>
        <v>0.42427806089115377</v>
      </c>
      <c r="BA688" s="24">
        <f t="shared" si="843"/>
        <v>181735</v>
      </c>
      <c r="BB688" s="169">
        <f t="shared" si="844"/>
        <v>4.7493793283679606</v>
      </c>
      <c r="BC688" s="170">
        <f t="shared" si="845"/>
        <v>54500</v>
      </c>
      <c r="BD688" s="10">
        <v>34780</v>
      </c>
      <c r="BE688" s="10">
        <v>215000</v>
      </c>
      <c r="BF688" s="10"/>
      <c r="BG688" s="268">
        <v>225000</v>
      </c>
      <c r="BH688" s="10">
        <v>220000</v>
      </c>
      <c r="BI688" s="76">
        <f t="shared" si="846"/>
        <v>220000</v>
      </c>
      <c r="BJ688" s="24">
        <f t="shared" si="847"/>
        <v>185220</v>
      </c>
      <c r="BK688" s="25">
        <f t="shared" si="848"/>
        <v>5.3254744105807932</v>
      </c>
      <c r="BL688" s="259">
        <f t="shared" si="849"/>
        <v>220000</v>
      </c>
      <c r="BM688" s="10">
        <v>38833</v>
      </c>
      <c r="BN688" s="45">
        <v>55000</v>
      </c>
      <c r="BO688" s="45">
        <v>45149</v>
      </c>
      <c r="BP688" s="45">
        <v>75000</v>
      </c>
      <c r="BQ688" s="29">
        <f t="shared" si="850"/>
        <v>58383</v>
      </c>
      <c r="BR688" s="24">
        <f t="shared" si="851"/>
        <v>19550</v>
      </c>
      <c r="BS688" s="25">
        <f t="shared" si="852"/>
        <v>0.50343779774933695</v>
      </c>
      <c r="BT688" s="308">
        <f t="shared" si="853"/>
        <v>58383</v>
      </c>
    </row>
    <row r="689" spans="1:72" ht="32.1" customHeight="1">
      <c r="A689" s="91" t="s">
        <v>31</v>
      </c>
      <c r="B689" s="358" t="s">
        <v>2881</v>
      </c>
      <c r="C689" s="50" t="s">
        <v>311</v>
      </c>
      <c r="D689" s="99" t="s">
        <v>651</v>
      </c>
      <c r="E689" s="48" t="s">
        <v>13</v>
      </c>
      <c r="F689" s="10">
        <v>4858</v>
      </c>
      <c r="G689" s="33">
        <v>6318</v>
      </c>
      <c r="H689" s="31">
        <v>8213</v>
      </c>
      <c r="I689" s="36">
        <v>5522.4</v>
      </c>
      <c r="J689" s="29">
        <f t="shared" si="804"/>
        <v>6684.4666666666672</v>
      </c>
      <c r="K689" s="24">
        <f t="shared" si="805"/>
        <v>1826.4666666666672</v>
      </c>
      <c r="L689" s="25">
        <f t="shared" si="806"/>
        <v>0.3759709070948265</v>
      </c>
      <c r="M689" s="69" t="str">
        <f t="shared" si="807"/>
        <v>REVISAR PRECIO</v>
      </c>
      <c r="N689" s="77">
        <f t="shared" si="803"/>
        <v>6684.4666666666672</v>
      </c>
      <c r="O689" s="73">
        <v>3085</v>
      </c>
      <c r="P689" s="74">
        <v>11500</v>
      </c>
      <c r="Q689" s="74">
        <v>12000</v>
      </c>
      <c r="R689" s="75">
        <v>13250</v>
      </c>
      <c r="S689" s="61">
        <v>16675</v>
      </c>
      <c r="T689" s="60">
        <v>28000</v>
      </c>
      <c r="U689" s="74">
        <v>19176.25</v>
      </c>
      <c r="V689" s="76">
        <f t="shared" si="826"/>
        <v>16766.875</v>
      </c>
      <c r="W689" s="24">
        <f t="shared" si="827"/>
        <v>13681.875</v>
      </c>
      <c r="X689" s="25">
        <f t="shared" si="828"/>
        <v>4.434967585089141</v>
      </c>
      <c r="Y689" s="77" t="str">
        <f t="shared" si="829"/>
        <v>REVISAR PRECIO</v>
      </c>
      <c r="Z689" s="106">
        <f t="shared" si="830"/>
        <v>16766.875</v>
      </c>
      <c r="AA689" s="73">
        <v>3085</v>
      </c>
      <c r="AB689" s="88">
        <v>14000</v>
      </c>
      <c r="AC689" s="116">
        <v>17000</v>
      </c>
      <c r="AD689" s="74">
        <v>11000</v>
      </c>
      <c r="AE689" s="76">
        <f t="shared" si="831"/>
        <v>14000</v>
      </c>
      <c r="AF689" s="24">
        <f t="shared" si="832"/>
        <v>10915</v>
      </c>
      <c r="AG689" s="25">
        <f t="shared" si="833"/>
        <v>3.5380875202593192</v>
      </c>
      <c r="AH689" s="77" t="str">
        <f t="shared" si="834"/>
        <v>REVISAR PRECIO</v>
      </c>
      <c r="AI689" s="77">
        <f t="shared" si="835"/>
        <v>14000</v>
      </c>
      <c r="AJ689" s="73">
        <v>3085</v>
      </c>
      <c r="AK689" s="79">
        <v>13250</v>
      </c>
      <c r="AL689" s="79">
        <v>10000</v>
      </c>
      <c r="AM689" s="127">
        <v>12000</v>
      </c>
      <c r="AN689" s="128">
        <v>13800</v>
      </c>
      <c r="AO689" s="128">
        <v>10000</v>
      </c>
      <c r="AP689" s="133">
        <f t="shared" si="836"/>
        <v>11810</v>
      </c>
      <c r="AQ689" s="127">
        <f t="shared" si="837"/>
        <v>8725</v>
      </c>
      <c r="AR689" s="134">
        <f t="shared" si="838"/>
        <v>2.8282009724473256</v>
      </c>
      <c r="AS689" s="132">
        <f t="shared" si="839"/>
        <v>11810</v>
      </c>
      <c r="AT689" s="10">
        <v>3029</v>
      </c>
      <c r="AU689" s="10">
        <v>10000</v>
      </c>
      <c r="AV689" s="167">
        <v>40000</v>
      </c>
      <c r="AW689" s="168">
        <v>9000</v>
      </c>
      <c r="AX689" s="29">
        <f t="shared" si="840"/>
        <v>9500</v>
      </c>
      <c r="AY689" s="24">
        <f t="shared" si="841"/>
        <v>6471</v>
      </c>
      <c r="AZ689" s="25">
        <f t="shared" si="842"/>
        <v>2.1363486299108616</v>
      </c>
      <c r="BA689" s="24">
        <f t="shared" si="843"/>
        <v>36971</v>
      </c>
      <c r="BB689" s="169">
        <f t="shared" si="844"/>
        <v>12.205678441729944</v>
      </c>
      <c r="BC689" s="170">
        <f t="shared" si="845"/>
        <v>9500</v>
      </c>
      <c r="BD689" s="10">
        <v>2753</v>
      </c>
      <c r="BE689" s="10">
        <v>3500</v>
      </c>
      <c r="BF689" s="10"/>
      <c r="BG689" s="268">
        <v>4300</v>
      </c>
      <c r="BH689" s="10">
        <v>5000</v>
      </c>
      <c r="BI689" s="76">
        <f t="shared" si="846"/>
        <v>4266.666666666667</v>
      </c>
      <c r="BJ689" s="24">
        <f t="shared" si="847"/>
        <v>1513.666666666667</v>
      </c>
      <c r="BK689" s="25">
        <f t="shared" si="848"/>
        <v>0.54982443395084157</v>
      </c>
      <c r="BL689" s="259">
        <f t="shared" si="849"/>
        <v>4266.666666666667</v>
      </c>
      <c r="BM689" s="10">
        <v>3066</v>
      </c>
      <c r="BN689" s="45">
        <v>20000</v>
      </c>
      <c r="BO689" s="45">
        <v>3569</v>
      </c>
      <c r="BP689" s="45">
        <v>17000</v>
      </c>
      <c r="BQ689" s="29">
        <f t="shared" si="850"/>
        <v>13523</v>
      </c>
      <c r="BR689" s="24">
        <f t="shared" si="851"/>
        <v>10457</v>
      </c>
      <c r="BS689" s="25">
        <f t="shared" si="852"/>
        <v>3.4106327462491848</v>
      </c>
      <c r="BT689" s="308">
        <f t="shared" si="853"/>
        <v>13523</v>
      </c>
    </row>
    <row r="690" spans="1:72" ht="32.1" customHeight="1">
      <c r="A690" s="91" t="s">
        <v>31</v>
      </c>
      <c r="B690" s="358" t="s">
        <v>2882</v>
      </c>
      <c r="C690" s="50" t="s">
        <v>312</v>
      </c>
      <c r="D690" s="99" t="s">
        <v>652</v>
      </c>
      <c r="E690" s="48" t="s">
        <v>13</v>
      </c>
      <c r="F690" s="10">
        <v>66048</v>
      </c>
      <c r="G690" s="31">
        <v>85901</v>
      </c>
      <c r="H690" s="31">
        <v>111671</v>
      </c>
      <c r="I690" s="36">
        <v>75083.399999999994</v>
      </c>
      <c r="J690" s="29">
        <f t="shared" si="804"/>
        <v>90885.133333333346</v>
      </c>
      <c r="K690" s="24">
        <f t="shared" si="805"/>
        <v>24837.133333333346</v>
      </c>
      <c r="L690" s="25">
        <f t="shared" si="806"/>
        <v>0.37604671350129221</v>
      </c>
      <c r="M690" s="69" t="str">
        <f t="shared" si="807"/>
        <v>REVISAR PRECIO</v>
      </c>
      <c r="N690" s="77">
        <f t="shared" si="803"/>
        <v>90885.133333333346</v>
      </c>
      <c r="O690" s="73">
        <v>41947</v>
      </c>
      <c r="P690" s="74">
        <v>68945.375</v>
      </c>
      <c r="Q690" s="74">
        <v>90000</v>
      </c>
      <c r="R690" s="75">
        <v>79437.0625</v>
      </c>
      <c r="S690" s="61">
        <v>68945.375</v>
      </c>
      <c r="T690" s="60">
        <v>80000</v>
      </c>
      <c r="U690" s="74">
        <v>79287.181249999994</v>
      </c>
      <c r="V690" s="76">
        <f t="shared" si="826"/>
        <v>77769.165625000009</v>
      </c>
      <c r="W690" s="24">
        <f t="shared" si="827"/>
        <v>35822.165625000009</v>
      </c>
      <c r="X690" s="25">
        <f t="shared" si="828"/>
        <v>0.85398635480487306</v>
      </c>
      <c r="Y690" s="77" t="str">
        <f t="shared" si="829"/>
        <v>REVISAR PRECIO</v>
      </c>
      <c r="Z690" s="106">
        <f t="shared" si="830"/>
        <v>77769.165625000009</v>
      </c>
      <c r="AA690" s="73">
        <v>41947</v>
      </c>
      <c r="AB690" s="88">
        <v>65000</v>
      </c>
      <c r="AC690" s="116">
        <v>65000</v>
      </c>
      <c r="AD690" s="74">
        <v>65947.75</v>
      </c>
      <c r="AE690" s="76">
        <f t="shared" si="831"/>
        <v>65315.916666666664</v>
      </c>
      <c r="AF690" s="24">
        <f t="shared" si="832"/>
        <v>23368.916666666664</v>
      </c>
      <c r="AG690" s="25">
        <f t="shared" si="833"/>
        <v>0.55710579222987733</v>
      </c>
      <c r="AH690" s="77" t="str">
        <f t="shared" si="834"/>
        <v>REVISAR PRECIO</v>
      </c>
      <c r="AI690" s="77">
        <f t="shared" si="835"/>
        <v>65315.916666666664</v>
      </c>
      <c r="AJ690" s="73">
        <v>41947</v>
      </c>
      <c r="AK690" s="79">
        <v>79437.0625</v>
      </c>
      <c r="AL690" s="79">
        <f>47962*1.25</f>
        <v>59952.5</v>
      </c>
      <c r="AM690" s="127">
        <v>71943</v>
      </c>
      <c r="AN690" s="128">
        <v>65000</v>
      </c>
      <c r="AO690" s="128">
        <v>60000</v>
      </c>
      <c r="AP690" s="133">
        <f t="shared" si="836"/>
        <v>67266.512499999997</v>
      </c>
      <c r="AQ690" s="127">
        <f t="shared" si="837"/>
        <v>25319.512499999997</v>
      </c>
      <c r="AR690" s="134">
        <f t="shared" si="838"/>
        <v>0.60360723055284038</v>
      </c>
      <c r="AS690" s="132">
        <f t="shared" si="839"/>
        <v>67266.512499999997</v>
      </c>
      <c r="AT690" s="10">
        <v>41644</v>
      </c>
      <c r="AU690" s="10">
        <v>59953</v>
      </c>
      <c r="AV690" s="167">
        <v>239812</v>
      </c>
      <c r="AW690" s="168">
        <v>55670</v>
      </c>
      <c r="AX690" s="29">
        <f t="shared" si="840"/>
        <v>57811.5</v>
      </c>
      <c r="AY690" s="24">
        <f t="shared" si="841"/>
        <v>16167.5</v>
      </c>
      <c r="AZ690" s="25">
        <f t="shared" si="842"/>
        <v>0.38823119777158777</v>
      </c>
      <c r="BA690" s="24">
        <f t="shared" si="843"/>
        <v>198168</v>
      </c>
      <c r="BB690" s="169">
        <f t="shared" si="844"/>
        <v>4.7586206896551726</v>
      </c>
      <c r="BC690" s="170">
        <f t="shared" si="845"/>
        <v>57811.5</v>
      </c>
      <c r="BD690" s="10">
        <v>36090</v>
      </c>
      <c r="BE690" s="10">
        <v>135000</v>
      </c>
      <c r="BF690" s="10"/>
      <c r="BG690" s="268">
        <v>142000</v>
      </c>
      <c r="BH690" s="10">
        <v>150000</v>
      </c>
      <c r="BI690" s="76">
        <f t="shared" si="846"/>
        <v>142333.33333333334</v>
      </c>
      <c r="BJ690" s="24">
        <f t="shared" si="847"/>
        <v>106243.33333333334</v>
      </c>
      <c r="BK690" s="25">
        <f t="shared" si="848"/>
        <v>2.943844093470029</v>
      </c>
      <c r="BL690" s="259">
        <f t="shared" si="849"/>
        <v>142333.33333333334</v>
      </c>
      <c r="BM690" s="10">
        <v>40665</v>
      </c>
      <c r="BN690" s="45">
        <v>75000</v>
      </c>
      <c r="BO690" s="45">
        <v>49129</v>
      </c>
      <c r="BP690" s="45">
        <v>70000</v>
      </c>
      <c r="BQ690" s="29">
        <f t="shared" si="850"/>
        <v>64709.666666666664</v>
      </c>
      <c r="BR690" s="24">
        <f t="shared" si="851"/>
        <v>24044.666666666664</v>
      </c>
      <c r="BS690" s="25">
        <f t="shared" si="852"/>
        <v>0.59128652813639893</v>
      </c>
      <c r="BT690" s="308">
        <f t="shared" si="853"/>
        <v>64709.666666666664</v>
      </c>
    </row>
    <row r="691" spans="1:72" ht="32.1" customHeight="1">
      <c r="A691" s="91" t="s">
        <v>31</v>
      </c>
      <c r="B691" s="358" t="s">
        <v>2883</v>
      </c>
      <c r="C691" s="50" t="s">
        <v>313</v>
      </c>
      <c r="D691" s="99" t="s">
        <v>653</v>
      </c>
      <c r="E691" s="48" t="s">
        <v>13</v>
      </c>
      <c r="F691" s="10">
        <v>94925</v>
      </c>
      <c r="G691" s="31">
        <v>123458</v>
      </c>
      <c r="H691" s="33">
        <v>160495</v>
      </c>
      <c r="I691" s="36">
        <v>107911</v>
      </c>
      <c r="J691" s="29">
        <f t="shared" si="804"/>
        <v>130621.33333333333</v>
      </c>
      <c r="K691" s="24">
        <f t="shared" si="805"/>
        <v>35696.333333333328</v>
      </c>
      <c r="L691" s="25">
        <f t="shared" si="806"/>
        <v>0.37604775700114118</v>
      </c>
      <c r="M691" s="69" t="str">
        <f t="shared" si="807"/>
        <v>REVISAR PRECIO</v>
      </c>
      <c r="N691" s="77">
        <f t="shared" si="803"/>
        <v>130621.33333333333</v>
      </c>
      <c r="O691" s="73">
        <v>60277</v>
      </c>
      <c r="P691" s="74">
        <v>105018</v>
      </c>
      <c r="Q691" s="74">
        <v>120000</v>
      </c>
      <c r="R691" s="75">
        <v>120999</v>
      </c>
      <c r="S691" s="61">
        <v>105017.99999999999</v>
      </c>
      <c r="T691" s="60">
        <v>80000</v>
      </c>
      <c r="U691" s="74">
        <v>120770.69999999997</v>
      </c>
      <c r="V691" s="76">
        <f t="shared" si="826"/>
        <v>108634.28333333333</v>
      </c>
      <c r="W691" s="24">
        <f t="shared" si="827"/>
        <v>48357.283333333326</v>
      </c>
      <c r="X691" s="25">
        <f t="shared" si="828"/>
        <v>0.80225099678705514</v>
      </c>
      <c r="Y691" s="77" t="str">
        <f t="shared" si="829"/>
        <v>REVISAR PRECIO</v>
      </c>
      <c r="Z691" s="106">
        <f t="shared" si="830"/>
        <v>108634.28333333333</v>
      </c>
      <c r="AA691" s="73">
        <v>60277</v>
      </c>
      <c r="AB691" s="88">
        <v>100000</v>
      </c>
      <c r="AC691" s="116">
        <v>100000</v>
      </c>
      <c r="AD691" s="74">
        <v>100452</v>
      </c>
      <c r="AE691" s="76">
        <f t="shared" si="831"/>
        <v>100150.66666666667</v>
      </c>
      <c r="AF691" s="24">
        <f t="shared" si="832"/>
        <v>39873.666666666672</v>
      </c>
      <c r="AG691" s="25">
        <f t="shared" si="833"/>
        <v>0.6615071530876897</v>
      </c>
      <c r="AH691" s="77" t="str">
        <f t="shared" si="834"/>
        <v>REVISAR PRECIO</v>
      </c>
      <c r="AI691" s="77">
        <f t="shared" si="835"/>
        <v>100150.66666666667</v>
      </c>
      <c r="AJ691" s="73">
        <v>60277</v>
      </c>
      <c r="AK691" s="79">
        <v>120999</v>
      </c>
      <c r="AL691" s="79">
        <f>76100*1.2</f>
        <v>91320</v>
      </c>
      <c r="AM691" s="127">
        <v>109584</v>
      </c>
      <c r="AN691" s="128">
        <v>98700</v>
      </c>
      <c r="AO691" s="128">
        <v>90000</v>
      </c>
      <c r="AP691" s="133">
        <f t="shared" si="836"/>
        <v>102120.6</v>
      </c>
      <c r="AQ691" s="127">
        <f t="shared" si="837"/>
        <v>41843.600000000006</v>
      </c>
      <c r="AR691" s="134">
        <f t="shared" si="838"/>
        <v>0.69418849644142888</v>
      </c>
      <c r="AS691" s="132">
        <f t="shared" si="839"/>
        <v>102120.6</v>
      </c>
      <c r="AT691" s="10">
        <v>59974</v>
      </c>
      <c r="AU691" s="10">
        <v>91320</v>
      </c>
      <c r="AV691" s="167">
        <v>273960</v>
      </c>
      <c r="AW691" s="168">
        <v>87900</v>
      </c>
      <c r="AX691" s="29">
        <f t="shared" si="840"/>
        <v>89610</v>
      </c>
      <c r="AY691" s="24">
        <f t="shared" si="841"/>
        <v>29636</v>
      </c>
      <c r="AZ691" s="25">
        <f t="shared" si="842"/>
        <v>0.49414746390102376</v>
      </c>
      <c r="BA691" s="24">
        <f t="shared" si="843"/>
        <v>213986</v>
      </c>
      <c r="BB691" s="169">
        <f t="shared" si="844"/>
        <v>3.5679794577650314</v>
      </c>
      <c r="BC691" s="170">
        <f t="shared" si="845"/>
        <v>89610</v>
      </c>
      <c r="BD691" s="10">
        <v>51307</v>
      </c>
      <c r="BE691" s="10">
        <v>120000</v>
      </c>
      <c r="BF691" s="10"/>
      <c r="BG691" s="268">
        <v>126000</v>
      </c>
      <c r="BH691" s="10">
        <v>150000</v>
      </c>
      <c r="BI691" s="76">
        <f t="shared" si="846"/>
        <v>132000</v>
      </c>
      <c r="BJ691" s="24">
        <f t="shared" si="847"/>
        <v>80693</v>
      </c>
      <c r="BK691" s="25">
        <f t="shared" si="848"/>
        <v>1.5727483579238701</v>
      </c>
      <c r="BL691" s="259">
        <f t="shared" si="849"/>
        <v>132000</v>
      </c>
      <c r="BM691" s="319">
        <v>59005</v>
      </c>
      <c r="BN691" s="317">
        <v>85000</v>
      </c>
      <c r="BO691" s="317">
        <v>70763</v>
      </c>
      <c r="BP691" s="45">
        <v>100000</v>
      </c>
      <c r="BQ691" s="29">
        <f t="shared" si="850"/>
        <v>85254.333333333328</v>
      </c>
      <c r="BR691" s="24">
        <f t="shared" si="851"/>
        <v>26249.333333333328</v>
      </c>
      <c r="BS691" s="25">
        <f t="shared" si="852"/>
        <v>0.44486625427223675</v>
      </c>
      <c r="BT691" s="308">
        <f t="shared" si="853"/>
        <v>85254.333333333328</v>
      </c>
    </row>
    <row r="692" spans="1:72" ht="46.35" customHeight="1">
      <c r="A692" s="91" t="s">
        <v>31</v>
      </c>
      <c r="B692" s="358" t="s">
        <v>2884</v>
      </c>
      <c r="C692" s="50" t="s">
        <v>314</v>
      </c>
      <c r="D692" s="99" t="s">
        <v>654</v>
      </c>
      <c r="E692" s="48" t="s">
        <v>13</v>
      </c>
      <c r="F692" s="10">
        <v>304996</v>
      </c>
      <c r="G692" s="31">
        <v>396671</v>
      </c>
      <c r="H692" s="31">
        <v>515672</v>
      </c>
      <c r="I692" s="36">
        <v>346719.4</v>
      </c>
      <c r="J692" s="29">
        <f t="shared" si="804"/>
        <v>419687.46666666662</v>
      </c>
      <c r="K692" s="24">
        <f t="shared" si="805"/>
        <v>114691.46666666662</v>
      </c>
      <c r="L692" s="25">
        <f t="shared" si="806"/>
        <v>0.37604252733369165</v>
      </c>
      <c r="M692" s="69" t="str">
        <f t="shared" si="807"/>
        <v>REVISAR PRECIO</v>
      </c>
      <c r="N692" s="77">
        <f t="shared" si="803"/>
        <v>419687.46666666662</v>
      </c>
      <c r="O692" s="73">
        <v>193693</v>
      </c>
      <c r="P692" s="74">
        <v>199525</v>
      </c>
      <c r="Q692" s="74">
        <v>280000</v>
      </c>
      <c r="R692" s="75">
        <v>229887.5</v>
      </c>
      <c r="S692" s="61">
        <v>224709.99999999997</v>
      </c>
      <c r="T692" s="60">
        <v>130000</v>
      </c>
      <c r="U692" s="74">
        <v>258416.49999999994</v>
      </c>
      <c r="V692" s="76">
        <f t="shared" si="826"/>
        <v>220423.16666666666</v>
      </c>
      <c r="W692" s="24">
        <f t="shared" si="827"/>
        <v>26730.166666666657</v>
      </c>
      <c r="X692" s="25">
        <f t="shared" si="828"/>
        <v>0.13800275005636062</v>
      </c>
      <c r="Y692" s="77">
        <f t="shared" si="829"/>
        <v>220423.16666666666</v>
      </c>
      <c r="Z692" s="106">
        <f t="shared" si="830"/>
        <v>220423.16666666666</v>
      </c>
      <c r="AA692" s="73">
        <v>193693</v>
      </c>
      <c r="AB692" s="88">
        <v>200000</v>
      </c>
      <c r="AC692" s="116">
        <v>200000</v>
      </c>
      <c r="AD692" s="74">
        <v>190850</v>
      </c>
      <c r="AE692" s="76">
        <f t="shared" si="831"/>
        <v>196950</v>
      </c>
      <c r="AF692" s="24">
        <f t="shared" si="832"/>
        <v>3257</v>
      </c>
      <c r="AG692" s="25">
        <f t="shared" si="833"/>
        <v>1.6815269524453644E-2</v>
      </c>
      <c r="AH692" s="77">
        <f t="shared" si="834"/>
        <v>196950</v>
      </c>
      <c r="AI692" s="77">
        <f t="shared" si="835"/>
        <v>196950</v>
      </c>
      <c r="AJ692" s="73">
        <v>193693</v>
      </c>
      <c r="AK692" s="79">
        <v>229887.5</v>
      </c>
      <c r="AL692" s="79">
        <f>138800*1.25</f>
        <v>173500</v>
      </c>
      <c r="AM692" s="127">
        <v>208200</v>
      </c>
      <c r="AN692" s="128">
        <v>209700</v>
      </c>
      <c r="AO692" s="128">
        <v>200000</v>
      </c>
      <c r="AP692" s="133">
        <f t="shared" si="836"/>
        <v>204257.5</v>
      </c>
      <c r="AQ692" s="127">
        <f t="shared" si="837"/>
        <v>10564.5</v>
      </c>
      <c r="AR692" s="134">
        <f t="shared" si="838"/>
        <v>5.4542497663828841E-2</v>
      </c>
      <c r="AS692" s="132">
        <f t="shared" si="839"/>
        <v>204257.5</v>
      </c>
      <c r="AT692" s="10">
        <v>193694</v>
      </c>
      <c r="AU692" s="10">
        <v>173500</v>
      </c>
      <c r="AV692" s="167">
        <v>520500</v>
      </c>
      <c r="AW692" s="168">
        <v>170900</v>
      </c>
      <c r="AX692" s="29">
        <f t="shared" si="840"/>
        <v>172200</v>
      </c>
      <c r="AY692" s="24">
        <f t="shared" si="841"/>
        <v>-21494</v>
      </c>
      <c r="AZ692" s="25">
        <f t="shared" si="842"/>
        <v>-0.11096884777019422</v>
      </c>
      <c r="BA692" s="24">
        <f t="shared" si="843"/>
        <v>326806</v>
      </c>
      <c r="BB692" s="169">
        <f t="shared" si="844"/>
        <v>1.6872283085691864</v>
      </c>
      <c r="BC692" s="170">
        <f t="shared" si="845"/>
        <v>172200</v>
      </c>
      <c r="BD692" s="10">
        <v>174328</v>
      </c>
      <c r="BE692" s="10"/>
      <c r="BF692" s="10"/>
      <c r="BG692" s="268"/>
      <c r="BH692" s="10">
        <v>250000</v>
      </c>
      <c r="BI692" s="76">
        <f t="shared" si="846"/>
        <v>250000</v>
      </c>
      <c r="BJ692" s="24">
        <f t="shared" si="847"/>
        <v>75672</v>
      </c>
      <c r="BK692" s="25">
        <f t="shared" si="848"/>
        <v>0.43407828920196412</v>
      </c>
      <c r="BL692" s="259">
        <f t="shared" si="849"/>
        <v>250000</v>
      </c>
      <c r="BM692" s="10">
        <v>193693</v>
      </c>
      <c r="BN692" s="45"/>
      <c r="BO692" s="45">
        <v>228535</v>
      </c>
      <c r="BP692" s="45">
        <v>185000</v>
      </c>
      <c r="BQ692" s="29">
        <f t="shared" si="850"/>
        <v>206767.5</v>
      </c>
      <c r="BR692" s="24">
        <f t="shared" si="851"/>
        <v>13074.5</v>
      </c>
      <c r="BS692" s="25">
        <f t="shared" si="852"/>
        <v>6.7501148725044272E-2</v>
      </c>
      <c r="BT692" s="308">
        <f t="shared" si="853"/>
        <v>206767.5</v>
      </c>
    </row>
    <row r="693" spans="1:72" ht="34.35" customHeight="1">
      <c r="A693" s="91" t="s">
        <v>31</v>
      </c>
      <c r="B693" s="358" t="s">
        <v>2885</v>
      </c>
      <c r="C693" s="50" t="s">
        <v>315</v>
      </c>
      <c r="D693" s="99" t="s">
        <v>655</v>
      </c>
      <c r="E693" s="48" t="s">
        <v>13</v>
      </c>
      <c r="F693" s="10">
        <v>45724</v>
      </c>
      <c r="G693" s="31">
        <v>59468</v>
      </c>
      <c r="H693" s="31">
        <v>77308</v>
      </c>
      <c r="I693" s="36">
        <v>51979</v>
      </c>
      <c r="J693" s="29">
        <f t="shared" si="804"/>
        <v>62918.333333333336</v>
      </c>
      <c r="K693" s="24">
        <f t="shared" si="805"/>
        <v>17194.333333333336</v>
      </c>
      <c r="L693" s="25">
        <f t="shared" si="806"/>
        <v>0.37604613186364572</v>
      </c>
      <c r="M693" s="69" t="str">
        <f t="shared" si="807"/>
        <v>REVISAR PRECIO</v>
      </c>
      <c r="N693" s="77">
        <f t="shared" si="803"/>
        <v>62918.333333333336</v>
      </c>
      <c r="O693" s="73">
        <v>29037</v>
      </c>
      <c r="P693" s="74">
        <v>40434</v>
      </c>
      <c r="Q693" s="74">
        <v>90000</v>
      </c>
      <c r="R693" s="75">
        <v>46587</v>
      </c>
      <c r="S693" s="61">
        <v>52497.499999999993</v>
      </c>
      <c r="T693" s="60">
        <v>120000</v>
      </c>
      <c r="U693" s="74">
        <v>60372.124999999985</v>
      </c>
      <c r="V693" s="76">
        <f t="shared" si="826"/>
        <v>68315.104166666672</v>
      </c>
      <c r="W693" s="24">
        <f t="shared" si="827"/>
        <v>39278.104166666672</v>
      </c>
      <c r="X693" s="25">
        <f t="shared" si="828"/>
        <v>1.3526915372341037</v>
      </c>
      <c r="Y693" s="77" t="str">
        <f t="shared" si="829"/>
        <v>REVISAR PRECIO</v>
      </c>
      <c r="Z693" s="106">
        <f t="shared" si="830"/>
        <v>68315.104166666672</v>
      </c>
      <c r="AA693" s="73">
        <v>29037</v>
      </c>
      <c r="AB693" s="88">
        <v>45000</v>
      </c>
      <c r="AC693" s="116">
        <v>45000</v>
      </c>
      <c r="AD693" s="74">
        <v>38676</v>
      </c>
      <c r="AE693" s="76">
        <f t="shared" si="831"/>
        <v>42892</v>
      </c>
      <c r="AF693" s="24">
        <f t="shared" si="832"/>
        <v>13855</v>
      </c>
      <c r="AG693" s="25">
        <f t="shared" si="833"/>
        <v>0.47714984330337157</v>
      </c>
      <c r="AH693" s="77" t="str">
        <f t="shared" si="834"/>
        <v>REVISAR PRECIO</v>
      </c>
      <c r="AI693" s="77">
        <f t="shared" si="835"/>
        <v>42892</v>
      </c>
      <c r="AJ693" s="73">
        <v>29037</v>
      </c>
      <c r="AK693" s="79">
        <v>46587</v>
      </c>
      <c r="AL693" s="79">
        <f>+AL634</f>
        <v>35160</v>
      </c>
      <c r="AM693" s="127">
        <v>42192</v>
      </c>
      <c r="AN693" s="128">
        <v>33600</v>
      </c>
      <c r="AO693" s="128">
        <v>35000</v>
      </c>
      <c r="AP693" s="133">
        <f t="shared" si="836"/>
        <v>38507.800000000003</v>
      </c>
      <c r="AQ693" s="127">
        <f t="shared" si="837"/>
        <v>9470.8000000000029</v>
      </c>
      <c r="AR693" s="134">
        <f t="shared" si="838"/>
        <v>0.3261631711264939</v>
      </c>
      <c r="AS693" s="132">
        <f t="shared" si="839"/>
        <v>38507.800000000003</v>
      </c>
      <c r="AT693" s="10">
        <v>28469</v>
      </c>
      <c r="AU693" s="10">
        <v>35160</v>
      </c>
      <c r="AV693" s="167">
        <v>105480</v>
      </c>
      <c r="AW693" s="168">
        <v>34600</v>
      </c>
      <c r="AX693" s="29">
        <f t="shared" si="840"/>
        <v>34880</v>
      </c>
      <c r="AY693" s="24">
        <f t="shared" si="841"/>
        <v>6411</v>
      </c>
      <c r="AZ693" s="25">
        <f t="shared" si="842"/>
        <v>0.22519231444729354</v>
      </c>
      <c r="BA693" s="24">
        <f t="shared" si="843"/>
        <v>77011</v>
      </c>
      <c r="BB693" s="169">
        <f t="shared" si="844"/>
        <v>2.705082721556781</v>
      </c>
      <c r="BC693" s="170">
        <f t="shared" si="845"/>
        <v>34880</v>
      </c>
      <c r="BD693" s="10">
        <v>25876</v>
      </c>
      <c r="BE693" s="10">
        <v>24500</v>
      </c>
      <c r="BF693" s="10"/>
      <c r="BG693" s="268">
        <v>28000</v>
      </c>
      <c r="BH693" s="10">
        <v>30000</v>
      </c>
      <c r="BI693" s="76">
        <f t="shared" si="846"/>
        <v>27500</v>
      </c>
      <c r="BJ693" s="24">
        <f t="shared" si="847"/>
        <v>1624</v>
      </c>
      <c r="BK693" s="25">
        <f t="shared" si="848"/>
        <v>6.276085948369145E-2</v>
      </c>
      <c r="BL693" s="259">
        <f t="shared" si="849"/>
        <v>27500</v>
      </c>
      <c r="BM693" s="10">
        <v>28895</v>
      </c>
      <c r="BN693" s="45"/>
      <c r="BO693" s="45">
        <v>33593</v>
      </c>
      <c r="BP693" s="45">
        <v>45000</v>
      </c>
      <c r="BQ693" s="29">
        <f t="shared" si="850"/>
        <v>39296.5</v>
      </c>
      <c r="BR693" s="24">
        <f t="shared" si="851"/>
        <v>10401.5</v>
      </c>
      <c r="BS693" s="25">
        <f t="shared" si="852"/>
        <v>0.35997577435542483</v>
      </c>
      <c r="BT693" s="308">
        <f t="shared" si="853"/>
        <v>39296.5</v>
      </c>
    </row>
    <row r="694" spans="1:72" ht="34.35" customHeight="1">
      <c r="A694" s="91" t="s">
        <v>31</v>
      </c>
      <c r="B694" s="358" t="s">
        <v>2886</v>
      </c>
      <c r="C694" s="50" t="s">
        <v>316</v>
      </c>
      <c r="D694" s="99" t="s">
        <v>656</v>
      </c>
      <c r="E694" s="48" t="s">
        <v>13</v>
      </c>
      <c r="F694" s="10">
        <v>78743</v>
      </c>
      <c r="G694" s="31">
        <v>102411</v>
      </c>
      <c r="H694" s="33">
        <v>102411</v>
      </c>
      <c r="I694" s="36">
        <v>89514.8</v>
      </c>
      <c r="J694" s="29">
        <f t="shared" si="804"/>
        <v>98112.266666666663</v>
      </c>
      <c r="K694" s="24">
        <f t="shared" si="805"/>
        <v>19369.266666666663</v>
      </c>
      <c r="L694" s="25">
        <f t="shared" si="806"/>
        <v>0.24598080675954259</v>
      </c>
      <c r="M694" s="69">
        <f t="shared" si="807"/>
        <v>98112.266666666663</v>
      </c>
      <c r="N694" s="77">
        <f t="shared" si="803"/>
        <v>98112.266666666663</v>
      </c>
      <c r="O694" s="73">
        <v>50006</v>
      </c>
      <c r="P694" s="74">
        <v>28750</v>
      </c>
      <c r="Q694" s="74">
        <v>55000</v>
      </c>
      <c r="R694" s="75">
        <v>33125</v>
      </c>
      <c r="S694" s="61">
        <v>37260</v>
      </c>
      <c r="T694" s="60">
        <v>90000</v>
      </c>
      <c r="U694" s="74">
        <v>42849</v>
      </c>
      <c r="V694" s="76">
        <f t="shared" si="826"/>
        <v>47830.666666666664</v>
      </c>
      <c r="W694" s="24">
        <f t="shared" si="827"/>
        <v>-2175.3333333333358</v>
      </c>
      <c r="X694" s="25">
        <f t="shared" si="828"/>
        <v>-4.3501446493087542E-2</v>
      </c>
      <c r="Y694" s="77">
        <f t="shared" si="829"/>
        <v>47830.666666666664</v>
      </c>
      <c r="Z694" s="106">
        <f t="shared" si="830"/>
        <v>47830.666666666664</v>
      </c>
      <c r="AA694" s="73">
        <v>50006</v>
      </c>
      <c r="AB694" s="88">
        <v>26000</v>
      </c>
      <c r="AC694" s="116">
        <v>26000</v>
      </c>
      <c r="AD694" s="74">
        <v>27500</v>
      </c>
      <c r="AE694" s="76">
        <f t="shared" si="831"/>
        <v>26500</v>
      </c>
      <c r="AF694" s="24">
        <f t="shared" si="832"/>
        <v>-23506</v>
      </c>
      <c r="AG694" s="25">
        <f t="shared" si="833"/>
        <v>-0.47006359236891571</v>
      </c>
      <c r="AH694" s="77">
        <f t="shared" si="834"/>
        <v>26500</v>
      </c>
      <c r="AI694" s="77">
        <f t="shared" si="835"/>
        <v>26500</v>
      </c>
      <c r="AJ694" s="73">
        <v>50006</v>
      </c>
      <c r="AK694" s="79">
        <v>33125</v>
      </c>
      <c r="AL694" s="79">
        <v>25000</v>
      </c>
      <c r="AM694" s="127">
        <v>30000</v>
      </c>
      <c r="AN694" s="128">
        <v>28000</v>
      </c>
      <c r="AO694" s="128">
        <v>30000</v>
      </c>
      <c r="AP694" s="133">
        <f t="shared" si="836"/>
        <v>29225</v>
      </c>
      <c r="AQ694" s="127">
        <f t="shared" si="837"/>
        <v>-20781</v>
      </c>
      <c r="AR694" s="134">
        <f t="shared" si="838"/>
        <v>-0.41557013158420991</v>
      </c>
      <c r="AS694" s="132">
        <f t="shared" si="839"/>
        <v>29225</v>
      </c>
      <c r="AT694" s="10">
        <v>28469</v>
      </c>
      <c r="AU694" s="10">
        <v>35160</v>
      </c>
      <c r="AV694" s="167">
        <v>105480</v>
      </c>
      <c r="AW694" s="168">
        <v>34600</v>
      </c>
      <c r="AX694" s="29">
        <f t="shared" si="840"/>
        <v>34880</v>
      </c>
      <c r="AY694" s="24">
        <f t="shared" si="841"/>
        <v>6411</v>
      </c>
      <c r="AZ694" s="25">
        <f t="shared" si="842"/>
        <v>0.22519231444729354</v>
      </c>
      <c r="BA694" s="24">
        <f t="shared" si="843"/>
        <v>77011</v>
      </c>
      <c r="BB694" s="169">
        <f t="shared" si="844"/>
        <v>2.705082721556781</v>
      </c>
      <c r="BC694" s="170">
        <f t="shared" si="845"/>
        <v>34880</v>
      </c>
      <c r="BD694" s="10">
        <v>44567</v>
      </c>
      <c r="BE694" s="10">
        <v>230000</v>
      </c>
      <c r="BF694" s="10"/>
      <c r="BG694" s="268">
        <v>245000</v>
      </c>
      <c r="BH694" s="10">
        <v>250000</v>
      </c>
      <c r="BI694" s="76">
        <f t="shared" si="846"/>
        <v>241666.66666666666</v>
      </c>
      <c r="BJ694" s="24">
        <f t="shared" si="847"/>
        <v>197099.66666666666</v>
      </c>
      <c r="BK694" s="25">
        <f t="shared" si="848"/>
        <v>4.422547325749246</v>
      </c>
      <c r="BL694" s="259">
        <f t="shared" si="849"/>
        <v>241666.66666666666</v>
      </c>
      <c r="BM694" s="10">
        <v>49759</v>
      </c>
      <c r="BN694" s="45"/>
      <c r="BO694" s="45">
        <v>578648</v>
      </c>
      <c r="BP694" s="45">
        <v>40000</v>
      </c>
      <c r="BQ694" s="29">
        <f t="shared" si="850"/>
        <v>309324</v>
      </c>
      <c r="BR694" s="24">
        <f t="shared" si="851"/>
        <v>259565</v>
      </c>
      <c r="BS694" s="25">
        <f t="shared" si="852"/>
        <v>5.2164432564963121</v>
      </c>
      <c r="BT694" s="29">
        <f>AVERAGE(BP694,BM694)</f>
        <v>44879.5</v>
      </c>
    </row>
    <row r="695" spans="1:72" ht="34.35" customHeight="1">
      <c r="A695" s="91" t="s">
        <v>31</v>
      </c>
      <c r="B695" s="358" t="s">
        <v>2887</v>
      </c>
      <c r="C695" s="50" t="s">
        <v>317</v>
      </c>
      <c r="D695" s="99" t="s">
        <v>657</v>
      </c>
      <c r="E695" s="48" t="s">
        <v>10</v>
      </c>
      <c r="F695" s="10">
        <v>29593</v>
      </c>
      <c r="G695" s="33">
        <v>38489</v>
      </c>
      <c r="H695" s="31">
        <v>50035</v>
      </c>
      <c r="I695" s="36">
        <v>33641.800000000003</v>
      </c>
      <c r="J695" s="29">
        <f t="shared" si="804"/>
        <v>40721.933333333334</v>
      </c>
      <c r="K695" s="24">
        <f t="shared" si="805"/>
        <v>11128.933333333334</v>
      </c>
      <c r="L695" s="25">
        <f t="shared" si="806"/>
        <v>0.37606641210196107</v>
      </c>
      <c r="M695" s="69" t="str">
        <f t="shared" si="807"/>
        <v>REVISAR PRECIO</v>
      </c>
      <c r="N695" s="77">
        <f t="shared" si="803"/>
        <v>40721.933333333334</v>
      </c>
      <c r="O695" s="73">
        <v>18795</v>
      </c>
      <c r="P695" s="74">
        <v>40250</v>
      </c>
      <c r="Q695" s="74">
        <v>50000</v>
      </c>
      <c r="R695" s="75">
        <v>46375</v>
      </c>
      <c r="S695" s="61">
        <v>90505</v>
      </c>
      <c r="T695" s="60">
        <v>40000</v>
      </c>
      <c r="U695" s="74">
        <v>104080.74999999999</v>
      </c>
      <c r="V695" s="76">
        <f t="shared" si="826"/>
        <v>61868.458333333336</v>
      </c>
      <c r="W695" s="24">
        <f t="shared" si="827"/>
        <v>43073.458333333336</v>
      </c>
      <c r="X695" s="25">
        <f t="shared" si="828"/>
        <v>2.2917509089296799</v>
      </c>
      <c r="Y695" s="77" t="str">
        <f t="shared" si="829"/>
        <v>REVISAR PRECIO</v>
      </c>
      <c r="Z695" s="106">
        <f t="shared" si="830"/>
        <v>61868.458333333336</v>
      </c>
      <c r="AA695" s="73">
        <v>18795</v>
      </c>
      <c r="AB695" s="88">
        <v>40000</v>
      </c>
      <c r="AC695" s="116">
        <v>40000</v>
      </c>
      <c r="AD695" s="74">
        <v>38500</v>
      </c>
      <c r="AE695" s="76">
        <f t="shared" si="831"/>
        <v>39500</v>
      </c>
      <c r="AF695" s="24">
        <f t="shared" si="832"/>
        <v>20705</v>
      </c>
      <c r="AG695" s="25">
        <f t="shared" si="833"/>
        <v>1.1016227720138334</v>
      </c>
      <c r="AH695" s="77" t="str">
        <f t="shared" si="834"/>
        <v>REVISAR PRECIO</v>
      </c>
      <c r="AI695" s="77">
        <f t="shared" si="835"/>
        <v>39500</v>
      </c>
      <c r="AJ695" s="73">
        <v>18795</v>
      </c>
      <c r="AK695" s="79">
        <v>46375</v>
      </c>
      <c r="AL695" s="79">
        <v>35000</v>
      </c>
      <c r="AM695" s="127">
        <v>42000</v>
      </c>
      <c r="AN695" s="128">
        <v>45000</v>
      </c>
      <c r="AO695" s="128">
        <v>40000</v>
      </c>
      <c r="AP695" s="133">
        <f t="shared" si="836"/>
        <v>41675</v>
      </c>
      <c r="AQ695" s="127">
        <f t="shared" si="837"/>
        <v>22880</v>
      </c>
      <c r="AR695" s="134">
        <f t="shared" si="838"/>
        <v>1.2173450385740889</v>
      </c>
      <c r="AS695" s="132">
        <f t="shared" si="839"/>
        <v>41675</v>
      </c>
      <c r="AT695" s="10">
        <v>49029</v>
      </c>
      <c r="AU695" s="10">
        <v>25000</v>
      </c>
      <c r="AV695" s="167">
        <v>75000</v>
      </c>
      <c r="AW695" s="168">
        <v>35600</v>
      </c>
      <c r="AX695" s="29">
        <f t="shared" si="840"/>
        <v>30300</v>
      </c>
      <c r="AY695" s="24">
        <f t="shared" si="841"/>
        <v>-18729</v>
      </c>
      <c r="AZ695" s="25">
        <f t="shared" si="842"/>
        <v>-0.38199840910481553</v>
      </c>
      <c r="BA695" s="24">
        <f t="shared" si="843"/>
        <v>25971</v>
      </c>
      <c r="BB695" s="169">
        <f t="shared" si="844"/>
        <v>0.5297069081563972</v>
      </c>
      <c r="BC695" s="170">
        <f t="shared" si="845"/>
        <v>30300</v>
      </c>
      <c r="BD695" s="10">
        <v>16744</v>
      </c>
      <c r="BE695" s="10">
        <v>25000</v>
      </c>
      <c r="BF695" s="10"/>
      <c r="BG695" s="268">
        <v>29000</v>
      </c>
      <c r="BH695" s="10">
        <v>30000</v>
      </c>
      <c r="BI695" s="76">
        <f t="shared" si="846"/>
        <v>28000</v>
      </c>
      <c r="BJ695" s="24">
        <f t="shared" si="847"/>
        <v>11256</v>
      </c>
      <c r="BK695" s="25">
        <f t="shared" si="848"/>
        <v>0.67224080267558528</v>
      </c>
      <c r="BL695" s="259">
        <f t="shared" si="849"/>
        <v>28000</v>
      </c>
      <c r="BM695" s="10">
        <v>18700</v>
      </c>
      <c r="BN695" s="45"/>
      <c r="BO695" s="45">
        <v>21740</v>
      </c>
      <c r="BP695" s="45">
        <v>35000</v>
      </c>
      <c r="BQ695" s="29">
        <f t="shared" si="850"/>
        <v>28370</v>
      </c>
      <c r="BR695" s="24">
        <f t="shared" si="851"/>
        <v>9670</v>
      </c>
      <c r="BS695" s="25">
        <f t="shared" si="852"/>
        <v>0.51711229946524062</v>
      </c>
      <c r="BT695" s="308">
        <f t="shared" si="853"/>
        <v>28370</v>
      </c>
    </row>
    <row r="696" spans="1:72" ht="34.35" customHeight="1">
      <c r="A696" s="91" t="s">
        <v>31</v>
      </c>
      <c r="B696" s="358" t="s">
        <v>2888</v>
      </c>
      <c r="C696" s="50" t="s">
        <v>318</v>
      </c>
      <c r="D696" s="99" t="s">
        <v>658</v>
      </c>
      <c r="E696" s="48" t="s">
        <v>13</v>
      </c>
      <c r="F696" s="10">
        <v>17957</v>
      </c>
      <c r="G696" s="31">
        <v>23355</v>
      </c>
      <c r="H696" s="31">
        <v>30362</v>
      </c>
      <c r="I696" s="36">
        <v>20414</v>
      </c>
      <c r="J696" s="29">
        <f t="shared" si="804"/>
        <v>24710.333333333332</v>
      </c>
      <c r="K696" s="24">
        <f t="shared" si="805"/>
        <v>6753.3333333333321</v>
      </c>
      <c r="L696" s="25">
        <f t="shared" si="806"/>
        <v>0.37608360713556455</v>
      </c>
      <c r="M696" s="69" t="str">
        <f t="shared" si="807"/>
        <v>REVISAR PRECIO</v>
      </c>
      <c r="N696" s="77">
        <f t="shared" si="803"/>
        <v>24710.333333333332</v>
      </c>
      <c r="O696" s="73">
        <v>11410</v>
      </c>
      <c r="P696" s="74">
        <v>40434</v>
      </c>
      <c r="Q696" s="74">
        <v>90000</v>
      </c>
      <c r="R696" s="75">
        <v>46587</v>
      </c>
      <c r="S696" s="61">
        <v>40434</v>
      </c>
      <c r="T696" s="60">
        <v>60000</v>
      </c>
      <c r="U696" s="74">
        <v>46499.1</v>
      </c>
      <c r="V696" s="76">
        <f t="shared" si="826"/>
        <v>53992.35</v>
      </c>
      <c r="W696" s="24">
        <f t="shared" si="827"/>
        <v>42582.35</v>
      </c>
      <c r="X696" s="25">
        <f t="shared" si="828"/>
        <v>3.7320201577563541</v>
      </c>
      <c r="Y696" s="77" t="str">
        <f t="shared" si="829"/>
        <v>REVISAR PRECIO</v>
      </c>
      <c r="Z696" s="106">
        <f t="shared" si="830"/>
        <v>53992.35</v>
      </c>
      <c r="AA696" s="73">
        <v>11410</v>
      </c>
      <c r="AB696" s="88">
        <v>40000</v>
      </c>
      <c r="AC696" s="116">
        <v>40000</v>
      </c>
      <c r="AD696" s="74">
        <v>38676</v>
      </c>
      <c r="AE696" s="76">
        <f t="shared" si="831"/>
        <v>39558.666666666664</v>
      </c>
      <c r="AF696" s="24">
        <f t="shared" si="832"/>
        <v>28148.666666666664</v>
      </c>
      <c r="AG696" s="25">
        <f t="shared" si="833"/>
        <v>2.4670172363423895</v>
      </c>
      <c r="AH696" s="77" t="str">
        <f t="shared" si="834"/>
        <v>REVISAR PRECIO</v>
      </c>
      <c r="AI696" s="77">
        <f t="shared" si="835"/>
        <v>39558.666666666664</v>
      </c>
      <c r="AJ696" s="73">
        <v>11410</v>
      </c>
      <c r="AK696" s="79">
        <v>46587</v>
      </c>
      <c r="AL696" s="79">
        <f>+AL693</f>
        <v>35160</v>
      </c>
      <c r="AM696" s="127">
        <v>42192</v>
      </c>
      <c r="AN696" s="128">
        <v>46000</v>
      </c>
      <c r="AO696" s="128">
        <v>40000</v>
      </c>
      <c r="AP696" s="133">
        <f t="shared" si="836"/>
        <v>41987.8</v>
      </c>
      <c r="AQ696" s="127">
        <f t="shared" si="837"/>
        <v>30577.800000000003</v>
      </c>
      <c r="AR696" s="134">
        <f t="shared" si="838"/>
        <v>2.6799123575810695</v>
      </c>
      <c r="AS696" s="132">
        <f t="shared" si="839"/>
        <v>41987.8</v>
      </c>
      <c r="AT696" s="10">
        <v>18425</v>
      </c>
      <c r="AU696" s="10">
        <v>35000</v>
      </c>
      <c r="AV696" s="167">
        <v>105000</v>
      </c>
      <c r="AW696" s="168">
        <v>35000</v>
      </c>
      <c r="AX696" s="29">
        <f t="shared" si="840"/>
        <v>35000</v>
      </c>
      <c r="AY696" s="24">
        <f t="shared" si="841"/>
        <v>16575</v>
      </c>
      <c r="AZ696" s="25">
        <f t="shared" si="842"/>
        <v>0.89959294436906379</v>
      </c>
      <c r="BA696" s="24">
        <f t="shared" si="843"/>
        <v>86575</v>
      </c>
      <c r="BB696" s="169">
        <f t="shared" si="844"/>
        <v>4.6987788331071911</v>
      </c>
      <c r="BC696" s="170">
        <f t="shared" si="845"/>
        <v>35000</v>
      </c>
      <c r="BD696" s="10">
        <v>10166</v>
      </c>
      <c r="BE696" s="10">
        <v>28500</v>
      </c>
      <c r="BF696" s="10"/>
      <c r="BG696" s="268">
        <v>31000</v>
      </c>
      <c r="BH696" s="10">
        <v>30000</v>
      </c>
      <c r="BI696" s="76">
        <f t="shared" si="846"/>
        <v>29833.333333333332</v>
      </c>
      <c r="BJ696" s="24">
        <f t="shared" si="847"/>
        <v>19667.333333333332</v>
      </c>
      <c r="BK696" s="25">
        <f t="shared" si="848"/>
        <v>1.9346186635189191</v>
      </c>
      <c r="BL696" s="259">
        <f t="shared" si="849"/>
        <v>29833.333333333332</v>
      </c>
      <c r="BM696" s="10">
        <v>11353</v>
      </c>
      <c r="BN696" s="45"/>
      <c r="BO696" s="45">
        <v>13195</v>
      </c>
      <c r="BP696" s="45">
        <v>45000</v>
      </c>
      <c r="BQ696" s="29">
        <f t="shared" si="850"/>
        <v>29097.5</v>
      </c>
      <c r="BR696" s="24">
        <f t="shared" si="851"/>
        <v>17744.5</v>
      </c>
      <c r="BS696" s="25">
        <f t="shared" si="852"/>
        <v>1.5629789482956047</v>
      </c>
      <c r="BT696" s="308">
        <f t="shared" si="853"/>
        <v>29097.5</v>
      </c>
    </row>
    <row r="697" spans="1:72" ht="34.35" customHeight="1">
      <c r="A697" s="91" t="s">
        <v>31</v>
      </c>
      <c r="B697" s="358" t="s">
        <v>2889</v>
      </c>
      <c r="C697" s="50" t="s">
        <v>319</v>
      </c>
      <c r="D697" s="99" t="s">
        <v>659</v>
      </c>
      <c r="E697" s="48" t="s">
        <v>13</v>
      </c>
      <c r="F697" s="10">
        <v>62778</v>
      </c>
      <c r="G697" s="31">
        <v>81648</v>
      </c>
      <c r="H697" s="33">
        <v>106142</v>
      </c>
      <c r="I697" s="36">
        <v>71366.399999999994</v>
      </c>
      <c r="J697" s="29">
        <f t="shared" si="804"/>
        <v>86385.46666666666</v>
      </c>
      <c r="K697" s="24">
        <f t="shared" si="805"/>
        <v>23607.46666666666</v>
      </c>
      <c r="L697" s="25">
        <f t="shared" si="806"/>
        <v>0.3760468104537682</v>
      </c>
      <c r="M697" s="69" t="str">
        <f t="shared" si="807"/>
        <v>REVISAR PRECIO</v>
      </c>
      <c r="N697" s="77">
        <f t="shared" si="803"/>
        <v>86385.46666666666</v>
      </c>
      <c r="O697" s="73">
        <v>39868</v>
      </c>
      <c r="P697" s="74">
        <v>60570.499999999993</v>
      </c>
      <c r="Q697" s="74">
        <v>90000</v>
      </c>
      <c r="R697" s="75">
        <v>69787.749999999985</v>
      </c>
      <c r="S697" s="61">
        <v>60570.499999999985</v>
      </c>
      <c r="T697" s="60">
        <v>90000</v>
      </c>
      <c r="U697" s="74">
        <v>69656.074999999983</v>
      </c>
      <c r="V697" s="76">
        <f t="shared" si="826"/>
        <v>73430.804166666654</v>
      </c>
      <c r="W697" s="24">
        <f t="shared" si="827"/>
        <v>33562.804166666654</v>
      </c>
      <c r="X697" s="25">
        <f t="shared" si="828"/>
        <v>0.84184820323734966</v>
      </c>
      <c r="Y697" s="77" t="str">
        <f t="shared" si="829"/>
        <v>REVISAR PRECIO</v>
      </c>
      <c r="Z697" s="106">
        <f t="shared" si="830"/>
        <v>73430.804166666654</v>
      </c>
      <c r="AA697" s="73">
        <v>39868</v>
      </c>
      <c r="AB697" s="88">
        <v>60000</v>
      </c>
      <c r="AC697" s="116">
        <v>60000</v>
      </c>
      <c r="AD697" s="74">
        <v>57936.999999999993</v>
      </c>
      <c r="AE697" s="76">
        <f t="shared" si="831"/>
        <v>59312.333333333336</v>
      </c>
      <c r="AF697" s="24">
        <f t="shared" si="832"/>
        <v>19444.333333333336</v>
      </c>
      <c r="AG697" s="25">
        <f t="shared" si="833"/>
        <v>0.48771780208019805</v>
      </c>
      <c r="AH697" s="77" t="str">
        <f t="shared" si="834"/>
        <v>REVISAR PRECIO</v>
      </c>
      <c r="AI697" s="77">
        <f t="shared" si="835"/>
        <v>59312.333333333336</v>
      </c>
      <c r="AJ697" s="73">
        <v>39868</v>
      </c>
      <c r="AK697" s="79">
        <v>69787.749999999985</v>
      </c>
      <c r="AL697" s="79">
        <f>45800*1.15</f>
        <v>52669.999999999993</v>
      </c>
      <c r="AM697" s="127">
        <v>63203.999999999993</v>
      </c>
      <c r="AN697" s="128">
        <v>63000</v>
      </c>
      <c r="AO697" s="128">
        <v>60000</v>
      </c>
      <c r="AP697" s="133">
        <f t="shared" si="836"/>
        <v>61732.35</v>
      </c>
      <c r="AQ697" s="127">
        <f t="shared" si="837"/>
        <v>21864.35</v>
      </c>
      <c r="AR697" s="134">
        <f t="shared" si="838"/>
        <v>0.54841853115280426</v>
      </c>
      <c r="AS697" s="132">
        <f t="shared" si="839"/>
        <v>61732.35</v>
      </c>
      <c r="AT697" s="10">
        <v>11183</v>
      </c>
      <c r="AU697" s="10">
        <v>35160</v>
      </c>
      <c r="AV697" s="167">
        <v>70320</v>
      </c>
      <c r="AW697" s="201">
        <v>33000</v>
      </c>
      <c r="AX697" s="29">
        <f t="shared" si="840"/>
        <v>34080</v>
      </c>
      <c r="AY697" s="24">
        <f t="shared" si="841"/>
        <v>22897</v>
      </c>
      <c r="AZ697" s="25">
        <f t="shared" si="842"/>
        <v>2.0474827863721718</v>
      </c>
      <c r="BA697" s="24">
        <f t="shared" si="843"/>
        <v>59137</v>
      </c>
      <c r="BB697" s="169">
        <f t="shared" si="844"/>
        <v>5.2881158901904675</v>
      </c>
      <c r="BC697" s="170">
        <f t="shared" si="845"/>
        <v>34080</v>
      </c>
      <c r="BD697" s="10">
        <v>35882</v>
      </c>
      <c r="BE697" s="10">
        <v>210000</v>
      </c>
      <c r="BF697" s="10"/>
      <c r="BG697" s="268">
        <v>220000</v>
      </c>
      <c r="BH697" s="10">
        <v>250000</v>
      </c>
      <c r="BI697" s="76">
        <f t="shared" si="846"/>
        <v>226666.66666666666</v>
      </c>
      <c r="BJ697" s="24">
        <f t="shared" si="847"/>
        <v>190784.66666666666</v>
      </c>
      <c r="BK697" s="25">
        <f t="shared" si="848"/>
        <v>5.3170020251565315</v>
      </c>
      <c r="BL697" s="259">
        <f t="shared" si="849"/>
        <v>226666.66666666666</v>
      </c>
      <c r="BM697" s="10">
        <v>39868</v>
      </c>
      <c r="BN697" s="45"/>
      <c r="BO697" s="45">
        <v>47036</v>
      </c>
      <c r="BP697" s="45">
        <v>70000</v>
      </c>
      <c r="BQ697" s="29">
        <f t="shared" si="850"/>
        <v>58518</v>
      </c>
      <c r="BR697" s="24">
        <f t="shared" si="851"/>
        <v>18650</v>
      </c>
      <c r="BS697" s="25">
        <f t="shared" si="852"/>
        <v>0.46779371927360291</v>
      </c>
      <c r="BT697" s="308">
        <f t="shared" si="853"/>
        <v>58518</v>
      </c>
    </row>
    <row r="698" spans="1:72" ht="34.35" customHeight="1">
      <c r="A698" s="91" t="s">
        <v>31</v>
      </c>
      <c r="B698" s="358" t="s">
        <v>2890</v>
      </c>
      <c r="C698" s="50" t="s">
        <v>320</v>
      </c>
      <c r="D698" s="99" t="s">
        <v>660</v>
      </c>
      <c r="E698" s="48" t="s">
        <v>13</v>
      </c>
      <c r="F698" s="10">
        <v>71840</v>
      </c>
      <c r="G698" s="31">
        <v>93434</v>
      </c>
      <c r="H698" s="31">
        <v>121464</v>
      </c>
      <c r="I698" s="36">
        <v>81667.8</v>
      </c>
      <c r="J698" s="29">
        <f t="shared" si="804"/>
        <v>98855.266666666663</v>
      </c>
      <c r="K698" s="24">
        <f t="shared" si="805"/>
        <v>27015.266666666663</v>
      </c>
      <c r="L698" s="25">
        <f t="shared" si="806"/>
        <v>0.37604769858945802</v>
      </c>
      <c r="M698" s="69" t="str">
        <f t="shared" si="807"/>
        <v>REVISAR PRECIO</v>
      </c>
      <c r="N698" s="77">
        <f t="shared" si="803"/>
        <v>98855.266666666663</v>
      </c>
      <c r="O698" s="73">
        <v>45621</v>
      </c>
      <c r="P698" s="74">
        <v>72930.239999999991</v>
      </c>
      <c r="Q698" s="74">
        <v>100000</v>
      </c>
      <c r="R698" s="75">
        <v>84028.319999999992</v>
      </c>
      <c r="S698" s="61">
        <v>72930.239999999991</v>
      </c>
      <c r="T698" s="60">
        <v>90000</v>
      </c>
      <c r="U698" s="74">
        <v>83869.775999999983</v>
      </c>
      <c r="V698" s="76">
        <f t="shared" si="826"/>
        <v>83959.762666666662</v>
      </c>
      <c r="W698" s="24">
        <f t="shared" si="827"/>
        <v>38338.762666666662</v>
      </c>
      <c r="X698" s="25">
        <f t="shared" si="828"/>
        <v>0.84037532422933869</v>
      </c>
      <c r="Y698" s="77" t="str">
        <f t="shared" si="829"/>
        <v>REVISAR PRECIO</v>
      </c>
      <c r="Z698" s="106">
        <f t="shared" si="830"/>
        <v>83959.762666666662</v>
      </c>
      <c r="AA698" s="73">
        <v>45621</v>
      </c>
      <c r="AB698" s="88">
        <v>70000</v>
      </c>
      <c r="AC698" s="116">
        <v>70000</v>
      </c>
      <c r="AD698" s="74">
        <v>69759.360000000001</v>
      </c>
      <c r="AE698" s="76">
        <f t="shared" si="831"/>
        <v>69919.786666666667</v>
      </c>
      <c r="AF698" s="24">
        <f t="shared" si="832"/>
        <v>24298.786666666667</v>
      </c>
      <c r="AG698" s="25">
        <f t="shared" si="833"/>
        <v>0.53262284181992214</v>
      </c>
      <c r="AH698" s="77" t="str">
        <f t="shared" si="834"/>
        <v>REVISAR PRECIO</v>
      </c>
      <c r="AI698" s="77">
        <f t="shared" si="835"/>
        <v>69919.786666666667</v>
      </c>
      <c r="AJ698" s="73">
        <v>45621</v>
      </c>
      <c r="AK698" s="79">
        <v>84028.319999999992</v>
      </c>
      <c r="AL698" s="79">
        <f>52848*1.2</f>
        <v>63417.599999999999</v>
      </c>
      <c r="AM698" s="127">
        <v>76101.119999999995</v>
      </c>
      <c r="AN698" s="128">
        <v>80000</v>
      </c>
      <c r="AO698" s="128">
        <v>70000</v>
      </c>
      <c r="AP698" s="133">
        <f t="shared" si="836"/>
        <v>74709.407999999996</v>
      </c>
      <c r="AQ698" s="127">
        <f t="shared" si="837"/>
        <v>29088.407999999996</v>
      </c>
      <c r="AR698" s="134">
        <f t="shared" si="838"/>
        <v>0.63761004800420851</v>
      </c>
      <c r="AS698" s="132">
        <f t="shared" si="839"/>
        <v>74709.407999999996</v>
      </c>
      <c r="AT698" s="10">
        <v>39869</v>
      </c>
      <c r="AU698" s="10">
        <v>52670</v>
      </c>
      <c r="AV698" s="167">
        <v>105340</v>
      </c>
      <c r="AW698" s="168">
        <v>51200</v>
      </c>
      <c r="AX698" s="29">
        <f t="shared" si="840"/>
        <v>51935</v>
      </c>
      <c r="AY698" s="24">
        <f t="shared" si="841"/>
        <v>12066</v>
      </c>
      <c r="AZ698" s="25">
        <f t="shared" si="842"/>
        <v>0.30264114976548195</v>
      </c>
      <c r="BA698" s="24">
        <f t="shared" si="843"/>
        <v>65471</v>
      </c>
      <c r="BB698" s="169">
        <f t="shared" si="844"/>
        <v>1.6421530512428202</v>
      </c>
      <c r="BC698" s="170">
        <f t="shared" si="845"/>
        <v>51935</v>
      </c>
      <c r="BD698" s="10">
        <v>41064</v>
      </c>
      <c r="BE698" s="10">
        <v>225000</v>
      </c>
      <c r="BF698" s="10"/>
      <c r="BG698" s="268">
        <v>231000</v>
      </c>
      <c r="BH698" s="10">
        <v>250000</v>
      </c>
      <c r="BI698" s="76">
        <f t="shared" si="846"/>
        <v>235333.33333333334</v>
      </c>
      <c r="BJ698" s="24">
        <f t="shared" si="847"/>
        <v>194269.33333333334</v>
      </c>
      <c r="BK698" s="25">
        <f t="shared" si="848"/>
        <v>4.7308916163387238</v>
      </c>
      <c r="BL698" s="259">
        <f t="shared" si="849"/>
        <v>235333.33333333334</v>
      </c>
      <c r="BM698" s="10">
        <v>45621</v>
      </c>
      <c r="BN698" s="45"/>
      <c r="BO698" s="45">
        <v>53829</v>
      </c>
      <c r="BP698" s="45">
        <v>75000</v>
      </c>
      <c r="BQ698" s="29">
        <f t="shared" si="850"/>
        <v>64414.5</v>
      </c>
      <c r="BR698" s="24">
        <f t="shared" si="851"/>
        <v>18793.5</v>
      </c>
      <c r="BS698" s="25">
        <f t="shared" si="852"/>
        <v>0.41194844479516013</v>
      </c>
      <c r="BT698" s="308">
        <f t="shared" si="853"/>
        <v>64414.5</v>
      </c>
    </row>
    <row r="699" spans="1:72" ht="34.35" customHeight="1">
      <c r="A699" s="91" t="s">
        <v>31</v>
      </c>
      <c r="B699" s="358" t="s">
        <v>2891</v>
      </c>
      <c r="C699" s="50" t="s">
        <v>321</v>
      </c>
      <c r="D699" s="99" t="s">
        <v>661</v>
      </c>
      <c r="E699" s="48" t="s">
        <v>12</v>
      </c>
      <c r="F699" s="10">
        <v>26760</v>
      </c>
      <c r="G699" s="31">
        <v>34803</v>
      </c>
      <c r="H699" s="33">
        <v>45244</v>
      </c>
      <c r="I699" s="37">
        <v>30420</v>
      </c>
      <c r="J699" s="29">
        <f t="shared" si="804"/>
        <v>36822.333333333336</v>
      </c>
      <c r="K699" s="24">
        <f t="shared" si="805"/>
        <v>10062.333333333336</v>
      </c>
      <c r="L699" s="25">
        <f t="shared" si="806"/>
        <v>0.3760214250124565</v>
      </c>
      <c r="M699" s="69" t="str">
        <f t="shared" si="807"/>
        <v>REVISAR PRECIO</v>
      </c>
      <c r="N699" s="77">
        <f t="shared" si="803"/>
        <v>36822.333333333336</v>
      </c>
      <c r="O699" s="73">
        <v>16991</v>
      </c>
      <c r="P699" s="74">
        <v>24150</v>
      </c>
      <c r="Q699" s="74">
        <v>55000</v>
      </c>
      <c r="R699" s="75">
        <v>27825</v>
      </c>
      <c r="S699" s="61">
        <v>26909.999999999996</v>
      </c>
      <c r="T699" s="60">
        <v>50000</v>
      </c>
      <c r="U699" s="74">
        <v>30946.499999999993</v>
      </c>
      <c r="V699" s="76">
        <f t="shared" si="826"/>
        <v>35805.25</v>
      </c>
      <c r="W699" s="24">
        <f t="shared" si="827"/>
        <v>18814.25</v>
      </c>
      <c r="X699" s="25">
        <f t="shared" si="828"/>
        <v>1.1073068094873757</v>
      </c>
      <c r="Y699" s="77" t="str">
        <f t="shared" si="829"/>
        <v>REVISAR PRECIO</v>
      </c>
      <c r="Z699" s="106">
        <f t="shared" si="830"/>
        <v>35805.25</v>
      </c>
      <c r="AA699" s="73">
        <v>16991</v>
      </c>
      <c r="AB699" s="88">
        <v>25000</v>
      </c>
      <c r="AC699" s="116">
        <v>25000</v>
      </c>
      <c r="AD699" s="74">
        <v>23100</v>
      </c>
      <c r="AE699" s="76">
        <f t="shared" si="831"/>
        <v>24366.666666666668</v>
      </c>
      <c r="AF699" s="24">
        <f t="shared" si="832"/>
        <v>7375.6666666666679</v>
      </c>
      <c r="AG699" s="25">
        <f t="shared" si="833"/>
        <v>0.43409255880564229</v>
      </c>
      <c r="AH699" s="77" t="str">
        <f t="shared" si="834"/>
        <v>REVISAR PRECIO</v>
      </c>
      <c r="AI699" s="77">
        <f t="shared" si="835"/>
        <v>24366.666666666668</v>
      </c>
      <c r="AJ699" s="73">
        <v>16991</v>
      </c>
      <c r="AK699" s="79">
        <v>27825</v>
      </c>
      <c r="AL699" s="79">
        <f>+AL695*0.6</f>
        <v>21000</v>
      </c>
      <c r="AM699" s="127">
        <v>25200</v>
      </c>
      <c r="AN699" s="128">
        <v>18000</v>
      </c>
      <c r="AO699" s="128">
        <v>20000</v>
      </c>
      <c r="AP699" s="133">
        <f t="shared" si="836"/>
        <v>22405</v>
      </c>
      <c r="AQ699" s="127">
        <f t="shared" si="837"/>
        <v>5414</v>
      </c>
      <c r="AR699" s="134">
        <f t="shared" si="838"/>
        <v>0.3186392796186216</v>
      </c>
      <c r="AS699" s="132">
        <f t="shared" si="839"/>
        <v>22405</v>
      </c>
      <c r="AT699" s="10">
        <v>45621</v>
      </c>
      <c r="AU699" s="10">
        <v>63418</v>
      </c>
      <c r="AV699" s="167">
        <v>126836</v>
      </c>
      <c r="AW699" s="168">
        <v>58700</v>
      </c>
      <c r="AX699" s="29">
        <f t="shared" si="840"/>
        <v>61059</v>
      </c>
      <c r="AY699" s="24">
        <f t="shared" si="841"/>
        <v>15438</v>
      </c>
      <c r="AZ699" s="25">
        <f t="shared" si="842"/>
        <v>0.33839679095153546</v>
      </c>
      <c r="BA699" s="24">
        <f t="shared" si="843"/>
        <v>81215</v>
      </c>
      <c r="BB699" s="169">
        <f t="shared" si="844"/>
        <v>1.7802108678021087</v>
      </c>
      <c r="BC699" s="170">
        <f t="shared" si="845"/>
        <v>61059</v>
      </c>
      <c r="BD699" s="10">
        <v>15140</v>
      </c>
      <c r="BE699" s="10">
        <v>55000</v>
      </c>
      <c r="BF699" s="10"/>
      <c r="BG699" s="268">
        <v>60000</v>
      </c>
      <c r="BH699" s="10">
        <v>60000</v>
      </c>
      <c r="BI699" s="76">
        <f t="shared" si="846"/>
        <v>58333.333333333336</v>
      </c>
      <c r="BJ699" s="24">
        <f t="shared" si="847"/>
        <v>43193.333333333336</v>
      </c>
      <c r="BK699" s="25">
        <f t="shared" si="848"/>
        <v>2.8529282254513433</v>
      </c>
      <c r="BL699" s="259">
        <f t="shared" si="849"/>
        <v>58333.333333333336</v>
      </c>
      <c r="BM699" s="10">
        <v>16906</v>
      </c>
      <c r="BN699" s="45"/>
      <c r="BO699" s="45">
        <v>19656</v>
      </c>
      <c r="BP699" s="45">
        <v>25000</v>
      </c>
      <c r="BQ699" s="29">
        <f t="shared" si="850"/>
        <v>22328</v>
      </c>
      <c r="BR699" s="24">
        <f t="shared" si="851"/>
        <v>5422</v>
      </c>
      <c r="BS699" s="25">
        <f t="shared" si="852"/>
        <v>0.32071453921684612</v>
      </c>
      <c r="BT699" s="308">
        <f t="shared" si="853"/>
        <v>22328</v>
      </c>
    </row>
    <row r="700" spans="1:72" ht="34.35" customHeight="1">
      <c r="A700" s="91" t="s">
        <v>31</v>
      </c>
      <c r="B700" s="358" t="s">
        <v>2892</v>
      </c>
      <c r="C700" s="50" t="s">
        <v>322</v>
      </c>
      <c r="D700" s="99" t="s">
        <v>662</v>
      </c>
      <c r="E700" s="48" t="s">
        <v>12</v>
      </c>
      <c r="F700" s="10">
        <v>159458</v>
      </c>
      <c r="G700" s="31">
        <v>207387</v>
      </c>
      <c r="H700" s="33">
        <v>269603</v>
      </c>
      <c r="I700" s="36">
        <v>181271.6</v>
      </c>
      <c r="J700" s="29">
        <f t="shared" si="804"/>
        <v>219420.53333333333</v>
      </c>
      <c r="K700" s="24">
        <f t="shared" si="805"/>
        <v>59962.533333333326</v>
      </c>
      <c r="L700" s="25">
        <f t="shared" si="806"/>
        <v>0.37603966770769309</v>
      </c>
      <c r="M700" s="69" t="str">
        <f t="shared" si="807"/>
        <v>REVISAR PRECIO</v>
      </c>
      <c r="N700" s="77">
        <f t="shared" si="803"/>
        <v>219420.53333333333</v>
      </c>
      <c r="O700" s="73">
        <v>101265</v>
      </c>
      <c r="P700" s="74">
        <v>124200</v>
      </c>
      <c r="Q700" s="74">
        <v>160000</v>
      </c>
      <c r="R700" s="75">
        <v>143100</v>
      </c>
      <c r="S700" s="61">
        <v>495074.99999999994</v>
      </c>
      <c r="T700" s="60">
        <v>180000</v>
      </c>
      <c r="U700" s="74">
        <v>569336.24999999988</v>
      </c>
      <c r="V700" s="76">
        <f t="shared" si="826"/>
        <v>278618.54166666669</v>
      </c>
      <c r="W700" s="24">
        <f t="shared" si="827"/>
        <v>177353.54166666669</v>
      </c>
      <c r="X700" s="25">
        <f t="shared" si="828"/>
        <v>1.7513804539245217</v>
      </c>
      <c r="Y700" s="77" t="str">
        <f t="shared" si="829"/>
        <v>REVISAR PRECIO</v>
      </c>
      <c r="Z700" s="106">
        <f t="shared" si="830"/>
        <v>278618.54166666669</v>
      </c>
      <c r="AA700" s="73">
        <v>101265</v>
      </c>
      <c r="AB700" s="88">
        <v>250000</v>
      </c>
      <c r="AC700" s="116">
        <v>250000</v>
      </c>
      <c r="AD700" s="74">
        <v>118800</v>
      </c>
      <c r="AE700" s="76">
        <f t="shared" si="831"/>
        <v>206266.66666666666</v>
      </c>
      <c r="AF700" s="24">
        <f t="shared" si="832"/>
        <v>105001.66666666666</v>
      </c>
      <c r="AG700" s="25">
        <f t="shared" si="833"/>
        <v>1.0368998831448837</v>
      </c>
      <c r="AH700" s="77" t="str">
        <f t="shared" si="834"/>
        <v>REVISAR PRECIO</v>
      </c>
      <c r="AI700" s="77">
        <f t="shared" si="835"/>
        <v>206266.66666666666</v>
      </c>
      <c r="AJ700" s="73">
        <v>101265</v>
      </c>
      <c r="AK700" s="79">
        <v>143100</v>
      </c>
      <c r="AL700" s="79">
        <f>180000*0.6</f>
        <v>108000</v>
      </c>
      <c r="AM700" s="127">
        <v>129600</v>
      </c>
      <c r="AN700" s="128">
        <v>104000</v>
      </c>
      <c r="AO700" s="128">
        <v>110000</v>
      </c>
      <c r="AP700" s="133">
        <f t="shared" si="836"/>
        <v>118940</v>
      </c>
      <c r="AQ700" s="127">
        <f t="shared" si="837"/>
        <v>17675</v>
      </c>
      <c r="AR700" s="134">
        <f t="shared" si="838"/>
        <v>0.17454204315410063</v>
      </c>
      <c r="AS700" s="132">
        <f t="shared" si="839"/>
        <v>118940</v>
      </c>
      <c r="AT700" s="10">
        <v>16660</v>
      </c>
      <c r="AU700" s="10">
        <v>21000</v>
      </c>
      <c r="AV700" s="167">
        <v>21000</v>
      </c>
      <c r="AW700" s="168">
        <v>20000</v>
      </c>
      <c r="AX700" s="29">
        <f t="shared" si="840"/>
        <v>20500</v>
      </c>
      <c r="AY700" s="24">
        <f t="shared" si="841"/>
        <v>3840</v>
      </c>
      <c r="AZ700" s="25">
        <f t="shared" si="842"/>
        <v>0.2304921968787515</v>
      </c>
      <c r="BA700" s="24">
        <f t="shared" si="843"/>
        <v>4340</v>
      </c>
      <c r="BB700" s="169">
        <f t="shared" si="844"/>
        <v>0.26050420168067229</v>
      </c>
      <c r="BC700" s="170">
        <f t="shared" si="845"/>
        <v>20500</v>
      </c>
      <c r="BD700" s="10">
        <v>90235</v>
      </c>
      <c r="BE700" s="10">
        <v>235000</v>
      </c>
      <c r="BF700" s="10"/>
      <c r="BG700" s="268">
        <v>245000</v>
      </c>
      <c r="BH700" s="10">
        <v>250000</v>
      </c>
      <c r="BI700" s="76">
        <f t="shared" si="846"/>
        <v>243333.33333333334</v>
      </c>
      <c r="BJ700" s="24">
        <f t="shared" si="847"/>
        <v>153098.33333333334</v>
      </c>
      <c r="BK700" s="25">
        <f t="shared" si="848"/>
        <v>1.6966624184998431</v>
      </c>
      <c r="BL700" s="259">
        <f t="shared" si="849"/>
        <v>243333.33333333334</v>
      </c>
      <c r="BM700" s="10">
        <v>100762</v>
      </c>
      <c r="BN700" s="45"/>
      <c r="BO700" s="45">
        <v>117141</v>
      </c>
      <c r="BP700" s="45">
        <v>115000</v>
      </c>
      <c r="BQ700" s="29">
        <f t="shared" si="850"/>
        <v>116070.5</v>
      </c>
      <c r="BR700" s="24">
        <f t="shared" si="851"/>
        <v>15308.5</v>
      </c>
      <c r="BS700" s="25">
        <f t="shared" si="852"/>
        <v>0.15192731386832337</v>
      </c>
      <c r="BT700" s="308">
        <f t="shared" si="853"/>
        <v>116070.5</v>
      </c>
    </row>
    <row r="701" spans="1:72" ht="34.35" customHeight="1">
      <c r="A701" s="91" t="s">
        <v>31</v>
      </c>
      <c r="B701" s="358" t="s">
        <v>2893</v>
      </c>
      <c r="C701" s="50" t="s">
        <v>323</v>
      </c>
      <c r="D701" s="99" t="s">
        <v>663</v>
      </c>
      <c r="E701" s="48" t="s">
        <v>12</v>
      </c>
      <c r="F701" s="10">
        <v>35188</v>
      </c>
      <c r="G701" s="31">
        <v>45765</v>
      </c>
      <c r="H701" s="31">
        <v>59495</v>
      </c>
      <c r="I701" s="36">
        <v>40002</v>
      </c>
      <c r="J701" s="29">
        <f t="shared" si="804"/>
        <v>48420.666666666664</v>
      </c>
      <c r="K701" s="24">
        <f t="shared" si="805"/>
        <v>13232.666666666664</v>
      </c>
      <c r="L701" s="25">
        <f t="shared" si="806"/>
        <v>0.37605623129097032</v>
      </c>
      <c r="M701" s="69" t="str">
        <f t="shared" si="807"/>
        <v>REVISAR PRECIO</v>
      </c>
      <c r="N701" s="77">
        <f t="shared" si="803"/>
        <v>48420.666666666664</v>
      </c>
      <c r="O701" s="73">
        <v>22345</v>
      </c>
      <c r="P701" s="74">
        <v>16311.185999999998</v>
      </c>
      <c r="Q701" s="74">
        <v>40000</v>
      </c>
      <c r="R701" s="75">
        <v>18793.322999999997</v>
      </c>
      <c r="S701" s="61">
        <v>16311.185999999996</v>
      </c>
      <c r="T701" s="60">
        <v>70000</v>
      </c>
      <c r="U701" s="74">
        <v>18757.863899999993</v>
      </c>
      <c r="V701" s="76">
        <f t="shared" si="826"/>
        <v>30028.926483333333</v>
      </c>
      <c r="W701" s="24">
        <f t="shared" si="827"/>
        <v>7683.9264833333327</v>
      </c>
      <c r="X701" s="25">
        <f t="shared" si="828"/>
        <v>0.34387677258148724</v>
      </c>
      <c r="Y701" s="77">
        <f t="shared" si="829"/>
        <v>30028.926483333333</v>
      </c>
      <c r="Z701" s="106">
        <f t="shared" si="830"/>
        <v>30028.926483333333</v>
      </c>
      <c r="AA701" s="73">
        <v>22345</v>
      </c>
      <c r="AB701" s="88">
        <v>20000</v>
      </c>
      <c r="AC701" s="116">
        <v>20000</v>
      </c>
      <c r="AD701" s="74">
        <v>15602.003999999997</v>
      </c>
      <c r="AE701" s="76">
        <f t="shared" si="831"/>
        <v>18534.001333333334</v>
      </c>
      <c r="AF701" s="24">
        <f t="shared" si="832"/>
        <v>-3810.9986666666664</v>
      </c>
      <c r="AG701" s="25">
        <f t="shared" si="833"/>
        <v>-0.17055263668233012</v>
      </c>
      <c r="AH701" s="77">
        <f t="shared" si="834"/>
        <v>18534.001333333334</v>
      </c>
      <c r="AI701" s="77">
        <f t="shared" si="835"/>
        <v>18534.001333333334</v>
      </c>
      <c r="AJ701" s="73">
        <v>22345</v>
      </c>
      <c r="AK701" s="79">
        <v>18793.322999999997</v>
      </c>
      <c r="AL701" s="79">
        <f>+AL640*0.6</f>
        <v>14183.639999999998</v>
      </c>
      <c r="AM701" s="127">
        <v>17020.367999999999</v>
      </c>
      <c r="AN701" s="128">
        <v>13900</v>
      </c>
      <c r="AO701" s="128">
        <v>15000</v>
      </c>
      <c r="AP701" s="133">
        <f t="shared" si="836"/>
        <v>15779.466199999999</v>
      </c>
      <c r="AQ701" s="127">
        <f t="shared" si="837"/>
        <v>-6565.5338000000011</v>
      </c>
      <c r="AR701" s="134">
        <f t="shared" si="838"/>
        <v>-0.29382563437010523</v>
      </c>
      <c r="AS701" s="132">
        <f t="shared" si="839"/>
        <v>15779.466199999999</v>
      </c>
      <c r="AT701" s="10">
        <v>99282</v>
      </c>
      <c r="AU701" s="10">
        <v>108000</v>
      </c>
      <c r="AV701" s="167">
        <v>108000</v>
      </c>
      <c r="AW701" s="168">
        <v>107600</v>
      </c>
      <c r="AX701" s="29">
        <f t="shared" si="840"/>
        <v>107800</v>
      </c>
      <c r="AY701" s="24">
        <f t="shared" si="841"/>
        <v>8518</v>
      </c>
      <c r="AZ701" s="25">
        <f t="shared" si="842"/>
        <v>8.5796015390503813E-2</v>
      </c>
      <c r="BA701" s="24">
        <f t="shared" si="843"/>
        <v>8718</v>
      </c>
      <c r="BB701" s="169">
        <f t="shared" si="844"/>
        <v>8.7810479240950021E-2</v>
      </c>
      <c r="BC701" s="170">
        <f t="shared" si="845"/>
        <v>107800</v>
      </c>
      <c r="BD701" s="10">
        <v>19916</v>
      </c>
      <c r="BE701" s="10">
        <v>55000</v>
      </c>
      <c r="BF701" s="10"/>
      <c r="BG701" s="268">
        <v>61000</v>
      </c>
      <c r="BH701" s="10">
        <v>60000</v>
      </c>
      <c r="BI701" s="76">
        <f t="shared" si="846"/>
        <v>58666.666666666664</v>
      </c>
      <c r="BJ701" s="24">
        <f t="shared" si="847"/>
        <v>38750.666666666664</v>
      </c>
      <c r="BK701" s="25">
        <f t="shared" si="848"/>
        <v>1.9457052955747471</v>
      </c>
      <c r="BL701" s="259">
        <f t="shared" si="849"/>
        <v>58666.666666666664</v>
      </c>
      <c r="BM701" s="10">
        <v>22231</v>
      </c>
      <c r="BN701" s="45"/>
      <c r="BO701" s="45">
        <v>25848</v>
      </c>
      <c r="BP701" s="45">
        <v>18000</v>
      </c>
      <c r="BQ701" s="29">
        <f t="shared" si="850"/>
        <v>21924</v>
      </c>
      <c r="BR701" s="24">
        <f t="shared" si="851"/>
        <v>-307</v>
      </c>
      <c r="BS701" s="25">
        <f t="shared" si="852"/>
        <v>-1.3809545229634294E-2</v>
      </c>
      <c r="BT701" s="308">
        <f t="shared" si="853"/>
        <v>21924</v>
      </c>
    </row>
    <row r="702" spans="1:72" ht="34.35" customHeight="1">
      <c r="A702" s="91" t="s">
        <v>31</v>
      </c>
      <c r="B702" s="358" t="s">
        <v>2894</v>
      </c>
      <c r="C702" s="50" t="s">
        <v>324</v>
      </c>
      <c r="D702" s="99" t="s">
        <v>664</v>
      </c>
      <c r="E702" s="48" t="s">
        <v>11</v>
      </c>
      <c r="F702" s="10">
        <v>107952</v>
      </c>
      <c r="G702" s="31">
        <v>140400</v>
      </c>
      <c r="H702" s="33">
        <v>182520</v>
      </c>
      <c r="I702" s="36">
        <v>122720</v>
      </c>
      <c r="J702" s="29">
        <f t="shared" si="804"/>
        <v>148546.66666666666</v>
      </c>
      <c r="K702" s="24">
        <f t="shared" si="805"/>
        <v>40594.666666666657</v>
      </c>
      <c r="L702" s="25">
        <f t="shared" si="806"/>
        <v>0.37604367373153491</v>
      </c>
      <c r="M702" s="69" t="str">
        <f t="shared" si="807"/>
        <v>REVISAR PRECIO</v>
      </c>
      <c r="N702" s="77">
        <f t="shared" si="803"/>
        <v>148546.66666666666</v>
      </c>
      <c r="O702" s="73">
        <v>75939</v>
      </c>
      <c r="P702" s="74">
        <v>2875</v>
      </c>
      <c r="Q702" s="74">
        <v>65000</v>
      </c>
      <c r="R702" s="75">
        <v>3312.5</v>
      </c>
      <c r="S702" s="61">
        <v>8625</v>
      </c>
      <c r="T702" s="60"/>
      <c r="U702" s="74">
        <v>9918.75</v>
      </c>
      <c r="V702" s="76">
        <f t="shared" si="826"/>
        <v>17946.25</v>
      </c>
      <c r="W702" s="24">
        <f t="shared" si="827"/>
        <v>-57992.75</v>
      </c>
      <c r="X702" s="25">
        <f t="shared" si="828"/>
        <v>-0.76367545003226278</v>
      </c>
      <c r="Y702" s="77">
        <f t="shared" si="829"/>
        <v>17946.25</v>
      </c>
      <c r="Z702" s="106">
        <f t="shared" si="830"/>
        <v>17946.25</v>
      </c>
      <c r="AA702" s="73">
        <v>75939</v>
      </c>
      <c r="AB702" s="88">
        <v>3000</v>
      </c>
      <c r="AC702" s="116">
        <v>3600</v>
      </c>
      <c r="AD702" s="74">
        <v>2750</v>
      </c>
      <c r="AE702" s="76">
        <f t="shared" si="831"/>
        <v>3116.6666666666665</v>
      </c>
      <c r="AF702" s="24">
        <f t="shared" si="832"/>
        <v>-72822.333333333328</v>
      </c>
      <c r="AG702" s="25">
        <f t="shared" si="833"/>
        <v>-0.9589582866950227</v>
      </c>
      <c r="AH702" s="77">
        <f t="shared" si="834"/>
        <v>3116.6666666666665</v>
      </c>
      <c r="AI702" s="77">
        <f t="shared" si="835"/>
        <v>3116.6666666666665</v>
      </c>
      <c r="AJ702" s="73">
        <v>75939</v>
      </c>
      <c r="AK702" s="79">
        <v>3312.5</v>
      </c>
      <c r="AL702" s="79">
        <v>2500</v>
      </c>
      <c r="AM702" s="127">
        <v>3000</v>
      </c>
      <c r="AN702" s="128">
        <v>3000</v>
      </c>
      <c r="AO702" s="128">
        <v>3000</v>
      </c>
      <c r="AP702" s="129">
        <f t="shared" si="836"/>
        <v>2962.5</v>
      </c>
      <c r="AQ702" s="130">
        <f t="shared" si="837"/>
        <v>-72976.5</v>
      </c>
      <c r="AR702" s="131">
        <f t="shared" si="838"/>
        <v>-0.96098842492000158</v>
      </c>
      <c r="AS702" s="132">
        <f t="shared" si="839"/>
        <v>2962.5</v>
      </c>
      <c r="AT702" s="10">
        <v>21910</v>
      </c>
      <c r="AU702" s="10">
        <v>14184</v>
      </c>
      <c r="AV702" s="167">
        <v>42552</v>
      </c>
      <c r="AW702" s="168">
        <v>13400</v>
      </c>
      <c r="AX702" s="29">
        <f t="shared" si="840"/>
        <v>13792</v>
      </c>
      <c r="AY702" s="24">
        <f t="shared" si="841"/>
        <v>-8118</v>
      </c>
      <c r="AZ702" s="25">
        <f t="shared" si="842"/>
        <v>-0.3705157462345961</v>
      </c>
      <c r="BA702" s="24">
        <f t="shared" si="843"/>
        <v>20642</v>
      </c>
      <c r="BB702" s="169">
        <f t="shared" si="844"/>
        <v>0.94212688270196254</v>
      </c>
      <c r="BC702" s="170">
        <f t="shared" si="845"/>
        <v>13792</v>
      </c>
      <c r="BD702" s="150"/>
      <c r="BE702" s="150"/>
      <c r="BF702" s="150"/>
      <c r="BG702" s="150"/>
      <c r="BH702" s="150"/>
      <c r="BI702" s="150"/>
      <c r="BJ702" s="150"/>
      <c r="BK702" s="150"/>
      <c r="BL702" s="150"/>
      <c r="BM702" s="293"/>
      <c r="BN702" s="293"/>
      <c r="BO702" s="293"/>
      <c r="BP702" s="293"/>
      <c r="BQ702" s="293"/>
      <c r="BR702" s="293"/>
      <c r="BS702" s="293"/>
      <c r="BT702" s="293"/>
    </row>
    <row r="703" spans="1:72" ht="29.45" customHeight="1">
      <c r="A703" s="91" t="s">
        <v>31</v>
      </c>
      <c r="B703" s="358" t="s">
        <v>2895</v>
      </c>
      <c r="C703" s="50" t="s">
        <v>325</v>
      </c>
      <c r="D703" s="99" t="s">
        <v>665</v>
      </c>
      <c r="E703" s="48" t="s">
        <v>11</v>
      </c>
      <c r="F703" s="10">
        <v>465024</v>
      </c>
      <c r="G703" s="33">
        <v>604800</v>
      </c>
      <c r="H703" s="31">
        <v>604800</v>
      </c>
      <c r="I703" s="36">
        <v>528640</v>
      </c>
      <c r="J703" s="29">
        <f t="shared" si="804"/>
        <v>579413.33333333337</v>
      </c>
      <c r="K703" s="24">
        <f t="shared" si="805"/>
        <v>114389.33333333337</v>
      </c>
      <c r="L703" s="25">
        <f t="shared" si="806"/>
        <v>0.24598587026332699</v>
      </c>
      <c r="M703" s="69">
        <f t="shared" si="807"/>
        <v>579413.33333333337</v>
      </c>
      <c r="N703" s="77">
        <f t="shared" si="803"/>
        <v>579413.33333333337</v>
      </c>
      <c r="O703" s="73"/>
      <c r="P703" s="74">
        <v>126500</v>
      </c>
      <c r="Q703" s="74">
        <v>160000</v>
      </c>
      <c r="R703" s="75">
        <v>145750</v>
      </c>
      <c r="S703" s="61">
        <v>138000</v>
      </c>
      <c r="T703" s="60"/>
      <c r="U703" s="74">
        <v>158700</v>
      </c>
      <c r="V703" s="76">
        <f t="shared" si="826"/>
        <v>145790</v>
      </c>
      <c r="W703" s="24">
        <f t="shared" si="827"/>
        <v>145790</v>
      </c>
      <c r="X703" s="25"/>
      <c r="Y703" s="77">
        <f t="shared" si="829"/>
        <v>145790</v>
      </c>
      <c r="Z703" s="106">
        <f t="shared" si="830"/>
        <v>145790</v>
      </c>
      <c r="AA703" s="73"/>
      <c r="AB703" s="88">
        <v>150000</v>
      </c>
      <c r="AC703" s="116">
        <v>150000</v>
      </c>
      <c r="AD703" s="74">
        <v>121000</v>
      </c>
      <c r="AE703" s="76">
        <f t="shared" si="831"/>
        <v>140333.33333333334</v>
      </c>
      <c r="AF703" s="24">
        <f t="shared" si="832"/>
        <v>140333.33333333334</v>
      </c>
      <c r="AG703" s="25"/>
      <c r="AH703" s="77"/>
      <c r="AI703" s="77">
        <f t="shared" si="835"/>
        <v>140333.33333333334</v>
      </c>
      <c r="AJ703" s="73"/>
      <c r="AK703" s="79">
        <v>145750</v>
      </c>
      <c r="AL703" s="79">
        <v>110000</v>
      </c>
      <c r="AM703" s="127">
        <v>132000</v>
      </c>
      <c r="AN703" s="128">
        <v>122900</v>
      </c>
      <c r="AO703" s="128">
        <v>120000</v>
      </c>
      <c r="AP703" s="133">
        <f t="shared" si="836"/>
        <v>126130</v>
      </c>
      <c r="AQ703" s="127">
        <f t="shared" si="837"/>
        <v>126130</v>
      </c>
      <c r="AR703" s="134"/>
      <c r="AS703" s="132">
        <f t="shared" si="839"/>
        <v>126130</v>
      </c>
      <c r="AT703" s="250"/>
      <c r="AU703" s="250"/>
      <c r="AV703" s="250"/>
      <c r="AW703" s="250"/>
      <c r="AX703" s="250"/>
      <c r="AY703" s="250"/>
      <c r="AZ703" s="250"/>
      <c r="BA703" s="250"/>
      <c r="BB703" s="250"/>
      <c r="BC703" s="251"/>
      <c r="BD703" s="150"/>
      <c r="BE703" s="150"/>
      <c r="BF703" s="150"/>
      <c r="BG703" s="150"/>
      <c r="BH703" s="150"/>
      <c r="BI703" s="150"/>
      <c r="BJ703" s="150"/>
      <c r="BK703" s="150"/>
      <c r="BL703" s="150"/>
      <c r="BM703" s="293"/>
      <c r="BN703" s="293"/>
      <c r="BO703" s="293"/>
      <c r="BP703" s="293"/>
      <c r="BQ703" s="293"/>
      <c r="BR703" s="293"/>
      <c r="BS703" s="293"/>
      <c r="BT703" s="293"/>
    </row>
    <row r="704" spans="1:72" ht="36.6" customHeight="1">
      <c r="A704" s="91" t="s">
        <v>31</v>
      </c>
      <c r="B704" s="358" t="s">
        <v>2896</v>
      </c>
      <c r="C704" s="50" t="s">
        <v>326</v>
      </c>
      <c r="D704" s="99" t="s">
        <v>666</v>
      </c>
      <c r="E704" s="48" t="s">
        <v>12</v>
      </c>
      <c r="F704" s="10">
        <v>20760</v>
      </c>
      <c r="G704" s="33">
        <v>27000</v>
      </c>
      <c r="H704" s="31">
        <v>35100</v>
      </c>
      <c r="I704" s="36">
        <v>23600</v>
      </c>
      <c r="J704" s="29">
        <f t="shared" si="804"/>
        <v>28566.666666666668</v>
      </c>
      <c r="K704" s="24">
        <f t="shared" si="805"/>
        <v>7806.6666666666679</v>
      </c>
      <c r="L704" s="25">
        <f t="shared" si="806"/>
        <v>0.37604367373153508</v>
      </c>
      <c r="M704" s="69" t="str">
        <f t="shared" si="807"/>
        <v>REVISAR PRECIO</v>
      </c>
      <c r="N704" s="77">
        <f t="shared" si="803"/>
        <v>28566.666666666668</v>
      </c>
      <c r="O704" s="73"/>
      <c r="P704" s="74">
        <v>4025</v>
      </c>
      <c r="Q704" s="74">
        <v>6000</v>
      </c>
      <c r="R704" s="75">
        <v>4637.5</v>
      </c>
      <c r="S704" s="61">
        <v>6324.9999999999991</v>
      </c>
      <c r="T704" s="60"/>
      <c r="U704" s="74">
        <v>7273.7499999999982</v>
      </c>
      <c r="V704" s="76">
        <f t="shared" si="826"/>
        <v>5652.25</v>
      </c>
      <c r="W704" s="24">
        <f t="shared" si="827"/>
        <v>5652.25</v>
      </c>
      <c r="X704" s="25"/>
      <c r="Y704" s="77">
        <f t="shared" si="829"/>
        <v>5652.25</v>
      </c>
      <c r="Z704" s="106">
        <f t="shared" si="830"/>
        <v>5652.25</v>
      </c>
      <c r="AA704" s="73"/>
      <c r="AB704" s="88">
        <v>4000</v>
      </c>
      <c r="AC704" s="116">
        <v>4000</v>
      </c>
      <c r="AD704" s="74">
        <v>3850</v>
      </c>
      <c r="AE704" s="76">
        <f t="shared" si="831"/>
        <v>3950</v>
      </c>
      <c r="AF704" s="24">
        <f t="shared" si="832"/>
        <v>3950</v>
      </c>
      <c r="AG704" s="25"/>
      <c r="AH704" s="77"/>
      <c r="AI704" s="77">
        <f t="shared" si="835"/>
        <v>3950</v>
      </c>
      <c r="AJ704" s="73"/>
      <c r="AK704" s="79">
        <v>4637.5</v>
      </c>
      <c r="AL704" s="79">
        <v>3500</v>
      </c>
      <c r="AM704" s="127">
        <v>4200</v>
      </c>
      <c r="AN704" s="128">
        <v>4100</v>
      </c>
      <c r="AO704" s="128">
        <v>4000</v>
      </c>
      <c r="AP704" s="133">
        <f t="shared" si="836"/>
        <v>4087.5</v>
      </c>
      <c r="AQ704" s="127">
        <f t="shared" si="837"/>
        <v>4087.5</v>
      </c>
      <c r="AR704" s="134"/>
      <c r="AS704" s="132">
        <f t="shared" si="839"/>
        <v>4087.5</v>
      </c>
      <c r="AT704" s="250"/>
      <c r="AU704" s="250"/>
      <c r="AV704" s="250"/>
      <c r="AW704" s="250"/>
      <c r="AX704" s="250"/>
      <c r="AY704" s="250"/>
      <c r="AZ704" s="250"/>
      <c r="BA704" s="250"/>
      <c r="BB704" s="250"/>
      <c r="BC704" s="251"/>
      <c r="BD704" s="150"/>
      <c r="BE704" s="150"/>
      <c r="BF704" s="150"/>
      <c r="BG704" s="150"/>
      <c r="BH704" s="150"/>
      <c r="BI704" s="150"/>
      <c r="BJ704" s="150"/>
      <c r="BK704" s="150"/>
      <c r="BL704" s="150"/>
      <c r="BM704" s="293"/>
      <c r="BN704" s="293"/>
      <c r="BO704" s="293"/>
      <c r="BP704" s="293"/>
      <c r="BQ704" s="293"/>
      <c r="BR704" s="293"/>
      <c r="BS704" s="293"/>
      <c r="BT704" s="293"/>
    </row>
    <row r="705" spans="1:72" ht="36" customHeight="1">
      <c r="A705" s="91" t="s">
        <v>31</v>
      </c>
      <c r="B705" s="358" t="s">
        <v>2897</v>
      </c>
      <c r="C705" s="50" t="s">
        <v>770</v>
      </c>
      <c r="D705" s="99" t="s">
        <v>667</v>
      </c>
      <c r="E705" s="48" t="s">
        <v>12</v>
      </c>
      <c r="F705" s="10">
        <v>31389</v>
      </c>
      <c r="G705" s="31">
        <v>40824</v>
      </c>
      <c r="H705" s="31">
        <v>53071</v>
      </c>
      <c r="I705" s="36">
        <v>35683.199999999997</v>
      </c>
      <c r="J705" s="29">
        <f t="shared" si="804"/>
        <v>43192.73333333333</v>
      </c>
      <c r="K705" s="24">
        <f t="shared" si="805"/>
        <v>11803.73333333333</v>
      </c>
      <c r="L705" s="25">
        <f t="shared" si="806"/>
        <v>0.3760468104537682</v>
      </c>
      <c r="M705" s="69" t="str">
        <f t="shared" si="807"/>
        <v>REVISAR PRECIO</v>
      </c>
      <c r="N705" s="77">
        <f t="shared" si="803"/>
        <v>43192.73333333333</v>
      </c>
      <c r="O705" s="73">
        <v>17940</v>
      </c>
      <c r="P705" s="74">
        <v>2415</v>
      </c>
      <c r="Q705" s="74">
        <v>5000</v>
      </c>
      <c r="R705" s="75">
        <v>2782.5</v>
      </c>
      <c r="S705" s="61">
        <v>6209.9999999999991</v>
      </c>
      <c r="T705" s="60"/>
      <c r="U705" s="74">
        <v>7141.4999999999982</v>
      </c>
      <c r="V705" s="76">
        <f t="shared" si="826"/>
        <v>4709.8</v>
      </c>
      <c r="W705" s="24">
        <f t="shared" si="827"/>
        <v>-13230.2</v>
      </c>
      <c r="X705" s="25">
        <f t="shared" si="828"/>
        <v>-0.73746934225195104</v>
      </c>
      <c r="Y705" s="77">
        <f t="shared" si="829"/>
        <v>4709.8</v>
      </c>
      <c r="Z705" s="106">
        <f t="shared" si="830"/>
        <v>4709.8</v>
      </c>
      <c r="AA705" s="73">
        <v>17940</v>
      </c>
      <c r="AB705" s="88">
        <v>5000</v>
      </c>
      <c r="AC705" s="116">
        <v>5000</v>
      </c>
      <c r="AD705" s="74">
        <v>2310</v>
      </c>
      <c r="AE705" s="76">
        <f t="shared" si="831"/>
        <v>4103.333333333333</v>
      </c>
      <c r="AF705" s="24">
        <f t="shared" si="832"/>
        <v>-13836.666666666668</v>
      </c>
      <c r="AG705" s="25">
        <f t="shared" si="833"/>
        <v>-0.77127461910070616</v>
      </c>
      <c r="AH705" s="77">
        <f t="shared" ref="AH705:AH712" si="854">+IF(AG705&lt;35%,AE705,"REVISAR PRECIO")</f>
        <v>4103.333333333333</v>
      </c>
      <c r="AI705" s="77">
        <f t="shared" si="835"/>
        <v>4103.333333333333</v>
      </c>
      <c r="AJ705" s="73">
        <v>17940</v>
      </c>
      <c r="AK705" s="79">
        <v>2782.5</v>
      </c>
      <c r="AL705" s="79">
        <v>2100</v>
      </c>
      <c r="AM705" s="127">
        <v>2520</v>
      </c>
      <c r="AN705" s="128">
        <v>2000</v>
      </c>
      <c r="AO705" s="128">
        <v>2000</v>
      </c>
      <c r="AP705" s="124">
        <f t="shared" si="836"/>
        <v>2280.5</v>
      </c>
      <c r="AQ705" s="125">
        <f t="shared" si="837"/>
        <v>-15659.5</v>
      </c>
      <c r="AR705" s="126">
        <f t="shared" ref="AR705:AR712" si="855">+AQ705/AJ705</f>
        <v>-0.87288182831661087</v>
      </c>
      <c r="AS705" s="132">
        <f t="shared" si="839"/>
        <v>2280.5</v>
      </c>
      <c r="AT705" s="250"/>
      <c r="AU705" s="250"/>
      <c r="AV705" s="250"/>
      <c r="AW705" s="250"/>
      <c r="AX705" s="250"/>
      <c r="AY705" s="250"/>
      <c r="AZ705" s="250"/>
      <c r="BA705" s="250"/>
      <c r="BB705" s="250"/>
      <c r="BC705" s="251"/>
      <c r="BD705" s="150"/>
      <c r="BE705" s="150"/>
      <c r="BF705" s="150"/>
      <c r="BG705" s="150"/>
      <c r="BH705" s="150"/>
      <c r="BI705" s="150"/>
      <c r="BJ705" s="150"/>
      <c r="BK705" s="150"/>
      <c r="BL705" s="150"/>
      <c r="BM705" s="293"/>
      <c r="BN705" s="293"/>
      <c r="BO705" s="293"/>
      <c r="BP705" s="293"/>
      <c r="BQ705" s="293"/>
      <c r="BR705" s="293"/>
      <c r="BS705" s="293"/>
      <c r="BT705" s="293"/>
    </row>
    <row r="706" spans="1:72" ht="26.45" customHeight="1">
      <c r="A706" s="91" t="s">
        <v>31</v>
      </c>
      <c r="B706" s="358" t="s">
        <v>2898</v>
      </c>
      <c r="C706" s="50" t="s">
        <v>771</v>
      </c>
      <c r="D706" s="99" t="s">
        <v>668</v>
      </c>
      <c r="E706" s="48" t="s">
        <v>12</v>
      </c>
      <c r="F706" s="10">
        <v>29562</v>
      </c>
      <c r="G706" s="33">
        <v>38448</v>
      </c>
      <c r="H706" s="33">
        <v>49982</v>
      </c>
      <c r="I706" s="36">
        <v>33606.400000000001</v>
      </c>
      <c r="J706" s="29">
        <f t="shared" si="804"/>
        <v>40678.799999999996</v>
      </c>
      <c r="K706" s="24">
        <f t="shared" si="805"/>
        <v>11116.799999999996</v>
      </c>
      <c r="L706" s="25">
        <f t="shared" si="806"/>
        <v>0.37605033488938489</v>
      </c>
      <c r="M706" s="69" t="str">
        <f t="shared" si="807"/>
        <v>REVISAR PRECIO</v>
      </c>
      <c r="N706" s="77">
        <f t="shared" si="803"/>
        <v>40678.799999999996</v>
      </c>
      <c r="O706" s="73">
        <v>16897</v>
      </c>
      <c r="P706" s="74">
        <v>33120</v>
      </c>
      <c r="Q706" s="74">
        <v>42000</v>
      </c>
      <c r="R706" s="75">
        <v>38160</v>
      </c>
      <c r="S706" s="61">
        <v>33120</v>
      </c>
      <c r="T706" s="60"/>
      <c r="U706" s="74">
        <v>38088</v>
      </c>
      <c r="V706" s="76">
        <f t="shared" si="826"/>
        <v>36897.599999999999</v>
      </c>
      <c r="W706" s="24">
        <f t="shared" si="827"/>
        <v>20000.599999999999</v>
      </c>
      <c r="X706" s="25">
        <f t="shared" si="828"/>
        <v>1.1836775759010474</v>
      </c>
      <c r="Y706" s="77" t="str">
        <f t="shared" si="829"/>
        <v>REVISAR PRECIO</v>
      </c>
      <c r="Z706" s="106">
        <f t="shared" si="830"/>
        <v>36897.599999999999</v>
      </c>
      <c r="AA706" s="73">
        <v>16897</v>
      </c>
      <c r="AB706" s="88">
        <v>32000</v>
      </c>
      <c r="AC706" s="116">
        <v>32000</v>
      </c>
      <c r="AD706" s="74">
        <v>31680</v>
      </c>
      <c r="AE706" s="76">
        <f t="shared" si="831"/>
        <v>31893.333333333332</v>
      </c>
      <c r="AF706" s="24">
        <f t="shared" si="832"/>
        <v>14996.333333333332</v>
      </c>
      <c r="AG706" s="25">
        <f t="shared" si="833"/>
        <v>0.88751454893373571</v>
      </c>
      <c r="AH706" s="77" t="str">
        <f t="shared" si="854"/>
        <v>REVISAR PRECIO</v>
      </c>
      <c r="AI706" s="77">
        <f t="shared" si="835"/>
        <v>31893.333333333332</v>
      </c>
      <c r="AJ706" s="73">
        <v>16897</v>
      </c>
      <c r="AK706" s="79">
        <v>38160</v>
      </c>
      <c r="AL706" s="79">
        <f>+AL682*0.6</f>
        <v>28800</v>
      </c>
      <c r="AM706" s="127">
        <v>34560</v>
      </c>
      <c r="AN706" s="128">
        <v>29000</v>
      </c>
      <c r="AO706" s="128">
        <v>30000</v>
      </c>
      <c r="AP706" s="133">
        <f t="shared" si="836"/>
        <v>32104</v>
      </c>
      <c r="AQ706" s="127">
        <f t="shared" si="837"/>
        <v>15207</v>
      </c>
      <c r="AR706" s="134">
        <f t="shared" si="855"/>
        <v>0.8999822453690004</v>
      </c>
      <c r="AS706" s="132">
        <f t="shared" si="839"/>
        <v>32104</v>
      </c>
      <c r="AT706" s="250"/>
      <c r="AU706" s="250"/>
      <c r="AV706" s="250"/>
      <c r="AW706" s="250"/>
      <c r="AX706" s="250"/>
      <c r="AY706" s="250"/>
      <c r="AZ706" s="250"/>
      <c r="BA706" s="250"/>
      <c r="BB706" s="250"/>
      <c r="BC706" s="251"/>
      <c r="BD706" s="150"/>
      <c r="BE706" s="150"/>
      <c r="BF706" s="150"/>
      <c r="BG706" s="150"/>
      <c r="BH706" s="150"/>
      <c r="BI706" s="150"/>
      <c r="BJ706" s="150"/>
      <c r="BK706" s="150"/>
      <c r="BL706" s="150"/>
      <c r="BM706" s="293"/>
      <c r="BN706" s="293"/>
      <c r="BO706" s="293"/>
      <c r="BP706" s="293"/>
      <c r="BQ706" s="293"/>
      <c r="BR706" s="293"/>
      <c r="BS706" s="293"/>
      <c r="BT706" s="293"/>
    </row>
    <row r="707" spans="1:72" ht="26.45" customHeight="1">
      <c r="A707" s="91" t="s">
        <v>31</v>
      </c>
      <c r="B707" s="358" t="s">
        <v>2899</v>
      </c>
      <c r="C707" s="50" t="s">
        <v>772</v>
      </c>
      <c r="D707" s="99" t="s">
        <v>669</v>
      </c>
      <c r="E707" s="48" t="s">
        <v>13</v>
      </c>
      <c r="F707" s="10">
        <v>94666</v>
      </c>
      <c r="G707" s="33">
        <v>123120</v>
      </c>
      <c r="H707" s="31">
        <v>160056</v>
      </c>
      <c r="I707" s="36">
        <v>107616</v>
      </c>
      <c r="J707" s="29">
        <f t="shared" si="804"/>
        <v>130264</v>
      </c>
      <c r="K707" s="24">
        <f t="shared" si="805"/>
        <v>35598</v>
      </c>
      <c r="L707" s="25">
        <f t="shared" si="806"/>
        <v>0.37603785942154522</v>
      </c>
      <c r="M707" s="69" t="str">
        <f t="shared" si="807"/>
        <v>REVISAR PRECIO</v>
      </c>
      <c r="N707" s="77">
        <f t="shared" si="803"/>
        <v>130264</v>
      </c>
      <c r="O707" s="73">
        <v>54106</v>
      </c>
      <c r="P707" s="74">
        <v>62035.14</v>
      </c>
      <c r="Q707" s="74">
        <v>80000</v>
      </c>
      <c r="R707" s="75">
        <v>71475.26999999999</v>
      </c>
      <c r="S707" s="61">
        <v>81420</v>
      </c>
      <c r="T707" s="60"/>
      <c r="U707" s="74">
        <v>93633</v>
      </c>
      <c r="V707" s="76">
        <f t="shared" si="826"/>
        <v>77712.682000000001</v>
      </c>
      <c r="W707" s="24">
        <f t="shared" si="827"/>
        <v>23606.682000000001</v>
      </c>
      <c r="X707" s="25">
        <f t="shared" si="828"/>
        <v>0.43630432854027279</v>
      </c>
      <c r="Y707" s="77" t="str">
        <f t="shared" si="829"/>
        <v>REVISAR PRECIO</v>
      </c>
      <c r="Z707" s="106">
        <f t="shared" si="830"/>
        <v>77712.682000000001</v>
      </c>
      <c r="AA707" s="73">
        <v>54106</v>
      </c>
      <c r="AB707" s="88">
        <v>60000</v>
      </c>
      <c r="AC707" s="116">
        <v>60000</v>
      </c>
      <c r="AD707" s="74">
        <v>59337.96</v>
      </c>
      <c r="AE707" s="76">
        <f t="shared" si="831"/>
        <v>59779.32</v>
      </c>
      <c r="AF707" s="24">
        <f t="shared" si="832"/>
        <v>5673.32</v>
      </c>
      <c r="AG707" s="25">
        <f t="shared" si="833"/>
        <v>0.10485565371677817</v>
      </c>
      <c r="AH707" s="77">
        <f t="shared" si="854"/>
        <v>59779.32</v>
      </c>
      <c r="AI707" s="77">
        <f t="shared" si="835"/>
        <v>59779.32</v>
      </c>
      <c r="AJ707" s="73">
        <v>54106</v>
      </c>
      <c r="AK707" s="79">
        <v>71475.26999999999</v>
      </c>
      <c r="AL707" s="79">
        <f>44953*1.2</f>
        <v>53943.6</v>
      </c>
      <c r="AM707" s="127">
        <v>64732.32</v>
      </c>
      <c r="AN707" s="128">
        <v>60000</v>
      </c>
      <c r="AO707" s="128">
        <v>120000</v>
      </c>
      <c r="AP707" s="133">
        <f t="shared" si="836"/>
        <v>74030.237999999998</v>
      </c>
      <c r="AQ707" s="127">
        <f t="shared" si="837"/>
        <v>19924.237999999998</v>
      </c>
      <c r="AR707" s="134">
        <f t="shared" si="855"/>
        <v>0.36824452001626434</v>
      </c>
      <c r="AS707" s="132">
        <f t="shared" si="839"/>
        <v>74030.237999999998</v>
      </c>
      <c r="AT707" s="250"/>
      <c r="AU707" s="250"/>
      <c r="AV707" s="250"/>
      <c r="AW707" s="250"/>
      <c r="AX707" s="250"/>
      <c r="AY707" s="250"/>
      <c r="AZ707" s="250"/>
      <c r="BA707" s="250"/>
      <c r="BB707" s="250"/>
      <c r="BC707" s="251"/>
      <c r="BD707" s="150"/>
      <c r="BE707" s="150"/>
      <c r="BF707" s="150"/>
      <c r="BG707" s="150"/>
      <c r="BH707" s="150"/>
      <c r="BI707" s="150"/>
      <c r="BJ707" s="150"/>
      <c r="BK707" s="150"/>
      <c r="BL707" s="150"/>
      <c r="BM707" s="293"/>
      <c r="BN707" s="293"/>
      <c r="BO707" s="293"/>
      <c r="BP707" s="293"/>
      <c r="BQ707" s="293"/>
      <c r="BR707" s="293"/>
      <c r="BS707" s="293"/>
      <c r="BT707" s="293"/>
    </row>
    <row r="708" spans="1:72" ht="34.35" customHeight="1">
      <c r="A708" s="91" t="s">
        <v>31</v>
      </c>
      <c r="B708" s="358" t="s">
        <v>2900</v>
      </c>
      <c r="C708" s="50" t="s">
        <v>773</v>
      </c>
      <c r="D708" s="99" t="s">
        <v>670</v>
      </c>
      <c r="E708" s="48" t="s">
        <v>11</v>
      </c>
      <c r="F708" s="10">
        <v>138988</v>
      </c>
      <c r="G708" s="31">
        <v>180765</v>
      </c>
      <c r="H708" s="31">
        <v>234995</v>
      </c>
      <c r="I708" s="36">
        <v>158002</v>
      </c>
      <c r="J708" s="29">
        <f t="shared" si="804"/>
        <v>191254</v>
      </c>
      <c r="K708" s="24">
        <f t="shared" si="805"/>
        <v>52266</v>
      </c>
      <c r="L708" s="25">
        <f t="shared" si="806"/>
        <v>0.37604685296572365</v>
      </c>
      <c r="M708" s="69" t="str">
        <f t="shared" si="807"/>
        <v>REVISAR PRECIO</v>
      </c>
      <c r="N708" s="77">
        <f t="shared" si="803"/>
        <v>191254</v>
      </c>
      <c r="O708" s="73">
        <v>97772</v>
      </c>
      <c r="P708" s="74">
        <v>172500</v>
      </c>
      <c r="Q708" s="74">
        <v>220000</v>
      </c>
      <c r="R708" s="75">
        <v>198750</v>
      </c>
      <c r="S708" s="61">
        <v>218499.99999999997</v>
      </c>
      <c r="T708" s="60"/>
      <c r="U708" s="74">
        <v>251274.99999999994</v>
      </c>
      <c r="V708" s="76">
        <f t="shared" si="826"/>
        <v>212205</v>
      </c>
      <c r="W708" s="24">
        <f t="shared" si="827"/>
        <v>114433</v>
      </c>
      <c r="X708" s="25">
        <f t="shared" si="828"/>
        <v>1.1704066603935688</v>
      </c>
      <c r="Y708" s="77" t="str">
        <f t="shared" si="829"/>
        <v>REVISAR PRECIO</v>
      </c>
      <c r="Z708" s="106">
        <f t="shared" si="830"/>
        <v>212205</v>
      </c>
      <c r="AA708" s="73">
        <v>97772</v>
      </c>
      <c r="AB708" s="88">
        <v>177500</v>
      </c>
      <c r="AC708" s="116">
        <v>177500</v>
      </c>
      <c r="AD708" s="74">
        <v>165000</v>
      </c>
      <c r="AE708" s="76">
        <f t="shared" si="831"/>
        <v>173333.33333333334</v>
      </c>
      <c r="AF708" s="24">
        <f t="shared" si="832"/>
        <v>75561.333333333343</v>
      </c>
      <c r="AG708" s="25">
        <f t="shared" si="833"/>
        <v>0.77283203098364917</v>
      </c>
      <c r="AH708" s="77" t="str">
        <f t="shared" si="854"/>
        <v>REVISAR PRECIO</v>
      </c>
      <c r="AI708" s="77">
        <f t="shared" si="835"/>
        <v>173333.33333333334</v>
      </c>
      <c r="AJ708" s="73">
        <v>97772</v>
      </c>
      <c r="AK708" s="79">
        <v>198750</v>
      </c>
      <c r="AL708" s="79">
        <v>150000</v>
      </c>
      <c r="AM708" s="127">
        <v>180000</v>
      </c>
      <c r="AN708" s="128">
        <v>180000</v>
      </c>
      <c r="AO708" s="128"/>
      <c r="AP708" s="133">
        <f t="shared" si="836"/>
        <v>177187.5</v>
      </c>
      <c r="AQ708" s="127">
        <f t="shared" si="837"/>
        <v>79415.5</v>
      </c>
      <c r="AR708" s="134">
        <f t="shared" si="855"/>
        <v>0.81225197398028071</v>
      </c>
      <c r="AS708" s="132">
        <f t="shared" si="839"/>
        <v>177187.5</v>
      </c>
      <c r="AT708" s="250"/>
      <c r="AU708" s="250"/>
      <c r="AV708" s="250"/>
      <c r="AW708" s="250"/>
      <c r="AX708" s="250"/>
      <c r="AY708" s="250"/>
      <c r="AZ708" s="250"/>
      <c r="BA708" s="250"/>
      <c r="BB708" s="250"/>
      <c r="BC708" s="251"/>
      <c r="BD708" s="150"/>
      <c r="BE708" s="150"/>
      <c r="BF708" s="150"/>
      <c r="BG708" s="150"/>
      <c r="BH708" s="150"/>
      <c r="BI708" s="150"/>
      <c r="BJ708" s="150"/>
      <c r="BK708" s="150"/>
      <c r="BL708" s="150"/>
      <c r="BM708" s="293"/>
      <c r="BN708" s="293"/>
      <c r="BO708" s="293"/>
      <c r="BP708" s="293"/>
      <c r="BQ708" s="293"/>
      <c r="BR708" s="293"/>
      <c r="BS708" s="293"/>
      <c r="BT708" s="293"/>
    </row>
    <row r="709" spans="1:72" ht="34.35" customHeight="1">
      <c r="A709" s="91" t="s">
        <v>31</v>
      </c>
      <c r="B709" s="358" t="s">
        <v>2901</v>
      </c>
      <c r="C709" s="50" t="s">
        <v>774</v>
      </c>
      <c r="D709" s="99" t="s">
        <v>671</v>
      </c>
      <c r="E709" s="48" t="s">
        <v>11</v>
      </c>
      <c r="F709" s="10">
        <v>119505</v>
      </c>
      <c r="G709" s="33">
        <v>155426</v>
      </c>
      <c r="H709" s="33">
        <v>202053</v>
      </c>
      <c r="I709" s="36">
        <v>135853.4</v>
      </c>
      <c r="J709" s="29">
        <f t="shared" si="804"/>
        <v>164444.13333333333</v>
      </c>
      <c r="K709" s="24">
        <f t="shared" si="805"/>
        <v>44939.133333333331</v>
      </c>
      <c r="L709" s="25">
        <f t="shared" si="806"/>
        <v>0.37604395910910282</v>
      </c>
      <c r="M709" s="69" t="str">
        <f t="shared" si="807"/>
        <v>REVISAR PRECIO</v>
      </c>
      <c r="N709" s="77">
        <f t="shared" si="803"/>
        <v>164444.13333333333</v>
      </c>
      <c r="O709" s="73">
        <v>72854</v>
      </c>
      <c r="P709" s="74">
        <v>69000</v>
      </c>
      <c r="Q709" s="74">
        <v>90000</v>
      </c>
      <c r="R709" s="75">
        <v>79500</v>
      </c>
      <c r="S709" s="61">
        <v>110399.99999999999</v>
      </c>
      <c r="T709" s="60"/>
      <c r="U709" s="74">
        <v>126959.99999999997</v>
      </c>
      <c r="V709" s="76">
        <f t="shared" si="826"/>
        <v>95172</v>
      </c>
      <c r="W709" s="24">
        <f t="shared" si="827"/>
        <v>22318</v>
      </c>
      <c r="X709" s="25">
        <f t="shared" si="828"/>
        <v>0.30633870480687403</v>
      </c>
      <c r="Y709" s="77">
        <f t="shared" si="829"/>
        <v>95172</v>
      </c>
      <c r="Z709" s="106">
        <f t="shared" si="830"/>
        <v>95172</v>
      </c>
      <c r="AA709" s="73">
        <v>72854</v>
      </c>
      <c r="AB709" s="88">
        <v>63000</v>
      </c>
      <c r="AC709" s="116">
        <v>63000</v>
      </c>
      <c r="AD709" s="74">
        <v>66000</v>
      </c>
      <c r="AE709" s="76">
        <f t="shared" si="831"/>
        <v>64000</v>
      </c>
      <c r="AF709" s="24">
        <f t="shared" si="832"/>
        <v>-8854</v>
      </c>
      <c r="AG709" s="25">
        <f t="shared" si="833"/>
        <v>-0.12153073269827326</v>
      </c>
      <c r="AH709" s="77">
        <f t="shared" si="854"/>
        <v>64000</v>
      </c>
      <c r="AI709" s="77">
        <f t="shared" si="835"/>
        <v>64000</v>
      </c>
      <c r="AJ709" s="73">
        <v>72854</v>
      </c>
      <c r="AK709" s="79">
        <v>79500</v>
      </c>
      <c r="AL709" s="79">
        <v>60000</v>
      </c>
      <c r="AM709" s="127">
        <v>72000</v>
      </c>
      <c r="AN709" s="128">
        <v>71000</v>
      </c>
      <c r="AO709" s="128"/>
      <c r="AP709" s="133">
        <f t="shared" si="836"/>
        <v>70625</v>
      </c>
      <c r="AQ709" s="127">
        <f t="shared" si="837"/>
        <v>-2229</v>
      </c>
      <c r="AR709" s="134">
        <f t="shared" si="855"/>
        <v>-3.059543745024295E-2</v>
      </c>
      <c r="AS709" s="132">
        <f t="shared" si="839"/>
        <v>70625</v>
      </c>
      <c r="AT709" s="250"/>
      <c r="AU709" s="250"/>
      <c r="AV709" s="250"/>
      <c r="AW709" s="250"/>
      <c r="AX709" s="250"/>
      <c r="AY709" s="250"/>
      <c r="AZ709" s="250"/>
      <c r="BA709" s="250"/>
      <c r="BB709" s="250"/>
      <c r="BC709" s="251"/>
      <c r="BD709" s="150"/>
      <c r="BE709" s="150"/>
      <c r="BF709" s="150"/>
      <c r="BG709" s="150"/>
      <c r="BH709" s="150"/>
      <c r="BI709" s="150"/>
      <c r="BJ709" s="150"/>
      <c r="BK709" s="150"/>
      <c r="BL709" s="150"/>
      <c r="BM709" s="293"/>
      <c r="BN709" s="293"/>
      <c r="BO709" s="293"/>
      <c r="BP709" s="293"/>
      <c r="BQ709" s="293"/>
      <c r="BR709" s="293"/>
      <c r="BS709" s="293"/>
      <c r="BT709" s="293"/>
    </row>
    <row r="710" spans="1:72" ht="30" customHeight="1">
      <c r="A710" s="91" t="s">
        <v>31</v>
      </c>
      <c r="B710" s="358" t="s">
        <v>2902</v>
      </c>
      <c r="C710" s="50" t="s">
        <v>775</v>
      </c>
      <c r="D710" s="99" t="s">
        <v>672</v>
      </c>
      <c r="E710" s="48" t="s">
        <v>12</v>
      </c>
      <c r="F710" s="10">
        <v>147915</v>
      </c>
      <c r="G710" s="33">
        <v>192375</v>
      </c>
      <c r="H710" s="31">
        <v>250088</v>
      </c>
      <c r="I710" s="36">
        <v>168150</v>
      </c>
      <c r="J710" s="29">
        <f t="shared" si="804"/>
        <v>203537.66666666666</v>
      </c>
      <c r="K710" s="24">
        <f t="shared" si="805"/>
        <v>55622.666666666657</v>
      </c>
      <c r="L710" s="25">
        <f t="shared" si="806"/>
        <v>0.37604480050479433</v>
      </c>
      <c r="M710" s="69" t="str">
        <f t="shared" si="807"/>
        <v>REVISAR PRECIO</v>
      </c>
      <c r="N710" s="77">
        <f t="shared" si="803"/>
        <v>203537.66666666666</v>
      </c>
      <c r="O710" s="73">
        <v>90178</v>
      </c>
      <c r="P710" s="74">
        <v>34500</v>
      </c>
      <c r="Q710" s="74">
        <v>60000</v>
      </c>
      <c r="R710" s="75">
        <v>39750</v>
      </c>
      <c r="S710" s="61">
        <v>34500</v>
      </c>
      <c r="T710" s="60"/>
      <c r="U710" s="74">
        <v>39675</v>
      </c>
      <c r="V710" s="76">
        <f t="shared" si="826"/>
        <v>41685</v>
      </c>
      <c r="W710" s="24">
        <f t="shared" si="827"/>
        <v>-48493</v>
      </c>
      <c r="X710" s="25">
        <f t="shared" si="828"/>
        <v>-0.53774756592517026</v>
      </c>
      <c r="Y710" s="77">
        <f t="shared" si="829"/>
        <v>41685</v>
      </c>
      <c r="Z710" s="106">
        <f t="shared" si="830"/>
        <v>41685</v>
      </c>
      <c r="AA710" s="73">
        <v>90178</v>
      </c>
      <c r="AB710" s="88">
        <v>35500</v>
      </c>
      <c r="AC710" s="116">
        <v>35500</v>
      </c>
      <c r="AD710" s="74">
        <v>33000</v>
      </c>
      <c r="AE710" s="76">
        <f t="shared" si="831"/>
        <v>34666.666666666664</v>
      </c>
      <c r="AF710" s="24">
        <f t="shared" si="832"/>
        <v>-55511.333333333336</v>
      </c>
      <c r="AG710" s="25">
        <f t="shared" si="833"/>
        <v>-0.61557512179615137</v>
      </c>
      <c r="AH710" s="77">
        <f t="shared" si="854"/>
        <v>34666.666666666664</v>
      </c>
      <c r="AI710" s="77">
        <f t="shared" si="835"/>
        <v>34666.666666666664</v>
      </c>
      <c r="AJ710" s="73">
        <v>90178</v>
      </c>
      <c r="AK710" s="79">
        <v>39750</v>
      </c>
      <c r="AL710" s="79">
        <f>+AL709*0.5</f>
        <v>30000</v>
      </c>
      <c r="AM710" s="127">
        <v>36000</v>
      </c>
      <c r="AN710" s="128">
        <v>34000</v>
      </c>
      <c r="AO710" s="128">
        <v>30000</v>
      </c>
      <c r="AP710" s="133">
        <f t="shared" si="836"/>
        <v>33950</v>
      </c>
      <c r="AQ710" s="127">
        <f t="shared" si="837"/>
        <v>-56228</v>
      </c>
      <c r="AR710" s="134">
        <f t="shared" si="855"/>
        <v>-0.62352236687440399</v>
      </c>
      <c r="AS710" s="132">
        <f t="shared" si="839"/>
        <v>33950</v>
      </c>
      <c r="AT710" s="250"/>
      <c r="AU710" s="250"/>
      <c r="AV710" s="250"/>
      <c r="AW710" s="250"/>
      <c r="AX710" s="250"/>
      <c r="AY710" s="250"/>
      <c r="AZ710" s="250"/>
      <c r="BA710" s="250"/>
      <c r="BB710" s="250"/>
      <c r="BC710" s="251"/>
      <c r="BD710" s="150"/>
      <c r="BE710" s="150"/>
      <c r="BF710" s="150"/>
      <c r="BG710" s="150"/>
      <c r="BH710" s="150"/>
      <c r="BI710" s="150"/>
      <c r="BJ710" s="150"/>
      <c r="BK710" s="150"/>
      <c r="BL710" s="150"/>
      <c r="BM710" s="293"/>
      <c r="BN710" s="293"/>
      <c r="BO710" s="293"/>
      <c r="BP710" s="293"/>
      <c r="BQ710" s="293"/>
      <c r="BR710" s="293"/>
      <c r="BS710" s="293"/>
      <c r="BT710" s="293"/>
    </row>
    <row r="711" spans="1:72" ht="30" customHeight="1">
      <c r="A711" s="91" t="s">
        <v>31</v>
      </c>
      <c r="B711" s="358" t="s">
        <v>2903</v>
      </c>
      <c r="C711" s="50" t="s">
        <v>776</v>
      </c>
      <c r="D711" s="99" t="s">
        <v>673</v>
      </c>
      <c r="E711" s="48" t="s">
        <v>12</v>
      </c>
      <c r="F711" s="10">
        <v>46399</v>
      </c>
      <c r="G711" s="33">
        <v>60345</v>
      </c>
      <c r="H711" s="31">
        <v>78449</v>
      </c>
      <c r="I711" s="36">
        <v>52746</v>
      </c>
      <c r="J711" s="29">
        <f t="shared" si="804"/>
        <v>63846.666666666664</v>
      </c>
      <c r="K711" s="24">
        <f t="shared" si="805"/>
        <v>17447.666666666664</v>
      </c>
      <c r="L711" s="25">
        <f t="shared" si="806"/>
        <v>0.37603540306184752</v>
      </c>
      <c r="M711" s="69" t="str">
        <f t="shared" si="807"/>
        <v>REVISAR PRECIO</v>
      </c>
      <c r="N711" s="77">
        <f t="shared" si="803"/>
        <v>63846.666666666664</v>
      </c>
      <c r="O711" s="73">
        <v>28287</v>
      </c>
      <c r="P711" s="74">
        <v>58650</v>
      </c>
      <c r="Q711" s="74">
        <v>80000</v>
      </c>
      <c r="R711" s="75">
        <v>67575</v>
      </c>
      <c r="S711" s="61">
        <v>58649.999999999993</v>
      </c>
      <c r="T711" s="60"/>
      <c r="U711" s="74">
        <v>67447.499999999985</v>
      </c>
      <c r="V711" s="76">
        <f t="shared" si="826"/>
        <v>66464.5</v>
      </c>
      <c r="W711" s="24">
        <f t="shared" si="827"/>
        <v>38177.5</v>
      </c>
      <c r="X711" s="25">
        <f t="shared" si="828"/>
        <v>1.3496482483119454</v>
      </c>
      <c r="Y711" s="77" t="str">
        <f t="shared" si="829"/>
        <v>REVISAR PRECIO</v>
      </c>
      <c r="Z711" s="106">
        <f t="shared" si="830"/>
        <v>66464.5</v>
      </c>
      <c r="AA711" s="73">
        <v>28287</v>
      </c>
      <c r="AB711" s="88">
        <v>54000</v>
      </c>
      <c r="AC711" s="116">
        <v>54000</v>
      </c>
      <c r="AD711" s="74">
        <v>56100</v>
      </c>
      <c r="AE711" s="76">
        <f t="shared" si="831"/>
        <v>54700</v>
      </c>
      <c r="AF711" s="24">
        <f t="shared" si="832"/>
        <v>26413</v>
      </c>
      <c r="AG711" s="25">
        <f t="shared" si="833"/>
        <v>0.93375048608901612</v>
      </c>
      <c r="AH711" s="77" t="str">
        <f t="shared" si="854"/>
        <v>REVISAR PRECIO</v>
      </c>
      <c r="AI711" s="77">
        <f t="shared" si="835"/>
        <v>54700</v>
      </c>
      <c r="AJ711" s="73">
        <v>28287</v>
      </c>
      <c r="AK711" s="79">
        <v>67575</v>
      </c>
      <c r="AL711" s="79">
        <f>+AL683*0.6</f>
        <v>51000</v>
      </c>
      <c r="AM711" s="127">
        <v>61200</v>
      </c>
      <c r="AN711" s="128">
        <v>55000</v>
      </c>
      <c r="AO711" s="128">
        <v>60000</v>
      </c>
      <c r="AP711" s="133">
        <f t="shared" si="836"/>
        <v>58955</v>
      </c>
      <c r="AQ711" s="127">
        <f t="shared" si="837"/>
        <v>30668</v>
      </c>
      <c r="AR711" s="134">
        <f t="shared" si="855"/>
        <v>1.084172941633966</v>
      </c>
      <c r="AS711" s="132">
        <f t="shared" si="839"/>
        <v>58955</v>
      </c>
      <c r="AT711" s="250"/>
      <c r="AU711" s="250"/>
      <c r="AV711" s="250"/>
      <c r="AW711" s="250"/>
      <c r="AX711" s="250"/>
      <c r="AY711" s="250"/>
      <c r="AZ711" s="250"/>
      <c r="BA711" s="250"/>
      <c r="BB711" s="250"/>
      <c r="BC711" s="251"/>
      <c r="BD711" s="150"/>
      <c r="BE711" s="150"/>
      <c r="BF711" s="150"/>
      <c r="BG711" s="150"/>
      <c r="BH711" s="150"/>
      <c r="BI711" s="150"/>
      <c r="BJ711" s="150"/>
      <c r="BK711" s="150"/>
      <c r="BL711" s="150"/>
      <c r="BM711" s="293"/>
      <c r="BN711" s="293"/>
      <c r="BO711" s="293"/>
      <c r="BP711" s="293"/>
      <c r="BQ711" s="293"/>
      <c r="BR711" s="293"/>
      <c r="BS711" s="293"/>
      <c r="BT711" s="293"/>
    </row>
    <row r="712" spans="1:72" ht="37.35" customHeight="1">
      <c r="A712" s="91" t="s">
        <v>31</v>
      </c>
      <c r="B712" s="358" t="s">
        <v>2904</v>
      </c>
      <c r="C712" s="50" t="s">
        <v>777</v>
      </c>
      <c r="D712" s="99" t="s">
        <v>674</v>
      </c>
      <c r="E712" s="48" t="s">
        <v>12</v>
      </c>
      <c r="F712" s="10">
        <v>74508</v>
      </c>
      <c r="G712" s="33">
        <v>96903</v>
      </c>
      <c r="H712" s="33">
        <v>96903</v>
      </c>
      <c r="I712" s="40">
        <v>84700.4</v>
      </c>
      <c r="J712" s="29">
        <f t="shared" si="804"/>
        <v>92835.466666666674</v>
      </c>
      <c r="K712" s="24">
        <f t="shared" si="805"/>
        <v>18327.466666666674</v>
      </c>
      <c r="L712" s="25">
        <f t="shared" si="806"/>
        <v>0.24597985003847472</v>
      </c>
      <c r="M712" s="69">
        <f t="shared" si="807"/>
        <v>92835.466666666674</v>
      </c>
      <c r="N712" s="77">
        <f t="shared" si="803"/>
        <v>92835.466666666674</v>
      </c>
      <c r="O712" s="73">
        <v>45421</v>
      </c>
      <c r="P712" s="74">
        <v>37950</v>
      </c>
      <c r="Q712" s="74">
        <v>39000</v>
      </c>
      <c r="R712" s="75">
        <v>43725</v>
      </c>
      <c r="S712" s="61">
        <v>37950</v>
      </c>
      <c r="T712" s="60"/>
      <c r="U712" s="74">
        <v>43642.5</v>
      </c>
      <c r="V712" s="76">
        <f t="shared" si="826"/>
        <v>40453.5</v>
      </c>
      <c r="W712" s="24">
        <f t="shared" si="827"/>
        <v>-4967.5</v>
      </c>
      <c r="X712" s="25">
        <f t="shared" si="828"/>
        <v>-0.10936571189537879</v>
      </c>
      <c r="Y712" s="77">
        <f t="shared" si="829"/>
        <v>40453.5</v>
      </c>
      <c r="Z712" s="106">
        <f t="shared" si="830"/>
        <v>40453.5</v>
      </c>
      <c r="AA712" s="73">
        <v>45421</v>
      </c>
      <c r="AB712" s="88">
        <v>35000</v>
      </c>
      <c r="AC712" s="116">
        <v>35000</v>
      </c>
      <c r="AD712" s="74">
        <v>36300</v>
      </c>
      <c r="AE712" s="76">
        <f t="shared" si="831"/>
        <v>35433.333333333336</v>
      </c>
      <c r="AF712" s="24">
        <f t="shared" si="832"/>
        <v>-9987.6666666666642</v>
      </c>
      <c r="AG712" s="25">
        <f t="shared" si="833"/>
        <v>-0.21989094618495111</v>
      </c>
      <c r="AH712" s="77">
        <f t="shared" si="854"/>
        <v>35433.333333333336</v>
      </c>
      <c r="AI712" s="77">
        <f t="shared" si="835"/>
        <v>35433.333333333336</v>
      </c>
      <c r="AJ712" s="73">
        <v>45421</v>
      </c>
      <c r="AK712" s="79">
        <v>43725</v>
      </c>
      <c r="AL712" s="79">
        <v>33000</v>
      </c>
      <c r="AM712" s="127">
        <v>39600</v>
      </c>
      <c r="AN712" s="128">
        <v>36000</v>
      </c>
      <c r="AO712" s="128">
        <v>30000</v>
      </c>
      <c r="AP712" s="133">
        <f t="shared" si="836"/>
        <v>36465</v>
      </c>
      <c r="AQ712" s="127">
        <f t="shared" si="837"/>
        <v>-8956</v>
      </c>
      <c r="AR712" s="134">
        <f t="shared" si="855"/>
        <v>-0.19717751700755157</v>
      </c>
      <c r="AS712" s="132">
        <f t="shared" si="839"/>
        <v>36465</v>
      </c>
      <c r="AT712" s="250"/>
      <c r="AU712" s="250"/>
      <c r="AV712" s="250"/>
      <c r="AW712" s="250"/>
      <c r="AX712" s="250"/>
      <c r="AY712" s="250"/>
      <c r="AZ712" s="250"/>
      <c r="BA712" s="250"/>
      <c r="BB712" s="250"/>
      <c r="BC712" s="251"/>
      <c r="BD712" s="150"/>
      <c r="BE712" s="150"/>
      <c r="BF712" s="150"/>
      <c r="BG712" s="150"/>
      <c r="BH712" s="150"/>
      <c r="BI712" s="150"/>
      <c r="BJ712" s="150"/>
      <c r="BK712" s="150"/>
      <c r="BL712" s="150"/>
      <c r="BM712" s="293"/>
      <c r="BN712" s="293"/>
      <c r="BO712" s="293"/>
      <c r="BP712" s="293"/>
      <c r="BQ712" s="293"/>
      <c r="BR712" s="293"/>
      <c r="BS712" s="293"/>
      <c r="BT712" s="293"/>
    </row>
    <row r="713" spans="1:72" s="1" customFormat="1" ht="37.35" customHeight="1">
      <c r="A713" s="91"/>
      <c r="B713" s="358" t="s">
        <v>2905</v>
      </c>
      <c r="C713" s="50" t="s">
        <v>1166</v>
      </c>
      <c r="D713" s="177" t="s">
        <v>1163</v>
      </c>
      <c r="E713" s="141" t="s">
        <v>13</v>
      </c>
      <c r="F713" s="10"/>
      <c r="G713" s="33"/>
      <c r="H713" s="33"/>
      <c r="I713" s="219"/>
      <c r="J713" s="29"/>
      <c r="K713" s="24"/>
      <c r="L713" s="25"/>
      <c r="M713" s="69"/>
      <c r="N713" s="77"/>
      <c r="O713" s="73"/>
      <c r="P713" s="74"/>
      <c r="Q713" s="74"/>
      <c r="R713" s="75"/>
      <c r="S713" s="61"/>
      <c r="T713" s="60"/>
      <c r="U713" s="74"/>
      <c r="V713" s="76"/>
      <c r="W713" s="24"/>
      <c r="X713" s="25"/>
      <c r="Y713" s="77"/>
      <c r="Z713" s="106"/>
      <c r="AA713" s="73"/>
      <c r="AB713" s="88"/>
      <c r="AC713" s="116"/>
      <c r="AD713" s="74"/>
      <c r="AE713" s="76"/>
      <c r="AF713" s="24"/>
      <c r="AG713" s="25"/>
      <c r="AH713" s="77"/>
      <c r="AI713" s="77"/>
      <c r="AJ713" s="73"/>
      <c r="AK713" s="79"/>
      <c r="AL713" s="79"/>
      <c r="AM713" s="127"/>
      <c r="AN713" s="128"/>
      <c r="AO713" s="128"/>
      <c r="AP713" s="124"/>
      <c r="AQ713" s="125"/>
      <c r="AR713" s="126"/>
      <c r="AS713" s="132"/>
      <c r="AT713" s="10">
        <v>50424</v>
      </c>
      <c r="AU713" s="10"/>
      <c r="AV713" s="167">
        <v>98000</v>
      </c>
      <c r="AW713" s="168">
        <v>125000</v>
      </c>
      <c r="AX713" s="29">
        <f t="shared" ref="AX713:AX715" si="856">AVERAGE(AU713,AW713)</f>
        <v>125000</v>
      </c>
      <c r="AY713" s="24">
        <f t="shared" ref="AY713:AY715" si="857">AX713-AT713</f>
        <v>74576</v>
      </c>
      <c r="AZ713" s="25">
        <f t="shared" ref="AZ713:AZ715" si="858">+AY713/AT713</f>
        <v>1.4789782643185785</v>
      </c>
      <c r="BA713" s="24">
        <f t="shared" ref="BA713:BA715" si="859">AV713-AT713</f>
        <v>47576</v>
      </c>
      <c r="BB713" s="169">
        <f t="shared" ref="BB713:BB715" si="860">+BA713/AT713</f>
        <v>0.94351895922576556</v>
      </c>
      <c r="BC713" s="170">
        <f t="shared" ref="BC713:BC715" si="861">AX713</f>
        <v>125000</v>
      </c>
      <c r="BD713" s="10">
        <v>43940</v>
      </c>
      <c r="BE713" s="10">
        <v>285000</v>
      </c>
      <c r="BF713" s="10"/>
      <c r="BG713" s="268">
        <v>305000</v>
      </c>
      <c r="BH713" s="10">
        <v>350000</v>
      </c>
      <c r="BI713" s="76">
        <f t="shared" ref="BI713" si="862">AVERAGE(BE713,BF713,BG713,BH713)</f>
        <v>313333.33333333331</v>
      </c>
      <c r="BJ713" s="24">
        <f t="shared" ref="BJ713" si="863">BI713-BD713</f>
        <v>269393.33333333331</v>
      </c>
      <c r="BK713" s="25">
        <f t="shared" ref="BK713" si="864">+BJ713/BD713</f>
        <v>6.1309361250189651</v>
      </c>
      <c r="BL713" s="259">
        <f t="shared" ref="BL713" si="865">BI713</f>
        <v>313333.33333333331</v>
      </c>
      <c r="BM713" s="10">
        <v>50424</v>
      </c>
      <c r="BN713" s="45"/>
      <c r="BO713" s="45">
        <v>59497</v>
      </c>
      <c r="BP713" s="45">
        <v>140000</v>
      </c>
      <c r="BQ713" s="29">
        <f t="shared" ref="BQ713" si="866">AVERAGE(BN713,BO713,BP713)</f>
        <v>99748.5</v>
      </c>
      <c r="BR713" s="24">
        <f t="shared" ref="BR713" si="867">BQ713-BM713</f>
        <v>49324.5</v>
      </c>
      <c r="BS713" s="25">
        <f t="shared" ref="BS713" si="868">+BR713/BM713</f>
        <v>0.97819490718705382</v>
      </c>
      <c r="BT713" s="308">
        <f t="shared" ref="BT713" si="869">BQ713</f>
        <v>99748.5</v>
      </c>
    </row>
    <row r="714" spans="1:72" s="1" customFormat="1" ht="37.35" customHeight="1">
      <c r="A714" s="91"/>
      <c r="B714" s="358" t="s">
        <v>2906</v>
      </c>
      <c r="C714" s="50" t="s">
        <v>1167</v>
      </c>
      <c r="D714" s="177" t="s">
        <v>1164</v>
      </c>
      <c r="E714" s="141" t="s">
        <v>13</v>
      </c>
      <c r="F714" s="10"/>
      <c r="G714" s="33"/>
      <c r="H714" s="33"/>
      <c r="I714" s="219"/>
      <c r="J714" s="29"/>
      <c r="K714" s="24"/>
      <c r="L714" s="25"/>
      <c r="M714" s="69"/>
      <c r="N714" s="77"/>
      <c r="O714" s="73"/>
      <c r="P714" s="74"/>
      <c r="Q714" s="74"/>
      <c r="R714" s="75"/>
      <c r="S714" s="61"/>
      <c r="T714" s="60"/>
      <c r="U714" s="74"/>
      <c r="V714" s="76"/>
      <c r="W714" s="24"/>
      <c r="X714" s="25"/>
      <c r="Y714" s="77"/>
      <c r="Z714" s="106"/>
      <c r="AA714" s="73"/>
      <c r="AB714" s="88"/>
      <c r="AC714" s="116"/>
      <c r="AD714" s="74"/>
      <c r="AE714" s="76"/>
      <c r="AF714" s="24"/>
      <c r="AG714" s="25"/>
      <c r="AH714" s="77"/>
      <c r="AI714" s="77"/>
      <c r="AJ714" s="73"/>
      <c r="AK714" s="79"/>
      <c r="AL714" s="79"/>
      <c r="AM714" s="127"/>
      <c r="AN714" s="128"/>
      <c r="AO714" s="128"/>
      <c r="AP714" s="124"/>
      <c r="AQ714" s="125"/>
      <c r="AR714" s="126"/>
      <c r="AS714" s="132"/>
      <c r="AT714" s="10">
        <v>62547</v>
      </c>
      <c r="AU714" s="10">
        <v>94900</v>
      </c>
      <c r="AV714" s="167">
        <v>78000</v>
      </c>
      <c r="AW714" s="168">
        <v>101200</v>
      </c>
      <c r="AX714" s="29">
        <f t="shared" si="856"/>
        <v>98050</v>
      </c>
      <c r="AY714" s="24">
        <f t="shared" si="857"/>
        <v>35503</v>
      </c>
      <c r="AZ714" s="25">
        <f t="shared" si="858"/>
        <v>0.56762114889603021</v>
      </c>
      <c r="BA714" s="24">
        <f t="shared" si="859"/>
        <v>15453</v>
      </c>
      <c r="BB714" s="169">
        <f t="shared" si="860"/>
        <v>0.24706220921866756</v>
      </c>
      <c r="BC714" s="170">
        <f t="shared" si="861"/>
        <v>98050</v>
      </c>
      <c r="BD714" s="150"/>
      <c r="BE714" s="150"/>
      <c r="BF714" s="150"/>
      <c r="BG714" s="150"/>
      <c r="BH714" s="150"/>
      <c r="BI714" s="150"/>
      <c r="BJ714" s="150"/>
      <c r="BK714" s="150"/>
      <c r="BL714" s="150"/>
      <c r="BM714" s="293"/>
      <c r="BN714" s="293"/>
      <c r="BO714" s="293"/>
      <c r="BP714" s="293"/>
      <c r="BQ714" s="293"/>
      <c r="BR714" s="293"/>
      <c r="BS714" s="293"/>
      <c r="BT714" s="293"/>
    </row>
    <row r="715" spans="1:72" s="1" customFormat="1" ht="37.35" customHeight="1">
      <c r="A715" s="91"/>
      <c r="B715" s="358" t="s">
        <v>2907</v>
      </c>
      <c r="C715" s="50" t="s">
        <v>1168</v>
      </c>
      <c r="D715" s="177" t="s">
        <v>1165</v>
      </c>
      <c r="E715" s="141" t="s">
        <v>10</v>
      </c>
      <c r="F715" s="10"/>
      <c r="G715" s="33"/>
      <c r="H715" s="33"/>
      <c r="I715" s="219"/>
      <c r="J715" s="29"/>
      <c r="K715" s="24"/>
      <c r="L715" s="25"/>
      <c r="M715" s="69"/>
      <c r="N715" s="77"/>
      <c r="O715" s="73"/>
      <c r="P715" s="74"/>
      <c r="Q715" s="74"/>
      <c r="R715" s="75"/>
      <c r="S715" s="61"/>
      <c r="T715" s="60"/>
      <c r="U715" s="74"/>
      <c r="V715" s="76"/>
      <c r="W715" s="24"/>
      <c r="X715" s="25"/>
      <c r="Y715" s="77"/>
      <c r="Z715" s="106"/>
      <c r="AA715" s="73"/>
      <c r="AB715" s="88"/>
      <c r="AC715" s="116"/>
      <c r="AD715" s="74"/>
      <c r="AE715" s="76"/>
      <c r="AF715" s="24"/>
      <c r="AG715" s="25"/>
      <c r="AH715" s="77"/>
      <c r="AI715" s="77"/>
      <c r="AJ715" s="73"/>
      <c r="AK715" s="79"/>
      <c r="AL715" s="79"/>
      <c r="AM715" s="127"/>
      <c r="AN715" s="128"/>
      <c r="AO715" s="128"/>
      <c r="AP715" s="124"/>
      <c r="AQ715" s="125"/>
      <c r="AR715" s="126"/>
      <c r="AS715" s="132"/>
      <c r="AT715" s="10">
        <v>9608</v>
      </c>
      <c r="AU715" s="10">
        <v>45800</v>
      </c>
      <c r="AV715" s="167">
        <v>67000</v>
      </c>
      <c r="AW715" s="168">
        <v>22300</v>
      </c>
      <c r="AX715" s="29">
        <f t="shared" si="856"/>
        <v>34050</v>
      </c>
      <c r="AY715" s="24">
        <f t="shared" si="857"/>
        <v>24442</v>
      </c>
      <c r="AZ715" s="25">
        <f t="shared" si="858"/>
        <v>2.5439217318900917</v>
      </c>
      <c r="BA715" s="24">
        <f t="shared" si="859"/>
        <v>57392</v>
      </c>
      <c r="BB715" s="169">
        <f t="shared" si="860"/>
        <v>5.9733555370524565</v>
      </c>
      <c r="BC715" s="170">
        <f t="shared" si="861"/>
        <v>34050</v>
      </c>
      <c r="BD715" s="150"/>
      <c r="BE715" s="150"/>
      <c r="BF715" s="150"/>
      <c r="BG715" s="150"/>
      <c r="BH715" s="150"/>
      <c r="BI715" s="150"/>
      <c r="BJ715" s="150"/>
      <c r="BK715" s="150"/>
      <c r="BL715" s="150"/>
      <c r="BM715" s="293"/>
      <c r="BN715" s="293"/>
      <c r="BO715" s="293"/>
      <c r="BP715" s="293"/>
      <c r="BQ715" s="293"/>
      <c r="BR715" s="293"/>
      <c r="BS715" s="293"/>
      <c r="BT715" s="293"/>
    </row>
    <row r="716" spans="1:72" s="1" customFormat="1" ht="37.35" customHeight="1">
      <c r="A716" s="91"/>
      <c r="B716" s="358" t="s">
        <v>2908</v>
      </c>
      <c r="C716" s="50" t="s">
        <v>1824</v>
      </c>
      <c r="D716" s="264" t="s">
        <v>1814</v>
      </c>
      <c r="E716" s="263" t="s">
        <v>1399</v>
      </c>
      <c r="F716" s="10"/>
      <c r="G716" s="33"/>
      <c r="H716" s="33"/>
      <c r="I716" s="219"/>
      <c r="J716" s="29"/>
      <c r="K716" s="24"/>
      <c r="L716" s="25"/>
      <c r="M716" s="69"/>
      <c r="N716" s="77"/>
      <c r="O716" s="73"/>
      <c r="P716" s="74"/>
      <c r="Q716" s="74"/>
      <c r="R716" s="75"/>
      <c r="S716" s="61"/>
      <c r="T716" s="60"/>
      <c r="U716" s="74"/>
      <c r="V716" s="76"/>
      <c r="W716" s="24"/>
      <c r="X716" s="25"/>
      <c r="Y716" s="77"/>
      <c r="Z716" s="106"/>
      <c r="AA716" s="73"/>
      <c r="AB716" s="88"/>
      <c r="AC716" s="116"/>
      <c r="AD716" s="74"/>
      <c r="AE716" s="76"/>
      <c r="AF716" s="24"/>
      <c r="AG716" s="25"/>
      <c r="AH716" s="77"/>
      <c r="AI716" s="77"/>
      <c r="AJ716" s="73"/>
      <c r="AK716" s="79"/>
      <c r="AL716" s="79"/>
      <c r="AM716" s="127"/>
      <c r="AN716" s="128"/>
      <c r="AO716" s="128"/>
      <c r="AP716" s="124"/>
      <c r="AQ716" s="125"/>
      <c r="AR716" s="126"/>
      <c r="AS716" s="132"/>
      <c r="AT716" s="10"/>
      <c r="AU716" s="10"/>
      <c r="AV716" s="167"/>
      <c r="AW716" s="168"/>
      <c r="AX716" s="29"/>
      <c r="AY716" s="24"/>
      <c r="AZ716" s="25"/>
      <c r="BA716" s="24"/>
      <c r="BB716" s="169"/>
      <c r="BC716" s="170"/>
      <c r="BD716" s="10">
        <v>82384</v>
      </c>
      <c r="BE716" s="10"/>
      <c r="BF716" s="10"/>
      <c r="BG716" s="10"/>
      <c r="BH716" s="10">
        <v>120000</v>
      </c>
      <c r="BI716" s="76">
        <f t="shared" ref="BI716:BI726" si="870">AVERAGE(BE716,BF716,BG716,BH716)</f>
        <v>120000</v>
      </c>
      <c r="BJ716" s="24">
        <f t="shared" ref="BJ716:BJ724" si="871">BI716-BD716</f>
        <v>37616</v>
      </c>
      <c r="BK716" s="25">
        <f t="shared" ref="BK716:BK724" si="872">+BJ716/BD716</f>
        <v>0.45659351330355408</v>
      </c>
      <c r="BL716" s="309">
        <f t="shared" ref="BL716:BL726" si="873">BI716</f>
        <v>120000</v>
      </c>
      <c r="BM716" s="293"/>
      <c r="BN716" s="293"/>
      <c r="BO716" s="293"/>
      <c r="BP716" s="293"/>
      <c r="BQ716" s="293"/>
      <c r="BR716" s="293"/>
      <c r="BS716" s="293"/>
      <c r="BT716" s="293"/>
    </row>
    <row r="717" spans="1:72" s="1" customFormat="1" ht="37.35" customHeight="1">
      <c r="A717" s="91"/>
      <c r="B717" s="358" t="s">
        <v>2909</v>
      </c>
      <c r="C717" s="50" t="s">
        <v>1825</v>
      </c>
      <c r="D717" s="264" t="s">
        <v>1815</v>
      </c>
      <c r="E717" s="262" t="s">
        <v>1457</v>
      </c>
      <c r="F717" s="10"/>
      <c r="G717" s="33"/>
      <c r="H717" s="33"/>
      <c r="I717" s="219"/>
      <c r="J717" s="29"/>
      <c r="K717" s="24"/>
      <c r="L717" s="25"/>
      <c r="M717" s="69"/>
      <c r="N717" s="77"/>
      <c r="O717" s="73"/>
      <c r="P717" s="74"/>
      <c r="Q717" s="74"/>
      <c r="R717" s="75"/>
      <c r="S717" s="61"/>
      <c r="T717" s="60"/>
      <c r="U717" s="74"/>
      <c r="V717" s="76"/>
      <c r="W717" s="24"/>
      <c r="X717" s="25"/>
      <c r="Y717" s="77"/>
      <c r="Z717" s="106"/>
      <c r="AA717" s="73"/>
      <c r="AB717" s="88"/>
      <c r="AC717" s="116"/>
      <c r="AD717" s="74"/>
      <c r="AE717" s="76"/>
      <c r="AF717" s="24"/>
      <c r="AG717" s="25"/>
      <c r="AH717" s="77"/>
      <c r="AI717" s="77"/>
      <c r="AJ717" s="73"/>
      <c r="AK717" s="79"/>
      <c r="AL717" s="79"/>
      <c r="AM717" s="127"/>
      <c r="AN717" s="128"/>
      <c r="AO717" s="128"/>
      <c r="AP717" s="124"/>
      <c r="AQ717" s="125"/>
      <c r="AR717" s="126"/>
      <c r="AS717" s="132"/>
      <c r="AT717" s="10"/>
      <c r="AU717" s="10"/>
      <c r="AV717" s="167"/>
      <c r="AW717" s="168"/>
      <c r="AX717" s="29"/>
      <c r="AY717" s="24"/>
      <c r="AZ717" s="25"/>
      <c r="BA717" s="24"/>
      <c r="BB717" s="169"/>
      <c r="BC717" s="170"/>
      <c r="BD717" s="10">
        <v>23665</v>
      </c>
      <c r="BE717" s="10"/>
      <c r="BF717" s="10"/>
      <c r="BG717" s="10"/>
      <c r="BH717" s="10">
        <v>75000</v>
      </c>
      <c r="BI717" s="76">
        <f t="shared" si="870"/>
        <v>75000</v>
      </c>
      <c r="BJ717" s="24">
        <f t="shared" si="871"/>
        <v>51335</v>
      </c>
      <c r="BK717" s="25">
        <f t="shared" si="872"/>
        <v>2.169237270230298</v>
      </c>
      <c r="BL717" s="309">
        <f t="shared" si="873"/>
        <v>75000</v>
      </c>
      <c r="BM717" s="293"/>
      <c r="BN717" s="293"/>
      <c r="BO717" s="293"/>
      <c r="BP717" s="293"/>
      <c r="BQ717" s="293"/>
      <c r="BR717" s="293"/>
      <c r="BS717" s="293"/>
      <c r="BT717" s="293"/>
    </row>
    <row r="718" spans="1:72" s="1" customFormat="1" ht="37.35" customHeight="1">
      <c r="A718" s="91"/>
      <c r="B718" s="358" t="s">
        <v>2910</v>
      </c>
      <c r="C718" s="50" t="s">
        <v>1826</v>
      </c>
      <c r="D718" s="264" t="s">
        <v>1816</v>
      </c>
      <c r="E718" s="262" t="s">
        <v>1457</v>
      </c>
      <c r="F718" s="10"/>
      <c r="G718" s="33"/>
      <c r="H718" s="33"/>
      <c r="I718" s="219"/>
      <c r="J718" s="29"/>
      <c r="K718" s="24"/>
      <c r="L718" s="25"/>
      <c r="M718" s="69"/>
      <c r="N718" s="77"/>
      <c r="O718" s="73"/>
      <c r="P718" s="74"/>
      <c r="Q718" s="74"/>
      <c r="R718" s="75"/>
      <c r="S718" s="61"/>
      <c r="T718" s="60"/>
      <c r="U718" s="74"/>
      <c r="V718" s="76"/>
      <c r="W718" s="24"/>
      <c r="X718" s="25"/>
      <c r="Y718" s="77"/>
      <c r="Z718" s="106"/>
      <c r="AA718" s="73"/>
      <c r="AB718" s="88"/>
      <c r="AC718" s="116"/>
      <c r="AD718" s="74"/>
      <c r="AE718" s="76"/>
      <c r="AF718" s="24"/>
      <c r="AG718" s="25"/>
      <c r="AH718" s="77"/>
      <c r="AI718" s="77"/>
      <c r="AJ718" s="73"/>
      <c r="AK718" s="79"/>
      <c r="AL718" s="79"/>
      <c r="AM718" s="127"/>
      <c r="AN718" s="128"/>
      <c r="AO718" s="128"/>
      <c r="AP718" s="124"/>
      <c r="AQ718" s="125"/>
      <c r="AR718" s="126"/>
      <c r="AS718" s="132"/>
      <c r="AT718" s="10"/>
      <c r="AU718" s="10"/>
      <c r="AV718" s="167"/>
      <c r="AW718" s="168"/>
      <c r="AX718" s="29"/>
      <c r="AY718" s="24"/>
      <c r="AZ718" s="25"/>
      <c r="BA718" s="24"/>
      <c r="BB718" s="169"/>
      <c r="BC718" s="170"/>
      <c r="BD718" s="10">
        <v>21728</v>
      </c>
      <c r="BE718" s="10"/>
      <c r="BF718" s="10"/>
      <c r="BG718" s="10"/>
      <c r="BH718" s="10"/>
      <c r="BI718" s="76"/>
      <c r="BJ718" s="24"/>
      <c r="BK718" s="25"/>
      <c r="BL718" s="309" t="s">
        <v>894</v>
      </c>
      <c r="BM718" s="293"/>
      <c r="BN718" s="293"/>
      <c r="BO718" s="293"/>
      <c r="BP718" s="293"/>
      <c r="BQ718" s="293"/>
      <c r="BR718" s="293"/>
      <c r="BS718" s="293"/>
      <c r="BT718" s="293"/>
    </row>
    <row r="719" spans="1:72" s="1" customFormat="1" ht="37.35" customHeight="1">
      <c r="A719" s="91"/>
      <c r="B719" s="358" t="s">
        <v>2911</v>
      </c>
      <c r="C719" s="50" t="s">
        <v>1827</v>
      </c>
      <c r="D719" s="264" t="s">
        <v>1817</v>
      </c>
      <c r="E719" s="263" t="s">
        <v>1399</v>
      </c>
      <c r="F719" s="10"/>
      <c r="G719" s="33"/>
      <c r="H719" s="33"/>
      <c r="I719" s="219"/>
      <c r="J719" s="29"/>
      <c r="K719" s="24"/>
      <c r="L719" s="25"/>
      <c r="M719" s="69"/>
      <c r="N719" s="77"/>
      <c r="O719" s="73"/>
      <c r="P719" s="74"/>
      <c r="Q719" s="74"/>
      <c r="R719" s="75"/>
      <c r="S719" s="61"/>
      <c r="T719" s="60"/>
      <c r="U719" s="74"/>
      <c r="V719" s="76"/>
      <c r="W719" s="24"/>
      <c r="X719" s="25"/>
      <c r="Y719" s="77"/>
      <c r="Z719" s="106"/>
      <c r="AA719" s="73"/>
      <c r="AB719" s="88"/>
      <c r="AC719" s="116"/>
      <c r="AD719" s="74"/>
      <c r="AE719" s="76"/>
      <c r="AF719" s="24"/>
      <c r="AG719" s="25"/>
      <c r="AH719" s="77"/>
      <c r="AI719" s="77"/>
      <c r="AJ719" s="73"/>
      <c r="AK719" s="79"/>
      <c r="AL719" s="79"/>
      <c r="AM719" s="127"/>
      <c r="AN719" s="128"/>
      <c r="AO719" s="128"/>
      <c r="AP719" s="124"/>
      <c r="AQ719" s="125"/>
      <c r="AR719" s="126"/>
      <c r="AS719" s="132"/>
      <c r="AT719" s="10"/>
      <c r="AU719" s="10"/>
      <c r="AV719" s="167"/>
      <c r="AW719" s="168"/>
      <c r="AX719" s="29"/>
      <c r="AY719" s="24"/>
      <c r="AZ719" s="25"/>
      <c r="BA719" s="24"/>
      <c r="BB719" s="169"/>
      <c r="BC719" s="170"/>
      <c r="BD719" s="10">
        <v>121237</v>
      </c>
      <c r="BE719" s="10"/>
      <c r="BF719" s="10"/>
      <c r="BG719" s="10"/>
      <c r="BH719" s="10">
        <v>95000</v>
      </c>
      <c r="BI719" s="76">
        <f t="shared" si="870"/>
        <v>95000</v>
      </c>
      <c r="BJ719" s="24">
        <f t="shared" si="871"/>
        <v>-26237</v>
      </c>
      <c r="BK719" s="25">
        <f t="shared" si="872"/>
        <v>-0.21641083167679834</v>
      </c>
      <c r="BL719" s="309">
        <f t="shared" si="873"/>
        <v>95000</v>
      </c>
      <c r="BM719" s="293"/>
      <c r="BN719" s="293"/>
      <c r="BO719" s="293"/>
      <c r="BP719" s="293"/>
      <c r="BQ719" s="293"/>
      <c r="BR719" s="293"/>
      <c r="BS719" s="293"/>
      <c r="BT719" s="293"/>
    </row>
    <row r="720" spans="1:72" s="1" customFormat="1" ht="37.35" customHeight="1">
      <c r="A720" s="91"/>
      <c r="B720" s="358" t="s">
        <v>2912</v>
      </c>
      <c r="C720" s="50" t="s">
        <v>1828</v>
      </c>
      <c r="D720" s="264" t="s">
        <v>1818</v>
      </c>
      <c r="E720" s="263" t="s">
        <v>1399</v>
      </c>
      <c r="F720" s="10"/>
      <c r="G720" s="33"/>
      <c r="H720" s="33"/>
      <c r="I720" s="219"/>
      <c r="J720" s="29"/>
      <c r="K720" s="24"/>
      <c r="L720" s="25"/>
      <c r="M720" s="69"/>
      <c r="N720" s="77"/>
      <c r="O720" s="73"/>
      <c r="P720" s="74"/>
      <c r="Q720" s="74"/>
      <c r="R720" s="75"/>
      <c r="S720" s="61"/>
      <c r="T720" s="60"/>
      <c r="U720" s="74"/>
      <c r="V720" s="76"/>
      <c r="W720" s="24"/>
      <c r="X720" s="25"/>
      <c r="Y720" s="77"/>
      <c r="Z720" s="106"/>
      <c r="AA720" s="73"/>
      <c r="AB720" s="88"/>
      <c r="AC720" s="116"/>
      <c r="AD720" s="74"/>
      <c r="AE720" s="76"/>
      <c r="AF720" s="24"/>
      <c r="AG720" s="25"/>
      <c r="AH720" s="77"/>
      <c r="AI720" s="77"/>
      <c r="AJ720" s="73"/>
      <c r="AK720" s="79"/>
      <c r="AL720" s="79"/>
      <c r="AM720" s="127"/>
      <c r="AN720" s="128"/>
      <c r="AO720" s="128"/>
      <c r="AP720" s="124"/>
      <c r="AQ720" s="125"/>
      <c r="AR720" s="126"/>
      <c r="AS720" s="132"/>
      <c r="AT720" s="10"/>
      <c r="AU720" s="10"/>
      <c r="AV720" s="167"/>
      <c r="AW720" s="168"/>
      <c r="AX720" s="29"/>
      <c r="AY720" s="24"/>
      <c r="AZ720" s="25"/>
      <c r="BA720" s="24"/>
      <c r="BB720" s="169"/>
      <c r="BC720" s="170"/>
      <c r="BD720" s="10">
        <v>683254</v>
      </c>
      <c r="BE720" s="10"/>
      <c r="BF720" s="10"/>
      <c r="BG720" s="10"/>
      <c r="BH720" s="10"/>
      <c r="BI720" s="76"/>
      <c r="BJ720" s="24"/>
      <c r="BK720" s="25"/>
      <c r="BL720" s="309" t="s">
        <v>894</v>
      </c>
      <c r="BM720" s="293"/>
      <c r="BN720" s="293"/>
      <c r="BO720" s="293"/>
      <c r="BP720" s="293"/>
      <c r="BQ720" s="293"/>
      <c r="BR720" s="293"/>
      <c r="BS720" s="293"/>
      <c r="BT720" s="293"/>
    </row>
    <row r="721" spans="1:72" s="1" customFormat="1" ht="37.35" customHeight="1">
      <c r="A721" s="91"/>
      <c r="B721" s="358" t="s">
        <v>2913</v>
      </c>
      <c r="C721" s="50" t="s">
        <v>1829</v>
      </c>
      <c r="D721" s="264" t="s">
        <v>1819</v>
      </c>
      <c r="E721" s="262" t="s">
        <v>827</v>
      </c>
      <c r="F721" s="10"/>
      <c r="G721" s="33"/>
      <c r="H721" s="33"/>
      <c r="I721" s="219"/>
      <c r="J721" s="29"/>
      <c r="K721" s="24"/>
      <c r="L721" s="25"/>
      <c r="M721" s="69"/>
      <c r="N721" s="77"/>
      <c r="O721" s="73"/>
      <c r="P721" s="74"/>
      <c r="Q721" s="74"/>
      <c r="R721" s="75"/>
      <c r="S721" s="61"/>
      <c r="T721" s="60"/>
      <c r="U721" s="74"/>
      <c r="V721" s="76"/>
      <c r="W721" s="24"/>
      <c r="X721" s="25"/>
      <c r="Y721" s="77"/>
      <c r="Z721" s="106"/>
      <c r="AA721" s="73"/>
      <c r="AB721" s="88"/>
      <c r="AC721" s="116"/>
      <c r="AD721" s="74"/>
      <c r="AE721" s="76"/>
      <c r="AF721" s="24"/>
      <c r="AG721" s="25"/>
      <c r="AH721" s="77"/>
      <c r="AI721" s="77"/>
      <c r="AJ721" s="73"/>
      <c r="AK721" s="79"/>
      <c r="AL721" s="79"/>
      <c r="AM721" s="127"/>
      <c r="AN721" s="128"/>
      <c r="AO721" s="128"/>
      <c r="AP721" s="124"/>
      <c r="AQ721" s="125"/>
      <c r="AR721" s="126"/>
      <c r="AS721" s="132"/>
      <c r="AT721" s="10"/>
      <c r="AU721" s="10"/>
      <c r="AV721" s="167"/>
      <c r="AW721" s="168"/>
      <c r="AX721" s="29"/>
      <c r="AY721" s="24"/>
      <c r="AZ721" s="25"/>
      <c r="BA721" s="24"/>
      <c r="BB721" s="169"/>
      <c r="BC721" s="170"/>
      <c r="BD721" s="10">
        <v>57770</v>
      </c>
      <c r="BE721" s="10"/>
      <c r="BF721" s="10"/>
      <c r="BG721" s="10"/>
      <c r="BH721" s="10">
        <v>120000</v>
      </c>
      <c r="BI721" s="76">
        <f t="shared" si="870"/>
        <v>120000</v>
      </c>
      <c r="BJ721" s="24">
        <f t="shared" si="871"/>
        <v>62230</v>
      </c>
      <c r="BK721" s="25">
        <f t="shared" si="872"/>
        <v>1.0772027003635105</v>
      </c>
      <c r="BL721" s="309">
        <f t="shared" si="873"/>
        <v>120000</v>
      </c>
      <c r="BM721" s="293"/>
      <c r="BN721" s="293"/>
      <c r="BO721" s="293"/>
      <c r="BP721" s="293"/>
      <c r="BQ721" s="293"/>
      <c r="BR721" s="293"/>
      <c r="BS721" s="293"/>
      <c r="BT721" s="293"/>
    </row>
    <row r="722" spans="1:72" s="1" customFormat="1" ht="37.35" customHeight="1">
      <c r="A722" s="91"/>
      <c r="B722" s="358" t="s">
        <v>2914</v>
      </c>
      <c r="C722" s="50" t="s">
        <v>1830</v>
      </c>
      <c r="D722" s="264" t="s">
        <v>1820</v>
      </c>
      <c r="E722" s="262" t="s">
        <v>1466</v>
      </c>
      <c r="F722" s="10"/>
      <c r="G722" s="33"/>
      <c r="H722" s="33"/>
      <c r="I722" s="219"/>
      <c r="J722" s="29"/>
      <c r="K722" s="24"/>
      <c r="L722" s="25"/>
      <c r="M722" s="69"/>
      <c r="N722" s="77"/>
      <c r="O722" s="73"/>
      <c r="P722" s="74"/>
      <c r="Q722" s="74"/>
      <c r="R722" s="75"/>
      <c r="S722" s="61"/>
      <c r="T722" s="60"/>
      <c r="U722" s="74"/>
      <c r="V722" s="76"/>
      <c r="W722" s="24"/>
      <c r="X722" s="25"/>
      <c r="Y722" s="77"/>
      <c r="Z722" s="106"/>
      <c r="AA722" s="73"/>
      <c r="AB722" s="88"/>
      <c r="AC722" s="116"/>
      <c r="AD722" s="74"/>
      <c r="AE722" s="76"/>
      <c r="AF722" s="24"/>
      <c r="AG722" s="25"/>
      <c r="AH722" s="77"/>
      <c r="AI722" s="77"/>
      <c r="AJ722" s="73"/>
      <c r="AK722" s="79"/>
      <c r="AL722" s="79"/>
      <c r="AM722" s="127"/>
      <c r="AN722" s="128"/>
      <c r="AO722" s="128"/>
      <c r="AP722" s="124"/>
      <c r="AQ722" s="125"/>
      <c r="AR722" s="126"/>
      <c r="AS722" s="132"/>
      <c r="AT722" s="10"/>
      <c r="AU722" s="10"/>
      <c r="AV722" s="167"/>
      <c r="AW722" s="168"/>
      <c r="AX722" s="29"/>
      <c r="AY722" s="24"/>
      <c r="AZ722" s="25"/>
      <c r="BA722" s="24"/>
      <c r="BB722" s="169"/>
      <c r="BC722" s="170"/>
      <c r="BD722" s="10">
        <v>143250</v>
      </c>
      <c r="BE722" s="10"/>
      <c r="BF722" s="10"/>
      <c r="BG722" s="10"/>
      <c r="BH722" s="10">
        <v>120000</v>
      </c>
      <c r="BI722" s="76">
        <f t="shared" si="870"/>
        <v>120000</v>
      </c>
      <c r="BJ722" s="24">
        <f t="shared" si="871"/>
        <v>-23250</v>
      </c>
      <c r="BK722" s="25">
        <f t="shared" si="872"/>
        <v>-0.16230366492146597</v>
      </c>
      <c r="BL722" s="309">
        <f t="shared" si="873"/>
        <v>120000</v>
      </c>
      <c r="BM722" s="293"/>
      <c r="BN722" s="293"/>
      <c r="BO722" s="293"/>
      <c r="BP722" s="293"/>
      <c r="BQ722" s="293"/>
      <c r="BR722" s="293"/>
      <c r="BS722" s="293"/>
      <c r="BT722" s="293"/>
    </row>
    <row r="723" spans="1:72" s="1" customFormat="1" ht="37.35" customHeight="1">
      <c r="A723" s="91"/>
      <c r="B723" s="358" t="s">
        <v>2915</v>
      </c>
      <c r="C723" s="50" t="s">
        <v>1831</v>
      </c>
      <c r="D723" s="264" t="s">
        <v>1821</v>
      </c>
      <c r="E723" s="262" t="s">
        <v>1466</v>
      </c>
      <c r="F723" s="10"/>
      <c r="G723" s="33"/>
      <c r="H723" s="33"/>
      <c r="I723" s="219"/>
      <c r="J723" s="29"/>
      <c r="K723" s="24"/>
      <c r="L723" s="25"/>
      <c r="M723" s="69"/>
      <c r="N723" s="77"/>
      <c r="O723" s="73"/>
      <c r="P723" s="74"/>
      <c r="Q723" s="74"/>
      <c r="R723" s="75"/>
      <c r="S723" s="61"/>
      <c r="T723" s="60"/>
      <c r="U723" s="74"/>
      <c r="V723" s="76"/>
      <c r="W723" s="24"/>
      <c r="X723" s="25"/>
      <c r="Y723" s="77"/>
      <c r="Z723" s="106"/>
      <c r="AA723" s="73"/>
      <c r="AB723" s="88"/>
      <c r="AC723" s="116"/>
      <c r="AD723" s="74"/>
      <c r="AE723" s="76"/>
      <c r="AF723" s="24"/>
      <c r="AG723" s="25"/>
      <c r="AH723" s="77"/>
      <c r="AI723" s="77"/>
      <c r="AJ723" s="73"/>
      <c r="AK723" s="79"/>
      <c r="AL723" s="79"/>
      <c r="AM723" s="127"/>
      <c r="AN723" s="128"/>
      <c r="AO723" s="128"/>
      <c r="AP723" s="124"/>
      <c r="AQ723" s="125"/>
      <c r="AR723" s="126"/>
      <c r="AS723" s="132"/>
      <c r="AT723" s="10"/>
      <c r="AU723" s="10"/>
      <c r="AV723" s="167"/>
      <c r="AW723" s="168"/>
      <c r="AX723" s="29"/>
      <c r="AY723" s="24"/>
      <c r="AZ723" s="25"/>
      <c r="BA723" s="24"/>
      <c r="BB723" s="169"/>
      <c r="BC723" s="170"/>
      <c r="BD723" s="10">
        <v>31513</v>
      </c>
      <c r="BE723" s="10"/>
      <c r="BF723" s="10"/>
      <c r="BG723" s="10"/>
      <c r="BH723" s="10" t="s">
        <v>1421</v>
      </c>
      <c r="BI723" s="76"/>
      <c r="BJ723" s="24"/>
      <c r="BK723" s="25"/>
      <c r="BL723" s="310" t="s">
        <v>807</v>
      </c>
      <c r="BM723" s="293"/>
      <c r="BN723" s="293"/>
      <c r="BO723" s="293"/>
      <c r="BP723" s="293"/>
      <c r="BQ723" s="293"/>
      <c r="BR723" s="293"/>
      <c r="BS723" s="293"/>
      <c r="BT723" s="293"/>
    </row>
    <row r="724" spans="1:72" s="1" customFormat="1" ht="37.35" customHeight="1">
      <c r="A724" s="91"/>
      <c r="B724" s="358" t="s">
        <v>2916</v>
      </c>
      <c r="C724" s="50" t="s">
        <v>1832</v>
      </c>
      <c r="D724" s="264" t="s">
        <v>1822</v>
      </c>
      <c r="E724" s="262" t="s">
        <v>827</v>
      </c>
      <c r="F724" s="10"/>
      <c r="G724" s="33"/>
      <c r="H724" s="33"/>
      <c r="I724" s="219"/>
      <c r="J724" s="29"/>
      <c r="K724" s="24"/>
      <c r="L724" s="25"/>
      <c r="M724" s="69"/>
      <c r="N724" s="77"/>
      <c r="O724" s="73"/>
      <c r="P724" s="74"/>
      <c r="Q724" s="74"/>
      <c r="R724" s="75"/>
      <c r="S724" s="61"/>
      <c r="T724" s="60"/>
      <c r="U724" s="74"/>
      <c r="V724" s="76"/>
      <c r="W724" s="24"/>
      <c r="X724" s="25"/>
      <c r="Y724" s="77"/>
      <c r="Z724" s="106"/>
      <c r="AA724" s="73"/>
      <c r="AB724" s="88"/>
      <c r="AC724" s="116"/>
      <c r="AD724" s="74"/>
      <c r="AE724" s="76"/>
      <c r="AF724" s="24"/>
      <c r="AG724" s="25"/>
      <c r="AH724" s="77"/>
      <c r="AI724" s="77"/>
      <c r="AJ724" s="73"/>
      <c r="AK724" s="79"/>
      <c r="AL724" s="79"/>
      <c r="AM724" s="127"/>
      <c r="AN724" s="128"/>
      <c r="AO724" s="128"/>
      <c r="AP724" s="124"/>
      <c r="AQ724" s="125"/>
      <c r="AR724" s="126"/>
      <c r="AS724" s="132"/>
      <c r="AT724" s="10"/>
      <c r="AU724" s="10"/>
      <c r="AV724" s="167"/>
      <c r="AW724" s="168"/>
      <c r="AX724" s="29"/>
      <c r="AY724" s="24"/>
      <c r="AZ724" s="25"/>
      <c r="BA724" s="24"/>
      <c r="BB724" s="169"/>
      <c r="BC724" s="170"/>
      <c r="BD724" s="10">
        <v>22659</v>
      </c>
      <c r="BE724" s="10"/>
      <c r="BF724" s="10"/>
      <c r="BG724" s="10"/>
      <c r="BH724" s="10">
        <v>50000</v>
      </c>
      <c r="BI724" s="76">
        <f t="shared" si="870"/>
        <v>50000</v>
      </c>
      <c r="BJ724" s="24">
        <f t="shared" si="871"/>
        <v>27341</v>
      </c>
      <c r="BK724" s="25">
        <f t="shared" si="872"/>
        <v>1.206628712652809</v>
      </c>
      <c r="BL724" s="309">
        <f t="shared" si="873"/>
        <v>50000</v>
      </c>
      <c r="BM724" s="293"/>
      <c r="BN724" s="293"/>
      <c r="BO724" s="293"/>
      <c r="BP724" s="293"/>
      <c r="BQ724" s="293"/>
      <c r="BR724" s="293"/>
      <c r="BS724" s="293"/>
      <c r="BT724" s="293"/>
    </row>
    <row r="725" spans="1:72" s="1" customFormat="1" ht="37.35" customHeight="1">
      <c r="A725" s="91"/>
      <c r="B725" s="358" t="s">
        <v>2917</v>
      </c>
      <c r="C725" s="50" t="s">
        <v>1833</v>
      </c>
      <c r="D725" s="264" t="s">
        <v>1821</v>
      </c>
      <c r="E725" s="262" t="s">
        <v>1426</v>
      </c>
      <c r="F725" s="10"/>
      <c r="G725" s="33"/>
      <c r="H725" s="33"/>
      <c r="I725" s="219"/>
      <c r="J725" s="29"/>
      <c r="K725" s="24"/>
      <c r="L725" s="25"/>
      <c r="M725" s="69"/>
      <c r="N725" s="77"/>
      <c r="O725" s="73"/>
      <c r="P725" s="74"/>
      <c r="Q725" s="74"/>
      <c r="R725" s="75"/>
      <c r="S725" s="61"/>
      <c r="T725" s="60"/>
      <c r="U725" s="74"/>
      <c r="V725" s="76"/>
      <c r="W725" s="24"/>
      <c r="X725" s="25"/>
      <c r="Y725" s="77"/>
      <c r="Z725" s="106"/>
      <c r="AA725" s="73"/>
      <c r="AB725" s="88"/>
      <c r="AC725" s="116"/>
      <c r="AD725" s="74"/>
      <c r="AE725" s="76"/>
      <c r="AF725" s="24"/>
      <c r="AG725" s="25"/>
      <c r="AH725" s="77"/>
      <c r="AI725" s="77"/>
      <c r="AJ725" s="73"/>
      <c r="AK725" s="79"/>
      <c r="AL725" s="79"/>
      <c r="AM725" s="127"/>
      <c r="AN725" s="128"/>
      <c r="AO725" s="128"/>
      <c r="AP725" s="124"/>
      <c r="AQ725" s="125"/>
      <c r="AR725" s="126"/>
      <c r="AS725" s="132"/>
      <c r="AT725" s="10"/>
      <c r="AU725" s="10"/>
      <c r="AV725" s="167"/>
      <c r="AW725" s="168"/>
      <c r="AX725" s="29"/>
      <c r="AY725" s="24"/>
      <c r="AZ725" s="25"/>
      <c r="BA725" s="24"/>
      <c r="BB725" s="169"/>
      <c r="BC725" s="170"/>
      <c r="BD725" s="10">
        <v>33054</v>
      </c>
      <c r="BE725" s="10"/>
      <c r="BF725" s="10"/>
      <c r="BG725" s="10"/>
      <c r="BH725" s="10" t="s">
        <v>1421</v>
      </c>
      <c r="BI725" s="76"/>
      <c r="BJ725" s="24"/>
      <c r="BK725" s="25"/>
      <c r="BL725" s="310" t="s">
        <v>807</v>
      </c>
      <c r="BM725" s="293"/>
      <c r="BN725" s="293"/>
      <c r="BO725" s="293"/>
      <c r="BP725" s="293"/>
      <c r="BQ725" s="293"/>
      <c r="BR725" s="293"/>
      <c r="BS725" s="293"/>
      <c r="BT725" s="293"/>
    </row>
    <row r="726" spans="1:72" s="1" customFormat="1" ht="37.35" customHeight="1">
      <c r="A726" s="91"/>
      <c r="B726" s="358" t="s">
        <v>2918</v>
      </c>
      <c r="C726" s="50" t="s">
        <v>1834</v>
      </c>
      <c r="D726" s="264" t="s">
        <v>1823</v>
      </c>
      <c r="E726" s="262" t="s">
        <v>1466</v>
      </c>
      <c r="F726" s="10"/>
      <c r="G726" s="33"/>
      <c r="H726" s="33"/>
      <c r="I726" s="219"/>
      <c r="J726" s="29"/>
      <c r="K726" s="24"/>
      <c r="L726" s="25"/>
      <c r="M726" s="69"/>
      <c r="N726" s="77"/>
      <c r="O726" s="73"/>
      <c r="P726" s="74"/>
      <c r="Q726" s="74"/>
      <c r="R726" s="75"/>
      <c r="S726" s="61"/>
      <c r="T726" s="60"/>
      <c r="U726" s="74"/>
      <c r="V726" s="76"/>
      <c r="W726" s="24"/>
      <c r="X726" s="25"/>
      <c r="Y726" s="77"/>
      <c r="Z726" s="106"/>
      <c r="AA726" s="73"/>
      <c r="AB726" s="88"/>
      <c r="AC726" s="116"/>
      <c r="AD726" s="74"/>
      <c r="AE726" s="76"/>
      <c r="AF726" s="24"/>
      <c r="AG726" s="25"/>
      <c r="AH726" s="77"/>
      <c r="AI726" s="77"/>
      <c r="AJ726" s="73"/>
      <c r="AK726" s="79"/>
      <c r="AL726" s="79"/>
      <c r="AM726" s="127"/>
      <c r="AN726" s="128"/>
      <c r="AO726" s="128"/>
      <c r="AP726" s="124"/>
      <c r="AQ726" s="125"/>
      <c r="AR726" s="126"/>
      <c r="AS726" s="132"/>
      <c r="AT726" s="10"/>
      <c r="AU726" s="10"/>
      <c r="AV726" s="167"/>
      <c r="AW726" s="168"/>
      <c r="AX726" s="29"/>
      <c r="AY726" s="24"/>
      <c r="AZ726" s="25"/>
      <c r="BA726" s="24"/>
      <c r="BB726" s="169"/>
      <c r="BC726" s="170"/>
      <c r="BD726" s="10">
        <v>87022</v>
      </c>
      <c r="BE726" s="10"/>
      <c r="BF726" s="10"/>
      <c r="BG726" s="10"/>
      <c r="BH726" s="10">
        <v>120000</v>
      </c>
      <c r="BI726" s="76">
        <f t="shared" si="870"/>
        <v>120000</v>
      </c>
      <c r="BJ726" s="24">
        <f t="shared" ref="BJ726" si="874">BI726-BD726</f>
        <v>32978</v>
      </c>
      <c r="BK726" s="25">
        <f t="shared" ref="BK726" si="875">+BJ726/BD726</f>
        <v>0.3789616418836616</v>
      </c>
      <c r="BL726" s="309">
        <f t="shared" si="873"/>
        <v>120000</v>
      </c>
      <c r="BM726" s="293"/>
      <c r="BN726" s="293"/>
      <c r="BO726" s="293"/>
      <c r="BP726" s="293"/>
      <c r="BQ726" s="293"/>
      <c r="BR726" s="293"/>
      <c r="BS726" s="293"/>
      <c r="BT726" s="293"/>
    </row>
    <row r="727" spans="1:72" ht="33" customHeight="1">
      <c r="A727" s="91" t="s">
        <v>32</v>
      </c>
      <c r="B727" s="358" t="s">
        <v>2919</v>
      </c>
      <c r="C727" s="252" t="s">
        <v>761</v>
      </c>
      <c r="D727" s="47" t="s">
        <v>32</v>
      </c>
      <c r="E727" s="47"/>
      <c r="F727" s="47"/>
      <c r="G727" s="47"/>
      <c r="H727" s="47"/>
      <c r="I727" s="47"/>
      <c r="J727" s="47"/>
      <c r="K727" s="47"/>
      <c r="L727" s="47"/>
      <c r="M727" s="91"/>
      <c r="N727" s="47"/>
      <c r="O727" s="47"/>
      <c r="P727" s="47"/>
      <c r="Q727" s="47"/>
      <c r="R727" s="47"/>
      <c r="S727" s="47"/>
      <c r="T727" s="47"/>
      <c r="U727" s="47"/>
      <c r="V727" s="47"/>
      <c r="W727" s="47"/>
      <c r="X727" s="47"/>
      <c r="Y727" s="47"/>
      <c r="Z727" s="47"/>
      <c r="AA727" s="47"/>
      <c r="AB727" s="47"/>
      <c r="AC727" s="47"/>
      <c r="AD727" s="47"/>
      <c r="AE727" s="47"/>
      <c r="AF727" s="47"/>
      <c r="AG727" s="47"/>
      <c r="AH727" s="47"/>
      <c r="AI727" s="47"/>
      <c r="AJ727" s="153"/>
      <c r="AK727" s="154"/>
      <c r="AL727" s="154"/>
      <c r="AM727" s="155"/>
      <c r="AN727" s="155"/>
      <c r="AO727" s="155"/>
      <c r="AP727" s="138"/>
      <c r="AQ727" s="139"/>
      <c r="AR727" s="140"/>
      <c r="AS727" s="146"/>
      <c r="AT727" s="173"/>
      <c r="AU727" s="173"/>
      <c r="AV727" s="174"/>
      <c r="AW727" s="175"/>
      <c r="AX727" s="29"/>
      <c r="AY727" s="24"/>
      <c r="AZ727" s="25"/>
      <c r="BA727" s="24"/>
      <c r="BB727" s="169"/>
      <c r="BC727" s="170"/>
      <c r="BD727" s="173"/>
      <c r="BE727" s="173"/>
      <c r="BF727" s="173"/>
      <c r="BG727" s="274"/>
      <c r="BH727" s="173"/>
      <c r="BI727" s="76"/>
      <c r="BJ727" s="24"/>
      <c r="BK727" s="25"/>
      <c r="BL727" s="259"/>
      <c r="BM727" s="323"/>
      <c r="BN727" s="324"/>
      <c r="BO727" s="324"/>
      <c r="BP727" s="323"/>
      <c r="BQ727" s="29"/>
      <c r="BR727" s="24"/>
      <c r="BS727" s="25"/>
      <c r="BT727" s="308"/>
    </row>
    <row r="728" spans="1:72" ht="47.45" customHeight="1">
      <c r="A728" s="91" t="s">
        <v>32</v>
      </c>
      <c r="B728" s="358" t="s">
        <v>2920</v>
      </c>
      <c r="C728" s="50" t="s">
        <v>327</v>
      </c>
      <c r="D728" s="99" t="s">
        <v>675</v>
      </c>
      <c r="E728" s="48" t="s">
        <v>14</v>
      </c>
      <c r="F728" s="10">
        <v>674700</v>
      </c>
      <c r="G728" s="31">
        <v>877500</v>
      </c>
      <c r="H728" s="31">
        <v>1140750</v>
      </c>
      <c r="I728" s="36">
        <v>767000</v>
      </c>
      <c r="J728" s="29">
        <f t="shared" si="804"/>
        <v>928416.66666666663</v>
      </c>
      <c r="K728" s="24">
        <f t="shared" si="805"/>
        <v>253716.66666666663</v>
      </c>
      <c r="L728" s="25">
        <f t="shared" si="806"/>
        <v>0.37604367373153497</v>
      </c>
      <c r="M728" s="69" t="str">
        <f t="shared" si="807"/>
        <v>REVISAR PRECIO</v>
      </c>
      <c r="N728" s="77">
        <f t="shared" si="803"/>
        <v>928416.66666666663</v>
      </c>
      <c r="O728" s="73">
        <v>318005</v>
      </c>
      <c r="P728" s="74">
        <v>399546.45500000002</v>
      </c>
      <c r="Q728" s="74">
        <v>450000</v>
      </c>
      <c r="R728" s="75">
        <v>460347.00249999994</v>
      </c>
      <c r="S728" s="61">
        <v>464599.99999999994</v>
      </c>
      <c r="T728" s="60">
        <v>360000</v>
      </c>
      <c r="U728" s="74">
        <v>534289.99999999988</v>
      </c>
      <c r="V728" s="76">
        <f t="shared" ref="V728:V749" si="876">AVERAGE(P728,Q728,R728,S728,T728,U728)</f>
        <v>444797.24291666667</v>
      </c>
      <c r="W728" s="24">
        <f t="shared" ref="W728:W749" si="877">V728-O728</f>
        <v>126792.24291666667</v>
      </c>
      <c r="X728" s="25">
        <f t="shared" ref="X728:X749" si="878">+W728/O728</f>
        <v>0.39871147597260004</v>
      </c>
      <c r="Y728" s="77" t="str">
        <f t="shared" ref="Y728:Y749" si="879">+IF(X728&lt;35%,V728,"REVISAR PRECIO")</f>
        <v>REVISAR PRECIO</v>
      </c>
      <c r="Z728" s="106">
        <f t="shared" ref="Z728:Z749" si="880">V728</f>
        <v>444797.24291666667</v>
      </c>
      <c r="AA728" s="73">
        <v>318005</v>
      </c>
      <c r="AB728" s="88">
        <v>365000</v>
      </c>
      <c r="AC728" s="116">
        <v>365000</v>
      </c>
      <c r="AD728" s="74">
        <v>382174.87</v>
      </c>
      <c r="AE728" s="76">
        <f t="shared" ref="AE728:AE749" si="881">AVERAGE(AB728,AC728,AD728)</f>
        <v>370724.95666666672</v>
      </c>
      <c r="AF728" s="24">
        <f t="shared" ref="AF728:AF749" si="882">AE728-AA728</f>
        <v>52719.956666666723</v>
      </c>
      <c r="AG728" s="25">
        <f t="shared" ref="AG728:AG749" si="883">+AF728/AA728</f>
        <v>0.1657834205961124</v>
      </c>
      <c r="AH728" s="77">
        <f t="shared" ref="AH728:AH749" si="884">+IF(AG728&lt;35%,AE728,"REVISAR PRECIO")</f>
        <v>370724.95666666672</v>
      </c>
      <c r="AI728" s="77">
        <f t="shared" ref="AI728:AI749" si="885">AE728</f>
        <v>370724.95666666672</v>
      </c>
      <c r="AJ728" s="73">
        <v>318005</v>
      </c>
      <c r="AK728" s="79">
        <v>460347.00249999994</v>
      </c>
      <c r="AL728" s="79">
        <f>315847*1.1</f>
        <v>347431.7</v>
      </c>
      <c r="AM728" s="127">
        <v>416918.04000000004</v>
      </c>
      <c r="AN728" s="142">
        <v>372000</v>
      </c>
      <c r="AO728" s="142">
        <v>350000</v>
      </c>
      <c r="AP728" s="29">
        <f t="shared" ref="AP728:AP749" si="886">AVERAGE(AK728,AL728,AM728,AN728,AO728)</f>
        <v>389339.34849999996</v>
      </c>
      <c r="AQ728" s="24">
        <f t="shared" ref="AQ728:AQ749" si="887">AP728-AJ728</f>
        <v>71334.348499999964</v>
      </c>
      <c r="AR728" s="25">
        <f t="shared" ref="AR728:AR749" si="888">+AQ728/AJ728</f>
        <v>0.22431832361126386</v>
      </c>
      <c r="AS728" s="146">
        <f t="shared" ref="AS728:AS749" si="889">AP728</f>
        <v>389339.34849999996</v>
      </c>
      <c r="AT728" s="10">
        <v>318006</v>
      </c>
      <c r="AU728" s="10">
        <v>347432</v>
      </c>
      <c r="AV728" s="167">
        <v>694864</v>
      </c>
      <c r="AW728" s="168">
        <v>325000</v>
      </c>
      <c r="AX728" s="29">
        <f t="shared" ref="AX728:AX734" si="890">AVERAGE(AU728,AW728)</f>
        <v>336216</v>
      </c>
      <c r="AY728" s="24">
        <f t="shared" ref="AY728:AY734" si="891">AX728-AT728</f>
        <v>18210</v>
      </c>
      <c r="AZ728" s="25">
        <f t="shared" ref="AZ728:AZ734" si="892">+AY728/AT728</f>
        <v>5.7263070508103621E-2</v>
      </c>
      <c r="BA728" s="24">
        <f t="shared" ref="BA728:BA734" si="893">AV728-AT728</f>
        <v>376858</v>
      </c>
      <c r="BB728" s="169">
        <f t="shared" ref="BB728:BB734" si="894">+BA728/AT728</f>
        <v>1.1850656905844543</v>
      </c>
      <c r="BC728" s="170">
        <f t="shared" ref="BC728:BC734" si="895">AX728</f>
        <v>336216</v>
      </c>
      <c r="BD728" s="10">
        <v>286206</v>
      </c>
      <c r="BE728" s="10">
        <v>750000</v>
      </c>
      <c r="BF728" s="10">
        <v>800000</v>
      </c>
      <c r="BG728" s="268">
        <v>78000</v>
      </c>
      <c r="BH728" s="10">
        <v>800000</v>
      </c>
      <c r="BI728" s="76">
        <f t="shared" ref="BI728:BI731" si="896">AVERAGE(BE728,BF728,BG728,BH728)</f>
        <v>607000</v>
      </c>
      <c r="BJ728" s="24">
        <f t="shared" ref="BJ728:BJ731" si="897">BI728-BD728</f>
        <v>320794</v>
      </c>
      <c r="BK728" s="25">
        <f t="shared" ref="BK728:BK731" si="898">+BJ728/BD728</f>
        <v>1.1208500171205356</v>
      </c>
      <c r="BL728" s="259">
        <f t="shared" ref="BL728:BL731" si="899">BI728</f>
        <v>607000</v>
      </c>
      <c r="BM728" s="10">
        <v>318005</v>
      </c>
      <c r="BN728" s="45">
        <v>350000</v>
      </c>
      <c r="BO728" s="45">
        <v>375213</v>
      </c>
      <c r="BP728" s="45">
        <v>350000</v>
      </c>
      <c r="BQ728" s="29">
        <f t="shared" ref="BQ728:BQ734" si="900">AVERAGE(BN728,BO728,BP728)</f>
        <v>358404.33333333331</v>
      </c>
      <c r="BR728" s="24">
        <f t="shared" ref="BR728:BR734" si="901">BQ728-BM728</f>
        <v>40399.333333333314</v>
      </c>
      <c r="BS728" s="25">
        <f t="shared" ref="BS728:BS734" si="902">+BR728/BM728</f>
        <v>0.12703993123797838</v>
      </c>
      <c r="BT728" s="308">
        <f t="shared" ref="BT728:BT734" si="903">BQ728</f>
        <v>358404.33333333331</v>
      </c>
    </row>
    <row r="729" spans="1:72" ht="39" customHeight="1">
      <c r="A729" s="91" t="s">
        <v>32</v>
      </c>
      <c r="B729" s="358" t="s">
        <v>2921</v>
      </c>
      <c r="C729" s="50" t="s">
        <v>328</v>
      </c>
      <c r="D729" s="99" t="s">
        <v>676</v>
      </c>
      <c r="E729" s="48" t="s">
        <v>14</v>
      </c>
      <c r="F729" s="10">
        <v>228453</v>
      </c>
      <c r="G729" s="31">
        <v>297122</v>
      </c>
      <c r="H729" s="31">
        <v>386258</v>
      </c>
      <c r="I729" s="36">
        <v>259706.2</v>
      </c>
      <c r="J729" s="29">
        <f t="shared" si="804"/>
        <v>314362.06666666665</v>
      </c>
      <c r="K729" s="24">
        <f t="shared" si="805"/>
        <v>85909.066666666651</v>
      </c>
      <c r="L729" s="25">
        <f t="shared" si="806"/>
        <v>0.37604700602166158</v>
      </c>
      <c r="M729" s="69" t="str">
        <f t="shared" si="807"/>
        <v>REVISAR PRECIO</v>
      </c>
      <c r="N729" s="77">
        <f t="shared" si="803"/>
        <v>314362.06666666665</v>
      </c>
      <c r="O729" s="73">
        <v>535353</v>
      </c>
      <c r="P729" s="74">
        <v>203436.20749999999</v>
      </c>
      <c r="Q729" s="74">
        <v>260000</v>
      </c>
      <c r="R729" s="75">
        <v>234393.89124999999</v>
      </c>
      <c r="S729" s="61">
        <v>264500</v>
      </c>
      <c r="T729" s="60">
        <v>280000</v>
      </c>
      <c r="U729" s="74">
        <v>304175</v>
      </c>
      <c r="V729" s="76">
        <f t="shared" si="876"/>
        <v>257750.84979166664</v>
      </c>
      <c r="W729" s="24">
        <f t="shared" si="877"/>
        <v>-277602.15020833339</v>
      </c>
      <c r="X729" s="25">
        <f t="shared" si="878"/>
        <v>-0.5185403840238747</v>
      </c>
      <c r="Y729" s="77">
        <f t="shared" si="879"/>
        <v>257750.84979166664</v>
      </c>
      <c r="Z729" s="106">
        <f t="shared" si="880"/>
        <v>257750.84979166664</v>
      </c>
      <c r="AA729" s="73">
        <v>535353</v>
      </c>
      <c r="AB729" s="88">
        <v>185000</v>
      </c>
      <c r="AC729" s="116">
        <v>185000</v>
      </c>
      <c r="AD729" s="74">
        <v>194591.155</v>
      </c>
      <c r="AE729" s="76">
        <f t="shared" si="881"/>
        <v>188197.05166666667</v>
      </c>
      <c r="AF729" s="24">
        <f t="shared" si="882"/>
        <v>-347155.94833333336</v>
      </c>
      <c r="AG729" s="25">
        <f t="shared" si="883"/>
        <v>-0.64846175949949536</v>
      </c>
      <c r="AH729" s="77">
        <f t="shared" si="884"/>
        <v>188197.05166666667</v>
      </c>
      <c r="AI729" s="77">
        <f t="shared" si="885"/>
        <v>188197.05166666667</v>
      </c>
      <c r="AJ729" s="73">
        <v>535353</v>
      </c>
      <c r="AK729" s="79">
        <v>234393.89124999999</v>
      </c>
      <c r="AL729" s="79">
        <f>153827*1.15</f>
        <v>176901.05</v>
      </c>
      <c r="AM729" s="127">
        <v>212281.25999999998</v>
      </c>
      <c r="AN729" s="142">
        <v>214500</v>
      </c>
      <c r="AO729" s="142">
        <v>200000</v>
      </c>
      <c r="AP729" s="29">
        <f t="shared" si="886"/>
        <v>207615.24024999997</v>
      </c>
      <c r="AQ729" s="24">
        <f t="shared" si="887"/>
        <v>-327737.75975000003</v>
      </c>
      <c r="AR729" s="25">
        <f t="shared" si="888"/>
        <v>-0.6121900124777484</v>
      </c>
      <c r="AS729" s="146">
        <f t="shared" si="889"/>
        <v>207615.24024999997</v>
      </c>
      <c r="AT729" s="10">
        <v>122177</v>
      </c>
      <c r="AU729" s="10">
        <v>176901</v>
      </c>
      <c r="AV729" s="167">
        <v>353802</v>
      </c>
      <c r="AW729" s="168">
        <v>200000</v>
      </c>
      <c r="AX729" s="29">
        <f t="shared" si="890"/>
        <v>188450.5</v>
      </c>
      <c r="AY729" s="24">
        <f t="shared" si="891"/>
        <v>66273.5</v>
      </c>
      <c r="AZ729" s="25">
        <f t="shared" si="892"/>
        <v>0.54243842949163923</v>
      </c>
      <c r="BA729" s="24">
        <f t="shared" si="893"/>
        <v>231625</v>
      </c>
      <c r="BB729" s="169">
        <f t="shared" si="894"/>
        <v>1.8958150879461764</v>
      </c>
      <c r="BC729" s="170">
        <f t="shared" si="895"/>
        <v>188450.5</v>
      </c>
      <c r="BD729" s="10">
        <v>109960</v>
      </c>
      <c r="BE729" s="10">
        <v>450000</v>
      </c>
      <c r="BF729" s="10">
        <v>480000</v>
      </c>
      <c r="BG729" s="268">
        <v>480000</v>
      </c>
      <c r="BH729" s="10">
        <v>500000</v>
      </c>
      <c r="BI729" s="76">
        <f t="shared" si="896"/>
        <v>477500</v>
      </c>
      <c r="BJ729" s="24">
        <f t="shared" si="897"/>
        <v>367540</v>
      </c>
      <c r="BK729" s="25">
        <f t="shared" si="898"/>
        <v>3.342488177519098</v>
      </c>
      <c r="BL729" s="259">
        <f t="shared" si="899"/>
        <v>477500</v>
      </c>
      <c r="BM729" s="10">
        <v>122177</v>
      </c>
      <c r="BN729" s="45">
        <v>160000</v>
      </c>
      <c r="BO729" s="45">
        <v>144155</v>
      </c>
      <c r="BP729" s="45">
        <v>180000</v>
      </c>
      <c r="BQ729" s="29">
        <f t="shared" si="900"/>
        <v>161385</v>
      </c>
      <c r="BR729" s="24">
        <f t="shared" si="901"/>
        <v>39208</v>
      </c>
      <c r="BS729" s="25">
        <f t="shared" si="902"/>
        <v>0.32091146451459768</v>
      </c>
      <c r="BT729" s="308">
        <f t="shared" si="903"/>
        <v>161385</v>
      </c>
    </row>
    <row r="730" spans="1:72" s="1" customFormat="1" ht="32.450000000000003" customHeight="1">
      <c r="A730" s="91" t="s">
        <v>32</v>
      </c>
      <c r="B730" s="358" t="s">
        <v>2922</v>
      </c>
      <c r="C730" s="50" t="s">
        <v>329</v>
      </c>
      <c r="D730" s="99" t="s">
        <v>677</v>
      </c>
      <c r="E730" s="48" t="s">
        <v>14</v>
      </c>
      <c r="F730" s="10">
        <v>1001047</v>
      </c>
      <c r="G730" s="31">
        <v>1301940</v>
      </c>
      <c r="H730" s="31">
        <v>1692522</v>
      </c>
      <c r="I730" s="36">
        <v>1137992</v>
      </c>
      <c r="J730" s="29">
        <f t="shared" si="804"/>
        <v>1377484.6666666667</v>
      </c>
      <c r="K730" s="24">
        <f t="shared" si="805"/>
        <v>376437.66666666674</v>
      </c>
      <c r="L730" s="25">
        <f t="shared" si="806"/>
        <v>0.37604394865242763</v>
      </c>
      <c r="M730" s="69" t="str">
        <f t="shared" si="807"/>
        <v>REVISAR PRECIO</v>
      </c>
      <c r="N730" s="77">
        <f t="shared" si="803"/>
        <v>1377484.6666666667</v>
      </c>
      <c r="O730" s="73">
        <v>122177</v>
      </c>
      <c r="P730" s="74">
        <v>740606.61250000005</v>
      </c>
      <c r="Q730" s="74">
        <v>850000</v>
      </c>
      <c r="R730" s="75">
        <v>853307.61875000002</v>
      </c>
      <c r="S730" s="61">
        <v>862499.99999999988</v>
      </c>
      <c r="T730" s="60">
        <v>290000</v>
      </c>
      <c r="U730" s="74">
        <v>991874.99999999977</v>
      </c>
      <c r="V730" s="76">
        <f t="shared" si="876"/>
        <v>764714.87187500007</v>
      </c>
      <c r="W730" s="24">
        <f t="shared" si="877"/>
        <v>642537.87187500007</v>
      </c>
      <c r="X730" s="25">
        <f t="shared" si="878"/>
        <v>5.2590738999566211</v>
      </c>
      <c r="Y730" s="77" t="str">
        <f t="shared" si="879"/>
        <v>REVISAR PRECIO</v>
      </c>
      <c r="Z730" s="106">
        <f t="shared" si="880"/>
        <v>764714.87187500007</v>
      </c>
      <c r="AA730" s="73">
        <v>122177</v>
      </c>
      <c r="AB730" s="88">
        <v>676000</v>
      </c>
      <c r="AC730" s="116">
        <v>750000</v>
      </c>
      <c r="AD730" s="74">
        <v>708406.32499999995</v>
      </c>
      <c r="AE730" s="76">
        <f t="shared" si="881"/>
        <v>711468.77500000002</v>
      </c>
      <c r="AF730" s="24">
        <f t="shared" si="882"/>
        <v>589291.77500000002</v>
      </c>
      <c r="AG730" s="25">
        <f t="shared" si="883"/>
        <v>4.8232627663144454</v>
      </c>
      <c r="AH730" s="77" t="str">
        <f t="shared" si="884"/>
        <v>REVISAR PRECIO</v>
      </c>
      <c r="AI730" s="77">
        <f t="shared" si="885"/>
        <v>711468.77500000002</v>
      </c>
      <c r="AJ730" s="73">
        <v>122177</v>
      </c>
      <c r="AK730" s="79">
        <v>853307.61875000002</v>
      </c>
      <c r="AL730" s="79">
        <f>560005*1.15</f>
        <v>644005.75</v>
      </c>
      <c r="AM730" s="127">
        <v>772806.9</v>
      </c>
      <c r="AN730" s="142">
        <v>645000</v>
      </c>
      <c r="AO730" s="142">
        <v>650000</v>
      </c>
      <c r="AP730" s="29">
        <f t="shared" si="886"/>
        <v>713024.05374999996</v>
      </c>
      <c r="AQ730" s="24">
        <f t="shared" si="887"/>
        <v>590847.05374999996</v>
      </c>
      <c r="AR730" s="25">
        <f t="shared" si="888"/>
        <v>4.835992484264632</v>
      </c>
      <c r="AS730" s="146">
        <f t="shared" si="889"/>
        <v>713024.05374999996</v>
      </c>
      <c r="AT730" s="10">
        <v>535354</v>
      </c>
      <c r="AU730" s="10">
        <v>644006</v>
      </c>
      <c r="AV730" s="167">
        <v>1288012</v>
      </c>
      <c r="AW730" s="168">
        <v>564000</v>
      </c>
      <c r="AX730" s="29">
        <f t="shared" si="890"/>
        <v>604003</v>
      </c>
      <c r="AY730" s="24">
        <f t="shared" si="891"/>
        <v>68649</v>
      </c>
      <c r="AZ730" s="25">
        <f t="shared" si="892"/>
        <v>0.12823103964853164</v>
      </c>
      <c r="BA730" s="24">
        <f t="shared" si="893"/>
        <v>752658</v>
      </c>
      <c r="BB730" s="169">
        <f t="shared" si="894"/>
        <v>1.4059071194013681</v>
      </c>
      <c r="BC730" s="170">
        <f t="shared" si="895"/>
        <v>604003</v>
      </c>
      <c r="BD730" s="10">
        <v>481815</v>
      </c>
      <c r="BE730" s="10">
        <v>450000</v>
      </c>
      <c r="BF730" s="10">
        <v>480000</v>
      </c>
      <c r="BG730" s="268">
        <v>480000</v>
      </c>
      <c r="BH730" s="10">
        <v>500000</v>
      </c>
      <c r="BI730" s="76">
        <f t="shared" si="896"/>
        <v>477500</v>
      </c>
      <c r="BJ730" s="24">
        <f t="shared" si="897"/>
        <v>-4315</v>
      </c>
      <c r="BK730" s="25">
        <f t="shared" si="898"/>
        <v>-8.9557195189024826E-3</v>
      </c>
      <c r="BL730" s="259">
        <f t="shared" si="899"/>
        <v>477500</v>
      </c>
      <c r="BM730" s="10">
        <v>535353</v>
      </c>
      <c r="BN730" s="45">
        <v>600000</v>
      </c>
      <c r="BO730" s="45">
        <v>631654</v>
      </c>
      <c r="BP730" s="45">
        <v>635000</v>
      </c>
      <c r="BQ730" s="29">
        <f t="shared" si="900"/>
        <v>622218</v>
      </c>
      <c r="BR730" s="24">
        <f t="shared" si="901"/>
        <v>86865</v>
      </c>
      <c r="BS730" s="25">
        <f t="shared" si="902"/>
        <v>0.16225742640836979</v>
      </c>
      <c r="BT730" s="308">
        <f t="shared" si="903"/>
        <v>622218</v>
      </c>
    </row>
    <row r="731" spans="1:72" ht="30.6" customHeight="1">
      <c r="A731" s="91" t="s">
        <v>32</v>
      </c>
      <c r="B731" s="358" t="s">
        <v>2923</v>
      </c>
      <c r="C731" s="50" t="s">
        <v>330</v>
      </c>
      <c r="D731" s="99" t="s">
        <v>678</v>
      </c>
      <c r="E731" s="48" t="s">
        <v>14</v>
      </c>
      <c r="F731" s="10">
        <v>419757</v>
      </c>
      <c r="G731" s="31">
        <v>545927</v>
      </c>
      <c r="H731" s="33">
        <v>709704</v>
      </c>
      <c r="I731" s="36">
        <v>477180.2</v>
      </c>
      <c r="J731" s="29">
        <f t="shared" si="804"/>
        <v>577603.73333333328</v>
      </c>
      <c r="K731" s="24">
        <f t="shared" si="805"/>
        <v>157846.73333333328</v>
      </c>
      <c r="L731" s="25">
        <f t="shared" si="806"/>
        <v>0.37604312336264384</v>
      </c>
      <c r="M731" s="69" t="str">
        <f t="shared" si="807"/>
        <v>REVISAR PRECIO</v>
      </c>
      <c r="N731" s="77">
        <f t="shared" si="803"/>
        <v>577603.73333333328</v>
      </c>
      <c r="O731" s="73">
        <v>236490</v>
      </c>
      <c r="P731" s="74">
        <v>309426.64749999996</v>
      </c>
      <c r="Q731" s="74">
        <v>350000</v>
      </c>
      <c r="R731" s="75">
        <v>356513.31124999991</v>
      </c>
      <c r="S731" s="61">
        <v>309426.64749999996</v>
      </c>
      <c r="T731" s="60">
        <v>260000</v>
      </c>
      <c r="U731" s="74">
        <v>355840.64462499996</v>
      </c>
      <c r="V731" s="76">
        <f t="shared" si="876"/>
        <v>323534.54181249993</v>
      </c>
      <c r="W731" s="24">
        <f t="shared" si="877"/>
        <v>87044.541812499927</v>
      </c>
      <c r="X731" s="25">
        <f t="shared" si="878"/>
        <v>0.36806859407374487</v>
      </c>
      <c r="Y731" s="77" t="str">
        <f t="shared" si="879"/>
        <v>REVISAR PRECIO</v>
      </c>
      <c r="Z731" s="106">
        <f t="shared" si="880"/>
        <v>323534.54181249993</v>
      </c>
      <c r="AA731" s="73">
        <v>236490</v>
      </c>
      <c r="AB731" s="88">
        <v>291000</v>
      </c>
      <c r="AC731" s="116">
        <v>325000</v>
      </c>
      <c r="AD731" s="74">
        <v>295973.31499999994</v>
      </c>
      <c r="AE731" s="76">
        <f t="shared" si="881"/>
        <v>303991.10499999998</v>
      </c>
      <c r="AF731" s="24">
        <f t="shared" si="882"/>
        <v>67501.104999999981</v>
      </c>
      <c r="AG731" s="25">
        <f t="shared" si="883"/>
        <v>0.28542900334052174</v>
      </c>
      <c r="AH731" s="77">
        <f t="shared" si="884"/>
        <v>303991.10499999998</v>
      </c>
      <c r="AI731" s="77">
        <f t="shared" si="885"/>
        <v>303991.10499999998</v>
      </c>
      <c r="AJ731" s="73">
        <v>236490</v>
      </c>
      <c r="AK731" s="79">
        <v>356513.31124999991</v>
      </c>
      <c r="AL731" s="79">
        <f>233971*1.15</f>
        <v>269066.64999999997</v>
      </c>
      <c r="AM731" s="127">
        <v>322879.98</v>
      </c>
      <c r="AN731" s="142">
        <v>321000</v>
      </c>
      <c r="AO731" s="142">
        <v>300000</v>
      </c>
      <c r="AP731" s="29">
        <f t="shared" si="886"/>
        <v>313891.98824999999</v>
      </c>
      <c r="AQ731" s="24">
        <f t="shared" si="887"/>
        <v>77401.988249999995</v>
      </c>
      <c r="AR731" s="25">
        <f t="shared" si="888"/>
        <v>0.32729497336039576</v>
      </c>
      <c r="AS731" s="146">
        <f t="shared" si="889"/>
        <v>313891.98824999999</v>
      </c>
      <c r="AT731" s="10">
        <v>224486</v>
      </c>
      <c r="AU731" s="10">
        <v>269067</v>
      </c>
      <c r="AV731" s="167">
        <v>807201</v>
      </c>
      <c r="AW731" s="168">
        <v>245000</v>
      </c>
      <c r="AX731" s="29">
        <f t="shared" si="890"/>
        <v>257033.5</v>
      </c>
      <c r="AY731" s="24">
        <f t="shared" si="891"/>
        <v>32547.5</v>
      </c>
      <c r="AZ731" s="25">
        <f t="shared" si="892"/>
        <v>0.14498676977628894</v>
      </c>
      <c r="BA731" s="24">
        <f t="shared" si="893"/>
        <v>582715</v>
      </c>
      <c r="BB731" s="169">
        <f t="shared" si="894"/>
        <v>2.5957743467298631</v>
      </c>
      <c r="BC731" s="170">
        <f t="shared" si="895"/>
        <v>257033.5</v>
      </c>
      <c r="BD731" s="10">
        <v>198448</v>
      </c>
      <c r="BE731" s="10">
        <v>321000</v>
      </c>
      <c r="BF731" s="10">
        <v>335000</v>
      </c>
      <c r="BG731" s="268">
        <v>326000</v>
      </c>
      <c r="BH731" s="10">
        <v>350000</v>
      </c>
      <c r="BI731" s="76">
        <f t="shared" si="896"/>
        <v>333000</v>
      </c>
      <c r="BJ731" s="24">
        <f t="shared" si="897"/>
        <v>134552</v>
      </c>
      <c r="BK731" s="25">
        <f t="shared" si="898"/>
        <v>0.67802144642425222</v>
      </c>
      <c r="BL731" s="259">
        <f t="shared" si="899"/>
        <v>333000</v>
      </c>
      <c r="BM731" s="10">
        <v>224486</v>
      </c>
      <c r="BN731" s="45">
        <v>250000</v>
      </c>
      <c r="BO731" s="45">
        <v>264864</v>
      </c>
      <c r="BP731" s="45">
        <v>270000</v>
      </c>
      <c r="BQ731" s="29">
        <f t="shared" si="900"/>
        <v>261621.33333333334</v>
      </c>
      <c r="BR731" s="24">
        <f t="shared" si="901"/>
        <v>37135.333333333343</v>
      </c>
      <c r="BS731" s="25">
        <f t="shared" si="902"/>
        <v>0.16542382746956755</v>
      </c>
      <c r="BT731" s="308">
        <f t="shared" si="903"/>
        <v>261621.33333333334</v>
      </c>
    </row>
    <row r="732" spans="1:72" ht="41.1" customHeight="1">
      <c r="A732" s="91" t="s">
        <v>32</v>
      </c>
      <c r="B732" s="358" t="s">
        <v>2924</v>
      </c>
      <c r="C732" s="50" t="s">
        <v>331</v>
      </c>
      <c r="D732" s="99" t="s">
        <v>679</v>
      </c>
      <c r="E732" s="48" t="s">
        <v>14</v>
      </c>
      <c r="F732" s="10">
        <v>222132</v>
      </c>
      <c r="G732" s="31">
        <v>288900</v>
      </c>
      <c r="H732" s="31">
        <v>375570</v>
      </c>
      <c r="I732" s="36">
        <v>252520</v>
      </c>
      <c r="J732" s="29">
        <f t="shared" si="804"/>
        <v>305663.33333333331</v>
      </c>
      <c r="K732" s="24">
        <f t="shared" si="805"/>
        <v>83531.333333333314</v>
      </c>
      <c r="L732" s="25">
        <f t="shared" si="806"/>
        <v>0.37604367373153491</v>
      </c>
      <c r="M732" s="69" t="str">
        <f t="shared" si="807"/>
        <v>REVISAR PRECIO</v>
      </c>
      <c r="N732" s="77">
        <f t="shared" si="803"/>
        <v>305663.33333333331</v>
      </c>
      <c r="O732" s="73">
        <v>48317</v>
      </c>
      <c r="P732" s="74">
        <v>110400</v>
      </c>
      <c r="Q732" s="74">
        <v>150000</v>
      </c>
      <c r="R732" s="75">
        <v>127200</v>
      </c>
      <c r="S732" s="61">
        <v>110399.99999999999</v>
      </c>
      <c r="T732" s="60">
        <v>160000</v>
      </c>
      <c r="U732" s="74">
        <v>126959.99999999997</v>
      </c>
      <c r="V732" s="76">
        <f t="shared" si="876"/>
        <v>130826.66666666667</v>
      </c>
      <c r="W732" s="24">
        <f t="shared" si="877"/>
        <v>82509.666666666672</v>
      </c>
      <c r="X732" s="25">
        <f t="shared" si="878"/>
        <v>1.7076736276396853</v>
      </c>
      <c r="Y732" s="77" t="str">
        <f t="shared" si="879"/>
        <v>REVISAR PRECIO</v>
      </c>
      <c r="Z732" s="106">
        <f t="shared" si="880"/>
        <v>130826.66666666667</v>
      </c>
      <c r="AA732" s="73">
        <v>48317</v>
      </c>
      <c r="AB732" s="88">
        <v>100000</v>
      </c>
      <c r="AC732" s="116">
        <v>100000</v>
      </c>
      <c r="AD732" s="74">
        <v>105600</v>
      </c>
      <c r="AE732" s="76">
        <f t="shared" si="881"/>
        <v>101866.66666666667</v>
      </c>
      <c r="AF732" s="24">
        <f t="shared" si="882"/>
        <v>53549.666666666672</v>
      </c>
      <c r="AG732" s="25">
        <f t="shared" si="883"/>
        <v>1.1082986664459025</v>
      </c>
      <c r="AH732" s="77" t="str">
        <f t="shared" si="884"/>
        <v>REVISAR PRECIO</v>
      </c>
      <c r="AI732" s="77">
        <f t="shared" si="885"/>
        <v>101866.66666666667</v>
      </c>
      <c r="AJ732" s="73">
        <v>48317</v>
      </c>
      <c r="AK732" s="79">
        <v>127200</v>
      </c>
      <c r="AL732" s="79">
        <v>96000</v>
      </c>
      <c r="AM732" s="127">
        <v>96000</v>
      </c>
      <c r="AN732" s="142">
        <v>92000</v>
      </c>
      <c r="AO732" s="142">
        <v>95000</v>
      </c>
      <c r="AP732" s="29">
        <f t="shared" si="886"/>
        <v>101240</v>
      </c>
      <c r="AQ732" s="24">
        <f t="shared" si="887"/>
        <v>52923</v>
      </c>
      <c r="AR732" s="25">
        <f t="shared" si="888"/>
        <v>1.0953287662727405</v>
      </c>
      <c r="AS732" s="146">
        <f t="shared" si="889"/>
        <v>101240</v>
      </c>
      <c r="AT732" s="10">
        <v>48317</v>
      </c>
      <c r="AU732" s="10">
        <v>96000</v>
      </c>
      <c r="AV732" s="167">
        <v>288000</v>
      </c>
      <c r="AW732" s="168">
        <v>110500</v>
      </c>
      <c r="AX732" s="29">
        <f t="shared" si="890"/>
        <v>103250</v>
      </c>
      <c r="AY732" s="24">
        <f t="shared" si="891"/>
        <v>54933</v>
      </c>
      <c r="AZ732" s="25">
        <f t="shared" si="892"/>
        <v>1.1369290311898503</v>
      </c>
      <c r="BA732" s="24">
        <f t="shared" si="893"/>
        <v>239683</v>
      </c>
      <c r="BB732" s="169">
        <f t="shared" si="894"/>
        <v>4.9606349731978394</v>
      </c>
      <c r="BC732" s="170">
        <f t="shared" si="895"/>
        <v>103250</v>
      </c>
      <c r="BD732" s="150"/>
      <c r="BE732" s="150"/>
      <c r="BF732" s="150"/>
      <c r="BG732" s="150"/>
      <c r="BH732" s="150"/>
      <c r="BI732" s="150"/>
      <c r="BJ732" s="150"/>
      <c r="BK732" s="150"/>
      <c r="BL732" s="150"/>
      <c r="BM732" s="10">
        <v>48317</v>
      </c>
      <c r="BN732" s="45">
        <v>90000</v>
      </c>
      <c r="BO732" s="45">
        <v>57109</v>
      </c>
      <c r="BP732" s="45">
        <v>95000</v>
      </c>
      <c r="BQ732" s="29">
        <f t="shared" si="900"/>
        <v>80703</v>
      </c>
      <c r="BR732" s="24">
        <f t="shared" si="901"/>
        <v>32386</v>
      </c>
      <c r="BS732" s="25">
        <f t="shared" si="902"/>
        <v>0.67028168139578204</v>
      </c>
      <c r="BT732" s="308">
        <f t="shared" si="903"/>
        <v>80703</v>
      </c>
    </row>
    <row r="733" spans="1:72" ht="41.1" customHeight="1">
      <c r="A733" s="91" t="s">
        <v>32</v>
      </c>
      <c r="B733" s="358" t="s">
        <v>2925</v>
      </c>
      <c r="C733" s="50" t="s">
        <v>332</v>
      </c>
      <c r="D733" s="99" t="s">
        <v>680</v>
      </c>
      <c r="E733" s="48" t="s">
        <v>14</v>
      </c>
      <c r="F733" s="10">
        <v>33548</v>
      </c>
      <c r="G733" s="31">
        <v>43632</v>
      </c>
      <c r="H733" s="33">
        <v>56722</v>
      </c>
      <c r="I733" s="36">
        <v>38137.599999999999</v>
      </c>
      <c r="J733" s="29">
        <f t="shared" si="804"/>
        <v>46163.866666666669</v>
      </c>
      <c r="K733" s="24">
        <f t="shared" si="805"/>
        <v>12615.866666666669</v>
      </c>
      <c r="L733" s="25">
        <f t="shared" si="806"/>
        <v>0.37605421088192048</v>
      </c>
      <c r="M733" s="69" t="str">
        <f t="shared" si="807"/>
        <v>REVISAR PRECIO</v>
      </c>
      <c r="N733" s="77">
        <f t="shared" si="803"/>
        <v>46163.866666666669</v>
      </c>
      <c r="O733" s="73">
        <v>24348</v>
      </c>
      <c r="P733" s="74">
        <v>26317.75</v>
      </c>
      <c r="Q733" s="74">
        <v>50000</v>
      </c>
      <c r="R733" s="75">
        <v>30322.625</v>
      </c>
      <c r="S733" s="61">
        <v>26317.749999999996</v>
      </c>
      <c r="T733" s="60">
        <v>85000</v>
      </c>
      <c r="U733" s="74">
        <v>30265.412499999995</v>
      </c>
      <c r="V733" s="76">
        <f t="shared" si="876"/>
        <v>41370.589583333334</v>
      </c>
      <c r="W733" s="24">
        <f t="shared" si="877"/>
        <v>17022.589583333334</v>
      </c>
      <c r="X733" s="25">
        <f t="shared" si="878"/>
        <v>0.69913707833634531</v>
      </c>
      <c r="Y733" s="77" t="str">
        <f t="shared" si="879"/>
        <v>REVISAR PRECIO</v>
      </c>
      <c r="Z733" s="106">
        <f t="shared" si="880"/>
        <v>41370.589583333334</v>
      </c>
      <c r="AA733" s="73">
        <v>24348</v>
      </c>
      <c r="AB733" s="88">
        <v>25000</v>
      </c>
      <c r="AC733" s="116">
        <v>25000</v>
      </c>
      <c r="AD733" s="74">
        <v>25173.5</v>
      </c>
      <c r="AE733" s="76">
        <f t="shared" si="881"/>
        <v>25057.833333333332</v>
      </c>
      <c r="AF733" s="24">
        <f t="shared" si="882"/>
        <v>709.83333333333212</v>
      </c>
      <c r="AG733" s="25">
        <f t="shared" si="883"/>
        <v>2.9153660807184661E-2</v>
      </c>
      <c r="AH733" s="77">
        <f t="shared" si="884"/>
        <v>25057.833333333332</v>
      </c>
      <c r="AI733" s="77">
        <f t="shared" si="885"/>
        <v>25057.833333333332</v>
      </c>
      <c r="AJ733" s="73">
        <v>24348</v>
      </c>
      <c r="AK733" s="79">
        <v>30322.625</v>
      </c>
      <c r="AL733" s="79">
        <f>19900*1.15</f>
        <v>22885</v>
      </c>
      <c r="AM733" s="127">
        <v>27462</v>
      </c>
      <c r="AN733" s="142">
        <v>265000</v>
      </c>
      <c r="AO733" s="142">
        <v>30000</v>
      </c>
      <c r="AP733" s="29">
        <f t="shared" si="886"/>
        <v>75133.925000000003</v>
      </c>
      <c r="AQ733" s="24">
        <f t="shared" si="887"/>
        <v>50785.925000000003</v>
      </c>
      <c r="AR733" s="25">
        <f t="shared" si="888"/>
        <v>2.0858355922457696</v>
      </c>
      <c r="AS733" s="146">
        <f t="shared" si="889"/>
        <v>75133.925000000003</v>
      </c>
      <c r="AT733" s="10">
        <v>24349</v>
      </c>
      <c r="AU733" s="10">
        <v>22885</v>
      </c>
      <c r="AV733" s="167">
        <v>68655</v>
      </c>
      <c r="AW733" s="168">
        <v>28000</v>
      </c>
      <c r="AX733" s="29">
        <f t="shared" si="890"/>
        <v>25442.5</v>
      </c>
      <c r="AY733" s="24">
        <f t="shared" si="891"/>
        <v>1093.5</v>
      </c>
      <c r="AZ733" s="25">
        <f t="shared" si="892"/>
        <v>4.4909441866195735E-2</v>
      </c>
      <c r="BA733" s="24">
        <f t="shared" si="893"/>
        <v>44306</v>
      </c>
      <c r="BB733" s="169">
        <f t="shared" si="894"/>
        <v>1.8196229824633454</v>
      </c>
      <c r="BC733" s="170">
        <f t="shared" si="895"/>
        <v>25442.5</v>
      </c>
      <c r="BD733" s="10">
        <v>21918</v>
      </c>
      <c r="BE733" s="10">
        <v>60000</v>
      </c>
      <c r="BF733" s="10">
        <v>68000</v>
      </c>
      <c r="BG733" s="268">
        <v>68000</v>
      </c>
      <c r="BH733" s="10">
        <v>65000</v>
      </c>
      <c r="BI733" s="76">
        <f t="shared" ref="BI733:BI734" si="904">AVERAGE(BE733,BF733,BG733,BH733)</f>
        <v>65250</v>
      </c>
      <c r="BJ733" s="24">
        <f t="shared" ref="BJ733:BJ734" si="905">BI733-BD733</f>
        <v>43332</v>
      </c>
      <c r="BK733" s="25">
        <f t="shared" ref="BK733:BK734" si="906">+BJ733/BD733</f>
        <v>1.9770052012044894</v>
      </c>
      <c r="BL733" s="259">
        <f t="shared" ref="BL733:BL734" si="907">BI733</f>
        <v>65250</v>
      </c>
      <c r="BM733" s="10">
        <v>24348</v>
      </c>
      <c r="BN733" s="45">
        <v>35000</v>
      </c>
      <c r="BO733" s="45">
        <v>28728</v>
      </c>
      <c r="BP733" s="45">
        <v>22000</v>
      </c>
      <c r="BQ733" s="29">
        <f t="shared" si="900"/>
        <v>28576</v>
      </c>
      <c r="BR733" s="24">
        <f t="shared" si="901"/>
        <v>4228</v>
      </c>
      <c r="BS733" s="25">
        <f t="shared" si="902"/>
        <v>0.17364875965171678</v>
      </c>
      <c r="BT733" s="308">
        <f t="shared" si="903"/>
        <v>28576</v>
      </c>
    </row>
    <row r="734" spans="1:72" ht="41.1" customHeight="1">
      <c r="A734" s="91" t="s">
        <v>32</v>
      </c>
      <c r="B734" s="358" t="s">
        <v>2926</v>
      </c>
      <c r="C734" s="50" t="s">
        <v>333</v>
      </c>
      <c r="D734" s="99" t="s">
        <v>681</v>
      </c>
      <c r="E734" s="48" t="s">
        <v>14</v>
      </c>
      <c r="F734" s="10">
        <v>325486</v>
      </c>
      <c r="G734" s="31">
        <v>423320</v>
      </c>
      <c r="H734" s="31">
        <v>423320</v>
      </c>
      <c r="I734" s="36">
        <v>370012.6</v>
      </c>
      <c r="J734" s="29">
        <f t="shared" si="804"/>
        <v>405550.8666666667</v>
      </c>
      <c r="K734" s="24">
        <f t="shared" si="805"/>
        <v>80064.866666666698</v>
      </c>
      <c r="L734" s="25">
        <f t="shared" si="806"/>
        <v>0.24598559282631727</v>
      </c>
      <c r="M734" s="69">
        <f t="shared" si="807"/>
        <v>405550.8666666667</v>
      </c>
      <c r="N734" s="77">
        <f t="shared" si="803"/>
        <v>405550.8666666667</v>
      </c>
      <c r="O734" s="73">
        <v>318005</v>
      </c>
      <c r="P734" s="74">
        <v>384629</v>
      </c>
      <c r="Q734" s="74">
        <v>500000</v>
      </c>
      <c r="R734" s="75">
        <v>443159.5</v>
      </c>
      <c r="S734" s="61">
        <v>384628.99999999994</v>
      </c>
      <c r="T734" s="60">
        <v>420000</v>
      </c>
      <c r="U734" s="74">
        <v>442323.34999999992</v>
      </c>
      <c r="V734" s="76">
        <f t="shared" si="876"/>
        <v>429123.47500000003</v>
      </c>
      <c r="W734" s="24">
        <f t="shared" si="877"/>
        <v>111118.47500000003</v>
      </c>
      <c r="X734" s="25">
        <f t="shared" si="878"/>
        <v>0.3494236725837645</v>
      </c>
      <c r="Y734" s="77">
        <f t="shared" si="879"/>
        <v>429123.47500000003</v>
      </c>
      <c r="Z734" s="106">
        <f t="shared" si="880"/>
        <v>429123.47500000003</v>
      </c>
      <c r="AA734" s="73">
        <v>318005</v>
      </c>
      <c r="AB734" s="88">
        <v>351000</v>
      </c>
      <c r="AC734" s="116">
        <v>351000</v>
      </c>
      <c r="AD734" s="74">
        <v>367906</v>
      </c>
      <c r="AE734" s="76">
        <f t="shared" si="881"/>
        <v>356635.33333333331</v>
      </c>
      <c r="AF734" s="24">
        <f t="shared" si="882"/>
        <v>38630.333333333314</v>
      </c>
      <c r="AG734" s="25">
        <f t="shared" si="883"/>
        <v>0.12147712562171448</v>
      </c>
      <c r="AH734" s="77">
        <f t="shared" si="884"/>
        <v>356635.33333333331</v>
      </c>
      <c r="AI734" s="77">
        <f t="shared" si="885"/>
        <v>356635.33333333331</v>
      </c>
      <c r="AJ734" s="73">
        <v>318005</v>
      </c>
      <c r="AK734" s="79">
        <v>443159.5</v>
      </c>
      <c r="AL734" s="79">
        <f>238900*1.4</f>
        <v>334460</v>
      </c>
      <c r="AM734" s="127">
        <v>401352</v>
      </c>
      <c r="AN734" s="142">
        <v>411000</v>
      </c>
      <c r="AO734" s="142">
        <v>370000</v>
      </c>
      <c r="AP734" s="29">
        <f t="shared" si="886"/>
        <v>391994.3</v>
      </c>
      <c r="AQ734" s="24">
        <f t="shared" si="887"/>
        <v>73989.299999999988</v>
      </c>
      <c r="AR734" s="25">
        <f t="shared" si="888"/>
        <v>0.23266709642930139</v>
      </c>
      <c r="AS734" s="146">
        <f t="shared" si="889"/>
        <v>391994.3</v>
      </c>
      <c r="AT734" s="10">
        <v>318006</v>
      </c>
      <c r="AU734" s="10">
        <v>334460</v>
      </c>
      <c r="AV734" s="167">
        <v>668920</v>
      </c>
      <c r="AW734" s="168">
        <v>328600</v>
      </c>
      <c r="AX734" s="29">
        <f t="shared" si="890"/>
        <v>331530</v>
      </c>
      <c r="AY734" s="24">
        <f t="shared" si="891"/>
        <v>13524</v>
      </c>
      <c r="AZ734" s="25">
        <f t="shared" si="892"/>
        <v>4.2527499481141866E-2</v>
      </c>
      <c r="BA734" s="24">
        <f t="shared" si="893"/>
        <v>350914</v>
      </c>
      <c r="BB734" s="169">
        <f t="shared" si="894"/>
        <v>1.1034823242328762</v>
      </c>
      <c r="BC734" s="170">
        <f t="shared" si="895"/>
        <v>331530</v>
      </c>
      <c r="BD734" s="10">
        <v>286206</v>
      </c>
      <c r="BE734" s="10">
        <v>90000</v>
      </c>
      <c r="BF734" s="10">
        <v>105000</v>
      </c>
      <c r="BG734" s="268">
        <v>98000</v>
      </c>
      <c r="BH734" s="10">
        <v>220000</v>
      </c>
      <c r="BI734" s="76">
        <f t="shared" si="904"/>
        <v>128250</v>
      </c>
      <c r="BJ734" s="24">
        <f t="shared" si="905"/>
        <v>-157956</v>
      </c>
      <c r="BK734" s="25">
        <f t="shared" si="906"/>
        <v>-0.55189618666275342</v>
      </c>
      <c r="BL734" s="259">
        <f t="shared" si="907"/>
        <v>128250</v>
      </c>
      <c r="BM734" s="10">
        <v>318005</v>
      </c>
      <c r="BN734" s="45">
        <v>350000</v>
      </c>
      <c r="BO734" s="45">
        <v>375213</v>
      </c>
      <c r="BP734" s="45">
        <v>340000</v>
      </c>
      <c r="BQ734" s="29">
        <f t="shared" si="900"/>
        <v>355071</v>
      </c>
      <c r="BR734" s="24">
        <f t="shared" si="901"/>
        <v>37066</v>
      </c>
      <c r="BS734" s="25">
        <f t="shared" si="902"/>
        <v>0.11655791575604157</v>
      </c>
      <c r="BT734" s="308">
        <f t="shared" si="903"/>
        <v>355071</v>
      </c>
    </row>
    <row r="735" spans="1:72" ht="41.1" customHeight="1">
      <c r="A735" s="91" t="s">
        <v>32</v>
      </c>
      <c r="B735" s="358" t="s">
        <v>2927</v>
      </c>
      <c r="C735" s="50" t="s">
        <v>334</v>
      </c>
      <c r="D735" s="99" t="s">
        <v>682</v>
      </c>
      <c r="E735" s="48" t="s">
        <v>13</v>
      </c>
      <c r="F735" s="10">
        <v>94510</v>
      </c>
      <c r="G735" s="31">
        <v>122918</v>
      </c>
      <c r="H735" s="31">
        <v>159793</v>
      </c>
      <c r="I735" s="36">
        <v>107439</v>
      </c>
      <c r="J735" s="29">
        <f t="shared" si="804"/>
        <v>130050</v>
      </c>
      <c r="K735" s="24">
        <f t="shared" si="805"/>
        <v>35540</v>
      </c>
      <c r="L735" s="25">
        <f t="shared" si="806"/>
        <v>0.3760448629774627</v>
      </c>
      <c r="M735" s="69" t="str">
        <f t="shared" si="807"/>
        <v>REVISAR PRECIO</v>
      </c>
      <c r="N735" s="77">
        <f t="shared" si="803"/>
        <v>130050</v>
      </c>
      <c r="O735" s="73">
        <v>92333</v>
      </c>
      <c r="P735" s="74">
        <v>123852.35500000001</v>
      </c>
      <c r="Q735" s="74">
        <v>180000</v>
      </c>
      <c r="R735" s="75">
        <v>142699.45250000001</v>
      </c>
      <c r="S735" s="61">
        <v>123852.35500000001</v>
      </c>
      <c r="T735" s="60">
        <v>120000</v>
      </c>
      <c r="U735" s="74">
        <v>142430.20825</v>
      </c>
      <c r="V735" s="76">
        <f t="shared" si="876"/>
        <v>138805.72845833332</v>
      </c>
      <c r="W735" s="24">
        <f t="shared" si="877"/>
        <v>46472.728458333324</v>
      </c>
      <c r="X735" s="25">
        <f t="shared" si="878"/>
        <v>0.50331656567352223</v>
      </c>
      <c r="Y735" s="77" t="str">
        <f t="shared" si="879"/>
        <v>REVISAR PRECIO</v>
      </c>
      <c r="Z735" s="106">
        <f t="shared" si="880"/>
        <v>138805.72845833332</v>
      </c>
      <c r="AA735" s="73">
        <v>92333</v>
      </c>
      <c r="AB735" s="88">
        <v>113000</v>
      </c>
      <c r="AC735" s="116">
        <v>113000</v>
      </c>
      <c r="AD735" s="74">
        <v>118467.47000000002</v>
      </c>
      <c r="AE735" s="76">
        <f t="shared" si="881"/>
        <v>114822.49</v>
      </c>
      <c r="AF735" s="24">
        <f t="shared" si="882"/>
        <v>22489.490000000005</v>
      </c>
      <c r="AG735" s="25">
        <f t="shared" si="883"/>
        <v>0.2435693630662927</v>
      </c>
      <c r="AH735" s="77">
        <f t="shared" si="884"/>
        <v>114822.49</v>
      </c>
      <c r="AI735" s="77">
        <f t="shared" si="885"/>
        <v>114822.49</v>
      </c>
      <c r="AJ735" s="73">
        <v>92333</v>
      </c>
      <c r="AK735" s="79">
        <v>142699.45250000001</v>
      </c>
      <c r="AL735" s="79">
        <f>97907*1.1</f>
        <v>107697.70000000001</v>
      </c>
      <c r="AM735" s="127">
        <v>129237.24000000002</v>
      </c>
      <c r="AN735" s="142">
        <v>105400</v>
      </c>
      <c r="AO735" s="142">
        <v>110000</v>
      </c>
      <c r="AP735" s="29">
        <f t="shared" si="886"/>
        <v>119006.87850000002</v>
      </c>
      <c r="AQ735" s="24">
        <f t="shared" si="887"/>
        <v>26673.878500000021</v>
      </c>
      <c r="AR735" s="25">
        <f t="shared" si="888"/>
        <v>0.28888781367441785</v>
      </c>
      <c r="AS735" s="146">
        <f t="shared" si="889"/>
        <v>119006.87850000002</v>
      </c>
      <c r="AT735" s="250"/>
      <c r="AU735" s="250"/>
      <c r="AV735" s="250"/>
      <c r="AW735" s="250"/>
      <c r="AX735" s="250"/>
      <c r="AY735" s="250"/>
      <c r="AZ735" s="250"/>
      <c r="BA735" s="250"/>
      <c r="BB735" s="250"/>
      <c r="BC735" s="251"/>
      <c r="BD735" s="150"/>
      <c r="BE735" s="150"/>
      <c r="BF735" s="150"/>
      <c r="BG735" s="150"/>
      <c r="BH735" s="150"/>
      <c r="BI735" s="150"/>
      <c r="BJ735" s="150"/>
      <c r="BK735" s="150"/>
      <c r="BL735" s="150"/>
      <c r="BM735" s="293"/>
      <c r="BN735" s="293"/>
      <c r="BO735" s="293"/>
      <c r="BP735" s="293"/>
      <c r="BQ735" s="293"/>
      <c r="BR735" s="293"/>
      <c r="BS735" s="293"/>
      <c r="BT735" s="293"/>
    </row>
    <row r="736" spans="1:72" ht="57.95" customHeight="1">
      <c r="A736" s="91" t="s">
        <v>32</v>
      </c>
      <c r="B736" s="358" t="s">
        <v>2928</v>
      </c>
      <c r="C736" s="50" t="s">
        <v>335</v>
      </c>
      <c r="D736" s="99" t="s">
        <v>683</v>
      </c>
      <c r="E736" s="48" t="s">
        <v>13</v>
      </c>
      <c r="F736" s="10">
        <v>303200</v>
      </c>
      <c r="G736" s="31">
        <v>394335</v>
      </c>
      <c r="H736" s="31">
        <v>512636</v>
      </c>
      <c r="I736" s="36">
        <v>344678</v>
      </c>
      <c r="J736" s="29">
        <f t="shared" si="804"/>
        <v>417216.33333333331</v>
      </c>
      <c r="K736" s="24">
        <f t="shared" si="805"/>
        <v>114016.33333333331</v>
      </c>
      <c r="L736" s="25">
        <f t="shared" si="806"/>
        <v>0.37604331574318373</v>
      </c>
      <c r="M736" s="69" t="str">
        <f t="shared" si="807"/>
        <v>REVISAR PRECIO</v>
      </c>
      <c r="N736" s="77">
        <f t="shared" si="803"/>
        <v>417216.33333333331</v>
      </c>
      <c r="O736" s="73">
        <v>388154</v>
      </c>
      <c r="P736" s="74">
        <v>518118.70000000007</v>
      </c>
      <c r="Q736" s="74">
        <v>650000</v>
      </c>
      <c r="R736" s="75">
        <v>596962.85000000009</v>
      </c>
      <c r="S736" s="61">
        <v>518118.7</v>
      </c>
      <c r="T736" s="60">
        <v>140000</v>
      </c>
      <c r="U736" s="74">
        <v>595836.505</v>
      </c>
      <c r="V736" s="76">
        <f t="shared" si="876"/>
        <v>503172.79250000004</v>
      </c>
      <c r="W736" s="24">
        <f t="shared" si="877"/>
        <v>115018.79250000004</v>
      </c>
      <c r="X736" s="25">
        <f t="shared" si="878"/>
        <v>0.29632257428752518</v>
      </c>
      <c r="Y736" s="77">
        <f t="shared" si="879"/>
        <v>503172.79250000004</v>
      </c>
      <c r="Z736" s="106">
        <f t="shared" si="880"/>
        <v>503172.79250000004</v>
      </c>
      <c r="AA736" s="73">
        <v>388154</v>
      </c>
      <c r="AB736" s="88">
        <v>475000</v>
      </c>
      <c r="AC736" s="116">
        <v>475000</v>
      </c>
      <c r="AD736" s="74">
        <v>495591.80000000005</v>
      </c>
      <c r="AE736" s="76">
        <f t="shared" si="881"/>
        <v>481863.93333333335</v>
      </c>
      <c r="AF736" s="24">
        <f t="shared" si="882"/>
        <v>93709.933333333349</v>
      </c>
      <c r="AG736" s="25">
        <f t="shared" si="883"/>
        <v>0.24142462356006469</v>
      </c>
      <c r="AH736" s="77">
        <f t="shared" si="884"/>
        <v>481863.93333333335</v>
      </c>
      <c r="AI736" s="77">
        <f t="shared" si="885"/>
        <v>481863.93333333335</v>
      </c>
      <c r="AJ736" s="73">
        <v>388154</v>
      </c>
      <c r="AK736" s="79">
        <v>596962.85000000009</v>
      </c>
      <c r="AL736" s="79">
        <f>409580*1.1</f>
        <v>450538.00000000006</v>
      </c>
      <c r="AM736" s="127">
        <v>495591.80000000005</v>
      </c>
      <c r="AN736" s="142">
        <v>546000</v>
      </c>
      <c r="AO736" s="142">
        <v>460000</v>
      </c>
      <c r="AP736" s="29">
        <f t="shared" si="886"/>
        <v>509818.53000000009</v>
      </c>
      <c r="AQ736" s="24">
        <f t="shared" si="887"/>
        <v>121664.53000000009</v>
      </c>
      <c r="AR736" s="25">
        <f t="shared" si="888"/>
        <v>0.3134439681157481</v>
      </c>
      <c r="AS736" s="146">
        <f t="shared" si="889"/>
        <v>509818.53000000009</v>
      </c>
      <c r="AT736" s="250"/>
      <c r="AU736" s="250"/>
      <c r="AV736" s="250"/>
      <c r="AW736" s="250"/>
      <c r="AX736" s="250"/>
      <c r="AY736" s="250"/>
      <c r="AZ736" s="250"/>
      <c r="BA736" s="250"/>
      <c r="BB736" s="250"/>
      <c r="BC736" s="251"/>
      <c r="BD736" s="150"/>
      <c r="BE736" s="150"/>
      <c r="BF736" s="150"/>
      <c r="BG736" s="150"/>
      <c r="BH736" s="150"/>
      <c r="BI736" s="150"/>
      <c r="BJ736" s="150"/>
      <c r="BK736" s="150"/>
      <c r="BL736" s="150"/>
      <c r="BM736" s="293"/>
      <c r="BN736" s="293"/>
      <c r="BO736" s="293"/>
      <c r="BP736" s="293"/>
      <c r="BQ736" s="293"/>
      <c r="BR736" s="293"/>
      <c r="BS736" s="293"/>
      <c r="BT736" s="293"/>
    </row>
    <row r="737" spans="1:72" ht="42.6" customHeight="1">
      <c r="A737" s="91" t="s">
        <v>32</v>
      </c>
      <c r="B737" s="358" t="s">
        <v>2929</v>
      </c>
      <c r="C737" s="50" t="s">
        <v>336</v>
      </c>
      <c r="D737" s="99" t="s">
        <v>684</v>
      </c>
      <c r="E737" s="48" t="s">
        <v>14</v>
      </c>
      <c r="F737" s="10">
        <v>102108</v>
      </c>
      <c r="G737" s="31">
        <v>132800</v>
      </c>
      <c r="H737" s="31">
        <v>172639</v>
      </c>
      <c r="I737" s="36">
        <v>116076.6</v>
      </c>
      <c r="J737" s="29">
        <f t="shared" si="804"/>
        <v>140505.19999999998</v>
      </c>
      <c r="K737" s="24">
        <f t="shared" si="805"/>
        <v>38397.199999999983</v>
      </c>
      <c r="L737" s="25">
        <f t="shared" si="806"/>
        <v>0.37604497199044135</v>
      </c>
      <c r="M737" s="69" t="str">
        <f t="shared" si="807"/>
        <v>REVISAR PRECIO</v>
      </c>
      <c r="N737" s="77">
        <f t="shared" si="803"/>
        <v>140505.19999999998</v>
      </c>
      <c r="O737" s="73">
        <v>79813</v>
      </c>
      <c r="P737" s="74">
        <v>119450.5</v>
      </c>
      <c r="Q737" s="74">
        <v>200000</v>
      </c>
      <c r="R737" s="75">
        <v>137627.75</v>
      </c>
      <c r="S737" s="61">
        <v>119450.49999999999</v>
      </c>
      <c r="T737" s="60">
        <v>360000</v>
      </c>
      <c r="U737" s="74">
        <v>137368.07499999998</v>
      </c>
      <c r="V737" s="76">
        <f t="shared" si="876"/>
        <v>178982.80416666667</v>
      </c>
      <c r="W737" s="24">
        <f t="shared" si="877"/>
        <v>99169.804166666669</v>
      </c>
      <c r="X737" s="25">
        <f t="shared" si="878"/>
        <v>1.2425269588496444</v>
      </c>
      <c r="Y737" s="77" t="str">
        <f t="shared" si="879"/>
        <v>REVISAR PRECIO</v>
      </c>
      <c r="Z737" s="106">
        <f t="shared" si="880"/>
        <v>178982.80416666667</v>
      </c>
      <c r="AA737" s="73">
        <v>79813</v>
      </c>
      <c r="AB737" s="88">
        <v>115000</v>
      </c>
      <c r="AC737" s="116">
        <v>115000</v>
      </c>
      <c r="AD737" s="74">
        <v>114257</v>
      </c>
      <c r="AE737" s="76">
        <f t="shared" si="881"/>
        <v>114752.33333333333</v>
      </c>
      <c r="AF737" s="24">
        <f t="shared" si="882"/>
        <v>34939.333333333328</v>
      </c>
      <c r="AG737" s="25">
        <f t="shared" si="883"/>
        <v>0.43776494221910378</v>
      </c>
      <c r="AH737" s="77" t="str">
        <f t="shared" si="884"/>
        <v>REVISAR PRECIO</v>
      </c>
      <c r="AI737" s="77">
        <f t="shared" si="885"/>
        <v>114752.33333333333</v>
      </c>
      <c r="AJ737" s="73">
        <v>79813</v>
      </c>
      <c r="AK737" s="79">
        <v>137627.75</v>
      </c>
      <c r="AL737" s="79">
        <f>79900*1.3</f>
        <v>103870</v>
      </c>
      <c r="AM737" s="127">
        <v>124644</v>
      </c>
      <c r="AN737" s="142">
        <v>101800</v>
      </c>
      <c r="AO737" s="142">
        <v>100000</v>
      </c>
      <c r="AP737" s="29">
        <f t="shared" si="886"/>
        <v>113588.35</v>
      </c>
      <c r="AQ737" s="24">
        <f t="shared" si="887"/>
        <v>33775.350000000006</v>
      </c>
      <c r="AR737" s="25">
        <f t="shared" si="888"/>
        <v>0.42318106072945516</v>
      </c>
      <c r="AS737" s="146">
        <f t="shared" si="889"/>
        <v>113588.35</v>
      </c>
      <c r="AT737" s="10">
        <v>78247</v>
      </c>
      <c r="AU737" s="10">
        <v>103870</v>
      </c>
      <c r="AV737" s="167">
        <v>207740</v>
      </c>
      <c r="AW737" s="168">
        <v>110000</v>
      </c>
      <c r="AX737" s="29">
        <f t="shared" ref="AX737:AX748" si="908">AVERAGE(AU737,AW737)</f>
        <v>106935</v>
      </c>
      <c r="AY737" s="24">
        <f t="shared" ref="AY737:AY748" si="909">AX737-AT737</f>
        <v>28688</v>
      </c>
      <c r="AZ737" s="25">
        <f t="shared" ref="AZ737:AZ748" si="910">+AY737/AT737</f>
        <v>0.36663386455710761</v>
      </c>
      <c r="BA737" s="24">
        <f t="shared" ref="BA737:BA748" si="911">AV737-AT737</f>
        <v>129493</v>
      </c>
      <c r="BB737" s="169">
        <f t="shared" ref="BB737:BB748" si="912">+BA737/AT737</f>
        <v>1.6549260674530653</v>
      </c>
      <c r="BC737" s="170">
        <f t="shared" ref="BC737:BC748" si="913">AX737</f>
        <v>106935</v>
      </c>
      <c r="BD737" s="10">
        <v>71117</v>
      </c>
      <c r="BE737" s="10">
        <v>600000</v>
      </c>
      <c r="BF737" s="10">
        <v>680000</v>
      </c>
      <c r="BG737" s="268">
        <v>630000</v>
      </c>
      <c r="BH737" s="10">
        <v>600000</v>
      </c>
      <c r="BI737" s="76">
        <f t="shared" ref="BI737:BI738" si="914">AVERAGE(BE737,BF737,BG737,BH737)</f>
        <v>627500</v>
      </c>
      <c r="BJ737" s="24">
        <f t="shared" ref="BJ737:BJ738" si="915">BI737-BD737</f>
        <v>556383</v>
      </c>
      <c r="BK737" s="25">
        <f t="shared" ref="BK737:BK738" si="916">+BJ737/BD737</f>
        <v>7.8234880548954537</v>
      </c>
      <c r="BL737" s="259">
        <f t="shared" ref="BL737:BL738" si="917">BI737</f>
        <v>627500</v>
      </c>
      <c r="BM737" s="10">
        <v>79413</v>
      </c>
      <c r="BN737" s="45">
        <v>150000</v>
      </c>
      <c r="BO737" s="45">
        <v>92319</v>
      </c>
      <c r="BP737" s="45">
        <v>100000</v>
      </c>
      <c r="BQ737" s="29">
        <f t="shared" ref="BQ737:BQ747" si="918">AVERAGE(BN737,BO737,BP737)</f>
        <v>114106.33333333333</v>
      </c>
      <c r="BR737" s="24">
        <f t="shared" ref="BR737:BR747" si="919">BQ737-BM737</f>
        <v>34693.333333333328</v>
      </c>
      <c r="BS737" s="25">
        <f t="shared" ref="BS737:BS747" si="920">+BR737/BM737</f>
        <v>0.43687221655564362</v>
      </c>
      <c r="BT737" s="308">
        <f t="shared" ref="BT737:BT747" si="921">BQ737</f>
        <v>114106.33333333333</v>
      </c>
    </row>
    <row r="738" spans="1:72" ht="42.6" customHeight="1">
      <c r="A738" s="91" t="s">
        <v>32</v>
      </c>
      <c r="B738" s="358" t="s">
        <v>2930</v>
      </c>
      <c r="C738" s="50" t="s">
        <v>337</v>
      </c>
      <c r="D738" s="99" t="s">
        <v>685</v>
      </c>
      <c r="E738" s="48" t="s">
        <v>13</v>
      </c>
      <c r="F738" s="10">
        <v>3062</v>
      </c>
      <c r="G738" s="31">
        <v>3983</v>
      </c>
      <c r="H738" s="31">
        <v>5177</v>
      </c>
      <c r="I738" s="36">
        <v>3481</v>
      </c>
      <c r="J738" s="29">
        <f t="shared" si="804"/>
        <v>4213.666666666667</v>
      </c>
      <c r="K738" s="24">
        <f t="shared" si="805"/>
        <v>1151.666666666667</v>
      </c>
      <c r="L738" s="25">
        <f t="shared" si="806"/>
        <v>0.37611582843457447</v>
      </c>
      <c r="M738" s="69" t="str">
        <f t="shared" si="807"/>
        <v>REVISAR PRECIO</v>
      </c>
      <c r="N738" s="77">
        <f t="shared" si="803"/>
        <v>4213.666666666667</v>
      </c>
      <c r="O738" s="73">
        <v>2392</v>
      </c>
      <c r="P738" s="74">
        <v>13800</v>
      </c>
      <c r="Q738" s="74">
        <v>18000</v>
      </c>
      <c r="R738" s="75">
        <v>15900</v>
      </c>
      <c r="S738" s="61">
        <v>13799.999999999998</v>
      </c>
      <c r="T738" s="60">
        <v>12000</v>
      </c>
      <c r="U738" s="74">
        <v>15869.999999999996</v>
      </c>
      <c r="V738" s="76">
        <f t="shared" si="876"/>
        <v>14895</v>
      </c>
      <c r="W738" s="24">
        <f t="shared" si="877"/>
        <v>12503</v>
      </c>
      <c r="X738" s="25">
        <f t="shared" si="878"/>
        <v>5.2270066889632103</v>
      </c>
      <c r="Y738" s="77" t="str">
        <f t="shared" si="879"/>
        <v>REVISAR PRECIO</v>
      </c>
      <c r="Z738" s="106">
        <f t="shared" si="880"/>
        <v>14895</v>
      </c>
      <c r="AA738" s="73">
        <v>2392</v>
      </c>
      <c r="AB738" s="88">
        <v>14000</v>
      </c>
      <c r="AC738" s="116">
        <v>14000</v>
      </c>
      <c r="AD738" s="74">
        <v>13200</v>
      </c>
      <c r="AE738" s="76">
        <f t="shared" si="881"/>
        <v>13733.333333333334</v>
      </c>
      <c r="AF738" s="24">
        <f t="shared" si="882"/>
        <v>11341.333333333334</v>
      </c>
      <c r="AG738" s="25">
        <f t="shared" si="883"/>
        <v>4.741360089186176</v>
      </c>
      <c r="AH738" s="77" t="str">
        <f t="shared" si="884"/>
        <v>REVISAR PRECIO</v>
      </c>
      <c r="AI738" s="77">
        <f t="shared" si="885"/>
        <v>13733.333333333334</v>
      </c>
      <c r="AJ738" s="73">
        <v>2392</v>
      </c>
      <c r="AK738" s="79">
        <v>15900</v>
      </c>
      <c r="AL738" s="79">
        <v>12000</v>
      </c>
      <c r="AM738" s="127">
        <v>12000</v>
      </c>
      <c r="AN738" s="142">
        <v>10200</v>
      </c>
      <c r="AO738" s="142">
        <v>13000</v>
      </c>
      <c r="AP738" s="29">
        <f t="shared" si="886"/>
        <v>12620</v>
      </c>
      <c r="AQ738" s="24">
        <f t="shared" si="887"/>
        <v>10228</v>
      </c>
      <c r="AR738" s="25">
        <f t="shared" si="888"/>
        <v>4.2759197324414719</v>
      </c>
      <c r="AS738" s="146">
        <f t="shared" si="889"/>
        <v>12620</v>
      </c>
      <c r="AT738" s="10">
        <v>2346</v>
      </c>
      <c r="AU738" s="10">
        <v>10000</v>
      </c>
      <c r="AV738" s="167">
        <v>30000</v>
      </c>
      <c r="AW738" s="168">
        <v>6000</v>
      </c>
      <c r="AX738" s="29">
        <f t="shared" si="908"/>
        <v>8000</v>
      </c>
      <c r="AY738" s="24">
        <f t="shared" si="909"/>
        <v>5654</v>
      </c>
      <c r="AZ738" s="25">
        <f t="shared" si="910"/>
        <v>2.4100596760443307</v>
      </c>
      <c r="BA738" s="24">
        <f t="shared" si="911"/>
        <v>27654</v>
      </c>
      <c r="BB738" s="169">
        <f t="shared" si="912"/>
        <v>11.787723785166241</v>
      </c>
      <c r="BC738" s="170">
        <f t="shared" si="913"/>
        <v>8000</v>
      </c>
      <c r="BD738" s="10">
        <v>2136</v>
      </c>
      <c r="BE738" s="10">
        <v>230000</v>
      </c>
      <c r="BF738" s="10">
        <v>250000</v>
      </c>
      <c r="BG738" s="268">
        <v>230000</v>
      </c>
      <c r="BH738" s="10">
        <v>230000</v>
      </c>
      <c r="BI738" s="76">
        <f t="shared" si="914"/>
        <v>235000</v>
      </c>
      <c r="BJ738" s="24">
        <f t="shared" si="915"/>
        <v>232864</v>
      </c>
      <c r="BK738" s="25">
        <f t="shared" si="916"/>
        <v>109.0187265917603</v>
      </c>
      <c r="BL738" s="259">
        <f t="shared" si="917"/>
        <v>235000</v>
      </c>
      <c r="BM738" s="319">
        <v>2383</v>
      </c>
      <c r="BN738" s="45">
        <v>20000</v>
      </c>
      <c r="BO738" s="45">
        <v>2768</v>
      </c>
      <c r="BP738" s="45">
        <v>12000</v>
      </c>
      <c r="BQ738" s="29">
        <f t="shared" si="918"/>
        <v>11589.333333333334</v>
      </c>
      <c r="BR738" s="24">
        <f t="shared" si="919"/>
        <v>9206.3333333333339</v>
      </c>
      <c r="BS738" s="25">
        <f t="shared" si="920"/>
        <v>3.8633375297244372</v>
      </c>
      <c r="BT738" s="308">
        <f t="shared" si="921"/>
        <v>11589.333333333334</v>
      </c>
    </row>
    <row r="739" spans="1:72" ht="42.6" customHeight="1">
      <c r="A739" s="91" t="s">
        <v>32</v>
      </c>
      <c r="B739" s="358" t="s">
        <v>2931</v>
      </c>
      <c r="C739" s="50" t="s">
        <v>338</v>
      </c>
      <c r="D739" s="99" t="s">
        <v>686</v>
      </c>
      <c r="E739" s="48" t="s">
        <v>14</v>
      </c>
      <c r="F739" s="10">
        <v>372549</v>
      </c>
      <c r="G739" s="31">
        <v>484529</v>
      </c>
      <c r="H739" s="31">
        <v>629887</v>
      </c>
      <c r="I739" s="36">
        <v>423513.8</v>
      </c>
      <c r="J739" s="29">
        <f t="shared" si="804"/>
        <v>512643.26666666666</v>
      </c>
      <c r="K739" s="24">
        <f t="shared" si="805"/>
        <v>140094.26666666666</v>
      </c>
      <c r="L739" s="25">
        <f t="shared" si="806"/>
        <v>0.37604252505486974</v>
      </c>
      <c r="M739" s="69" t="str">
        <f t="shared" si="807"/>
        <v>REVISAR PRECIO</v>
      </c>
      <c r="N739" s="77">
        <f t="shared" si="803"/>
        <v>512643.26666666666</v>
      </c>
      <c r="O739" s="73">
        <v>291208</v>
      </c>
      <c r="P739" s="74">
        <v>207529</v>
      </c>
      <c r="Q739" s="74">
        <v>240000</v>
      </c>
      <c r="R739" s="75">
        <v>239109.5</v>
      </c>
      <c r="S739" s="61">
        <v>207528.99999999997</v>
      </c>
      <c r="T739" s="60">
        <v>450000</v>
      </c>
      <c r="U739" s="74">
        <v>238658.34999999995</v>
      </c>
      <c r="V739" s="76">
        <f t="shared" si="876"/>
        <v>263804.30833333329</v>
      </c>
      <c r="W739" s="24">
        <f t="shared" si="877"/>
        <v>-27403.691666666709</v>
      </c>
      <c r="X739" s="25">
        <f t="shared" si="878"/>
        <v>-9.4103498759191745E-2</v>
      </c>
      <c r="Y739" s="77">
        <f t="shared" si="879"/>
        <v>263804.30833333329</v>
      </c>
      <c r="Z739" s="106">
        <f t="shared" si="880"/>
        <v>263804.30833333329</v>
      </c>
      <c r="AA739" s="73">
        <v>291208</v>
      </c>
      <c r="AB739" s="88">
        <v>200000</v>
      </c>
      <c r="AC739" s="116">
        <v>200000</v>
      </c>
      <c r="AD739" s="74">
        <v>198506</v>
      </c>
      <c r="AE739" s="76">
        <f t="shared" si="881"/>
        <v>199502</v>
      </c>
      <c r="AF739" s="24">
        <f t="shared" si="882"/>
        <v>-91706</v>
      </c>
      <c r="AG739" s="25">
        <f t="shared" si="883"/>
        <v>-0.31491579901651051</v>
      </c>
      <c r="AH739" s="77">
        <f t="shared" si="884"/>
        <v>199502</v>
      </c>
      <c r="AI739" s="77">
        <f t="shared" si="885"/>
        <v>199502</v>
      </c>
      <c r="AJ739" s="73">
        <v>291208</v>
      </c>
      <c r="AK739" s="79">
        <v>239109.5</v>
      </c>
      <c r="AL739" s="79">
        <f>128900*1.4</f>
        <v>180460</v>
      </c>
      <c r="AM739" s="127">
        <v>216552</v>
      </c>
      <c r="AN739" s="142">
        <v>222900</v>
      </c>
      <c r="AO739" s="142">
        <v>200000</v>
      </c>
      <c r="AP739" s="29">
        <f t="shared" si="886"/>
        <v>211804.3</v>
      </c>
      <c r="AQ739" s="24">
        <f t="shared" si="887"/>
        <v>-79403.700000000012</v>
      </c>
      <c r="AR739" s="25">
        <f t="shared" si="888"/>
        <v>-0.27267005027334418</v>
      </c>
      <c r="AS739" s="146">
        <f t="shared" si="889"/>
        <v>211804.3</v>
      </c>
      <c r="AT739" s="10">
        <v>285504</v>
      </c>
      <c r="AU739" s="10">
        <v>426265</v>
      </c>
      <c r="AV739" s="167">
        <v>1705060</v>
      </c>
      <c r="AW739" s="168">
        <v>450000</v>
      </c>
      <c r="AX739" s="29">
        <f t="shared" si="908"/>
        <v>438132.5</v>
      </c>
      <c r="AY739" s="24">
        <f t="shared" si="909"/>
        <v>152628.5</v>
      </c>
      <c r="AZ739" s="25">
        <f t="shared" si="910"/>
        <v>0.5345932106030038</v>
      </c>
      <c r="BA739" s="24">
        <f t="shared" si="911"/>
        <v>1419556</v>
      </c>
      <c r="BB739" s="169">
        <f t="shared" si="912"/>
        <v>4.9721054696256441</v>
      </c>
      <c r="BC739" s="170">
        <f t="shared" si="913"/>
        <v>438132.5</v>
      </c>
      <c r="BD739" s="150"/>
      <c r="BE739" s="150"/>
      <c r="BF739" s="150"/>
      <c r="BG739" s="150"/>
      <c r="BH739" s="150"/>
      <c r="BI739" s="150"/>
      <c r="BJ739" s="150"/>
      <c r="BK739" s="150"/>
      <c r="BL739" s="150"/>
      <c r="BM739" s="10">
        <v>289765</v>
      </c>
      <c r="BN739" s="45"/>
      <c r="BO739" s="45">
        <v>336861</v>
      </c>
      <c r="BP739" s="45">
        <v>185000</v>
      </c>
      <c r="BQ739" s="29">
        <f t="shared" si="918"/>
        <v>260930.5</v>
      </c>
      <c r="BR739" s="24">
        <f t="shared" si="919"/>
        <v>-28834.5</v>
      </c>
      <c r="BS739" s="25">
        <f t="shared" si="920"/>
        <v>-9.9509947716252822E-2</v>
      </c>
      <c r="BT739" s="308">
        <f t="shared" si="921"/>
        <v>260930.5</v>
      </c>
    </row>
    <row r="740" spans="1:72" ht="45" customHeight="1">
      <c r="A740" s="91" t="s">
        <v>32</v>
      </c>
      <c r="B740" s="358" t="s">
        <v>2932</v>
      </c>
      <c r="C740" s="50" t="s">
        <v>339</v>
      </c>
      <c r="D740" s="99" t="s">
        <v>687</v>
      </c>
      <c r="E740" s="48" t="s">
        <v>10</v>
      </c>
      <c r="F740" s="10">
        <v>553648</v>
      </c>
      <c r="G740" s="31">
        <v>720063</v>
      </c>
      <c r="H740" s="31">
        <v>936082</v>
      </c>
      <c r="I740" s="36">
        <v>629388.4</v>
      </c>
      <c r="J740" s="29">
        <f t="shared" si="804"/>
        <v>761844.46666666667</v>
      </c>
      <c r="K740" s="24">
        <f t="shared" si="805"/>
        <v>208196.46666666667</v>
      </c>
      <c r="L740" s="25">
        <f t="shared" si="806"/>
        <v>0.37604482751977192</v>
      </c>
      <c r="M740" s="69" t="str">
        <f t="shared" si="807"/>
        <v>REVISAR PRECIO</v>
      </c>
      <c r="N740" s="77">
        <f t="shared" si="803"/>
        <v>761844.46666666667</v>
      </c>
      <c r="O740" s="73">
        <v>375045</v>
      </c>
      <c r="P740" s="74">
        <v>181987.5</v>
      </c>
      <c r="Q740" s="74">
        <v>450000</v>
      </c>
      <c r="R740" s="75">
        <v>209681.25</v>
      </c>
      <c r="S740" s="61">
        <v>181987.5</v>
      </c>
      <c r="T740" s="60"/>
      <c r="U740" s="74">
        <v>209285.62499999997</v>
      </c>
      <c r="V740" s="76">
        <f t="shared" si="876"/>
        <v>246588.375</v>
      </c>
      <c r="W740" s="24">
        <f t="shared" si="877"/>
        <v>-128456.625</v>
      </c>
      <c r="X740" s="25">
        <f t="shared" si="878"/>
        <v>-0.34250989881214255</v>
      </c>
      <c r="Y740" s="77">
        <f t="shared" si="879"/>
        <v>246588.375</v>
      </c>
      <c r="Z740" s="106">
        <f t="shared" si="880"/>
        <v>246588.375</v>
      </c>
      <c r="AA740" s="73">
        <v>375045</v>
      </c>
      <c r="AB740" s="88">
        <v>175000</v>
      </c>
      <c r="AC740" s="116">
        <v>175000</v>
      </c>
      <c r="AD740" s="74">
        <v>174075</v>
      </c>
      <c r="AE740" s="76">
        <f t="shared" si="881"/>
        <v>174691.66666666666</v>
      </c>
      <c r="AF740" s="24">
        <f t="shared" si="882"/>
        <v>-200353.33333333334</v>
      </c>
      <c r="AG740" s="25">
        <f t="shared" si="883"/>
        <v>-0.53421145018153382</v>
      </c>
      <c r="AH740" s="77">
        <f t="shared" si="884"/>
        <v>174691.66666666666</v>
      </c>
      <c r="AI740" s="77">
        <f t="shared" si="885"/>
        <v>174691.66666666666</v>
      </c>
      <c r="AJ740" s="73">
        <v>375045</v>
      </c>
      <c r="AK740" s="79">
        <v>209681.25</v>
      </c>
      <c r="AL740" s="79">
        <v>158250</v>
      </c>
      <c r="AM740" s="127">
        <v>189900</v>
      </c>
      <c r="AN740" s="142">
        <v>192100</v>
      </c>
      <c r="AO740" s="142">
        <v>160000</v>
      </c>
      <c r="AP740" s="29">
        <f t="shared" si="886"/>
        <v>181986.25</v>
      </c>
      <c r="AQ740" s="24">
        <f t="shared" si="887"/>
        <v>-193058.75</v>
      </c>
      <c r="AR740" s="25">
        <f t="shared" si="888"/>
        <v>-0.51476156194589984</v>
      </c>
      <c r="AS740" s="146">
        <f t="shared" si="889"/>
        <v>181986.25</v>
      </c>
      <c r="AT740" s="10">
        <v>367689</v>
      </c>
      <c r="AU740" s="10">
        <v>158250</v>
      </c>
      <c r="AV740" s="167">
        <v>633000</v>
      </c>
      <c r="AW740" s="168">
        <v>150600</v>
      </c>
      <c r="AX740" s="29">
        <f t="shared" si="908"/>
        <v>154425</v>
      </c>
      <c r="AY740" s="24">
        <f t="shared" si="909"/>
        <v>-213264</v>
      </c>
      <c r="AZ740" s="25">
        <f t="shared" si="910"/>
        <v>-0.58001191224105153</v>
      </c>
      <c r="BA740" s="24">
        <f t="shared" si="911"/>
        <v>265311</v>
      </c>
      <c r="BB740" s="169">
        <f t="shared" si="912"/>
        <v>0.72156360402405295</v>
      </c>
      <c r="BC740" s="170">
        <f t="shared" si="913"/>
        <v>154425</v>
      </c>
      <c r="BD740" s="150"/>
      <c r="BE740" s="150"/>
      <c r="BF740" s="150"/>
      <c r="BG740" s="150"/>
      <c r="BH740" s="150"/>
      <c r="BI740" s="150"/>
      <c r="BJ740" s="150"/>
      <c r="BK740" s="150"/>
      <c r="BL740" s="150"/>
      <c r="BM740" s="10">
        <v>373175</v>
      </c>
      <c r="BN740" s="45"/>
      <c r="BO740" s="45">
        <v>433832</v>
      </c>
      <c r="BP740" s="45">
        <v>155000</v>
      </c>
      <c r="BQ740" s="29">
        <f t="shared" si="918"/>
        <v>294416</v>
      </c>
      <c r="BR740" s="24">
        <f t="shared" si="919"/>
        <v>-78759</v>
      </c>
      <c r="BS740" s="25">
        <f t="shared" si="920"/>
        <v>-0.21105111542841831</v>
      </c>
      <c r="BT740" s="308">
        <f t="shared" si="921"/>
        <v>294416</v>
      </c>
    </row>
    <row r="741" spans="1:72" ht="45" customHeight="1">
      <c r="A741" s="91" t="s">
        <v>32</v>
      </c>
      <c r="B741" s="358" t="s">
        <v>2933</v>
      </c>
      <c r="C741" s="50" t="s">
        <v>340</v>
      </c>
      <c r="D741" s="99" t="s">
        <v>688</v>
      </c>
      <c r="E741" s="48" t="s">
        <v>10</v>
      </c>
      <c r="F741" s="10">
        <v>263351</v>
      </c>
      <c r="G741" s="31">
        <v>342509</v>
      </c>
      <c r="H741" s="31">
        <v>445261</v>
      </c>
      <c r="I741" s="36">
        <v>299377.8</v>
      </c>
      <c r="J741" s="29">
        <f t="shared" si="804"/>
        <v>362382.60000000003</v>
      </c>
      <c r="K741" s="24">
        <f t="shared" si="805"/>
        <v>99031.600000000035</v>
      </c>
      <c r="L741" s="25">
        <f t="shared" si="806"/>
        <v>0.37604413881094068</v>
      </c>
      <c r="M741" s="69" t="str">
        <f t="shared" si="807"/>
        <v>REVISAR PRECIO</v>
      </c>
      <c r="N741" s="77">
        <f t="shared" si="803"/>
        <v>362382.60000000003</v>
      </c>
      <c r="O741" s="73">
        <v>178391</v>
      </c>
      <c r="P741" s="74">
        <v>402500</v>
      </c>
      <c r="Q741" s="74">
        <v>480000</v>
      </c>
      <c r="R741" s="75">
        <v>463750</v>
      </c>
      <c r="S741" s="61">
        <v>402499.99999999994</v>
      </c>
      <c r="T741" s="60">
        <v>380000</v>
      </c>
      <c r="U741" s="74">
        <v>462874.99999999988</v>
      </c>
      <c r="V741" s="76">
        <f t="shared" si="876"/>
        <v>431937.5</v>
      </c>
      <c r="W741" s="24">
        <f t="shared" si="877"/>
        <v>253546.5</v>
      </c>
      <c r="X741" s="25">
        <f t="shared" si="878"/>
        <v>1.4212964779613322</v>
      </c>
      <c r="Y741" s="77" t="str">
        <f t="shared" si="879"/>
        <v>REVISAR PRECIO</v>
      </c>
      <c r="Z741" s="106">
        <f t="shared" si="880"/>
        <v>431937.5</v>
      </c>
      <c r="AA741" s="73">
        <v>178391</v>
      </c>
      <c r="AB741" s="88">
        <v>367500</v>
      </c>
      <c r="AC741" s="116">
        <v>367500</v>
      </c>
      <c r="AD741" s="74">
        <v>385000</v>
      </c>
      <c r="AE741" s="76">
        <f t="shared" si="881"/>
        <v>373333.33333333331</v>
      </c>
      <c r="AF741" s="24">
        <f t="shared" si="882"/>
        <v>194942.33333333331</v>
      </c>
      <c r="AG741" s="25">
        <f t="shared" si="883"/>
        <v>1.0927812128040839</v>
      </c>
      <c r="AH741" s="77" t="str">
        <f t="shared" si="884"/>
        <v>REVISAR PRECIO</v>
      </c>
      <c r="AI741" s="77">
        <f t="shared" si="885"/>
        <v>373333.33333333331</v>
      </c>
      <c r="AJ741" s="73">
        <v>178391</v>
      </c>
      <c r="AK741" s="79">
        <v>463750</v>
      </c>
      <c r="AL741" s="79">
        <v>350000</v>
      </c>
      <c r="AM741" s="127">
        <v>420000</v>
      </c>
      <c r="AN741" s="142">
        <v>428000</v>
      </c>
      <c r="AO741" s="142">
        <v>400000</v>
      </c>
      <c r="AP741" s="29">
        <f t="shared" si="886"/>
        <v>412350</v>
      </c>
      <c r="AQ741" s="24">
        <f t="shared" si="887"/>
        <v>233959</v>
      </c>
      <c r="AR741" s="25">
        <f t="shared" si="888"/>
        <v>1.3114955350886537</v>
      </c>
      <c r="AS741" s="146">
        <f t="shared" si="889"/>
        <v>412350</v>
      </c>
      <c r="AT741" s="10">
        <v>174899</v>
      </c>
      <c r="AU741" s="10">
        <v>350000</v>
      </c>
      <c r="AV741" s="167">
        <v>1400000</v>
      </c>
      <c r="AW741" s="168">
        <v>345000</v>
      </c>
      <c r="AX741" s="29">
        <f t="shared" si="908"/>
        <v>347500</v>
      </c>
      <c r="AY741" s="24">
        <f t="shared" si="909"/>
        <v>172601</v>
      </c>
      <c r="AZ741" s="25">
        <f t="shared" si="910"/>
        <v>0.98686098834184299</v>
      </c>
      <c r="BA741" s="24">
        <f t="shared" si="911"/>
        <v>1225101</v>
      </c>
      <c r="BB741" s="169">
        <f t="shared" si="912"/>
        <v>7.0046198091469938</v>
      </c>
      <c r="BC741" s="170">
        <f t="shared" si="913"/>
        <v>347500</v>
      </c>
      <c r="BD741" s="150"/>
      <c r="BE741" s="150"/>
      <c r="BF741" s="150"/>
      <c r="BG741" s="150"/>
      <c r="BH741" s="150"/>
      <c r="BI741" s="150"/>
      <c r="BJ741" s="150"/>
      <c r="BK741" s="150"/>
      <c r="BL741" s="150"/>
      <c r="BM741" s="10">
        <v>177508</v>
      </c>
      <c r="BN741" s="45"/>
      <c r="BO741" s="45">
        <v>206358</v>
      </c>
      <c r="BP741" s="45">
        <v>350000</v>
      </c>
      <c r="BQ741" s="29">
        <f t="shared" si="918"/>
        <v>278179</v>
      </c>
      <c r="BR741" s="24">
        <f t="shared" si="919"/>
        <v>100671</v>
      </c>
      <c r="BS741" s="25">
        <f t="shared" si="920"/>
        <v>0.56713500236609049</v>
      </c>
      <c r="BT741" s="308">
        <f t="shared" si="921"/>
        <v>278179</v>
      </c>
    </row>
    <row r="742" spans="1:72" ht="33" customHeight="1">
      <c r="A742" s="91" t="s">
        <v>32</v>
      </c>
      <c r="B742" s="358" t="s">
        <v>2934</v>
      </c>
      <c r="C742" s="50" t="s">
        <v>341</v>
      </c>
      <c r="D742" s="99" t="s">
        <v>689</v>
      </c>
      <c r="E742" s="48" t="s">
        <v>13</v>
      </c>
      <c r="F742" s="10">
        <v>89745</v>
      </c>
      <c r="G742" s="31">
        <v>116721</v>
      </c>
      <c r="H742" s="31">
        <v>151737</v>
      </c>
      <c r="I742" s="36">
        <v>102022.8</v>
      </c>
      <c r="J742" s="29">
        <f t="shared" si="804"/>
        <v>123493.59999999999</v>
      </c>
      <c r="K742" s="24">
        <f t="shared" si="805"/>
        <v>33748.599999999991</v>
      </c>
      <c r="L742" s="25">
        <f t="shared" si="806"/>
        <v>0.37604991921555508</v>
      </c>
      <c r="M742" s="69" t="str">
        <f t="shared" si="807"/>
        <v>REVISAR PRECIO</v>
      </c>
      <c r="N742" s="77">
        <f t="shared" si="803"/>
        <v>123493.59999999999</v>
      </c>
      <c r="O742" s="73">
        <v>70148</v>
      </c>
      <c r="P742" s="74">
        <v>68885</v>
      </c>
      <c r="Q742" s="74">
        <v>70000</v>
      </c>
      <c r="R742" s="75">
        <v>79367.5</v>
      </c>
      <c r="S742" s="61">
        <v>68885</v>
      </c>
      <c r="T742" s="60">
        <v>360000</v>
      </c>
      <c r="U742" s="74">
        <v>79217.75</v>
      </c>
      <c r="V742" s="76">
        <f t="shared" si="876"/>
        <v>121059.20833333333</v>
      </c>
      <c r="W742" s="24">
        <f t="shared" si="877"/>
        <v>50911.208333333328</v>
      </c>
      <c r="X742" s="25">
        <f t="shared" si="878"/>
        <v>0.72576849423124434</v>
      </c>
      <c r="Y742" s="77" t="str">
        <f t="shared" si="879"/>
        <v>REVISAR PRECIO</v>
      </c>
      <c r="Z742" s="106">
        <f t="shared" si="880"/>
        <v>121059.20833333333</v>
      </c>
      <c r="AA742" s="73">
        <v>70148</v>
      </c>
      <c r="AB742" s="88">
        <v>63000</v>
      </c>
      <c r="AC742" s="116">
        <v>63000</v>
      </c>
      <c r="AD742" s="74">
        <v>65890</v>
      </c>
      <c r="AE742" s="76">
        <f t="shared" si="881"/>
        <v>63963.333333333336</v>
      </c>
      <c r="AF742" s="24">
        <f t="shared" si="882"/>
        <v>-6184.6666666666642</v>
      </c>
      <c r="AG742" s="25">
        <f t="shared" si="883"/>
        <v>-8.8165972895402067E-2</v>
      </c>
      <c r="AH742" s="77">
        <f t="shared" si="884"/>
        <v>63963.333333333336</v>
      </c>
      <c r="AI742" s="77">
        <f t="shared" si="885"/>
        <v>63963.333333333336</v>
      </c>
      <c r="AJ742" s="73">
        <v>70148</v>
      </c>
      <c r="AK742" s="79">
        <v>79367.5</v>
      </c>
      <c r="AL742" s="79">
        <v>59900</v>
      </c>
      <c r="AM742" s="127">
        <v>71880</v>
      </c>
      <c r="AN742" s="142">
        <v>58100</v>
      </c>
      <c r="AO742" s="142">
        <v>60000</v>
      </c>
      <c r="AP742" s="29">
        <f t="shared" si="886"/>
        <v>65849.5</v>
      </c>
      <c r="AQ742" s="24">
        <f t="shared" si="887"/>
        <v>-4298.5</v>
      </c>
      <c r="AR742" s="25">
        <f t="shared" si="888"/>
        <v>-6.1277584535553403E-2</v>
      </c>
      <c r="AS742" s="146">
        <f t="shared" si="889"/>
        <v>65849.5</v>
      </c>
      <c r="AT742" s="10">
        <v>68773</v>
      </c>
      <c r="AU742" s="10">
        <v>59900</v>
      </c>
      <c r="AV742" s="167">
        <v>119800</v>
      </c>
      <c r="AW742" s="168">
        <v>50000</v>
      </c>
      <c r="AX742" s="29">
        <f t="shared" si="908"/>
        <v>54950</v>
      </c>
      <c r="AY742" s="24">
        <f t="shared" si="909"/>
        <v>-13823</v>
      </c>
      <c r="AZ742" s="25">
        <f t="shared" si="910"/>
        <v>-0.20099457635990869</v>
      </c>
      <c r="BA742" s="24">
        <f t="shared" si="911"/>
        <v>51027</v>
      </c>
      <c r="BB742" s="169">
        <f t="shared" si="912"/>
        <v>0.74196268884591332</v>
      </c>
      <c r="BC742" s="170">
        <f t="shared" si="913"/>
        <v>54950</v>
      </c>
      <c r="BD742" s="150"/>
      <c r="BE742" s="150"/>
      <c r="BF742" s="150"/>
      <c r="BG742" s="150"/>
      <c r="BH742" s="150"/>
      <c r="BI742" s="150"/>
      <c r="BJ742" s="150"/>
      <c r="BK742" s="150"/>
      <c r="BL742" s="150"/>
      <c r="BM742" s="10">
        <v>69798</v>
      </c>
      <c r="BN742" s="45"/>
      <c r="BO742" s="45">
        <v>81146</v>
      </c>
      <c r="BP742" s="45">
        <v>48000</v>
      </c>
      <c r="BQ742" s="29">
        <f t="shared" si="918"/>
        <v>64573</v>
      </c>
      <c r="BR742" s="24">
        <f t="shared" si="919"/>
        <v>-5225</v>
      </c>
      <c r="BS742" s="25">
        <f t="shared" si="920"/>
        <v>-7.4858878477893354E-2</v>
      </c>
      <c r="BT742" s="308">
        <f t="shared" si="921"/>
        <v>64573</v>
      </c>
    </row>
    <row r="743" spans="1:72" ht="33" customHeight="1">
      <c r="A743" s="91" t="s">
        <v>32</v>
      </c>
      <c r="B743" s="358" t="s">
        <v>2935</v>
      </c>
      <c r="C743" s="50" t="s">
        <v>342</v>
      </c>
      <c r="D743" s="99" t="s">
        <v>690</v>
      </c>
      <c r="E743" s="48" t="s">
        <v>10</v>
      </c>
      <c r="F743" s="10">
        <v>12228</v>
      </c>
      <c r="G743" s="31">
        <v>15903</v>
      </c>
      <c r="H743" s="31">
        <v>15903</v>
      </c>
      <c r="I743" s="36">
        <v>13900.4</v>
      </c>
      <c r="J743" s="29">
        <f t="shared" si="804"/>
        <v>15235.466666666667</v>
      </c>
      <c r="K743" s="24">
        <f t="shared" si="805"/>
        <v>3007.4666666666672</v>
      </c>
      <c r="L743" s="25">
        <f t="shared" si="806"/>
        <v>0.24594918765674412</v>
      </c>
      <c r="M743" s="69">
        <f t="shared" si="807"/>
        <v>15235.466666666667</v>
      </c>
      <c r="N743" s="77">
        <f t="shared" si="803"/>
        <v>15235.466666666667</v>
      </c>
      <c r="O743" s="73">
        <v>9558</v>
      </c>
      <c r="P743" s="74">
        <v>11664.45</v>
      </c>
      <c r="Q743" s="74">
        <v>18000</v>
      </c>
      <c r="R743" s="75">
        <v>13439.475</v>
      </c>
      <c r="S743" s="61">
        <v>11664.449999999999</v>
      </c>
      <c r="T743" s="60">
        <v>350000</v>
      </c>
      <c r="U743" s="74">
        <v>13414.117499999998</v>
      </c>
      <c r="V743" s="76">
        <f t="shared" si="876"/>
        <v>69697.082083333327</v>
      </c>
      <c r="W743" s="24">
        <f t="shared" si="877"/>
        <v>60139.082083333327</v>
      </c>
      <c r="X743" s="25">
        <f t="shared" si="878"/>
        <v>6.2920152838808674</v>
      </c>
      <c r="Y743" s="77" t="str">
        <f t="shared" si="879"/>
        <v>REVISAR PRECIO</v>
      </c>
      <c r="Z743" s="106">
        <f t="shared" si="880"/>
        <v>69697.082083333327</v>
      </c>
      <c r="AA743" s="73">
        <v>9558</v>
      </c>
      <c r="AB743" s="88">
        <v>11000</v>
      </c>
      <c r="AC743" s="116">
        <v>11000</v>
      </c>
      <c r="AD743" s="74">
        <v>11157.3</v>
      </c>
      <c r="AE743" s="76">
        <f t="shared" si="881"/>
        <v>11052.433333333334</v>
      </c>
      <c r="AF743" s="24">
        <f t="shared" si="882"/>
        <v>1494.4333333333343</v>
      </c>
      <c r="AG743" s="25">
        <f t="shared" si="883"/>
        <v>0.15635418846341645</v>
      </c>
      <c r="AH743" s="77">
        <f t="shared" si="884"/>
        <v>11052.433333333334</v>
      </c>
      <c r="AI743" s="77">
        <f t="shared" si="885"/>
        <v>11052.433333333334</v>
      </c>
      <c r="AJ743" s="73">
        <v>9558</v>
      </c>
      <c r="AK743" s="79">
        <v>13439.475</v>
      </c>
      <c r="AL743" s="79">
        <f>7245*1.4</f>
        <v>10143</v>
      </c>
      <c r="AM743" s="127">
        <v>12171.6</v>
      </c>
      <c r="AN743" s="142">
        <v>9800</v>
      </c>
      <c r="AO743" s="142">
        <v>10000</v>
      </c>
      <c r="AP743" s="29">
        <f t="shared" si="886"/>
        <v>11110.814999999999</v>
      </c>
      <c r="AQ743" s="24">
        <f t="shared" si="887"/>
        <v>1552.8149999999987</v>
      </c>
      <c r="AR743" s="25">
        <f t="shared" si="888"/>
        <v>0.16246233521657236</v>
      </c>
      <c r="AS743" s="146">
        <f t="shared" si="889"/>
        <v>11110.814999999999</v>
      </c>
      <c r="AT743" s="10">
        <v>9370</v>
      </c>
      <c r="AU743" s="10">
        <v>10143</v>
      </c>
      <c r="AV743" s="167">
        <v>20286</v>
      </c>
      <c r="AW743" s="168">
        <v>22300</v>
      </c>
      <c r="AX743" s="29">
        <f t="shared" si="908"/>
        <v>16221.5</v>
      </c>
      <c r="AY743" s="24">
        <f t="shared" si="909"/>
        <v>6851.5</v>
      </c>
      <c r="AZ743" s="25">
        <f t="shared" si="910"/>
        <v>0.7312166488794023</v>
      </c>
      <c r="BA743" s="24">
        <f t="shared" si="911"/>
        <v>10916</v>
      </c>
      <c r="BB743" s="169">
        <f t="shared" si="912"/>
        <v>1.1649946638207043</v>
      </c>
      <c r="BC743" s="170">
        <f t="shared" si="913"/>
        <v>16221.5</v>
      </c>
      <c r="BD743" s="150"/>
      <c r="BE743" s="150"/>
      <c r="BF743" s="150"/>
      <c r="BG743" s="150"/>
      <c r="BH743" s="150"/>
      <c r="BI743" s="150"/>
      <c r="BJ743" s="150"/>
      <c r="BK743" s="150"/>
      <c r="BL743" s="150"/>
      <c r="BM743" s="10">
        <v>9512</v>
      </c>
      <c r="BN743" s="45"/>
      <c r="BO743" s="45">
        <v>11052</v>
      </c>
      <c r="BP743" s="45">
        <v>10000</v>
      </c>
      <c r="BQ743" s="29">
        <f t="shared" si="918"/>
        <v>10526</v>
      </c>
      <c r="BR743" s="24">
        <f t="shared" si="919"/>
        <v>1014</v>
      </c>
      <c r="BS743" s="25">
        <f t="shared" si="920"/>
        <v>0.10660218671152229</v>
      </c>
      <c r="BT743" s="308">
        <f t="shared" si="921"/>
        <v>10526</v>
      </c>
    </row>
    <row r="744" spans="1:72" ht="33" customHeight="1">
      <c r="A744" s="91" t="s">
        <v>32</v>
      </c>
      <c r="B744" s="358" t="s">
        <v>2936</v>
      </c>
      <c r="C744" s="50" t="s">
        <v>343</v>
      </c>
      <c r="D744" s="99" t="s">
        <v>33</v>
      </c>
      <c r="E744" s="48" t="s">
        <v>14</v>
      </c>
      <c r="F744" s="10">
        <v>2702257</v>
      </c>
      <c r="G744" s="31">
        <v>3514496</v>
      </c>
      <c r="H744" s="33">
        <v>4568844</v>
      </c>
      <c r="I744" s="36">
        <v>3071929.4</v>
      </c>
      <c r="J744" s="29">
        <f t="shared" si="804"/>
        <v>3718423.1333333333</v>
      </c>
      <c r="K744" s="24">
        <f t="shared" si="805"/>
        <v>1016166.1333333333</v>
      </c>
      <c r="L744" s="25">
        <f t="shared" si="806"/>
        <v>0.37604348266405946</v>
      </c>
      <c r="M744" s="69" t="str">
        <f t="shared" si="807"/>
        <v>REVISAR PRECIO</v>
      </c>
      <c r="N744" s="77">
        <f t="shared" si="803"/>
        <v>3718423.1333333333</v>
      </c>
      <c r="O744" s="73">
        <v>2088329</v>
      </c>
      <c r="P744" s="74">
        <v>2334338.9999999995</v>
      </c>
      <c r="Q744" s="74">
        <v>2800000</v>
      </c>
      <c r="R744" s="75">
        <v>2689564.4999999995</v>
      </c>
      <c r="S744" s="61">
        <v>3384791.5499999993</v>
      </c>
      <c r="T744" s="60">
        <v>2400000</v>
      </c>
      <c r="U744" s="74">
        <v>3892510.2824999988</v>
      </c>
      <c r="V744" s="76">
        <f t="shared" si="876"/>
        <v>2916867.555416666</v>
      </c>
      <c r="W744" s="24">
        <f t="shared" si="877"/>
        <v>828538.55541666597</v>
      </c>
      <c r="X744" s="25">
        <f t="shared" si="878"/>
        <v>0.39674713870116535</v>
      </c>
      <c r="Y744" s="77" t="str">
        <f t="shared" si="879"/>
        <v>REVISAR PRECIO</v>
      </c>
      <c r="Z744" s="106">
        <f t="shared" si="880"/>
        <v>2916867.555416666</v>
      </c>
      <c r="AA744" s="73">
        <v>2088329</v>
      </c>
      <c r="AB744" s="88">
        <v>2300000</v>
      </c>
      <c r="AC744" s="116">
        <v>2500000</v>
      </c>
      <c r="AD744" s="74">
        <v>2232846</v>
      </c>
      <c r="AE744" s="76">
        <f t="shared" si="881"/>
        <v>2344282</v>
      </c>
      <c r="AF744" s="24">
        <f t="shared" si="882"/>
        <v>255953</v>
      </c>
      <c r="AG744" s="25">
        <f t="shared" si="883"/>
        <v>0.12256354243033545</v>
      </c>
      <c r="AH744" s="77">
        <f t="shared" si="884"/>
        <v>2344282</v>
      </c>
      <c r="AI744" s="77">
        <f t="shared" si="885"/>
        <v>2344282</v>
      </c>
      <c r="AJ744" s="73">
        <v>2088329</v>
      </c>
      <c r="AK744" s="79">
        <v>2689564.4999999995</v>
      </c>
      <c r="AL744" s="79">
        <f>1449900*1.4</f>
        <v>2029859.9999999998</v>
      </c>
      <c r="AM744" s="127">
        <v>2435832</v>
      </c>
      <c r="AN744" s="142">
        <v>2456000</v>
      </c>
      <c r="AO744" s="142">
        <v>2300000</v>
      </c>
      <c r="AP744" s="29">
        <f t="shared" si="886"/>
        <v>2382251.2999999998</v>
      </c>
      <c r="AQ744" s="24">
        <f t="shared" si="887"/>
        <v>293922.29999999981</v>
      </c>
      <c r="AR744" s="25">
        <f t="shared" si="888"/>
        <v>0.14074520825023251</v>
      </c>
      <c r="AS744" s="146">
        <f t="shared" si="889"/>
        <v>2382251.2999999998</v>
      </c>
      <c r="AT744" s="10">
        <v>2088330</v>
      </c>
      <c r="AU744" s="10">
        <v>2029860</v>
      </c>
      <c r="AV744" s="167">
        <v>2029860</v>
      </c>
      <c r="AW744" s="168">
        <v>1980000</v>
      </c>
      <c r="AX744" s="29">
        <f t="shared" si="908"/>
        <v>2004930</v>
      </c>
      <c r="AY744" s="24">
        <f t="shared" si="909"/>
        <v>-83400</v>
      </c>
      <c r="AZ744" s="25">
        <f t="shared" si="910"/>
        <v>-3.9936216977201879E-2</v>
      </c>
      <c r="BA744" s="24">
        <f t="shared" si="911"/>
        <v>-58470</v>
      </c>
      <c r="BB744" s="169">
        <f t="shared" si="912"/>
        <v>-2.7998448521067074E-2</v>
      </c>
      <c r="BC744" s="170">
        <f t="shared" si="913"/>
        <v>2004930</v>
      </c>
      <c r="BD744" s="10">
        <v>1879496</v>
      </c>
      <c r="BE744" s="10">
        <v>2130000</v>
      </c>
      <c r="BF744" s="10">
        <v>2210000</v>
      </c>
      <c r="BG744" s="268">
        <v>2200000</v>
      </c>
      <c r="BH744" s="10">
        <v>2200000</v>
      </c>
      <c r="BI744" s="76">
        <f t="shared" ref="BI744:BI748" si="922">AVERAGE(BE744,BF744,BG744,BH744)</f>
        <v>2185000</v>
      </c>
      <c r="BJ744" s="24">
        <f t="shared" ref="BJ744:BJ748" si="923">BI744-BD744</f>
        <v>305504</v>
      </c>
      <c r="BK744" s="25">
        <f t="shared" ref="BK744:BK748" si="924">+BJ744/BD744</f>
        <v>0.1625457037418542</v>
      </c>
      <c r="BL744" s="259">
        <f t="shared" ref="BL744:BL748" si="925">BI744</f>
        <v>2185000</v>
      </c>
      <c r="BM744" s="10">
        <v>2088329</v>
      </c>
      <c r="BN744" s="45"/>
      <c r="BO744" s="317"/>
      <c r="BP744" s="45">
        <v>2105000</v>
      </c>
      <c r="BQ744" s="29">
        <f t="shared" si="918"/>
        <v>2105000</v>
      </c>
      <c r="BR744" s="24">
        <f t="shared" si="919"/>
        <v>16671</v>
      </c>
      <c r="BS744" s="25">
        <f t="shared" si="920"/>
        <v>7.982937554379602E-3</v>
      </c>
      <c r="BT744" s="308">
        <f t="shared" si="921"/>
        <v>2105000</v>
      </c>
    </row>
    <row r="745" spans="1:72" ht="33" customHeight="1">
      <c r="A745" s="91" t="s">
        <v>32</v>
      </c>
      <c r="B745" s="358" t="s">
        <v>2937</v>
      </c>
      <c r="C745" s="50" t="s">
        <v>344</v>
      </c>
      <c r="D745" s="99" t="s">
        <v>691</v>
      </c>
      <c r="E745" s="48" t="s">
        <v>14</v>
      </c>
      <c r="F745" s="10">
        <v>985353</v>
      </c>
      <c r="G745" s="31">
        <v>1281528</v>
      </c>
      <c r="H745" s="33">
        <v>1665986</v>
      </c>
      <c r="I745" s="36">
        <v>1120150.3999999999</v>
      </c>
      <c r="J745" s="29">
        <f t="shared" si="804"/>
        <v>1355888.1333333333</v>
      </c>
      <c r="K745" s="24">
        <f t="shared" si="805"/>
        <v>370535.1333333333</v>
      </c>
      <c r="L745" s="25">
        <f t="shared" si="806"/>
        <v>0.37604303567689273</v>
      </c>
      <c r="M745" s="69" t="str">
        <f t="shared" si="807"/>
        <v>REVISAR PRECIO</v>
      </c>
      <c r="N745" s="77">
        <f t="shared" si="803"/>
        <v>1355888.1333333333</v>
      </c>
      <c r="O745" s="73">
        <v>764290</v>
      </c>
      <c r="P745" s="74">
        <v>1165478.9999999998</v>
      </c>
      <c r="Q745" s="74">
        <v>1300000</v>
      </c>
      <c r="R745" s="75">
        <v>1342834.4999999998</v>
      </c>
      <c r="S745" s="61">
        <v>1689944.5499999996</v>
      </c>
      <c r="T745" s="60">
        <v>4000000</v>
      </c>
      <c r="U745" s="74">
        <v>1943436.2324999995</v>
      </c>
      <c r="V745" s="76">
        <f t="shared" si="876"/>
        <v>1906949.0470833334</v>
      </c>
      <c r="W745" s="24">
        <f t="shared" si="877"/>
        <v>1142659.0470833334</v>
      </c>
      <c r="X745" s="25">
        <f t="shared" si="878"/>
        <v>1.4950595285602761</v>
      </c>
      <c r="Y745" s="77" t="str">
        <f t="shared" si="879"/>
        <v>REVISAR PRECIO</v>
      </c>
      <c r="Z745" s="106">
        <f t="shared" si="880"/>
        <v>1906949.0470833334</v>
      </c>
      <c r="AA745" s="73">
        <v>764290</v>
      </c>
      <c r="AB745" s="88">
        <v>1115000</v>
      </c>
      <c r="AC745" s="116">
        <v>1300000</v>
      </c>
      <c r="AD745" s="74">
        <v>1114806</v>
      </c>
      <c r="AE745" s="76">
        <f t="shared" si="881"/>
        <v>1176602</v>
      </c>
      <c r="AF745" s="24">
        <f t="shared" si="882"/>
        <v>412312</v>
      </c>
      <c r="AG745" s="25">
        <f t="shared" si="883"/>
        <v>0.53947061979091704</v>
      </c>
      <c r="AH745" s="77" t="str">
        <f t="shared" si="884"/>
        <v>REVISAR PRECIO</v>
      </c>
      <c r="AI745" s="77">
        <f t="shared" si="885"/>
        <v>1176602</v>
      </c>
      <c r="AJ745" s="73">
        <v>764290</v>
      </c>
      <c r="AK745" s="79">
        <v>1342834.4999999998</v>
      </c>
      <c r="AL745" s="79">
        <f>723900*1.4</f>
        <v>1013459.9999999999</v>
      </c>
      <c r="AM745" s="127">
        <v>1216152</v>
      </c>
      <c r="AN745" s="142">
        <v>1010900</v>
      </c>
      <c r="AO745" s="142">
        <v>1100000</v>
      </c>
      <c r="AP745" s="29">
        <f t="shared" si="886"/>
        <v>1136669.3</v>
      </c>
      <c r="AQ745" s="24">
        <f t="shared" si="887"/>
        <v>372379.30000000005</v>
      </c>
      <c r="AR745" s="25">
        <f t="shared" si="888"/>
        <v>0.48722252024755008</v>
      </c>
      <c r="AS745" s="146">
        <f t="shared" si="889"/>
        <v>1136669.3</v>
      </c>
      <c r="AT745" s="10">
        <v>5243606</v>
      </c>
      <c r="AU745" s="10">
        <v>12500000</v>
      </c>
      <c r="AV745" s="167">
        <v>875000</v>
      </c>
      <c r="AW745" s="168">
        <v>12450000</v>
      </c>
      <c r="AX745" s="29">
        <f t="shared" si="908"/>
        <v>12475000</v>
      </c>
      <c r="AY745" s="24">
        <f t="shared" si="909"/>
        <v>7231394</v>
      </c>
      <c r="AZ745" s="25">
        <f t="shared" si="910"/>
        <v>1.3790879787688091</v>
      </c>
      <c r="BA745" s="24">
        <f t="shared" si="911"/>
        <v>-4368606</v>
      </c>
      <c r="BB745" s="169">
        <f t="shared" si="912"/>
        <v>-0.83313010168956247</v>
      </c>
      <c r="BC745" s="170">
        <f t="shared" si="913"/>
        <v>12475000</v>
      </c>
      <c r="BD745" s="10">
        <v>4719245</v>
      </c>
      <c r="BE745" s="10">
        <v>2320000</v>
      </c>
      <c r="BF745" s="10">
        <v>2400000</v>
      </c>
      <c r="BG745" s="268">
        <v>2350000</v>
      </c>
      <c r="BH745" s="10">
        <v>2600000</v>
      </c>
      <c r="BI745" s="76">
        <f t="shared" si="922"/>
        <v>2417500</v>
      </c>
      <c r="BJ745" s="24">
        <f t="shared" si="923"/>
        <v>-2301745</v>
      </c>
      <c r="BK745" s="25">
        <f t="shared" si="924"/>
        <v>-0.48773585605324582</v>
      </c>
      <c r="BL745" s="259">
        <f t="shared" si="925"/>
        <v>2417500</v>
      </c>
      <c r="BM745" s="10">
        <v>764290</v>
      </c>
      <c r="BN745" s="45"/>
      <c r="BO745" s="317"/>
      <c r="BP745" s="45">
        <v>1100000</v>
      </c>
      <c r="BQ745" s="29">
        <f t="shared" si="918"/>
        <v>1100000</v>
      </c>
      <c r="BR745" s="24">
        <f t="shared" si="919"/>
        <v>335710</v>
      </c>
      <c r="BS745" s="25">
        <f t="shared" si="920"/>
        <v>0.43924426592000421</v>
      </c>
      <c r="BT745" s="308">
        <f t="shared" si="921"/>
        <v>1100000</v>
      </c>
    </row>
    <row r="746" spans="1:72" ht="33" customHeight="1">
      <c r="A746" s="91" t="s">
        <v>32</v>
      </c>
      <c r="B746" s="358" t="s">
        <v>2938</v>
      </c>
      <c r="C746" s="50" t="s">
        <v>345</v>
      </c>
      <c r="D746" s="99" t="s">
        <v>34</v>
      </c>
      <c r="E746" s="48" t="s">
        <v>14</v>
      </c>
      <c r="F746" s="10">
        <v>1428527</v>
      </c>
      <c r="G746" s="31">
        <v>1857911</v>
      </c>
      <c r="H746" s="31">
        <v>2415284</v>
      </c>
      <c r="I746" s="36">
        <v>1623951.4</v>
      </c>
      <c r="J746" s="29">
        <f t="shared" si="804"/>
        <v>1965715.4666666668</v>
      </c>
      <c r="K746" s="24">
        <f t="shared" si="805"/>
        <v>537188.46666666679</v>
      </c>
      <c r="L746" s="25">
        <f t="shared" si="806"/>
        <v>0.37604362162329924</v>
      </c>
      <c r="M746" s="69" t="str">
        <f t="shared" si="807"/>
        <v>REVISAR PRECIO</v>
      </c>
      <c r="N746" s="77">
        <f t="shared" ref="N746:N897" si="926">J746</f>
        <v>1965715.4666666668</v>
      </c>
      <c r="O746" s="73">
        <v>1108039</v>
      </c>
      <c r="P746" s="74">
        <v>1606619</v>
      </c>
      <c r="Q746" s="74">
        <v>2300000</v>
      </c>
      <c r="R746" s="75">
        <v>1851104.5</v>
      </c>
      <c r="S746" s="61">
        <v>2329597.5499999998</v>
      </c>
      <c r="T746" s="60">
        <v>5000000</v>
      </c>
      <c r="U746" s="74">
        <v>2679037.1824999996</v>
      </c>
      <c r="V746" s="76">
        <f t="shared" si="876"/>
        <v>2627726.3720833333</v>
      </c>
      <c r="W746" s="24">
        <f t="shared" si="877"/>
        <v>1519687.3720833333</v>
      </c>
      <c r="X746" s="25">
        <f t="shared" si="878"/>
        <v>1.3715107248782157</v>
      </c>
      <c r="Y746" s="77" t="str">
        <f t="shared" si="879"/>
        <v>REVISAR PRECIO</v>
      </c>
      <c r="Z746" s="106">
        <f t="shared" si="880"/>
        <v>2627726.3720833333</v>
      </c>
      <c r="AA746" s="73">
        <v>1108039</v>
      </c>
      <c r="AB746" s="88">
        <v>1460000</v>
      </c>
      <c r="AC746" s="116">
        <v>1600000</v>
      </c>
      <c r="AD746" s="74">
        <v>1536766</v>
      </c>
      <c r="AE746" s="76">
        <f t="shared" si="881"/>
        <v>1532255.3333333333</v>
      </c>
      <c r="AF746" s="24">
        <f t="shared" si="882"/>
        <v>424216.33333333326</v>
      </c>
      <c r="AG746" s="25">
        <f t="shared" si="883"/>
        <v>0.38285325095356143</v>
      </c>
      <c r="AH746" s="77" t="str">
        <f t="shared" si="884"/>
        <v>REVISAR PRECIO</v>
      </c>
      <c r="AI746" s="77">
        <f t="shared" si="885"/>
        <v>1532255.3333333333</v>
      </c>
      <c r="AJ746" s="73">
        <v>1108039</v>
      </c>
      <c r="AK746" s="79">
        <v>1851104.5</v>
      </c>
      <c r="AL746" s="79">
        <f>997900*1.4</f>
        <v>1397060</v>
      </c>
      <c r="AM746" s="127">
        <v>1676472</v>
      </c>
      <c r="AN746" s="142">
        <v>1650200</v>
      </c>
      <c r="AO746" s="142">
        <v>1400000</v>
      </c>
      <c r="AP746" s="29">
        <f t="shared" si="886"/>
        <v>1594967.3</v>
      </c>
      <c r="AQ746" s="24">
        <f t="shared" si="887"/>
        <v>486928.30000000005</v>
      </c>
      <c r="AR746" s="25">
        <f t="shared" si="888"/>
        <v>0.43945050670599145</v>
      </c>
      <c r="AS746" s="146">
        <f t="shared" si="889"/>
        <v>1594967.3</v>
      </c>
      <c r="AT746" s="10">
        <v>764292</v>
      </c>
      <c r="AU746" s="10">
        <v>1013459.9999999999</v>
      </c>
      <c r="AV746" s="167">
        <v>1013459.9999999999</v>
      </c>
      <c r="AW746" s="168">
        <v>1200000</v>
      </c>
      <c r="AX746" s="29">
        <f t="shared" si="908"/>
        <v>1106730</v>
      </c>
      <c r="AY746" s="24">
        <f t="shared" si="909"/>
        <v>342438</v>
      </c>
      <c r="AZ746" s="25">
        <f t="shared" si="910"/>
        <v>0.44804603476158328</v>
      </c>
      <c r="BA746" s="24">
        <f t="shared" si="911"/>
        <v>249167.99999999988</v>
      </c>
      <c r="BB746" s="169">
        <f t="shared" si="912"/>
        <v>0.32601152439120112</v>
      </c>
      <c r="BC746" s="170">
        <f t="shared" si="913"/>
        <v>1106730</v>
      </c>
      <c r="BD746" s="10">
        <v>687858</v>
      </c>
      <c r="BE746" s="10">
        <v>1350000</v>
      </c>
      <c r="BF746" s="10">
        <v>1400000</v>
      </c>
      <c r="BG746" s="268">
        <v>1420000</v>
      </c>
      <c r="BH746" s="10">
        <v>1800000</v>
      </c>
      <c r="BI746" s="76">
        <f t="shared" si="922"/>
        <v>1492500</v>
      </c>
      <c r="BJ746" s="24">
        <f t="shared" si="923"/>
        <v>804642</v>
      </c>
      <c r="BK746" s="25">
        <f t="shared" si="924"/>
        <v>1.1697792276894359</v>
      </c>
      <c r="BL746" s="259">
        <f t="shared" si="925"/>
        <v>1492500</v>
      </c>
      <c r="BM746" s="10">
        <v>1108039</v>
      </c>
      <c r="BN746" s="45"/>
      <c r="BO746" s="317"/>
      <c r="BP746" s="45">
        <v>1450000</v>
      </c>
      <c r="BQ746" s="29">
        <f t="shared" si="918"/>
        <v>1450000</v>
      </c>
      <c r="BR746" s="24">
        <f t="shared" si="919"/>
        <v>341961</v>
      </c>
      <c r="BS746" s="25">
        <f t="shared" si="920"/>
        <v>0.30861819845691352</v>
      </c>
      <c r="BT746" s="308">
        <f t="shared" si="921"/>
        <v>1450000</v>
      </c>
    </row>
    <row r="747" spans="1:72" ht="33" customHeight="1">
      <c r="A747" s="91" t="s">
        <v>32</v>
      </c>
      <c r="B747" s="358" t="s">
        <v>2939</v>
      </c>
      <c r="C747" s="50" t="s">
        <v>346</v>
      </c>
      <c r="D747" s="99" t="s">
        <v>35</v>
      </c>
      <c r="E747" s="48" t="s">
        <v>14</v>
      </c>
      <c r="F747" s="10">
        <v>2375743</v>
      </c>
      <c r="G747" s="31">
        <v>3089840</v>
      </c>
      <c r="H747" s="31">
        <v>4016791</v>
      </c>
      <c r="I747" s="36">
        <v>2700748.6</v>
      </c>
      <c r="J747" s="29">
        <f t="shared" si="804"/>
        <v>3269126.5333333332</v>
      </c>
      <c r="K747" s="24">
        <f t="shared" si="805"/>
        <v>893383.53333333321</v>
      </c>
      <c r="L747" s="25">
        <f t="shared" si="806"/>
        <v>0.37604384537104107</v>
      </c>
      <c r="M747" s="69" t="str">
        <f t="shared" si="807"/>
        <v>REVISAR PRECIO</v>
      </c>
      <c r="N747" s="77">
        <f t="shared" si="926"/>
        <v>3269126.5333333332</v>
      </c>
      <c r="O747" s="73">
        <v>1842742</v>
      </c>
      <c r="P747" s="74">
        <v>2154018.9999999995</v>
      </c>
      <c r="Q747" s="74">
        <v>3200000</v>
      </c>
      <c r="R747" s="75">
        <v>2481804.4999999995</v>
      </c>
      <c r="S747" s="61">
        <v>3123327.5499999993</v>
      </c>
      <c r="T747" s="60">
        <v>6000000</v>
      </c>
      <c r="U747" s="74">
        <v>3591826.6824999992</v>
      </c>
      <c r="V747" s="76">
        <f t="shared" si="876"/>
        <v>3425162.9554166659</v>
      </c>
      <c r="W747" s="24">
        <f t="shared" si="877"/>
        <v>1582420.9554166659</v>
      </c>
      <c r="X747" s="25">
        <f t="shared" si="878"/>
        <v>0.85873169191165444</v>
      </c>
      <c r="Y747" s="77" t="str">
        <f t="shared" si="879"/>
        <v>REVISAR PRECIO</v>
      </c>
      <c r="Z747" s="106">
        <f t="shared" si="880"/>
        <v>3425162.9554166659</v>
      </c>
      <c r="AA747" s="73">
        <v>1842742</v>
      </c>
      <c r="AB747" s="88">
        <v>2000000</v>
      </c>
      <c r="AC747" s="116">
        <v>2200000</v>
      </c>
      <c r="AD747" s="74">
        <v>2060365.9999999998</v>
      </c>
      <c r="AE747" s="76">
        <f t="shared" si="881"/>
        <v>2086788.6666666667</v>
      </c>
      <c r="AF747" s="24">
        <f t="shared" si="882"/>
        <v>244046.66666666674</v>
      </c>
      <c r="AG747" s="25">
        <f t="shared" si="883"/>
        <v>0.13243669849966341</v>
      </c>
      <c r="AH747" s="77">
        <f t="shared" si="884"/>
        <v>2086788.6666666667</v>
      </c>
      <c r="AI747" s="77">
        <f t="shared" si="885"/>
        <v>2086788.6666666667</v>
      </c>
      <c r="AJ747" s="73">
        <v>1842742</v>
      </c>
      <c r="AK747" s="79">
        <v>2481804.4999999995</v>
      </c>
      <c r="AL747" s="79">
        <f>1337900*1.4</f>
        <v>1873059.9999999998</v>
      </c>
      <c r="AM747" s="127">
        <v>2247672</v>
      </c>
      <c r="AN747" s="142">
        <v>1859000</v>
      </c>
      <c r="AO747" s="142">
        <v>1900000</v>
      </c>
      <c r="AP747" s="29">
        <f t="shared" si="886"/>
        <v>2072307.3</v>
      </c>
      <c r="AQ747" s="24">
        <f t="shared" si="887"/>
        <v>229565.30000000005</v>
      </c>
      <c r="AR747" s="25">
        <f t="shared" si="888"/>
        <v>0.12457810154649976</v>
      </c>
      <c r="AS747" s="146">
        <f t="shared" si="889"/>
        <v>2072307.3</v>
      </c>
      <c r="AT747" s="10">
        <v>1108040</v>
      </c>
      <c r="AU747" s="10">
        <v>1397060</v>
      </c>
      <c r="AV747" s="167">
        <v>2794120</v>
      </c>
      <c r="AW747" s="168">
        <v>1367000</v>
      </c>
      <c r="AX747" s="29">
        <f t="shared" si="908"/>
        <v>1382030</v>
      </c>
      <c r="AY747" s="24">
        <f t="shared" si="909"/>
        <v>273990</v>
      </c>
      <c r="AZ747" s="25">
        <f t="shared" si="910"/>
        <v>0.24727446662575359</v>
      </c>
      <c r="BA747" s="24">
        <f t="shared" si="911"/>
        <v>1686080</v>
      </c>
      <c r="BB747" s="169">
        <f t="shared" si="912"/>
        <v>1.5216779177647017</v>
      </c>
      <c r="BC747" s="170">
        <f t="shared" si="913"/>
        <v>1382030</v>
      </c>
      <c r="BD747" s="10">
        <v>997234</v>
      </c>
      <c r="BE747" s="10">
        <v>1600000</v>
      </c>
      <c r="BF747" s="10">
        <v>1680000</v>
      </c>
      <c r="BG747" s="268">
        <v>1680000</v>
      </c>
      <c r="BH747" s="10">
        <v>2000000</v>
      </c>
      <c r="BI747" s="76">
        <f t="shared" si="922"/>
        <v>1740000</v>
      </c>
      <c r="BJ747" s="24">
        <f t="shared" si="923"/>
        <v>742766</v>
      </c>
      <c r="BK747" s="25">
        <f t="shared" si="924"/>
        <v>0.74482618923943633</v>
      </c>
      <c r="BL747" s="259">
        <f t="shared" si="925"/>
        <v>1740000</v>
      </c>
      <c r="BM747" s="10">
        <v>1842742</v>
      </c>
      <c r="BN747" s="45"/>
      <c r="BO747" s="317"/>
      <c r="BP747" s="45">
        <v>1890000</v>
      </c>
      <c r="BQ747" s="29">
        <f t="shared" si="918"/>
        <v>1890000</v>
      </c>
      <c r="BR747" s="24">
        <f t="shared" si="919"/>
        <v>47258</v>
      </c>
      <c r="BS747" s="25">
        <f t="shared" si="920"/>
        <v>2.5645478314381503E-2</v>
      </c>
      <c r="BT747" s="308">
        <f t="shared" si="921"/>
        <v>1890000</v>
      </c>
    </row>
    <row r="748" spans="1:72" ht="33" customHeight="1">
      <c r="A748" s="91" t="s">
        <v>32</v>
      </c>
      <c r="B748" s="358" t="s">
        <v>2940</v>
      </c>
      <c r="C748" s="50" t="s">
        <v>347</v>
      </c>
      <c r="D748" s="99" t="s">
        <v>692</v>
      </c>
      <c r="E748" s="48" t="s">
        <v>740</v>
      </c>
      <c r="F748" s="10">
        <v>1325786</v>
      </c>
      <c r="G748" s="31">
        <v>1724288</v>
      </c>
      <c r="H748" s="33">
        <v>2241574</v>
      </c>
      <c r="I748" s="36">
        <v>1507155</v>
      </c>
      <c r="J748" s="29">
        <f t="shared" si="804"/>
        <v>1824339</v>
      </c>
      <c r="K748" s="24">
        <f t="shared" si="805"/>
        <v>498553</v>
      </c>
      <c r="L748" s="25">
        <f t="shared" si="806"/>
        <v>0.37604334334500439</v>
      </c>
      <c r="M748" s="69" t="str">
        <f t="shared" si="807"/>
        <v>REVISAR PRECIO</v>
      </c>
      <c r="N748" s="77">
        <f t="shared" si="926"/>
        <v>1824339</v>
      </c>
      <c r="O748" s="73">
        <v>925510</v>
      </c>
      <c r="P748" s="74">
        <v>1207339</v>
      </c>
      <c r="Q748" s="74">
        <v>1700000</v>
      </c>
      <c r="R748" s="75">
        <v>1391064.5</v>
      </c>
      <c r="S748" s="61">
        <v>1750641.5499999998</v>
      </c>
      <c r="T748" s="60"/>
      <c r="U748" s="74">
        <v>2013237.7824999997</v>
      </c>
      <c r="V748" s="76">
        <f t="shared" si="876"/>
        <v>1612456.5665</v>
      </c>
      <c r="W748" s="24">
        <f t="shared" si="877"/>
        <v>686946.56649999996</v>
      </c>
      <c r="X748" s="25">
        <f t="shared" si="878"/>
        <v>0.74223570409828088</v>
      </c>
      <c r="Y748" s="77" t="str">
        <f t="shared" si="879"/>
        <v>REVISAR PRECIO</v>
      </c>
      <c r="Z748" s="106">
        <f t="shared" si="880"/>
        <v>1612456.5665</v>
      </c>
      <c r="AA748" s="73">
        <v>925510</v>
      </c>
      <c r="AB748" s="88">
        <v>1100000</v>
      </c>
      <c r="AC748" s="116">
        <v>1300000</v>
      </c>
      <c r="AD748" s="74">
        <v>1154846</v>
      </c>
      <c r="AE748" s="76">
        <f t="shared" si="881"/>
        <v>1184948.6666666667</v>
      </c>
      <c r="AF748" s="24">
        <f t="shared" si="882"/>
        <v>259438.66666666674</v>
      </c>
      <c r="AG748" s="25">
        <f t="shared" si="883"/>
        <v>0.28031967960007642</v>
      </c>
      <c r="AH748" s="77">
        <f t="shared" si="884"/>
        <v>1184948.6666666667</v>
      </c>
      <c r="AI748" s="77">
        <f t="shared" si="885"/>
        <v>1184948.6666666667</v>
      </c>
      <c r="AJ748" s="73">
        <v>925510</v>
      </c>
      <c r="AK748" s="79">
        <v>1391064.5</v>
      </c>
      <c r="AL748" s="79">
        <f>749900*1.4</f>
        <v>1049860</v>
      </c>
      <c r="AM748" s="127">
        <v>1259832</v>
      </c>
      <c r="AN748" s="142">
        <v>1270900</v>
      </c>
      <c r="AO748" s="142">
        <v>1000000</v>
      </c>
      <c r="AP748" s="29">
        <f t="shared" si="886"/>
        <v>1194331.3</v>
      </c>
      <c r="AQ748" s="24">
        <f t="shared" si="887"/>
        <v>268821.30000000005</v>
      </c>
      <c r="AR748" s="25">
        <f t="shared" si="888"/>
        <v>0.29045747749889256</v>
      </c>
      <c r="AS748" s="146">
        <f t="shared" si="889"/>
        <v>1194331.3</v>
      </c>
      <c r="AT748" s="10">
        <v>1842743</v>
      </c>
      <c r="AU748" s="10">
        <v>1873059.9999999998</v>
      </c>
      <c r="AV748" s="167">
        <v>3746119.9999999995</v>
      </c>
      <c r="AW748" s="168">
        <v>1845000</v>
      </c>
      <c r="AX748" s="29">
        <f t="shared" si="908"/>
        <v>1859030</v>
      </c>
      <c r="AY748" s="24">
        <f t="shared" si="909"/>
        <v>16287</v>
      </c>
      <c r="AZ748" s="25">
        <f t="shared" si="910"/>
        <v>8.8384544127965755E-3</v>
      </c>
      <c r="BA748" s="24">
        <f t="shared" si="911"/>
        <v>1903376.9999999995</v>
      </c>
      <c r="BB748" s="169">
        <f t="shared" si="912"/>
        <v>1.0329042085629951</v>
      </c>
      <c r="BC748" s="170">
        <f t="shared" si="913"/>
        <v>1859030</v>
      </c>
      <c r="BD748" s="10">
        <v>1658466</v>
      </c>
      <c r="BE748" s="10">
        <v>2300000</v>
      </c>
      <c r="BF748" s="10">
        <v>2400000</v>
      </c>
      <c r="BG748" s="268">
        <v>2380000</v>
      </c>
      <c r="BH748" s="10">
        <v>2300000</v>
      </c>
      <c r="BI748" s="76">
        <f t="shared" si="922"/>
        <v>2345000</v>
      </c>
      <c r="BJ748" s="24">
        <f t="shared" si="923"/>
        <v>686534</v>
      </c>
      <c r="BK748" s="25">
        <f t="shared" si="924"/>
        <v>0.41395723517997957</v>
      </c>
      <c r="BL748" s="309">
        <f t="shared" si="925"/>
        <v>2345000</v>
      </c>
      <c r="BM748" s="293"/>
      <c r="BN748" s="293"/>
      <c r="BO748" s="293"/>
      <c r="BP748" s="293"/>
      <c r="BQ748" s="293"/>
      <c r="BR748" s="293"/>
      <c r="BS748" s="293"/>
      <c r="BT748" s="293"/>
    </row>
    <row r="749" spans="1:72" ht="33" customHeight="1">
      <c r="A749" s="91" t="s">
        <v>32</v>
      </c>
      <c r="B749" s="358" t="s">
        <v>2941</v>
      </c>
      <c r="C749" s="50" t="s">
        <v>348</v>
      </c>
      <c r="D749" s="99" t="s">
        <v>693</v>
      </c>
      <c r="E749" s="48" t="s">
        <v>744</v>
      </c>
      <c r="F749" s="10">
        <v>165488</v>
      </c>
      <c r="G749" s="31">
        <v>215231</v>
      </c>
      <c r="H749" s="33">
        <v>279800</v>
      </c>
      <c r="I749" s="36">
        <v>188127.4</v>
      </c>
      <c r="J749" s="29">
        <f t="shared" si="804"/>
        <v>227719.46666666667</v>
      </c>
      <c r="K749" s="24">
        <f t="shared" si="805"/>
        <v>62231.466666666674</v>
      </c>
      <c r="L749" s="25">
        <f t="shared" si="806"/>
        <v>0.37604821296206781</v>
      </c>
      <c r="M749" s="69" t="str">
        <f t="shared" si="807"/>
        <v>REVISAR PRECIO</v>
      </c>
      <c r="N749" s="77">
        <f t="shared" si="926"/>
        <v>227719.46666666667</v>
      </c>
      <c r="O749" s="73">
        <v>115522</v>
      </c>
      <c r="P749" s="74">
        <v>99187.5</v>
      </c>
      <c r="Q749" s="74">
        <v>150000</v>
      </c>
      <c r="R749" s="75">
        <v>114281.25</v>
      </c>
      <c r="S749" s="61">
        <v>143821.875</v>
      </c>
      <c r="T749" s="60"/>
      <c r="U749" s="74">
        <v>165395.15625</v>
      </c>
      <c r="V749" s="76">
        <f t="shared" si="876"/>
        <v>134537.15625</v>
      </c>
      <c r="W749" s="24">
        <f t="shared" si="877"/>
        <v>19015.15625</v>
      </c>
      <c r="X749" s="25">
        <f t="shared" si="878"/>
        <v>0.16460203467737747</v>
      </c>
      <c r="Y749" s="77">
        <f t="shared" si="879"/>
        <v>134537.15625</v>
      </c>
      <c r="Z749" s="106">
        <f t="shared" si="880"/>
        <v>134537.15625</v>
      </c>
      <c r="AA749" s="73">
        <v>115522</v>
      </c>
      <c r="AB749" s="88">
        <v>100000</v>
      </c>
      <c r="AC749" s="116">
        <v>100000</v>
      </c>
      <c r="AD749" s="74">
        <v>94875</v>
      </c>
      <c r="AE749" s="76">
        <f t="shared" si="881"/>
        <v>98291.666666666672</v>
      </c>
      <c r="AF749" s="24">
        <f t="shared" si="882"/>
        <v>-17230.333333333328</v>
      </c>
      <c r="AG749" s="25">
        <f t="shared" si="883"/>
        <v>-0.14915196528222616</v>
      </c>
      <c r="AH749" s="77">
        <f t="shared" si="884"/>
        <v>98291.666666666672</v>
      </c>
      <c r="AI749" s="77">
        <f t="shared" si="885"/>
        <v>98291.666666666672</v>
      </c>
      <c r="AJ749" s="73">
        <v>115522</v>
      </c>
      <c r="AK749" s="79">
        <v>114281.25</v>
      </c>
      <c r="AL749" s="79">
        <f>75000*1.15</f>
        <v>86250</v>
      </c>
      <c r="AM749" s="127">
        <v>103500</v>
      </c>
      <c r="AN749" s="142">
        <v>85600</v>
      </c>
      <c r="AO749" s="142">
        <v>90000</v>
      </c>
      <c r="AP749" s="29">
        <f t="shared" si="886"/>
        <v>95926.25</v>
      </c>
      <c r="AQ749" s="24">
        <f t="shared" si="887"/>
        <v>-19595.75</v>
      </c>
      <c r="AR749" s="25">
        <f t="shared" si="888"/>
        <v>-0.16962786309101296</v>
      </c>
      <c r="AS749" s="146">
        <f t="shared" si="889"/>
        <v>95926.25</v>
      </c>
      <c r="AT749" s="250"/>
      <c r="AU749" s="250"/>
      <c r="AV749" s="250"/>
      <c r="AW749" s="250"/>
      <c r="AX749" s="250"/>
      <c r="AY749" s="250"/>
      <c r="AZ749" s="250"/>
      <c r="BA749" s="250"/>
      <c r="BB749" s="250"/>
      <c r="BC749" s="251"/>
      <c r="BD749" s="150"/>
      <c r="BE749" s="150"/>
      <c r="BF749" s="150"/>
      <c r="BG749" s="150"/>
      <c r="BH749" s="150"/>
      <c r="BI749" s="150"/>
      <c r="BJ749" s="150"/>
      <c r="BK749" s="150"/>
      <c r="BL749" s="150"/>
      <c r="BM749" s="293"/>
      <c r="BN749" s="293"/>
      <c r="BO749" s="293"/>
      <c r="BP749" s="293"/>
      <c r="BQ749" s="293"/>
      <c r="BR749" s="293"/>
      <c r="BS749" s="293"/>
      <c r="BT749" s="293"/>
    </row>
    <row r="750" spans="1:72" s="68" customFormat="1" ht="24.6" customHeight="1">
      <c r="A750" s="231" t="s">
        <v>32</v>
      </c>
      <c r="B750" s="358" t="s">
        <v>2942</v>
      </c>
      <c r="C750" s="50" t="s">
        <v>349</v>
      </c>
      <c r="D750" s="101" t="s">
        <v>694</v>
      </c>
      <c r="E750" s="65" t="s">
        <v>740</v>
      </c>
      <c r="F750" s="60">
        <v>154340</v>
      </c>
      <c r="G750" s="92">
        <v>200732</v>
      </c>
      <c r="H750" s="66">
        <v>260951</v>
      </c>
      <c r="I750" s="36">
        <v>175454.2</v>
      </c>
      <c r="J750" s="63">
        <f t="shared" si="804"/>
        <v>212379.06666666665</v>
      </c>
      <c r="K750" s="67">
        <f t="shared" si="805"/>
        <v>58039.066666666651</v>
      </c>
      <c r="L750" s="64">
        <f t="shared" si="806"/>
        <v>0.37604682303140241</v>
      </c>
      <c r="M750" s="78" t="str">
        <f t="shared" si="807"/>
        <v>REVISAR PRECIO</v>
      </c>
      <c r="N750" s="81">
        <f t="shared" si="926"/>
        <v>212379.06666666665</v>
      </c>
      <c r="O750" s="82"/>
      <c r="P750" s="83"/>
      <c r="Q750" s="83"/>
      <c r="R750" s="84"/>
      <c r="S750" s="85"/>
      <c r="T750" s="60"/>
      <c r="U750" s="83"/>
      <c r="V750" s="86"/>
      <c r="W750" s="67"/>
      <c r="X750" s="64"/>
      <c r="Y750" s="81"/>
      <c r="Z750" s="108"/>
      <c r="AA750" s="117"/>
      <c r="AB750" s="117"/>
      <c r="AC750" s="117"/>
      <c r="AD750" s="117"/>
      <c r="AE750" s="117"/>
      <c r="AF750" s="117"/>
      <c r="AG750" s="117"/>
      <c r="AH750" s="117"/>
      <c r="AI750" s="117"/>
      <c r="AJ750" s="250"/>
      <c r="AK750" s="250"/>
      <c r="AL750" s="250"/>
      <c r="AM750" s="250"/>
      <c r="AN750" s="250"/>
      <c r="AO750" s="250"/>
      <c r="AP750" s="250"/>
      <c r="AQ750" s="250"/>
      <c r="AR750" s="250"/>
      <c r="AS750" s="250"/>
      <c r="AT750" s="250"/>
      <c r="AU750" s="250"/>
      <c r="AV750" s="250"/>
      <c r="AW750" s="250"/>
      <c r="AX750" s="250"/>
      <c r="AY750" s="250"/>
      <c r="AZ750" s="250"/>
      <c r="BA750" s="250"/>
      <c r="BB750" s="250"/>
      <c r="BC750" s="251"/>
      <c r="BD750" s="150"/>
      <c r="BE750" s="150"/>
      <c r="BF750" s="150"/>
      <c r="BG750" s="150"/>
      <c r="BH750" s="150"/>
      <c r="BI750" s="150"/>
      <c r="BJ750" s="150"/>
      <c r="BK750" s="150"/>
      <c r="BL750" s="150"/>
      <c r="BM750" s="293"/>
      <c r="BN750" s="293"/>
      <c r="BO750" s="293"/>
      <c r="BP750" s="293"/>
      <c r="BQ750" s="293"/>
      <c r="BR750" s="293"/>
      <c r="BS750" s="293"/>
      <c r="BT750" s="293"/>
    </row>
    <row r="751" spans="1:72" ht="35.450000000000003" customHeight="1">
      <c r="A751" s="91" t="s">
        <v>32</v>
      </c>
      <c r="B751" s="358" t="s">
        <v>2943</v>
      </c>
      <c r="C751" s="50" t="s">
        <v>350</v>
      </c>
      <c r="D751" s="99" t="s">
        <v>695</v>
      </c>
      <c r="E751" s="48" t="s">
        <v>740</v>
      </c>
      <c r="F751" s="10">
        <v>66629</v>
      </c>
      <c r="G751" s="31">
        <v>86657</v>
      </c>
      <c r="H751" s="31">
        <v>112653</v>
      </c>
      <c r="I751" s="36">
        <v>75744.2</v>
      </c>
      <c r="J751" s="29">
        <f t="shared" si="804"/>
        <v>91684.733333333337</v>
      </c>
      <c r="K751" s="24">
        <f t="shared" si="805"/>
        <v>25055.733333333337</v>
      </c>
      <c r="L751" s="25">
        <f t="shared" si="806"/>
        <v>0.37604846738407205</v>
      </c>
      <c r="M751" s="69" t="str">
        <f t="shared" si="807"/>
        <v>REVISAR PRECIO</v>
      </c>
      <c r="N751" s="77">
        <f t="shared" si="926"/>
        <v>91684.733333333337</v>
      </c>
      <c r="O751" s="73">
        <v>46513</v>
      </c>
      <c r="P751" s="74">
        <v>28750</v>
      </c>
      <c r="Q751" s="74">
        <v>50000</v>
      </c>
      <c r="R751" s="75">
        <v>33125</v>
      </c>
      <c r="S751" s="61">
        <v>51749.999999999993</v>
      </c>
      <c r="T751" s="60"/>
      <c r="U751" s="74">
        <v>59512.499999999985</v>
      </c>
      <c r="V751" s="76">
        <f t="shared" ref="V751:V756" si="927">AVERAGE(P751,Q751,R751,S751,T751,U751)</f>
        <v>44627.5</v>
      </c>
      <c r="W751" s="24">
        <f t="shared" ref="W751:W756" si="928">V751-O751</f>
        <v>-1885.5</v>
      </c>
      <c r="X751" s="25">
        <f t="shared" ref="X751:X756" si="929">+W751/O751</f>
        <v>-4.0537054156902369E-2</v>
      </c>
      <c r="Y751" s="77">
        <f t="shared" ref="Y751:Y756" si="930">+IF(X751&lt;35%,V751,"REVISAR PRECIO")</f>
        <v>44627.5</v>
      </c>
      <c r="Z751" s="106">
        <f t="shared" ref="Z751:Z756" si="931">V751</f>
        <v>44627.5</v>
      </c>
      <c r="AA751" s="73">
        <v>46513</v>
      </c>
      <c r="AB751" s="88">
        <v>28000</v>
      </c>
      <c r="AC751" s="116">
        <v>28000</v>
      </c>
      <c r="AD751" s="74">
        <v>27500</v>
      </c>
      <c r="AE751" s="76">
        <f t="shared" ref="AE751:AE756" si="932">AVERAGE(AB751,AC751,AD751)</f>
        <v>27833.333333333332</v>
      </c>
      <c r="AF751" s="24">
        <f t="shared" ref="AF751:AF756" si="933">AE751-AA751</f>
        <v>-18679.666666666668</v>
      </c>
      <c r="AG751" s="25">
        <f t="shared" ref="AG751:AG756" si="934">+AF751/AA751</f>
        <v>-0.40160098610424327</v>
      </c>
      <c r="AH751" s="77">
        <f t="shared" ref="AH751:AH756" si="935">+IF(AG751&lt;35%,AE751,"REVISAR PRECIO")</f>
        <v>27833.333333333332</v>
      </c>
      <c r="AI751" s="77">
        <f t="shared" ref="AI751:AI756" si="936">AE751</f>
        <v>27833.333333333332</v>
      </c>
      <c r="AJ751" s="73">
        <v>46513</v>
      </c>
      <c r="AK751" s="79">
        <v>33125</v>
      </c>
      <c r="AL751" s="79">
        <v>25000</v>
      </c>
      <c r="AM751" s="127">
        <v>30000</v>
      </c>
      <c r="AN751" s="128">
        <v>22100</v>
      </c>
      <c r="AO751" s="128">
        <v>30000</v>
      </c>
      <c r="AP751" s="133">
        <f t="shared" ref="AP751:AP756" si="937">AVERAGE(AK751,AL751,AM751,AN751,AO751)</f>
        <v>28045</v>
      </c>
      <c r="AQ751" s="127">
        <f t="shared" ref="AQ751:AQ756" si="938">AP751-AJ751</f>
        <v>-18468</v>
      </c>
      <c r="AR751" s="134">
        <f t="shared" ref="AR751:AR756" si="939">+AQ751/AJ751</f>
        <v>-0.397050287016533</v>
      </c>
      <c r="AS751" s="132">
        <f t="shared" ref="AS751:AS756" si="940">AP751</f>
        <v>28045</v>
      </c>
      <c r="AT751" s="250"/>
      <c r="AU751" s="250"/>
      <c r="AV751" s="250"/>
      <c r="AW751" s="250"/>
      <c r="AX751" s="250"/>
      <c r="AY751" s="250"/>
      <c r="AZ751" s="250"/>
      <c r="BA751" s="250"/>
      <c r="BB751" s="250"/>
      <c r="BC751" s="251"/>
      <c r="BD751" s="150"/>
      <c r="BE751" s="150"/>
      <c r="BF751" s="150"/>
      <c r="BG751" s="150"/>
      <c r="BH751" s="150"/>
      <c r="BI751" s="150"/>
      <c r="BJ751" s="150"/>
      <c r="BK751" s="150"/>
      <c r="BL751" s="150"/>
      <c r="BM751" s="293"/>
      <c r="BN751" s="293"/>
      <c r="BO751" s="293"/>
      <c r="BP751" s="293"/>
      <c r="BQ751" s="293"/>
      <c r="BR751" s="293"/>
      <c r="BS751" s="293"/>
      <c r="BT751" s="293"/>
    </row>
    <row r="752" spans="1:72" ht="35.450000000000003" customHeight="1">
      <c r="A752" s="91" t="s">
        <v>32</v>
      </c>
      <c r="B752" s="358" t="s">
        <v>2944</v>
      </c>
      <c r="C752" s="50" t="s">
        <v>351</v>
      </c>
      <c r="D752" s="99" t="s">
        <v>696</v>
      </c>
      <c r="E752" s="48" t="s">
        <v>11</v>
      </c>
      <c r="F752" s="10">
        <v>76148</v>
      </c>
      <c r="G752" s="33">
        <v>99036</v>
      </c>
      <c r="H752" s="33">
        <v>99036</v>
      </c>
      <c r="I752" s="36">
        <v>86564.800000000003</v>
      </c>
      <c r="J752" s="29">
        <f t="shared" si="804"/>
        <v>94878.933333333334</v>
      </c>
      <c r="K752" s="24">
        <f t="shared" si="805"/>
        <v>18730.933333333334</v>
      </c>
      <c r="L752" s="25">
        <f t="shared" si="806"/>
        <v>0.2459806342035685</v>
      </c>
      <c r="M752" s="69">
        <f t="shared" si="807"/>
        <v>94878.933333333334</v>
      </c>
      <c r="N752" s="77">
        <f t="shared" si="926"/>
        <v>94878.933333333334</v>
      </c>
      <c r="O752" s="73">
        <v>53157</v>
      </c>
      <c r="P752" s="74">
        <v>287500</v>
      </c>
      <c r="Q752" s="74">
        <v>250000</v>
      </c>
      <c r="R752" s="75">
        <v>331250</v>
      </c>
      <c r="S752" s="61">
        <v>287500</v>
      </c>
      <c r="T752" s="60"/>
      <c r="U752" s="74">
        <v>330625</v>
      </c>
      <c r="V752" s="76">
        <f t="shared" si="927"/>
        <v>297375</v>
      </c>
      <c r="W752" s="24">
        <f t="shared" si="928"/>
        <v>244218</v>
      </c>
      <c r="X752" s="25">
        <f t="shared" si="929"/>
        <v>4.5942773294203958</v>
      </c>
      <c r="Y752" s="77" t="str">
        <f t="shared" si="930"/>
        <v>REVISAR PRECIO</v>
      </c>
      <c r="Z752" s="106">
        <f t="shared" si="931"/>
        <v>297375</v>
      </c>
      <c r="AA752" s="73">
        <v>53157</v>
      </c>
      <c r="AB752" s="88">
        <v>263000</v>
      </c>
      <c r="AC752" s="116">
        <v>263000</v>
      </c>
      <c r="AD752" s="74">
        <v>275000</v>
      </c>
      <c r="AE752" s="76">
        <f t="shared" si="932"/>
        <v>267000</v>
      </c>
      <c r="AF752" s="24">
        <f t="shared" si="933"/>
        <v>213843</v>
      </c>
      <c r="AG752" s="25">
        <f t="shared" si="934"/>
        <v>4.0228568203623229</v>
      </c>
      <c r="AH752" s="77" t="str">
        <f t="shared" si="935"/>
        <v>REVISAR PRECIO</v>
      </c>
      <c r="AI752" s="77">
        <f t="shared" si="936"/>
        <v>267000</v>
      </c>
      <c r="AJ752" s="73">
        <v>53157</v>
      </c>
      <c r="AK752" s="79">
        <v>331250</v>
      </c>
      <c r="AL752" s="79">
        <v>250000</v>
      </c>
      <c r="AM752" s="127">
        <v>300000</v>
      </c>
      <c r="AN752" s="128">
        <v>282300</v>
      </c>
      <c r="AO752" s="128">
        <v>250000</v>
      </c>
      <c r="AP752" s="133">
        <f t="shared" si="937"/>
        <v>282710</v>
      </c>
      <c r="AQ752" s="127">
        <f t="shared" si="938"/>
        <v>229553</v>
      </c>
      <c r="AR752" s="134">
        <f t="shared" si="939"/>
        <v>4.31839644825705</v>
      </c>
      <c r="AS752" s="132">
        <f t="shared" si="940"/>
        <v>282710</v>
      </c>
      <c r="AT752" s="250"/>
      <c r="AU752" s="250"/>
      <c r="AV752" s="250"/>
      <c r="AW752" s="250"/>
      <c r="AX752" s="250"/>
      <c r="AY752" s="250"/>
      <c r="AZ752" s="250"/>
      <c r="BA752" s="250"/>
      <c r="BB752" s="250"/>
      <c r="BC752" s="251"/>
      <c r="BD752" s="150"/>
      <c r="BE752" s="150"/>
      <c r="BF752" s="150"/>
      <c r="BG752" s="150"/>
      <c r="BH752" s="150"/>
      <c r="BI752" s="150"/>
      <c r="BJ752" s="150"/>
      <c r="BK752" s="150"/>
      <c r="BL752" s="150"/>
      <c r="BM752" s="293"/>
      <c r="BN752" s="293"/>
      <c r="BO752" s="293"/>
      <c r="BP752" s="293"/>
      <c r="BQ752" s="293"/>
      <c r="BR752" s="293"/>
      <c r="BS752" s="293"/>
      <c r="BT752" s="293"/>
    </row>
    <row r="753" spans="1:72" ht="35.450000000000003" customHeight="1">
      <c r="A753" s="91" t="s">
        <v>32</v>
      </c>
      <c r="B753" s="358" t="s">
        <v>2945</v>
      </c>
      <c r="C753" s="50" t="s">
        <v>352</v>
      </c>
      <c r="D753" s="99" t="s">
        <v>697</v>
      </c>
      <c r="E753" s="48" t="s">
        <v>740</v>
      </c>
      <c r="F753" s="10">
        <v>516716</v>
      </c>
      <c r="G753" s="31">
        <v>672030</v>
      </c>
      <c r="H753" s="31">
        <v>873639</v>
      </c>
      <c r="I753" s="36">
        <v>587404</v>
      </c>
      <c r="J753" s="29">
        <f t="shared" ref="J753:J897" si="941">AVERAGE(G753,H753,I753)</f>
        <v>711024.33333333337</v>
      </c>
      <c r="K753" s="24">
        <f t="shared" ref="K753:K897" si="942">J753-F753</f>
        <v>194308.33333333337</v>
      </c>
      <c r="L753" s="25">
        <f t="shared" ref="L753:L897" si="943">+K753/F753</f>
        <v>0.37604473895395801</v>
      </c>
      <c r="M753" s="69" t="str">
        <f t="shared" ref="M753:M897" si="944">+IF(L753&lt;35%,J753,"REVISAR PRECIO")</f>
        <v>REVISAR PRECIO</v>
      </c>
      <c r="N753" s="77">
        <f t="shared" si="926"/>
        <v>711024.33333333337</v>
      </c>
      <c r="O753" s="73">
        <v>223072</v>
      </c>
      <c r="P753" s="74">
        <v>270969.67</v>
      </c>
      <c r="Q753" s="74">
        <v>1400000</v>
      </c>
      <c r="R753" s="75">
        <v>312204.18499999994</v>
      </c>
      <c r="S753" s="61">
        <v>627900</v>
      </c>
      <c r="T753" s="60"/>
      <c r="U753" s="74">
        <v>722085</v>
      </c>
      <c r="V753" s="76">
        <f t="shared" si="927"/>
        <v>666631.77099999995</v>
      </c>
      <c r="W753" s="24">
        <f t="shared" si="928"/>
        <v>443559.77099999995</v>
      </c>
      <c r="X753" s="25">
        <f t="shared" si="929"/>
        <v>1.9884152695093957</v>
      </c>
      <c r="Y753" s="77" t="str">
        <f t="shared" si="930"/>
        <v>REVISAR PRECIO</v>
      </c>
      <c r="Z753" s="106">
        <f t="shared" si="931"/>
        <v>666631.77099999995</v>
      </c>
      <c r="AA753" s="73">
        <v>223072</v>
      </c>
      <c r="AB753" s="88">
        <v>250000</v>
      </c>
      <c r="AC753" s="116">
        <v>250000</v>
      </c>
      <c r="AD753" s="74">
        <v>259188.38</v>
      </c>
      <c r="AE753" s="76">
        <f t="shared" si="932"/>
        <v>253062.79333333333</v>
      </c>
      <c r="AF753" s="24">
        <f t="shared" si="933"/>
        <v>29990.793333333335</v>
      </c>
      <c r="AG753" s="25">
        <f t="shared" si="934"/>
        <v>0.13444445440635011</v>
      </c>
      <c r="AH753" s="77">
        <f t="shared" si="935"/>
        <v>253062.79333333333</v>
      </c>
      <c r="AI753" s="77">
        <f t="shared" si="936"/>
        <v>253062.79333333333</v>
      </c>
      <c r="AJ753" s="73">
        <v>223072</v>
      </c>
      <c r="AK753" s="79">
        <v>312204.18499999994</v>
      </c>
      <c r="AL753" s="79">
        <f>204892*1.15</f>
        <v>235625.8</v>
      </c>
      <c r="AM753" s="127">
        <v>282750.95999999996</v>
      </c>
      <c r="AN753" s="128">
        <v>240300</v>
      </c>
      <c r="AO753" s="128">
        <v>240000</v>
      </c>
      <c r="AP753" s="133">
        <f t="shared" si="937"/>
        <v>262176.18899999995</v>
      </c>
      <c r="AQ753" s="127">
        <f t="shared" si="938"/>
        <v>39104.188999999955</v>
      </c>
      <c r="AR753" s="134">
        <f t="shared" si="939"/>
        <v>0.17529850900157776</v>
      </c>
      <c r="AS753" s="132">
        <f t="shared" si="940"/>
        <v>262176.18899999995</v>
      </c>
      <c r="AT753" s="250"/>
      <c r="AU753" s="250"/>
      <c r="AV753" s="250"/>
      <c r="AW753" s="250"/>
      <c r="AX753" s="250"/>
      <c r="AY753" s="250"/>
      <c r="AZ753" s="250"/>
      <c r="BA753" s="250"/>
      <c r="BB753" s="250"/>
      <c r="BC753" s="251"/>
      <c r="BD753" s="150"/>
      <c r="BE753" s="150"/>
      <c r="BF753" s="150"/>
      <c r="BG753" s="150"/>
      <c r="BH753" s="150"/>
      <c r="BI753" s="150"/>
      <c r="BJ753" s="150"/>
      <c r="BK753" s="150"/>
      <c r="BL753" s="150"/>
      <c r="BM753" s="293"/>
      <c r="BN753" s="293"/>
      <c r="BO753" s="293"/>
      <c r="BP753" s="293"/>
      <c r="BQ753" s="293"/>
      <c r="BR753" s="293"/>
      <c r="BS753" s="293"/>
      <c r="BT753" s="293"/>
    </row>
    <row r="754" spans="1:72" ht="35.450000000000003" customHeight="1">
      <c r="A754" s="91" t="s">
        <v>32</v>
      </c>
      <c r="B754" s="358" t="s">
        <v>2946</v>
      </c>
      <c r="C754" s="50" t="s">
        <v>353</v>
      </c>
      <c r="D754" s="99" t="s">
        <v>698</v>
      </c>
      <c r="E754" s="48" t="s">
        <v>740</v>
      </c>
      <c r="F754" s="10">
        <v>140379</v>
      </c>
      <c r="G754" s="31">
        <v>182574</v>
      </c>
      <c r="H754" s="33">
        <v>237346</v>
      </c>
      <c r="I754" s="36">
        <v>159583.20000000001</v>
      </c>
      <c r="J754" s="29">
        <f t="shared" si="941"/>
        <v>193167.73333333331</v>
      </c>
      <c r="K754" s="24">
        <f t="shared" si="942"/>
        <v>52788.733333333308</v>
      </c>
      <c r="L754" s="25">
        <f t="shared" si="943"/>
        <v>0.37604437510833749</v>
      </c>
      <c r="M754" s="69" t="str">
        <f t="shared" si="944"/>
        <v>REVISAR PRECIO</v>
      </c>
      <c r="N754" s="77">
        <f t="shared" si="926"/>
        <v>193167.73333333331</v>
      </c>
      <c r="O754" s="73">
        <v>72522</v>
      </c>
      <c r="P754" s="74">
        <v>113734.99999999999</v>
      </c>
      <c r="Q754" s="74">
        <v>160000</v>
      </c>
      <c r="R754" s="75">
        <v>131042.49999999997</v>
      </c>
      <c r="S754" s="61">
        <v>113734.99999999997</v>
      </c>
      <c r="T754" s="60"/>
      <c r="U754" s="74">
        <v>130795.24999999996</v>
      </c>
      <c r="V754" s="76">
        <f t="shared" si="927"/>
        <v>129861.55</v>
      </c>
      <c r="W754" s="24">
        <f t="shared" si="928"/>
        <v>57339.55</v>
      </c>
      <c r="X754" s="25">
        <f t="shared" si="929"/>
        <v>0.79065042331982027</v>
      </c>
      <c r="Y754" s="77" t="str">
        <f t="shared" si="930"/>
        <v>REVISAR PRECIO</v>
      </c>
      <c r="Z754" s="106">
        <f t="shared" si="931"/>
        <v>129861.55</v>
      </c>
      <c r="AA754" s="73">
        <v>72522</v>
      </c>
      <c r="AB754" s="88">
        <v>105000</v>
      </c>
      <c r="AC754" s="116">
        <v>109000</v>
      </c>
      <c r="AD754" s="74">
        <v>108789.99999999999</v>
      </c>
      <c r="AE754" s="76">
        <f t="shared" si="932"/>
        <v>107596.66666666667</v>
      </c>
      <c r="AF754" s="24">
        <f t="shared" si="933"/>
        <v>35074.666666666672</v>
      </c>
      <c r="AG754" s="25">
        <f t="shared" si="934"/>
        <v>0.48364174549332162</v>
      </c>
      <c r="AH754" s="77" t="str">
        <f t="shared" si="935"/>
        <v>REVISAR PRECIO</v>
      </c>
      <c r="AI754" s="77">
        <f t="shared" si="936"/>
        <v>107596.66666666667</v>
      </c>
      <c r="AJ754" s="73">
        <v>72522</v>
      </c>
      <c r="AK754" s="79">
        <v>131042.49999999997</v>
      </c>
      <c r="AL754" s="79">
        <f>86000*1.15</f>
        <v>98899.999999999985</v>
      </c>
      <c r="AM754" s="127">
        <v>118679.99999999999</v>
      </c>
      <c r="AN754" s="128">
        <v>114700</v>
      </c>
      <c r="AO754" s="128">
        <v>100000</v>
      </c>
      <c r="AP754" s="133">
        <f t="shared" si="937"/>
        <v>112664.5</v>
      </c>
      <c r="AQ754" s="127">
        <f t="shared" si="938"/>
        <v>40142.5</v>
      </c>
      <c r="AR754" s="134">
        <f t="shared" si="939"/>
        <v>0.55352168996994011</v>
      </c>
      <c r="AS754" s="132">
        <f t="shared" si="940"/>
        <v>112664.5</v>
      </c>
      <c r="AT754" s="250"/>
      <c r="AU754" s="250"/>
      <c r="AV754" s="250"/>
      <c r="AW754" s="250"/>
      <c r="AX754" s="250"/>
      <c r="AY754" s="250"/>
      <c r="AZ754" s="250"/>
      <c r="BA754" s="250"/>
      <c r="BB754" s="250"/>
      <c r="BC754" s="251"/>
      <c r="BD754" s="150"/>
      <c r="BE754" s="150"/>
      <c r="BF754" s="150"/>
      <c r="BG754" s="150"/>
      <c r="BH754" s="150"/>
      <c r="BI754" s="150"/>
      <c r="BJ754" s="150"/>
      <c r="BK754" s="150"/>
      <c r="BL754" s="150"/>
      <c r="BM754" s="293"/>
      <c r="BN754" s="293"/>
      <c r="BO754" s="293"/>
      <c r="BP754" s="293"/>
      <c r="BQ754" s="293"/>
      <c r="BR754" s="293"/>
      <c r="BS754" s="293"/>
      <c r="BT754" s="293"/>
    </row>
    <row r="755" spans="1:72" ht="35.450000000000003" customHeight="1">
      <c r="A755" s="91" t="s">
        <v>32</v>
      </c>
      <c r="B755" s="358" t="s">
        <v>2947</v>
      </c>
      <c r="C755" s="50" t="s">
        <v>354</v>
      </c>
      <c r="D755" s="99" t="s">
        <v>699</v>
      </c>
      <c r="E755" s="48" t="s">
        <v>740</v>
      </c>
      <c r="F755" s="10">
        <v>58066</v>
      </c>
      <c r="G755" s="31">
        <v>75519</v>
      </c>
      <c r="H755" s="33">
        <v>98175</v>
      </c>
      <c r="I755" s="36">
        <v>66009.2</v>
      </c>
      <c r="J755" s="29">
        <f t="shared" si="941"/>
        <v>79901.066666666666</v>
      </c>
      <c r="K755" s="24">
        <f t="shared" si="942"/>
        <v>21835.066666666666</v>
      </c>
      <c r="L755" s="25">
        <f t="shared" si="943"/>
        <v>0.3760387604909356</v>
      </c>
      <c r="M755" s="69" t="str">
        <f t="shared" si="944"/>
        <v>REVISAR PRECIO</v>
      </c>
      <c r="N755" s="77">
        <f t="shared" si="926"/>
        <v>79901.066666666666</v>
      </c>
      <c r="O755" s="73">
        <v>31040</v>
      </c>
      <c r="P755" s="74">
        <v>15433.000000000002</v>
      </c>
      <c r="Q755" s="74">
        <v>25000</v>
      </c>
      <c r="R755" s="75">
        <v>17781.5</v>
      </c>
      <c r="S755" s="61">
        <v>39675</v>
      </c>
      <c r="T755" s="60"/>
      <c r="U755" s="74">
        <v>45626.25</v>
      </c>
      <c r="V755" s="76">
        <f t="shared" si="927"/>
        <v>28703.15</v>
      </c>
      <c r="W755" s="24">
        <f t="shared" si="928"/>
        <v>-2336.8499999999985</v>
      </c>
      <c r="X755" s="25">
        <f t="shared" si="929"/>
        <v>-7.5285115979381395E-2</v>
      </c>
      <c r="Y755" s="77">
        <f t="shared" si="930"/>
        <v>28703.15</v>
      </c>
      <c r="Z755" s="106">
        <f t="shared" si="931"/>
        <v>28703.15</v>
      </c>
      <c r="AA755" s="73">
        <v>31040</v>
      </c>
      <c r="AB755" s="88">
        <v>15000</v>
      </c>
      <c r="AC755" s="116">
        <v>15000</v>
      </c>
      <c r="AD755" s="74">
        <v>14762.000000000002</v>
      </c>
      <c r="AE755" s="76">
        <f t="shared" si="932"/>
        <v>14920.666666666666</v>
      </c>
      <c r="AF755" s="24">
        <f t="shared" si="933"/>
        <v>-16119.333333333334</v>
      </c>
      <c r="AG755" s="25">
        <f t="shared" si="934"/>
        <v>-0.5193084192439863</v>
      </c>
      <c r="AH755" s="77">
        <f t="shared" si="935"/>
        <v>14920.666666666666</v>
      </c>
      <c r="AI755" s="77">
        <f t="shared" si="936"/>
        <v>14920.666666666666</v>
      </c>
      <c r="AJ755" s="73">
        <v>31040</v>
      </c>
      <c r="AK755" s="79">
        <v>17781.5</v>
      </c>
      <c r="AL755" s="79">
        <f>12200*1.1</f>
        <v>13420.000000000002</v>
      </c>
      <c r="AM755" s="127">
        <v>16104.000000000002</v>
      </c>
      <c r="AN755" s="128">
        <v>12700</v>
      </c>
      <c r="AO755" s="128">
        <v>15000</v>
      </c>
      <c r="AP755" s="133">
        <f t="shared" si="937"/>
        <v>15001.1</v>
      </c>
      <c r="AQ755" s="127">
        <f t="shared" si="938"/>
        <v>-16038.9</v>
      </c>
      <c r="AR755" s="134">
        <f t="shared" si="939"/>
        <v>-0.51671713917525774</v>
      </c>
      <c r="AS755" s="132">
        <f t="shared" si="940"/>
        <v>15001.1</v>
      </c>
      <c r="AT755" s="250"/>
      <c r="AU755" s="250"/>
      <c r="AV755" s="250"/>
      <c r="AW755" s="250"/>
      <c r="AX755" s="250"/>
      <c r="AY755" s="250"/>
      <c r="AZ755" s="250"/>
      <c r="BA755" s="250"/>
      <c r="BB755" s="250"/>
      <c r="BC755" s="251"/>
      <c r="BD755" s="150"/>
      <c r="BE755" s="150"/>
      <c r="BF755" s="150"/>
      <c r="BG755" s="150"/>
      <c r="BH755" s="150"/>
      <c r="BI755" s="150"/>
      <c r="BJ755" s="150"/>
      <c r="BK755" s="150"/>
      <c r="BL755" s="150"/>
      <c r="BM755" s="293"/>
      <c r="BN755" s="293"/>
      <c r="BO755" s="293"/>
      <c r="BP755" s="293"/>
      <c r="BQ755" s="293"/>
      <c r="BR755" s="293"/>
      <c r="BS755" s="293"/>
      <c r="BT755" s="293"/>
    </row>
    <row r="756" spans="1:72" s="1" customFormat="1" ht="35.450000000000003" customHeight="1">
      <c r="A756" s="91" t="s">
        <v>32</v>
      </c>
      <c r="B756" s="358" t="s">
        <v>2948</v>
      </c>
      <c r="C756" s="50" t="s">
        <v>355</v>
      </c>
      <c r="D756" s="99" t="s">
        <v>700</v>
      </c>
      <c r="E756" s="48" t="s">
        <v>740</v>
      </c>
      <c r="F756" s="10">
        <v>20397</v>
      </c>
      <c r="G756" s="33">
        <v>26528</v>
      </c>
      <c r="H756" s="31">
        <v>34486</v>
      </c>
      <c r="I756" s="36">
        <v>23187</v>
      </c>
      <c r="J756" s="29">
        <f t="shared" si="941"/>
        <v>28067</v>
      </c>
      <c r="K756" s="24">
        <f t="shared" si="942"/>
        <v>7670</v>
      </c>
      <c r="L756" s="25">
        <f t="shared" si="943"/>
        <v>0.37603569152326322</v>
      </c>
      <c r="M756" s="69" t="str">
        <f t="shared" si="944"/>
        <v>REVISAR PRECIO</v>
      </c>
      <c r="N756" s="77">
        <f t="shared" si="926"/>
        <v>28067</v>
      </c>
      <c r="O756" s="73">
        <v>14239</v>
      </c>
      <c r="P756" s="74">
        <v>2138.4825000000001</v>
      </c>
      <c r="Q756" s="74">
        <v>5000</v>
      </c>
      <c r="R756" s="75">
        <v>2463.9037499999999</v>
      </c>
      <c r="S756" s="61">
        <v>2138.4824999999996</v>
      </c>
      <c r="T756" s="60"/>
      <c r="U756" s="74">
        <v>2459.2548749999992</v>
      </c>
      <c r="V756" s="76">
        <f t="shared" si="927"/>
        <v>2840.0247249999998</v>
      </c>
      <c r="W756" s="24">
        <f t="shared" si="928"/>
        <v>-11398.975275000001</v>
      </c>
      <c r="X756" s="25">
        <f t="shared" si="929"/>
        <v>-0.80054605484935748</v>
      </c>
      <c r="Y756" s="77">
        <f t="shared" si="930"/>
        <v>2840.0247249999998</v>
      </c>
      <c r="Z756" s="106">
        <f t="shared" si="931"/>
        <v>2840.0247249999998</v>
      </c>
      <c r="AA756" s="73">
        <v>14239</v>
      </c>
      <c r="AB756" s="88">
        <v>3000</v>
      </c>
      <c r="AC756" s="116">
        <v>3000</v>
      </c>
      <c r="AD756" s="74">
        <v>2045.5049999999999</v>
      </c>
      <c r="AE756" s="76">
        <f t="shared" si="932"/>
        <v>2681.835</v>
      </c>
      <c r="AF756" s="24">
        <f t="shared" si="933"/>
        <v>-11557.165000000001</v>
      </c>
      <c r="AG756" s="25">
        <f t="shared" si="934"/>
        <v>-0.81165566402134992</v>
      </c>
      <c r="AH756" s="77">
        <f t="shared" si="935"/>
        <v>2681.835</v>
      </c>
      <c r="AI756" s="77">
        <f t="shared" si="936"/>
        <v>2681.835</v>
      </c>
      <c r="AJ756" s="73">
        <v>14239</v>
      </c>
      <c r="AK756" s="79">
        <v>2463.9037499999999</v>
      </c>
      <c r="AL756" s="79">
        <f>1617*1.15</f>
        <v>1859.55</v>
      </c>
      <c r="AM756" s="127">
        <v>2231.46</v>
      </c>
      <c r="AN756" s="128">
        <v>1700</v>
      </c>
      <c r="AO756" s="128">
        <v>2000</v>
      </c>
      <c r="AP756" s="133">
        <f t="shared" si="937"/>
        <v>2050.9827500000001</v>
      </c>
      <c r="AQ756" s="127">
        <f t="shared" si="938"/>
        <v>-12188.017250000001</v>
      </c>
      <c r="AR756" s="134">
        <f t="shared" si="939"/>
        <v>-0.85596019734531925</v>
      </c>
      <c r="AS756" s="132">
        <f t="shared" si="940"/>
        <v>2050.9827500000001</v>
      </c>
      <c r="AT756" s="250"/>
      <c r="AU756" s="250"/>
      <c r="AV756" s="250"/>
      <c r="AW756" s="250"/>
      <c r="AX756" s="250"/>
      <c r="AY756" s="250"/>
      <c r="AZ756" s="250"/>
      <c r="BA756" s="250"/>
      <c r="BB756" s="250"/>
      <c r="BC756" s="251"/>
      <c r="BD756" s="150"/>
      <c r="BE756" s="150"/>
      <c r="BF756" s="150"/>
      <c r="BG756" s="150"/>
      <c r="BH756" s="150"/>
      <c r="BI756" s="150"/>
      <c r="BJ756" s="150"/>
      <c r="BK756" s="150"/>
      <c r="BL756" s="150"/>
      <c r="BM756" s="293"/>
      <c r="BN756" s="293"/>
      <c r="BO756" s="293"/>
      <c r="BP756" s="293"/>
      <c r="BQ756" s="293"/>
      <c r="BR756" s="293"/>
      <c r="BS756" s="293"/>
      <c r="BT756" s="293"/>
    </row>
    <row r="757" spans="1:72" s="68" customFormat="1" ht="35.450000000000003" customHeight="1">
      <c r="A757" s="231" t="s">
        <v>32</v>
      </c>
      <c r="B757" s="358" t="s">
        <v>2949</v>
      </c>
      <c r="C757" s="50" t="s">
        <v>356</v>
      </c>
      <c r="D757" s="101" t="s">
        <v>701</v>
      </c>
      <c r="E757" s="65" t="s">
        <v>742</v>
      </c>
      <c r="F757" s="60">
        <v>163174</v>
      </c>
      <c r="G757" s="66">
        <v>212220</v>
      </c>
      <c r="H757" s="66">
        <v>275886</v>
      </c>
      <c r="I757" s="36">
        <v>185496</v>
      </c>
      <c r="J757" s="63">
        <f t="shared" si="941"/>
        <v>224534</v>
      </c>
      <c r="K757" s="67">
        <f t="shared" si="942"/>
        <v>61360</v>
      </c>
      <c r="L757" s="64">
        <f t="shared" si="943"/>
        <v>0.37604030053807591</v>
      </c>
      <c r="M757" s="78" t="str">
        <f t="shared" si="944"/>
        <v>REVISAR PRECIO</v>
      </c>
      <c r="N757" s="81">
        <f t="shared" si="926"/>
        <v>224534</v>
      </c>
      <c r="O757" s="82"/>
      <c r="P757" s="83"/>
      <c r="Q757" s="83"/>
      <c r="R757" s="84"/>
      <c r="S757" s="85"/>
      <c r="T757" s="60"/>
      <c r="U757" s="83"/>
      <c r="V757" s="86"/>
      <c r="W757" s="67"/>
      <c r="X757" s="64"/>
      <c r="Y757" s="81"/>
      <c r="Z757" s="108"/>
      <c r="AA757" s="117"/>
      <c r="AB757" s="117"/>
      <c r="AC757" s="117"/>
      <c r="AD757" s="117"/>
      <c r="AE757" s="117"/>
      <c r="AF757" s="117"/>
      <c r="AG757" s="117"/>
      <c r="AH757" s="117"/>
      <c r="AI757" s="117"/>
      <c r="AJ757" s="250"/>
      <c r="AK757" s="250"/>
      <c r="AL757" s="250"/>
      <c r="AM757" s="250"/>
      <c r="AN757" s="250"/>
      <c r="AO757" s="250"/>
      <c r="AP757" s="250"/>
      <c r="AQ757" s="250"/>
      <c r="AR757" s="250"/>
      <c r="AS757" s="250"/>
      <c r="AT757" s="250"/>
      <c r="AU757" s="250"/>
      <c r="AV757" s="250"/>
      <c r="AW757" s="250"/>
      <c r="AX757" s="250"/>
      <c r="AY757" s="250"/>
      <c r="AZ757" s="250"/>
      <c r="BA757" s="250"/>
      <c r="BB757" s="250"/>
      <c r="BC757" s="251"/>
      <c r="BD757" s="150"/>
      <c r="BE757" s="150"/>
      <c r="BF757" s="150"/>
      <c r="BG757" s="150"/>
      <c r="BH757" s="150"/>
      <c r="BI757" s="150"/>
      <c r="BJ757" s="150"/>
      <c r="BK757" s="150"/>
      <c r="BL757" s="150"/>
      <c r="BM757" s="293"/>
      <c r="BN757" s="293"/>
      <c r="BO757" s="293"/>
      <c r="BP757" s="293"/>
      <c r="BQ757" s="293"/>
      <c r="BR757" s="293"/>
      <c r="BS757" s="293"/>
      <c r="BT757" s="293"/>
    </row>
    <row r="758" spans="1:72" ht="35.450000000000003" customHeight="1">
      <c r="A758" s="91" t="s">
        <v>32</v>
      </c>
      <c r="B758" s="358" t="s">
        <v>2950</v>
      </c>
      <c r="C758" s="50" t="s">
        <v>357</v>
      </c>
      <c r="D758" s="99" t="s">
        <v>702</v>
      </c>
      <c r="E758" s="48" t="s">
        <v>11</v>
      </c>
      <c r="F758" s="10">
        <v>107423</v>
      </c>
      <c r="G758" s="31">
        <v>139712</v>
      </c>
      <c r="H758" s="33">
        <v>181625</v>
      </c>
      <c r="I758" s="36">
        <v>122118.2</v>
      </c>
      <c r="J758" s="29">
        <f t="shared" si="941"/>
        <v>147818.4</v>
      </c>
      <c r="K758" s="24">
        <f t="shared" si="942"/>
        <v>40395.399999999994</v>
      </c>
      <c r="L758" s="25">
        <f t="shared" si="943"/>
        <v>0.37604051273935746</v>
      </c>
      <c r="M758" s="69" t="str">
        <f t="shared" si="944"/>
        <v>REVISAR PRECIO</v>
      </c>
      <c r="N758" s="77">
        <f t="shared" si="926"/>
        <v>147818.4</v>
      </c>
      <c r="O758" s="73">
        <v>74990</v>
      </c>
      <c r="P758" s="74">
        <v>106163.4</v>
      </c>
      <c r="Q758" s="74">
        <v>200000</v>
      </c>
      <c r="R758" s="75">
        <v>122318.7</v>
      </c>
      <c r="S758" s="61">
        <v>106163.4</v>
      </c>
      <c r="T758" s="60"/>
      <c r="U758" s="74">
        <v>122087.90999999999</v>
      </c>
      <c r="V758" s="76">
        <f t="shared" ref="V758:V767" si="945">AVERAGE(P758,Q758,R758,S758,T758,U758)</f>
        <v>131346.682</v>
      </c>
      <c r="W758" s="24">
        <f t="shared" ref="W758:W767" si="946">V758-O758</f>
        <v>56356.682000000001</v>
      </c>
      <c r="X758" s="25">
        <f t="shared" ref="X758:X767" si="947">+W758/O758</f>
        <v>0.75152262968395789</v>
      </c>
      <c r="Y758" s="77" t="str">
        <f t="shared" ref="Y758:Y767" si="948">+IF(X758&lt;35%,V758,"REVISAR PRECIO")</f>
        <v>REVISAR PRECIO</v>
      </c>
      <c r="Z758" s="106">
        <f t="shared" ref="Z758:Z767" si="949">V758</f>
        <v>131346.682</v>
      </c>
      <c r="AA758" s="73">
        <v>74990</v>
      </c>
      <c r="AB758" s="88">
        <v>120000</v>
      </c>
      <c r="AC758" s="116">
        <v>120000</v>
      </c>
      <c r="AD758" s="74">
        <v>101547.6</v>
      </c>
      <c r="AE758" s="76">
        <f t="shared" ref="AE758:AE767" si="950">AVERAGE(AB758,AC758,AD758)</f>
        <v>113849.2</v>
      </c>
      <c r="AF758" s="24">
        <f t="shared" ref="AF758:AF767" si="951">AE758-AA758</f>
        <v>38859.199999999997</v>
      </c>
      <c r="AG758" s="25">
        <f t="shared" ref="AG758:AG767" si="952">+AF758/AA758</f>
        <v>0.51819175890118674</v>
      </c>
      <c r="AH758" s="77" t="str">
        <f t="shared" ref="AH758:AH767" si="953">+IF(AG758&lt;35%,AE758,"REVISAR PRECIO")</f>
        <v>REVISAR PRECIO</v>
      </c>
      <c r="AI758" s="77">
        <f t="shared" ref="AI758:AI767" si="954">AE758</f>
        <v>113849.2</v>
      </c>
      <c r="AJ758" s="73">
        <v>74990</v>
      </c>
      <c r="AK758" s="79">
        <v>122318.7</v>
      </c>
      <c r="AL758" s="79">
        <f>65940*1.4</f>
        <v>92316</v>
      </c>
      <c r="AM758" s="127">
        <v>110779.2</v>
      </c>
      <c r="AN758" s="142">
        <v>89200</v>
      </c>
      <c r="AO758" s="142">
        <v>95000</v>
      </c>
      <c r="AP758" s="29">
        <f t="shared" ref="AP758:AP767" si="955">AVERAGE(AK758,AL758,AM758,AN758,AO758)</f>
        <v>101922.78</v>
      </c>
      <c r="AQ758" s="24">
        <f t="shared" ref="AQ758:AQ767" si="956">AP758-AJ758</f>
        <v>26932.78</v>
      </c>
      <c r="AR758" s="25">
        <f t="shared" ref="AR758:AR767" si="957">+AQ758/AJ758</f>
        <v>0.35915162021602881</v>
      </c>
      <c r="AS758" s="146">
        <f t="shared" ref="AS758:AS767" si="958">AP758</f>
        <v>101922.78</v>
      </c>
      <c r="AT758" s="250"/>
      <c r="AU758" s="250"/>
      <c r="AV758" s="250"/>
      <c r="AW758" s="250"/>
      <c r="AX758" s="250"/>
      <c r="AY758" s="250"/>
      <c r="AZ758" s="250"/>
      <c r="BA758" s="250"/>
      <c r="BB758" s="250"/>
      <c r="BC758" s="251"/>
      <c r="BD758" s="150"/>
      <c r="BE758" s="150"/>
      <c r="BF758" s="150"/>
      <c r="BG758" s="150"/>
      <c r="BH758" s="150"/>
      <c r="BI758" s="150"/>
      <c r="BJ758" s="150"/>
      <c r="BK758" s="150"/>
      <c r="BL758" s="150"/>
      <c r="BM758" s="293"/>
      <c r="BN758" s="293"/>
      <c r="BO758" s="293"/>
      <c r="BP758" s="293"/>
      <c r="BQ758" s="293"/>
      <c r="BR758" s="293"/>
      <c r="BS758" s="293"/>
      <c r="BT758" s="293"/>
    </row>
    <row r="759" spans="1:72" ht="45.6" customHeight="1">
      <c r="A759" s="91" t="s">
        <v>32</v>
      </c>
      <c r="B759" s="358" t="s">
        <v>2951</v>
      </c>
      <c r="C759" s="50" t="s">
        <v>358</v>
      </c>
      <c r="D759" s="99" t="s">
        <v>703</v>
      </c>
      <c r="E759" s="48" t="s">
        <v>740</v>
      </c>
      <c r="F759" s="10">
        <v>329067</v>
      </c>
      <c r="G759" s="31">
        <v>427977</v>
      </c>
      <c r="H759" s="31">
        <v>556370</v>
      </c>
      <c r="I759" s="36">
        <v>374083.6</v>
      </c>
      <c r="J759" s="29">
        <f t="shared" si="941"/>
        <v>452810.2</v>
      </c>
      <c r="K759" s="24">
        <f t="shared" si="942"/>
        <v>123743.20000000001</v>
      </c>
      <c r="L759" s="25">
        <f t="shared" si="943"/>
        <v>0.37604256883856485</v>
      </c>
      <c r="M759" s="69" t="str">
        <f t="shared" si="944"/>
        <v>REVISAR PRECIO</v>
      </c>
      <c r="N759" s="77">
        <f t="shared" si="926"/>
        <v>452810.2</v>
      </c>
      <c r="O759" s="73">
        <v>229716</v>
      </c>
      <c r="P759" s="74">
        <v>192793.935</v>
      </c>
      <c r="Q759" s="74">
        <v>450000</v>
      </c>
      <c r="R759" s="75">
        <v>222132.14249999996</v>
      </c>
      <c r="S759" s="61">
        <v>368000</v>
      </c>
      <c r="T759" s="60"/>
      <c r="U759" s="74">
        <v>423199.99999999994</v>
      </c>
      <c r="V759" s="76">
        <f t="shared" si="945"/>
        <v>331225.21550000005</v>
      </c>
      <c r="W759" s="24">
        <f t="shared" si="946"/>
        <v>101509.21550000005</v>
      </c>
      <c r="X759" s="25">
        <f t="shared" si="947"/>
        <v>0.44189005337024867</v>
      </c>
      <c r="Y759" s="77" t="str">
        <f t="shared" si="948"/>
        <v>REVISAR PRECIO</v>
      </c>
      <c r="Z759" s="106">
        <f t="shared" si="949"/>
        <v>331225.21550000005</v>
      </c>
      <c r="AA759" s="73">
        <v>229716</v>
      </c>
      <c r="AB759" s="88">
        <v>185000</v>
      </c>
      <c r="AC759" s="116">
        <v>185000</v>
      </c>
      <c r="AD759" s="74">
        <v>184411.59</v>
      </c>
      <c r="AE759" s="76">
        <f t="shared" si="950"/>
        <v>184803.86333333331</v>
      </c>
      <c r="AF759" s="24">
        <f t="shared" si="951"/>
        <v>-44912.136666666687</v>
      </c>
      <c r="AG759" s="25">
        <f t="shared" si="952"/>
        <v>-0.1955115737113074</v>
      </c>
      <c r="AH759" s="77">
        <f t="shared" si="953"/>
        <v>184803.86333333331</v>
      </c>
      <c r="AI759" s="77">
        <f t="shared" si="954"/>
        <v>184803.86333333331</v>
      </c>
      <c r="AJ759" s="73">
        <v>229716</v>
      </c>
      <c r="AK759" s="79">
        <v>222132.14249999996</v>
      </c>
      <c r="AL759" s="79">
        <f>558823*0.3</f>
        <v>167646.9</v>
      </c>
      <c r="AM759" s="127">
        <v>201176.28</v>
      </c>
      <c r="AN759" s="142">
        <v>206500</v>
      </c>
      <c r="AO759" s="142">
        <v>170000</v>
      </c>
      <c r="AP759" s="29">
        <f t="shared" si="955"/>
        <v>193491.06450000001</v>
      </c>
      <c r="AQ759" s="24">
        <f t="shared" si="956"/>
        <v>-36224.935499999992</v>
      </c>
      <c r="AR759" s="25">
        <f t="shared" si="957"/>
        <v>-0.15769443791464238</v>
      </c>
      <c r="AS759" s="146">
        <f t="shared" si="958"/>
        <v>193491.06450000001</v>
      </c>
      <c r="AT759" s="250"/>
      <c r="AU759" s="250"/>
      <c r="AV759" s="250"/>
      <c r="AW759" s="250"/>
      <c r="AX759" s="250"/>
      <c r="AY759" s="250"/>
      <c r="AZ759" s="250"/>
      <c r="BA759" s="250"/>
      <c r="BB759" s="250"/>
      <c r="BC759" s="251"/>
      <c r="BD759" s="150"/>
      <c r="BE759" s="150"/>
      <c r="BF759" s="150"/>
      <c r="BG759" s="150"/>
      <c r="BH759" s="150"/>
      <c r="BI759" s="150"/>
      <c r="BJ759" s="150"/>
      <c r="BK759" s="150"/>
      <c r="BL759" s="150"/>
      <c r="BM759" s="293"/>
      <c r="BN759" s="293"/>
      <c r="BO759" s="293"/>
      <c r="BP759" s="293"/>
      <c r="BQ759" s="293"/>
      <c r="BR759" s="293"/>
      <c r="BS759" s="293"/>
      <c r="BT759" s="293"/>
    </row>
    <row r="760" spans="1:72" ht="29.1" customHeight="1">
      <c r="A760" s="91" t="s">
        <v>32</v>
      </c>
      <c r="B760" s="358" t="s">
        <v>2952</v>
      </c>
      <c r="C760" s="50" t="s">
        <v>778</v>
      </c>
      <c r="D760" s="99" t="s">
        <v>704</v>
      </c>
      <c r="E760" s="48" t="s">
        <v>12</v>
      </c>
      <c r="F760" s="10">
        <v>12923</v>
      </c>
      <c r="G760" s="33">
        <v>16808</v>
      </c>
      <c r="H760" s="31">
        <v>21850</v>
      </c>
      <c r="I760" s="36">
        <v>14691</v>
      </c>
      <c r="J760" s="29">
        <f t="shared" si="941"/>
        <v>17783</v>
      </c>
      <c r="K760" s="24">
        <f t="shared" si="942"/>
        <v>4860</v>
      </c>
      <c r="L760" s="25">
        <f t="shared" si="943"/>
        <v>0.37607366710516132</v>
      </c>
      <c r="M760" s="69" t="str">
        <f t="shared" si="944"/>
        <v>REVISAR PRECIO</v>
      </c>
      <c r="N760" s="77">
        <f t="shared" si="926"/>
        <v>17783</v>
      </c>
      <c r="O760" s="73">
        <v>9018</v>
      </c>
      <c r="P760" s="74">
        <v>9200</v>
      </c>
      <c r="Q760" s="74">
        <v>12000</v>
      </c>
      <c r="R760" s="75">
        <v>10600</v>
      </c>
      <c r="S760" s="61">
        <v>9200</v>
      </c>
      <c r="T760" s="60"/>
      <c r="U760" s="74">
        <v>10580</v>
      </c>
      <c r="V760" s="76">
        <f t="shared" si="945"/>
        <v>10316</v>
      </c>
      <c r="W760" s="24">
        <f t="shared" si="946"/>
        <v>1298</v>
      </c>
      <c r="X760" s="25">
        <f t="shared" si="947"/>
        <v>0.14393435351519185</v>
      </c>
      <c r="Y760" s="77">
        <f t="shared" si="948"/>
        <v>10316</v>
      </c>
      <c r="Z760" s="106">
        <f t="shared" si="949"/>
        <v>10316</v>
      </c>
      <c r="AA760" s="73">
        <v>9018</v>
      </c>
      <c r="AB760" s="88">
        <v>10000</v>
      </c>
      <c r="AC760" s="116">
        <v>10000</v>
      </c>
      <c r="AD760" s="74">
        <v>8800</v>
      </c>
      <c r="AE760" s="76">
        <f t="shared" si="950"/>
        <v>9600</v>
      </c>
      <c r="AF760" s="24">
        <f t="shared" si="951"/>
        <v>582</v>
      </c>
      <c r="AG760" s="25">
        <f t="shared" si="952"/>
        <v>6.4537591483699266E-2</v>
      </c>
      <c r="AH760" s="77">
        <f t="shared" si="953"/>
        <v>9600</v>
      </c>
      <c r="AI760" s="77">
        <f t="shared" si="954"/>
        <v>9600</v>
      </c>
      <c r="AJ760" s="73">
        <v>9018</v>
      </c>
      <c r="AK760" s="79">
        <v>10600</v>
      </c>
      <c r="AL760" s="79">
        <v>8000</v>
      </c>
      <c r="AM760" s="127">
        <v>9600</v>
      </c>
      <c r="AN760" s="142">
        <v>7600</v>
      </c>
      <c r="AO760" s="142">
        <v>8000</v>
      </c>
      <c r="AP760" s="29">
        <f t="shared" si="955"/>
        <v>8760</v>
      </c>
      <c r="AQ760" s="24">
        <f t="shared" si="956"/>
        <v>-258</v>
      </c>
      <c r="AR760" s="25">
        <f t="shared" si="957"/>
        <v>-2.8609447771124417E-2</v>
      </c>
      <c r="AS760" s="146">
        <f t="shared" si="958"/>
        <v>8760</v>
      </c>
      <c r="AT760" s="250"/>
      <c r="AU760" s="250"/>
      <c r="AV760" s="250"/>
      <c r="AW760" s="250"/>
      <c r="AX760" s="250"/>
      <c r="AY760" s="250"/>
      <c r="AZ760" s="250"/>
      <c r="BA760" s="250"/>
      <c r="BB760" s="250"/>
      <c r="BC760" s="251"/>
      <c r="BD760" s="150"/>
      <c r="BE760" s="150"/>
      <c r="BF760" s="150"/>
      <c r="BG760" s="150"/>
      <c r="BH760" s="150"/>
      <c r="BI760" s="150"/>
      <c r="BJ760" s="150"/>
      <c r="BK760" s="150"/>
      <c r="BL760" s="150"/>
      <c r="BM760" s="293"/>
      <c r="BN760" s="293"/>
      <c r="BO760" s="293"/>
      <c r="BP760" s="293"/>
      <c r="BQ760" s="293"/>
      <c r="BR760" s="293"/>
      <c r="BS760" s="293"/>
      <c r="BT760" s="293"/>
    </row>
    <row r="761" spans="1:72" ht="29.1" customHeight="1">
      <c r="A761" s="91" t="s">
        <v>32</v>
      </c>
      <c r="B761" s="358" t="s">
        <v>2953</v>
      </c>
      <c r="C761" s="50" t="s">
        <v>779</v>
      </c>
      <c r="D761" s="99" t="s">
        <v>705</v>
      </c>
      <c r="E761" s="48" t="s">
        <v>740</v>
      </c>
      <c r="F761" s="10">
        <v>73428</v>
      </c>
      <c r="G761" s="33">
        <v>95499</v>
      </c>
      <c r="H761" s="33">
        <v>95499</v>
      </c>
      <c r="I761" s="36">
        <v>83473.2</v>
      </c>
      <c r="J761" s="29">
        <f t="shared" si="941"/>
        <v>91490.400000000009</v>
      </c>
      <c r="K761" s="24">
        <f t="shared" si="942"/>
        <v>18062.400000000009</v>
      </c>
      <c r="L761" s="25">
        <f t="shared" si="943"/>
        <v>0.24598790652067343</v>
      </c>
      <c r="M761" s="69">
        <f t="shared" si="944"/>
        <v>91490.400000000009</v>
      </c>
      <c r="N761" s="77">
        <f t="shared" si="926"/>
        <v>91490.400000000009</v>
      </c>
      <c r="O761" s="73">
        <v>37637</v>
      </c>
      <c r="P761" s="74">
        <v>11385</v>
      </c>
      <c r="Q761" s="74">
        <v>70000</v>
      </c>
      <c r="R761" s="75">
        <v>13117.5</v>
      </c>
      <c r="S761" s="61">
        <v>11385</v>
      </c>
      <c r="T761" s="60"/>
      <c r="U761" s="74">
        <v>13092.749999999998</v>
      </c>
      <c r="V761" s="76">
        <f t="shared" si="945"/>
        <v>23796.05</v>
      </c>
      <c r="W761" s="24">
        <f t="shared" si="946"/>
        <v>-13840.95</v>
      </c>
      <c r="X761" s="25">
        <f t="shared" si="947"/>
        <v>-0.36774849217525307</v>
      </c>
      <c r="Y761" s="77">
        <f t="shared" si="948"/>
        <v>23796.05</v>
      </c>
      <c r="Z761" s="106">
        <f t="shared" si="949"/>
        <v>23796.05</v>
      </c>
      <c r="AA761" s="73">
        <v>37637</v>
      </c>
      <c r="AB761" s="88">
        <v>11000</v>
      </c>
      <c r="AC761" s="116">
        <v>11000</v>
      </c>
      <c r="AD761" s="74">
        <v>10890</v>
      </c>
      <c r="AE761" s="76">
        <f t="shared" si="950"/>
        <v>10963.333333333334</v>
      </c>
      <c r="AF761" s="24">
        <f t="shared" si="951"/>
        <v>-26673.666666666664</v>
      </c>
      <c r="AG761" s="25">
        <f t="shared" si="952"/>
        <v>-0.70870862892012287</v>
      </c>
      <c r="AH761" s="77">
        <f t="shared" si="953"/>
        <v>10963.333333333334</v>
      </c>
      <c r="AI761" s="77">
        <f t="shared" si="954"/>
        <v>10963.333333333334</v>
      </c>
      <c r="AJ761" s="73">
        <v>37637</v>
      </c>
      <c r="AK761" s="79">
        <v>13117.5</v>
      </c>
      <c r="AL761" s="79">
        <v>9900</v>
      </c>
      <c r="AM761" s="127">
        <v>11880</v>
      </c>
      <c r="AN761" s="142">
        <v>8800</v>
      </c>
      <c r="AO761" s="142">
        <v>10000</v>
      </c>
      <c r="AP761" s="29">
        <f t="shared" si="955"/>
        <v>10739.5</v>
      </c>
      <c r="AQ761" s="24">
        <f t="shared" si="956"/>
        <v>-26897.5</v>
      </c>
      <c r="AR761" s="25">
        <f t="shared" si="957"/>
        <v>-0.71465579084411612</v>
      </c>
      <c r="AS761" s="146">
        <f t="shared" si="958"/>
        <v>10739.5</v>
      </c>
      <c r="AT761" s="250"/>
      <c r="AU761" s="250"/>
      <c r="AV761" s="250"/>
      <c r="AW761" s="250"/>
      <c r="AX761" s="250"/>
      <c r="AY761" s="250"/>
      <c r="AZ761" s="250"/>
      <c r="BA761" s="250"/>
      <c r="BB761" s="250"/>
      <c r="BC761" s="251"/>
      <c r="BD761" s="150"/>
      <c r="BE761" s="150"/>
      <c r="BF761" s="150"/>
      <c r="BG761" s="150"/>
      <c r="BH761" s="150"/>
      <c r="BI761" s="150"/>
      <c r="BJ761" s="150"/>
      <c r="BK761" s="150"/>
      <c r="BL761" s="150"/>
      <c r="BM761" s="293"/>
      <c r="BN761" s="293"/>
      <c r="BO761" s="293"/>
      <c r="BP761" s="293"/>
      <c r="BQ761" s="293"/>
      <c r="BR761" s="293"/>
      <c r="BS761" s="293"/>
      <c r="BT761" s="293"/>
    </row>
    <row r="762" spans="1:72" ht="34.35" customHeight="1">
      <c r="A762" s="91" t="s">
        <v>32</v>
      </c>
      <c r="B762" s="358" t="s">
        <v>2954</v>
      </c>
      <c r="C762" s="50" t="s">
        <v>780</v>
      </c>
      <c r="D762" s="99" t="s">
        <v>706</v>
      </c>
      <c r="E762" s="48" t="s">
        <v>740</v>
      </c>
      <c r="F762" s="10">
        <v>652362</v>
      </c>
      <c r="G762" s="31">
        <v>848448</v>
      </c>
      <c r="H762" s="31">
        <v>1102982</v>
      </c>
      <c r="I762" s="36">
        <v>741606.40000000002</v>
      </c>
      <c r="J762" s="29">
        <f t="shared" si="941"/>
        <v>897678.79999999993</v>
      </c>
      <c r="K762" s="24">
        <f t="shared" si="942"/>
        <v>245316.79999999993</v>
      </c>
      <c r="L762" s="25">
        <f t="shared" si="943"/>
        <v>0.37604397558410813</v>
      </c>
      <c r="M762" s="69" t="str">
        <f t="shared" si="944"/>
        <v>REVISAR PRECIO</v>
      </c>
      <c r="N762" s="77">
        <f t="shared" si="926"/>
        <v>897678.79999999993</v>
      </c>
      <c r="O762" s="73">
        <v>287620</v>
      </c>
      <c r="P762" s="74">
        <v>563338.99999999988</v>
      </c>
      <c r="Q762" s="74">
        <v>750000</v>
      </c>
      <c r="R762" s="75">
        <v>649064.49999999988</v>
      </c>
      <c r="S762" s="61">
        <v>563338.99999999988</v>
      </c>
      <c r="T762" s="60"/>
      <c r="U762" s="74">
        <v>647839.84999999986</v>
      </c>
      <c r="V762" s="76">
        <f t="shared" si="945"/>
        <v>634716.47</v>
      </c>
      <c r="W762" s="24">
        <f t="shared" si="946"/>
        <v>347096.47</v>
      </c>
      <c r="X762" s="25">
        <f t="shared" si="947"/>
        <v>1.2067883665948125</v>
      </c>
      <c r="Y762" s="77" t="str">
        <f t="shared" si="948"/>
        <v>REVISAR PRECIO</v>
      </c>
      <c r="Z762" s="106">
        <f t="shared" si="949"/>
        <v>634716.47</v>
      </c>
      <c r="AA762" s="73">
        <v>287620</v>
      </c>
      <c r="AB762" s="88">
        <v>514500</v>
      </c>
      <c r="AC762" s="116">
        <v>514500</v>
      </c>
      <c r="AD762" s="74">
        <v>538846</v>
      </c>
      <c r="AE762" s="76">
        <f t="shared" si="950"/>
        <v>522615.33333333331</v>
      </c>
      <c r="AF762" s="24">
        <f t="shared" si="951"/>
        <v>234995.33333333331</v>
      </c>
      <c r="AG762" s="25">
        <f t="shared" si="952"/>
        <v>0.81703404955612724</v>
      </c>
      <c r="AH762" s="77" t="str">
        <f t="shared" si="953"/>
        <v>REVISAR PRECIO</v>
      </c>
      <c r="AI762" s="77">
        <f t="shared" si="954"/>
        <v>522615.33333333331</v>
      </c>
      <c r="AJ762" s="73">
        <v>287620</v>
      </c>
      <c r="AK762" s="79">
        <v>649064.49999999988</v>
      </c>
      <c r="AL762" s="79">
        <f>349900*1.4</f>
        <v>489859.99999999994</v>
      </c>
      <c r="AM762" s="127">
        <v>587832</v>
      </c>
      <c r="AN762" s="142">
        <v>589200</v>
      </c>
      <c r="AO762" s="142">
        <v>500000</v>
      </c>
      <c r="AP762" s="29">
        <f t="shared" si="955"/>
        <v>563191.30000000005</v>
      </c>
      <c r="AQ762" s="24">
        <f t="shared" si="956"/>
        <v>275571.30000000005</v>
      </c>
      <c r="AR762" s="25">
        <f t="shared" si="957"/>
        <v>0.95810896321535377</v>
      </c>
      <c r="AS762" s="146">
        <f t="shared" si="958"/>
        <v>563191.30000000005</v>
      </c>
      <c r="AT762" s="250"/>
      <c r="AU762" s="250"/>
      <c r="AV762" s="250"/>
      <c r="AW762" s="250"/>
      <c r="AX762" s="250"/>
      <c r="AY762" s="250"/>
      <c r="AZ762" s="250"/>
      <c r="BA762" s="250"/>
      <c r="BB762" s="250"/>
      <c r="BC762" s="251"/>
      <c r="BD762" s="150"/>
      <c r="BE762" s="150"/>
      <c r="BF762" s="150"/>
      <c r="BG762" s="150"/>
      <c r="BH762" s="150"/>
      <c r="BI762" s="150"/>
      <c r="BJ762" s="150"/>
      <c r="BK762" s="150"/>
      <c r="BL762" s="150"/>
      <c r="BM762" s="293"/>
      <c r="BN762" s="293"/>
      <c r="BO762" s="293"/>
      <c r="BP762" s="293"/>
      <c r="BQ762" s="293"/>
      <c r="BR762" s="293"/>
      <c r="BS762" s="293"/>
      <c r="BT762" s="293"/>
    </row>
    <row r="763" spans="1:72" ht="34.35" customHeight="1">
      <c r="A763" s="91" t="s">
        <v>32</v>
      </c>
      <c r="B763" s="358" t="s">
        <v>2955</v>
      </c>
      <c r="C763" s="50" t="s">
        <v>781</v>
      </c>
      <c r="D763" s="99" t="s">
        <v>707</v>
      </c>
      <c r="E763" s="48" t="s">
        <v>740</v>
      </c>
      <c r="F763" s="10">
        <v>1040076</v>
      </c>
      <c r="G763" s="31">
        <v>1352700</v>
      </c>
      <c r="H763" s="31">
        <v>1758510</v>
      </c>
      <c r="I763" s="36">
        <v>1182360</v>
      </c>
      <c r="J763" s="29">
        <f t="shared" si="941"/>
        <v>1431190</v>
      </c>
      <c r="K763" s="24">
        <f t="shared" si="942"/>
        <v>391114</v>
      </c>
      <c r="L763" s="25">
        <f t="shared" si="943"/>
        <v>0.37604367373153502</v>
      </c>
      <c r="M763" s="69" t="str">
        <f t="shared" si="944"/>
        <v>REVISAR PRECIO</v>
      </c>
      <c r="N763" s="77">
        <f t="shared" si="926"/>
        <v>1431190</v>
      </c>
      <c r="O763" s="73">
        <v>627904</v>
      </c>
      <c r="P763" s="74">
        <v>896850.5</v>
      </c>
      <c r="Q763" s="74">
        <v>1800000</v>
      </c>
      <c r="R763" s="75">
        <v>1033327.75</v>
      </c>
      <c r="S763" s="61">
        <v>896850.49999999988</v>
      </c>
      <c r="T763" s="60"/>
      <c r="U763" s="74">
        <v>1031378.0749999998</v>
      </c>
      <c r="V763" s="76">
        <f t="shared" si="945"/>
        <v>1131681.365</v>
      </c>
      <c r="W763" s="24">
        <f t="shared" si="946"/>
        <v>503777.36499999999</v>
      </c>
      <c r="X763" s="25">
        <f t="shared" si="947"/>
        <v>0.80231590338650494</v>
      </c>
      <c r="Y763" s="77" t="str">
        <f t="shared" si="948"/>
        <v>REVISAR PRECIO</v>
      </c>
      <c r="Z763" s="106">
        <f t="shared" si="949"/>
        <v>1131681.365</v>
      </c>
      <c r="AA763" s="73">
        <v>627904</v>
      </c>
      <c r="AB763" s="88">
        <v>820000</v>
      </c>
      <c r="AC763" s="116">
        <v>820000</v>
      </c>
      <c r="AD763" s="74">
        <v>857857</v>
      </c>
      <c r="AE763" s="76">
        <f t="shared" si="950"/>
        <v>832619</v>
      </c>
      <c r="AF763" s="24">
        <f t="shared" si="951"/>
        <v>204715</v>
      </c>
      <c r="AG763" s="25">
        <f t="shared" si="952"/>
        <v>0.3260291382122108</v>
      </c>
      <c r="AH763" s="77">
        <f t="shared" si="953"/>
        <v>832619</v>
      </c>
      <c r="AI763" s="77">
        <f t="shared" si="954"/>
        <v>832619</v>
      </c>
      <c r="AJ763" s="73">
        <v>627904</v>
      </c>
      <c r="AK763" s="79">
        <v>1033327.75</v>
      </c>
      <c r="AL763" s="79">
        <f>599900*1.3</f>
        <v>779870</v>
      </c>
      <c r="AM763" s="127">
        <v>857857</v>
      </c>
      <c r="AN763" s="142">
        <v>953700</v>
      </c>
      <c r="AO763" s="142">
        <v>810000</v>
      </c>
      <c r="AP763" s="143">
        <f t="shared" si="955"/>
        <v>886950.95</v>
      </c>
      <c r="AQ763" s="144">
        <f t="shared" si="956"/>
        <v>259046.94999999995</v>
      </c>
      <c r="AR763" s="145">
        <f t="shared" si="957"/>
        <v>0.41255820953521549</v>
      </c>
      <c r="AS763" s="146">
        <f t="shared" si="958"/>
        <v>886950.95</v>
      </c>
      <c r="AT763" s="250"/>
      <c r="AU763" s="250"/>
      <c r="AV763" s="250"/>
      <c r="AW763" s="250"/>
      <c r="AX763" s="250"/>
      <c r="AY763" s="250"/>
      <c r="AZ763" s="250"/>
      <c r="BA763" s="250"/>
      <c r="BB763" s="250"/>
      <c r="BC763" s="251"/>
      <c r="BD763" s="150"/>
      <c r="BE763" s="150"/>
      <c r="BF763" s="150"/>
      <c r="BG763" s="150"/>
      <c r="BH763" s="150"/>
      <c r="BI763" s="150"/>
      <c r="BJ763" s="150"/>
      <c r="BK763" s="150"/>
      <c r="BL763" s="150"/>
      <c r="BM763" s="293"/>
      <c r="BN763" s="293"/>
      <c r="BO763" s="293"/>
      <c r="BP763" s="293"/>
      <c r="BQ763" s="293"/>
      <c r="BR763" s="293"/>
      <c r="BS763" s="293"/>
      <c r="BT763" s="293"/>
    </row>
    <row r="764" spans="1:72" ht="25.35" customHeight="1">
      <c r="A764" s="91" t="s">
        <v>32</v>
      </c>
      <c r="B764" s="358" t="s">
        <v>2956</v>
      </c>
      <c r="C764" s="50" t="s">
        <v>782</v>
      </c>
      <c r="D764" s="99" t="s">
        <v>708</v>
      </c>
      <c r="E764" s="48" t="s">
        <v>740</v>
      </c>
      <c r="F764" s="10">
        <v>118332</v>
      </c>
      <c r="G764" s="33">
        <v>153900</v>
      </c>
      <c r="H764" s="31">
        <v>200070</v>
      </c>
      <c r="I764" s="36">
        <v>134520</v>
      </c>
      <c r="J764" s="29">
        <f t="shared" si="941"/>
        <v>162830</v>
      </c>
      <c r="K764" s="24">
        <f t="shared" si="942"/>
        <v>44498</v>
      </c>
      <c r="L764" s="25">
        <f t="shared" si="943"/>
        <v>0.37604367373153502</v>
      </c>
      <c r="M764" s="69" t="str">
        <f t="shared" si="944"/>
        <v>REVISAR PRECIO</v>
      </c>
      <c r="N764" s="77">
        <f t="shared" si="926"/>
        <v>162830</v>
      </c>
      <c r="O764" s="73"/>
      <c r="P764" s="74">
        <v>122199</v>
      </c>
      <c r="Q764" s="74">
        <v>350000</v>
      </c>
      <c r="R764" s="75">
        <v>140794.5</v>
      </c>
      <c r="S764" s="61">
        <v>122198.99999999999</v>
      </c>
      <c r="T764" s="60"/>
      <c r="U764" s="74">
        <v>140528.84999999998</v>
      </c>
      <c r="V764" s="76">
        <f t="shared" si="945"/>
        <v>175144.27</v>
      </c>
      <c r="W764" s="24">
        <f t="shared" si="946"/>
        <v>175144.27</v>
      </c>
      <c r="X764" s="25"/>
      <c r="Y764" s="77">
        <f t="shared" si="948"/>
        <v>175144.27</v>
      </c>
      <c r="Z764" s="106">
        <f t="shared" si="949"/>
        <v>175144.27</v>
      </c>
      <c r="AA764" s="73"/>
      <c r="AB764" s="88">
        <v>112000</v>
      </c>
      <c r="AC764" s="116">
        <v>112000</v>
      </c>
      <c r="AD764" s="74">
        <v>116886</v>
      </c>
      <c r="AE764" s="76">
        <f t="shared" si="950"/>
        <v>113628.66666666667</v>
      </c>
      <c r="AF764" s="24">
        <f t="shared" si="951"/>
        <v>113628.66666666667</v>
      </c>
      <c r="AG764" s="25"/>
      <c r="AH764" s="77"/>
      <c r="AI764" s="77">
        <f t="shared" si="954"/>
        <v>113628.66666666667</v>
      </c>
      <c r="AJ764" s="73"/>
      <c r="AK764" s="79">
        <v>140794.5</v>
      </c>
      <c r="AL764" s="79">
        <f>75900*1.4</f>
        <v>106260</v>
      </c>
      <c r="AM764" s="127">
        <v>127512</v>
      </c>
      <c r="AN764" s="142">
        <v>108000</v>
      </c>
      <c r="AO764" s="142">
        <v>110000</v>
      </c>
      <c r="AP764" s="29">
        <f t="shared" si="955"/>
        <v>118513.3</v>
      </c>
      <c r="AQ764" s="24">
        <f t="shared" si="956"/>
        <v>118513.3</v>
      </c>
      <c r="AR764" s="25"/>
      <c r="AS764" s="146">
        <f t="shared" si="958"/>
        <v>118513.3</v>
      </c>
      <c r="AT764" s="250"/>
      <c r="AU764" s="250"/>
      <c r="AV764" s="250"/>
      <c r="AW764" s="250"/>
      <c r="AX764" s="250"/>
      <c r="AY764" s="250"/>
      <c r="AZ764" s="250"/>
      <c r="BA764" s="250"/>
      <c r="BB764" s="250"/>
      <c r="BC764" s="251"/>
      <c r="BD764" s="150"/>
      <c r="BE764" s="150"/>
      <c r="BF764" s="150"/>
      <c r="BG764" s="150"/>
      <c r="BH764" s="150"/>
      <c r="BI764" s="150"/>
      <c r="BJ764" s="150"/>
      <c r="BK764" s="150"/>
      <c r="BL764" s="150"/>
      <c r="BM764" s="293"/>
      <c r="BN764" s="293"/>
      <c r="BO764" s="293"/>
      <c r="BP764" s="293"/>
      <c r="BQ764" s="293"/>
      <c r="BR764" s="293"/>
      <c r="BS764" s="293"/>
      <c r="BT764" s="293"/>
    </row>
    <row r="765" spans="1:72" ht="34.35" customHeight="1">
      <c r="A765" s="91" t="s">
        <v>32</v>
      </c>
      <c r="B765" s="358" t="s">
        <v>2957</v>
      </c>
      <c r="C765" s="50" t="s">
        <v>783</v>
      </c>
      <c r="D765" s="99" t="s">
        <v>709</v>
      </c>
      <c r="E765" s="48" t="s">
        <v>11</v>
      </c>
      <c r="F765" s="10">
        <v>120823</v>
      </c>
      <c r="G765" s="31">
        <v>157140</v>
      </c>
      <c r="H765" s="33">
        <v>204282</v>
      </c>
      <c r="I765" s="36">
        <v>137352</v>
      </c>
      <c r="J765" s="29">
        <f t="shared" si="941"/>
        <v>166258</v>
      </c>
      <c r="K765" s="24">
        <f t="shared" si="942"/>
        <v>45435</v>
      </c>
      <c r="L765" s="25">
        <f t="shared" si="943"/>
        <v>0.37604595151585379</v>
      </c>
      <c r="M765" s="69" t="str">
        <f t="shared" si="944"/>
        <v>REVISAR PRECIO</v>
      </c>
      <c r="N765" s="77">
        <f t="shared" si="926"/>
        <v>166258</v>
      </c>
      <c r="O765" s="73"/>
      <c r="P765" s="74">
        <v>143750</v>
      </c>
      <c r="Q765" s="74">
        <v>270000</v>
      </c>
      <c r="R765" s="75">
        <v>165625</v>
      </c>
      <c r="S765" s="61">
        <v>143750</v>
      </c>
      <c r="T765" s="60"/>
      <c r="U765" s="74">
        <v>165312.5</v>
      </c>
      <c r="V765" s="76">
        <f t="shared" si="945"/>
        <v>177687.5</v>
      </c>
      <c r="W765" s="24">
        <f t="shared" si="946"/>
        <v>177687.5</v>
      </c>
      <c r="X765" s="25"/>
      <c r="Y765" s="77">
        <f t="shared" si="948"/>
        <v>177687.5</v>
      </c>
      <c r="Z765" s="106">
        <f t="shared" si="949"/>
        <v>177687.5</v>
      </c>
      <c r="AA765" s="73"/>
      <c r="AB765" s="88">
        <v>130000</v>
      </c>
      <c r="AC765" s="116">
        <v>130000</v>
      </c>
      <c r="AD765" s="74">
        <v>137500</v>
      </c>
      <c r="AE765" s="76">
        <f t="shared" si="950"/>
        <v>132500</v>
      </c>
      <c r="AF765" s="24">
        <f t="shared" si="951"/>
        <v>132500</v>
      </c>
      <c r="AG765" s="25"/>
      <c r="AH765" s="77"/>
      <c r="AI765" s="77">
        <f t="shared" si="954"/>
        <v>132500</v>
      </c>
      <c r="AJ765" s="73"/>
      <c r="AK765" s="79">
        <v>165625</v>
      </c>
      <c r="AL765" s="79">
        <v>125000</v>
      </c>
      <c r="AM765" s="127">
        <v>150000</v>
      </c>
      <c r="AN765" s="142">
        <v>126400</v>
      </c>
      <c r="AO765" s="142">
        <v>130000</v>
      </c>
      <c r="AP765" s="29">
        <f t="shared" si="955"/>
        <v>139405</v>
      </c>
      <c r="AQ765" s="24">
        <f t="shared" si="956"/>
        <v>139405</v>
      </c>
      <c r="AR765" s="25"/>
      <c r="AS765" s="146">
        <f t="shared" si="958"/>
        <v>139405</v>
      </c>
      <c r="AT765" s="250"/>
      <c r="AU765" s="250"/>
      <c r="AV765" s="250"/>
      <c r="AW765" s="250"/>
      <c r="AX765" s="250"/>
      <c r="AY765" s="250"/>
      <c r="AZ765" s="250"/>
      <c r="BA765" s="250"/>
      <c r="BB765" s="250"/>
      <c r="BC765" s="251"/>
      <c r="BD765" s="150"/>
      <c r="BE765" s="150"/>
      <c r="BF765" s="150"/>
      <c r="BG765" s="150"/>
      <c r="BH765" s="150"/>
      <c r="BI765" s="150"/>
      <c r="BJ765" s="150"/>
      <c r="BK765" s="150"/>
      <c r="BL765" s="150"/>
      <c r="BM765" s="293"/>
      <c r="BN765" s="293"/>
      <c r="BO765" s="293"/>
      <c r="BP765" s="293"/>
      <c r="BQ765" s="293"/>
      <c r="BR765" s="293"/>
      <c r="BS765" s="293"/>
      <c r="BT765" s="293"/>
    </row>
    <row r="766" spans="1:72" ht="22.35" customHeight="1">
      <c r="A766" s="91" t="s">
        <v>32</v>
      </c>
      <c r="B766" s="358" t="s">
        <v>2958</v>
      </c>
      <c r="C766" s="50" t="s">
        <v>784</v>
      </c>
      <c r="D766" s="99" t="s">
        <v>710</v>
      </c>
      <c r="E766" s="48" t="s">
        <v>740</v>
      </c>
      <c r="F766" s="10">
        <v>149472</v>
      </c>
      <c r="G766" s="33">
        <v>194400</v>
      </c>
      <c r="H766" s="31">
        <v>252720</v>
      </c>
      <c r="I766" s="36">
        <v>169920</v>
      </c>
      <c r="J766" s="29">
        <f t="shared" si="941"/>
        <v>205680</v>
      </c>
      <c r="K766" s="24">
        <f t="shared" si="942"/>
        <v>56208</v>
      </c>
      <c r="L766" s="25">
        <f t="shared" si="943"/>
        <v>0.37604367373153502</v>
      </c>
      <c r="M766" s="69" t="str">
        <f t="shared" si="944"/>
        <v>REVISAR PRECIO</v>
      </c>
      <c r="N766" s="77">
        <f t="shared" si="926"/>
        <v>205680</v>
      </c>
      <c r="O766" s="73"/>
      <c r="P766" s="74">
        <v>17250</v>
      </c>
      <c r="Q766" s="74">
        <v>70000</v>
      </c>
      <c r="R766" s="75">
        <v>19875</v>
      </c>
      <c r="S766" s="61">
        <v>17250</v>
      </c>
      <c r="T766" s="60"/>
      <c r="U766" s="74">
        <v>19837.5</v>
      </c>
      <c r="V766" s="76">
        <f t="shared" si="945"/>
        <v>28842.5</v>
      </c>
      <c r="W766" s="24">
        <f t="shared" si="946"/>
        <v>28842.5</v>
      </c>
      <c r="X766" s="25"/>
      <c r="Y766" s="77">
        <f t="shared" si="948"/>
        <v>28842.5</v>
      </c>
      <c r="Z766" s="106">
        <f t="shared" si="949"/>
        <v>28842.5</v>
      </c>
      <c r="AA766" s="73"/>
      <c r="AB766" s="88">
        <v>18000</v>
      </c>
      <c r="AC766" s="116">
        <v>18000</v>
      </c>
      <c r="AD766" s="74">
        <v>16500</v>
      </c>
      <c r="AE766" s="76">
        <f t="shared" si="950"/>
        <v>17500</v>
      </c>
      <c r="AF766" s="24">
        <f t="shared" si="951"/>
        <v>17500</v>
      </c>
      <c r="AG766" s="25"/>
      <c r="AH766" s="77"/>
      <c r="AI766" s="77">
        <f t="shared" si="954"/>
        <v>17500</v>
      </c>
      <c r="AJ766" s="73"/>
      <c r="AK766" s="79">
        <v>19875</v>
      </c>
      <c r="AL766" s="79">
        <v>15000</v>
      </c>
      <c r="AM766" s="127">
        <v>18000</v>
      </c>
      <c r="AN766" s="142">
        <v>18100</v>
      </c>
      <c r="AO766" s="142">
        <v>15000</v>
      </c>
      <c r="AP766" s="29">
        <f t="shared" si="955"/>
        <v>17195</v>
      </c>
      <c r="AQ766" s="24">
        <f t="shared" si="956"/>
        <v>17195</v>
      </c>
      <c r="AR766" s="25"/>
      <c r="AS766" s="146">
        <f t="shared" si="958"/>
        <v>17195</v>
      </c>
      <c r="AT766" s="250"/>
      <c r="AU766" s="250"/>
      <c r="AV766" s="250"/>
      <c r="AW766" s="250"/>
      <c r="AX766" s="250"/>
      <c r="AY766" s="250"/>
      <c r="AZ766" s="250"/>
      <c r="BA766" s="250"/>
      <c r="BB766" s="250"/>
      <c r="BC766" s="251"/>
      <c r="BD766" s="150"/>
      <c r="BE766" s="150"/>
      <c r="BF766" s="150"/>
      <c r="BG766" s="150"/>
      <c r="BH766" s="150"/>
      <c r="BI766" s="150"/>
      <c r="BJ766" s="150"/>
      <c r="BK766" s="150"/>
      <c r="BL766" s="150"/>
      <c r="BM766" s="293"/>
      <c r="BN766" s="293"/>
      <c r="BO766" s="293"/>
      <c r="BP766" s="293"/>
      <c r="BQ766" s="293"/>
      <c r="BR766" s="293"/>
      <c r="BS766" s="293"/>
      <c r="BT766" s="293"/>
    </row>
    <row r="767" spans="1:72" ht="35.1" customHeight="1">
      <c r="A767" s="91" t="s">
        <v>32</v>
      </c>
      <c r="B767" s="358" t="s">
        <v>2959</v>
      </c>
      <c r="C767" s="50" t="s">
        <v>785</v>
      </c>
      <c r="D767" s="99" t="s">
        <v>711</v>
      </c>
      <c r="E767" s="48" t="s">
        <v>12</v>
      </c>
      <c r="F767" s="10">
        <v>93420</v>
      </c>
      <c r="G767" s="31">
        <v>121500</v>
      </c>
      <c r="H767" s="31">
        <v>157950</v>
      </c>
      <c r="I767" s="35">
        <v>106200</v>
      </c>
      <c r="J767" s="29">
        <f t="shared" si="941"/>
        <v>128550</v>
      </c>
      <c r="K767" s="24">
        <f t="shared" si="942"/>
        <v>35130</v>
      </c>
      <c r="L767" s="25">
        <f t="shared" si="943"/>
        <v>0.37604367373153502</v>
      </c>
      <c r="M767" s="69" t="str">
        <f t="shared" si="944"/>
        <v>REVISAR PRECIO</v>
      </c>
      <c r="N767" s="77">
        <f t="shared" si="926"/>
        <v>128550</v>
      </c>
      <c r="O767" s="73">
        <v>48050</v>
      </c>
      <c r="P767" s="74">
        <v>12880</v>
      </c>
      <c r="Q767" s="74">
        <v>25000</v>
      </c>
      <c r="R767" s="75">
        <v>14840</v>
      </c>
      <c r="S767" s="61">
        <v>51749.999999999993</v>
      </c>
      <c r="T767" s="60"/>
      <c r="U767" s="74">
        <v>59512.499999999985</v>
      </c>
      <c r="V767" s="76">
        <f t="shared" si="945"/>
        <v>32796.5</v>
      </c>
      <c r="W767" s="24">
        <f t="shared" si="946"/>
        <v>-15253.5</v>
      </c>
      <c r="X767" s="25">
        <f t="shared" si="947"/>
        <v>-0.3174505723204995</v>
      </c>
      <c r="Y767" s="77">
        <f t="shared" si="948"/>
        <v>32796.5</v>
      </c>
      <c r="Z767" s="106">
        <f t="shared" si="949"/>
        <v>32796.5</v>
      </c>
      <c r="AA767" s="73">
        <v>48050</v>
      </c>
      <c r="AB767" s="88">
        <v>13000</v>
      </c>
      <c r="AC767" s="116">
        <v>13000</v>
      </c>
      <c r="AD767" s="74">
        <v>12320</v>
      </c>
      <c r="AE767" s="76">
        <f t="shared" si="950"/>
        <v>12773.333333333334</v>
      </c>
      <c r="AF767" s="24">
        <f t="shared" si="951"/>
        <v>-35276.666666666664</v>
      </c>
      <c r="AG767" s="25">
        <f t="shared" si="952"/>
        <v>-0.73416579951439465</v>
      </c>
      <c r="AH767" s="77">
        <f t="shared" si="953"/>
        <v>12773.333333333334</v>
      </c>
      <c r="AI767" s="77">
        <f t="shared" si="954"/>
        <v>12773.333333333334</v>
      </c>
      <c r="AJ767" s="73">
        <v>48050</v>
      </c>
      <c r="AK767" s="79">
        <v>14840</v>
      </c>
      <c r="AL767" s="79">
        <f>8000*1.4</f>
        <v>11200</v>
      </c>
      <c r="AM767" s="127">
        <v>13440</v>
      </c>
      <c r="AN767" s="142">
        <v>11300</v>
      </c>
      <c r="AO767" s="142">
        <v>12000</v>
      </c>
      <c r="AP767" s="138">
        <f t="shared" si="955"/>
        <v>12556</v>
      </c>
      <c r="AQ767" s="139">
        <f t="shared" si="956"/>
        <v>-35494</v>
      </c>
      <c r="AR767" s="140">
        <f t="shared" si="957"/>
        <v>-0.73868886576482828</v>
      </c>
      <c r="AS767" s="146">
        <f t="shared" si="958"/>
        <v>12556</v>
      </c>
      <c r="AT767" s="250"/>
      <c r="AU767" s="250"/>
      <c r="AV767" s="250"/>
      <c r="AW767" s="250"/>
      <c r="AX767" s="250"/>
      <c r="AY767" s="250"/>
      <c r="AZ767" s="250"/>
      <c r="BA767" s="250"/>
      <c r="BB767" s="250"/>
      <c r="BC767" s="251"/>
      <c r="BD767" s="150"/>
      <c r="BE767" s="150"/>
      <c r="BF767" s="150"/>
      <c r="BG767" s="150"/>
      <c r="BH767" s="150"/>
      <c r="BI767" s="150"/>
      <c r="BJ767" s="150"/>
      <c r="BK767" s="150"/>
      <c r="BL767" s="150"/>
      <c r="BM767" s="293"/>
      <c r="BN767" s="293"/>
      <c r="BO767" s="293"/>
      <c r="BP767" s="293"/>
      <c r="BQ767" s="293"/>
      <c r="BR767" s="293"/>
      <c r="BS767" s="293"/>
      <c r="BT767" s="293"/>
    </row>
    <row r="768" spans="1:72" s="68" customFormat="1" ht="35.1" customHeight="1">
      <c r="A768" s="231" t="s">
        <v>32</v>
      </c>
      <c r="B768" s="358" t="s">
        <v>2960</v>
      </c>
      <c r="C768" s="50" t="s">
        <v>786</v>
      </c>
      <c r="D768" s="101" t="s">
        <v>712</v>
      </c>
      <c r="E768" s="65" t="s">
        <v>740</v>
      </c>
      <c r="F768" s="60">
        <v>161928</v>
      </c>
      <c r="G768" s="93">
        <v>210600</v>
      </c>
      <c r="H768" s="92">
        <v>273780</v>
      </c>
      <c r="I768" s="94">
        <v>184080</v>
      </c>
      <c r="J768" s="63">
        <f t="shared" si="941"/>
        <v>222820</v>
      </c>
      <c r="K768" s="67">
        <f t="shared" si="942"/>
        <v>60892</v>
      </c>
      <c r="L768" s="64">
        <f t="shared" si="943"/>
        <v>0.37604367373153502</v>
      </c>
      <c r="M768" s="78" t="str">
        <f t="shared" si="944"/>
        <v>REVISAR PRECIO</v>
      </c>
      <c r="N768" s="81">
        <f t="shared" si="926"/>
        <v>222820</v>
      </c>
      <c r="O768" s="82"/>
      <c r="P768" s="83"/>
      <c r="Q768" s="83"/>
      <c r="R768" s="84"/>
      <c r="S768" s="85"/>
      <c r="T768" s="60"/>
      <c r="U768" s="83"/>
      <c r="V768" s="86"/>
      <c r="W768" s="67"/>
      <c r="X768" s="64"/>
      <c r="Y768" s="81"/>
      <c r="Z768" s="108"/>
      <c r="AA768" s="117"/>
      <c r="AB768" s="117"/>
      <c r="AC768" s="117"/>
      <c r="AD768" s="117"/>
      <c r="AE768" s="117"/>
      <c r="AF768" s="117"/>
      <c r="AG768" s="117"/>
      <c r="AH768" s="117"/>
      <c r="AI768" s="117"/>
      <c r="AJ768" s="250"/>
      <c r="AK768" s="250"/>
      <c r="AL768" s="250"/>
      <c r="AM768" s="250"/>
      <c r="AN768" s="250"/>
      <c r="AO768" s="250"/>
      <c r="AP768" s="250"/>
      <c r="AQ768" s="250"/>
      <c r="AR768" s="250"/>
      <c r="AS768" s="250"/>
      <c r="AT768" s="250"/>
      <c r="AU768" s="250"/>
      <c r="AV768" s="250"/>
      <c r="AW768" s="250"/>
      <c r="AX768" s="250"/>
      <c r="AY768" s="250"/>
      <c r="AZ768" s="250"/>
      <c r="BA768" s="250"/>
      <c r="BB768" s="250"/>
      <c r="BC768" s="251"/>
      <c r="BD768" s="150"/>
      <c r="BE768" s="150"/>
      <c r="BF768" s="150"/>
      <c r="BG768" s="150"/>
      <c r="BH768" s="150"/>
      <c r="BI768" s="150"/>
      <c r="BJ768" s="150"/>
      <c r="BK768" s="150"/>
      <c r="BL768" s="150"/>
      <c r="BM768" s="293"/>
      <c r="BN768" s="293"/>
      <c r="BO768" s="293"/>
      <c r="BP768" s="293"/>
      <c r="BQ768" s="293"/>
      <c r="BR768" s="293"/>
      <c r="BS768" s="293"/>
      <c r="BT768" s="293"/>
    </row>
    <row r="769" spans="1:72" ht="35.1" customHeight="1">
      <c r="A769" s="91" t="s">
        <v>32</v>
      </c>
      <c r="B769" s="358" t="s">
        <v>2961</v>
      </c>
      <c r="C769" s="50" t="s">
        <v>787</v>
      </c>
      <c r="D769" s="99" t="s">
        <v>713</v>
      </c>
      <c r="E769" s="48" t="s">
        <v>740</v>
      </c>
      <c r="F769" s="10">
        <v>743685</v>
      </c>
      <c r="G769" s="44">
        <v>967221</v>
      </c>
      <c r="H769" s="31">
        <v>1257387</v>
      </c>
      <c r="I769" s="35">
        <v>845422.8</v>
      </c>
      <c r="J769" s="29">
        <f t="shared" si="941"/>
        <v>1023343.6</v>
      </c>
      <c r="K769" s="24">
        <f t="shared" si="942"/>
        <v>279658.59999999998</v>
      </c>
      <c r="L769" s="25">
        <f t="shared" si="943"/>
        <v>0.37604442741214356</v>
      </c>
      <c r="M769" s="69" t="str">
        <f t="shared" si="944"/>
        <v>REVISAR PRECIO</v>
      </c>
      <c r="N769" s="77">
        <f t="shared" si="926"/>
        <v>1023343.6</v>
      </c>
      <c r="O769" s="73">
        <v>342676</v>
      </c>
      <c r="P769" s="74">
        <v>644000</v>
      </c>
      <c r="Q769" s="74">
        <v>750000</v>
      </c>
      <c r="R769" s="75">
        <v>742000</v>
      </c>
      <c r="S769" s="61">
        <v>644000</v>
      </c>
      <c r="T769" s="60"/>
      <c r="U769" s="74">
        <v>740600</v>
      </c>
      <c r="V769" s="76">
        <f t="shared" ref="V769" si="959">AVERAGE(P769,Q769,R769,S769,T769,U769)</f>
        <v>704120</v>
      </c>
      <c r="W769" s="24">
        <f t="shared" ref="W769" si="960">V769-O769</f>
        <v>361444</v>
      </c>
      <c r="X769" s="25">
        <f t="shared" ref="X769" si="961">+W769/O769</f>
        <v>1.0547689362546546</v>
      </c>
      <c r="Y769" s="77" t="str">
        <f t="shared" ref="Y769" si="962">+IF(X769&lt;35%,V769,"REVISAR PRECIO")</f>
        <v>REVISAR PRECIO</v>
      </c>
      <c r="Z769" s="106">
        <f t="shared" ref="Z769" si="963">V769</f>
        <v>704120</v>
      </c>
      <c r="AA769" s="73">
        <v>342676</v>
      </c>
      <c r="AB769" s="88">
        <v>600000</v>
      </c>
      <c r="AC769" s="116">
        <v>600000</v>
      </c>
      <c r="AD769" s="74">
        <v>616000</v>
      </c>
      <c r="AE769" s="76">
        <f t="shared" ref="AE769" si="964">AVERAGE(AB769,AC769,AD769)</f>
        <v>605333.33333333337</v>
      </c>
      <c r="AF769" s="24">
        <f t="shared" ref="AF769" si="965">AE769-AA769</f>
        <v>262657.33333333337</v>
      </c>
      <c r="AG769" s="25">
        <f t="shared" ref="AG769" si="966">+AF769/AA769</f>
        <v>0.76648885049823556</v>
      </c>
      <c r="AH769" s="77" t="str">
        <f t="shared" ref="AH769" si="967">+IF(AG769&lt;35%,AE769,"REVISAR PRECIO")</f>
        <v>REVISAR PRECIO</v>
      </c>
      <c r="AI769" s="77">
        <f t="shared" ref="AI769" si="968">AE769</f>
        <v>605333.33333333337</v>
      </c>
      <c r="AJ769" s="73">
        <v>342676</v>
      </c>
      <c r="AK769" s="79">
        <v>742000</v>
      </c>
      <c r="AL769" s="79">
        <v>560000</v>
      </c>
      <c r="AM769" s="127">
        <v>672000</v>
      </c>
      <c r="AN769" s="142">
        <v>690000</v>
      </c>
      <c r="AO769" s="142">
        <v>600000</v>
      </c>
      <c r="AP769" s="29">
        <f t="shared" ref="AP769" si="969">AVERAGE(AK769,AL769,AM769,AN769,AO769)</f>
        <v>652800</v>
      </c>
      <c r="AQ769" s="24">
        <f t="shared" ref="AQ769" si="970">AP769-AJ769</f>
        <v>310124</v>
      </c>
      <c r="AR769" s="25">
        <f t="shared" ref="AR769" si="971">+AQ769/AJ769</f>
        <v>0.90500647842276671</v>
      </c>
      <c r="AS769" s="146">
        <f>AP769</f>
        <v>652800</v>
      </c>
      <c r="AT769" s="250"/>
      <c r="AU769" s="250"/>
      <c r="AV769" s="250"/>
      <c r="AW769" s="250"/>
      <c r="AX769" s="250"/>
      <c r="AY769" s="250"/>
      <c r="AZ769" s="250"/>
      <c r="BA769" s="250"/>
      <c r="BB769" s="250"/>
      <c r="BC769" s="251"/>
      <c r="BD769" s="150"/>
      <c r="BE769" s="150"/>
      <c r="BF769" s="150"/>
      <c r="BG769" s="150"/>
      <c r="BH769" s="150"/>
      <c r="BI769" s="150"/>
      <c r="BJ769" s="150"/>
      <c r="BK769" s="150"/>
      <c r="BL769" s="150"/>
      <c r="BM769" s="293"/>
      <c r="BN769" s="293"/>
      <c r="BO769" s="293"/>
      <c r="BP769" s="293"/>
      <c r="BQ769" s="293"/>
      <c r="BR769" s="293"/>
      <c r="BS769" s="293"/>
      <c r="BT769" s="293"/>
    </row>
    <row r="770" spans="1:72" s="1" customFormat="1" ht="35.1" customHeight="1">
      <c r="A770" s="91"/>
      <c r="B770" s="358" t="s">
        <v>2962</v>
      </c>
      <c r="C770" s="50" t="s">
        <v>1182</v>
      </c>
      <c r="D770" s="177" t="s">
        <v>1169</v>
      </c>
      <c r="E770" s="48" t="s">
        <v>740</v>
      </c>
      <c r="F770" s="10">
        <v>741339</v>
      </c>
      <c r="G770" s="44"/>
      <c r="H770" s="31"/>
      <c r="I770" s="183"/>
      <c r="J770" s="29"/>
      <c r="K770" s="24"/>
      <c r="L770" s="25"/>
      <c r="M770" s="69"/>
      <c r="N770" s="77"/>
      <c r="O770" s="73"/>
      <c r="P770" s="74"/>
      <c r="Q770" s="74"/>
      <c r="R770" s="75"/>
      <c r="S770" s="61"/>
      <c r="T770" s="60"/>
      <c r="U770" s="74"/>
      <c r="V770" s="76"/>
      <c r="W770" s="24"/>
      <c r="X770" s="25"/>
      <c r="Y770" s="77"/>
      <c r="Z770" s="106"/>
      <c r="AA770" s="73"/>
      <c r="AB770" s="88"/>
      <c r="AC770" s="116"/>
      <c r="AD770" s="74"/>
      <c r="AE770" s="76"/>
      <c r="AF770" s="24"/>
      <c r="AG770" s="25"/>
      <c r="AH770" s="77"/>
      <c r="AI770" s="77"/>
      <c r="AJ770" s="73"/>
      <c r="AK770" s="79"/>
      <c r="AL770" s="79"/>
      <c r="AM770" s="127"/>
      <c r="AN770" s="142"/>
      <c r="AO770" s="142"/>
      <c r="AP770" s="29"/>
      <c r="AQ770" s="24"/>
      <c r="AR770" s="25"/>
      <c r="AS770" s="146"/>
      <c r="AT770" s="10">
        <v>741339</v>
      </c>
      <c r="AU770" s="10">
        <v>347432</v>
      </c>
      <c r="AV770" s="167">
        <v>694864</v>
      </c>
      <c r="AW770" s="168">
        <v>478900</v>
      </c>
      <c r="AX770" s="29">
        <f t="shared" ref="AX770:AX774" si="972">AVERAGE(AU770,AW770)</f>
        <v>413166</v>
      </c>
      <c r="AY770" s="24">
        <f t="shared" ref="AY770:AY774" si="973">AX770-AT770</f>
        <v>-328173</v>
      </c>
      <c r="AZ770" s="25">
        <f t="shared" ref="AZ770:AZ774" si="974">+AY770/AT770</f>
        <v>-0.44267602271025808</v>
      </c>
      <c r="BA770" s="24">
        <f t="shared" ref="BA770:BA782" si="975">AV770-AT770</f>
        <v>-46475</v>
      </c>
      <c r="BB770" s="169">
        <f t="shared" ref="BB770:BB782" si="976">+BA770/AT770</f>
        <v>-6.2690617922434952E-2</v>
      </c>
      <c r="BC770" s="170">
        <f t="shared" ref="BC770:BC774" si="977">AX770</f>
        <v>413166</v>
      </c>
      <c r="BD770" s="150"/>
      <c r="BE770" s="150"/>
      <c r="BF770" s="150"/>
      <c r="BG770" s="150"/>
      <c r="BH770" s="150"/>
      <c r="BI770" s="150"/>
      <c r="BJ770" s="150"/>
      <c r="BK770" s="150"/>
      <c r="BL770" s="150"/>
      <c r="BM770" s="10">
        <v>752406</v>
      </c>
      <c r="BN770" s="45">
        <v>780000</v>
      </c>
      <c r="BO770" s="45">
        <v>874699</v>
      </c>
      <c r="BP770" s="45">
        <v>236000</v>
      </c>
      <c r="BQ770" s="29">
        <f t="shared" ref="BQ770:BQ780" si="978">AVERAGE(BN770,BO770,BP770)</f>
        <v>630233</v>
      </c>
      <c r="BR770" s="24">
        <f t="shared" ref="BR770:BR780" si="979">BQ770-BM770</f>
        <v>-122173</v>
      </c>
      <c r="BS770" s="25">
        <f t="shared" ref="BS770:BS780" si="980">+BR770/BM770</f>
        <v>-0.16237642974670591</v>
      </c>
      <c r="BT770" s="308">
        <f t="shared" ref="BT770:BT774" si="981">BQ770</f>
        <v>630233</v>
      </c>
    </row>
    <row r="771" spans="1:72" s="1" customFormat="1" ht="35.1" customHeight="1">
      <c r="A771" s="91"/>
      <c r="B771" s="358" t="s">
        <v>2963</v>
      </c>
      <c r="C771" s="50" t="s">
        <v>1183</v>
      </c>
      <c r="D771" s="177" t="s">
        <v>1170</v>
      </c>
      <c r="E771" s="141" t="s">
        <v>14</v>
      </c>
      <c r="F771" s="10"/>
      <c r="G771" s="44"/>
      <c r="H771" s="31"/>
      <c r="I771" s="183"/>
      <c r="J771" s="29"/>
      <c r="K771" s="24"/>
      <c r="L771" s="25"/>
      <c r="M771" s="69"/>
      <c r="N771" s="77"/>
      <c r="O771" s="73"/>
      <c r="P771" s="74"/>
      <c r="Q771" s="74"/>
      <c r="R771" s="75"/>
      <c r="S771" s="61"/>
      <c r="T771" s="60"/>
      <c r="U771" s="74"/>
      <c r="V771" s="76"/>
      <c r="W771" s="24"/>
      <c r="X771" s="25"/>
      <c r="Y771" s="77"/>
      <c r="Z771" s="106"/>
      <c r="AA771" s="73"/>
      <c r="AB771" s="88"/>
      <c r="AC771" s="116"/>
      <c r="AD771" s="74"/>
      <c r="AE771" s="76"/>
      <c r="AF771" s="24"/>
      <c r="AG771" s="25"/>
      <c r="AH771" s="77"/>
      <c r="AI771" s="77"/>
      <c r="AJ771" s="73"/>
      <c r="AK771" s="79"/>
      <c r="AL771" s="79"/>
      <c r="AM771" s="127"/>
      <c r="AN771" s="142"/>
      <c r="AO771" s="142"/>
      <c r="AP771" s="29"/>
      <c r="AQ771" s="24"/>
      <c r="AR771" s="25"/>
      <c r="AS771" s="146"/>
      <c r="AT771" s="10">
        <v>85860</v>
      </c>
      <c r="AU771" s="10">
        <v>22885</v>
      </c>
      <c r="AV771" s="167">
        <v>68655</v>
      </c>
      <c r="AW771" s="168">
        <v>28000</v>
      </c>
      <c r="AX771" s="29">
        <f t="shared" si="972"/>
        <v>25442.5</v>
      </c>
      <c r="AY771" s="24">
        <f t="shared" si="973"/>
        <v>-60417.5</v>
      </c>
      <c r="AZ771" s="25">
        <f t="shared" si="974"/>
        <v>-0.70367458653622172</v>
      </c>
      <c r="BA771" s="24">
        <f t="shared" si="975"/>
        <v>-17205</v>
      </c>
      <c r="BB771" s="169">
        <f t="shared" si="976"/>
        <v>-0.20038434661076171</v>
      </c>
      <c r="BC771" s="170">
        <f t="shared" si="977"/>
        <v>25442.5</v>
      </c>
      <c r="BD771" s="150"/>
      <c r="BE771" s="150"/>
      <c r="BF771" s="150"/>
      <c r="BG771" s="150"/>
      <c r="BH771" s="150"/>
      <c r="BI771" s="150"/>
      <c r="BJ771" s="150"/>
      <c r="BK771" s="150"/>
      <c r="BL771" s="150"/>
      <c r="BM771" s="10">
        <v>85858</v>
      </c>
      <c r="BN771" s="45">
        <v>80000</v>
      </c>
      <c r="BO771" s="45">
        <v>101304</v>
      </c>
      <c r="BP771" s="45">
        <v>38000</v>
      </c>
      <c r="BQ771" s="29">
        <f t="shared" si="978"/>
        <v>73101.333333333328</v>
      </c>
      <c r="BR771" s="24">
        <f t="shared" si="979"/>
        <v>-12756.666666666672</v>
      </c>
      <c r="BS771" s="25">
        <f t="shared" si="980"/>
        <v>-0.14857866088968613</v>
      </c>
      <c r="BT771" s="308">
        <f t="shared" si="981"/>
        <v>73101.333333333328</v>
      </c>
    </row>
    <row r="772" spans="1:72" s="1" customFormat="1" ht="35.1" customHeight="1">
      <c r="A772" s="91"/>
      <c r="B772" s="358" t="s">
        <v>2964</v>
      </c>
      <c r="C772" s="50" t="s">
        <v>1184</v>
      </c>
      <c r="D772" s="177" t="s">
        <v>1171</v>
      </c>
      <c r="E772" s="141" t="s">
        <v>14</v>
      </c>
      <c r="F772" s="10"/>
      <c r="G772" s="44"/>
      <c r="H772" s="31"/>
      <c r="I772" s="183"/>
      <c r="J772" s="29"/>
      <c r="K772" s="24"/>
      <c r="L772" s="25"/>
      <c r="M772" s="69"/>
      <c r="N772" s="77"/>
      <c r="O772" s="73"/>
      <c r="P772" s="74"/>
      <c r="Q772" s="74"/>
      <c r="R772" s="75"/>
      <c r="S772" s="61"/>
      <c r="T772" s="60"/>
      <c r="U772" s="74"/>
      <c r="V772" s="76"/>
      <c r="W772" s="24"/>
      <c r="X772" s="25"/>
      <c r="Y772" s="77"/>
      <c r="Z772" s="106"/>
      <c r="AA772" s="73"/>
      <c r="AB772" s="88"/>
      <c r="AC772" s="116"/>
      <c r="AD772" s="74"/>
      <c r="AE772" s="76"/>
      <c r="AF772" s="24"/>
      <c r="AG772" s="25"/>
      <c r="AH772" s="77"/>
      <c r="AI772" s="77"/>
      <c r="AJ772" s="73"/>
      <c r="AK772" s="79"/>
      <c r="AL772" s="79"/>
      <c r="AM772" s="127"/>
      <c r="AN772" s="142"/>
      <c r="AO772" s="142"/>
      <c r="AP772" s="29"/>
      <c r="AQ772" s="24"/>
      <c r="AR772" s="25"/>
      <c r="AS772" s="146"/>
      <c r="AT772" s="10">
        <v>661584</v>
      </c>
      <c r="AU772" s="10">
        <v>334460</v>
      </c>
      <c r="AV772" s="167">
        <v>668920</v>
      </c>
      <c r="AW772" s="168">
        <v>405000</v>
      </c>
      <c r="AX772" s="29">
        <f t="shared" si="972"/>
        <v>369730</v>
      </c>
      <c r="AY772" s="24">
        <f t="shared" si="973"/>
        <v>-291854</v>
      </c>
      <c r="AZ772" s="25">
        <f t="shared" si="974"/>
        <v>-0.44114428402137901</v>
      </c>
      <c r="BA772" s="24">
        <f t="shared" si="975"/>
        <v>7336</v>
      </c>
      <c r="BB772" s="169">
        <f t="shared" si="976"/>
        <v>1.1088539021499916E-2</v>
      </c>
      <c r="BC772" s="170">
        <f t="shared" si="977"/>
        <v>369730</v>
      </c>
      <c r="BD772" s="10">
        <v>595431</v>
      </c>
      <c r="BE772" s="10">
        <v>90000</v>
      </c>
      <c r="BF772" s="10">
        <v>105000</v>
      </c>
      <c r="BG772" s="268">
        <v>98000</v>
      </c>
      <c r="BH772" s="10">
        <v>220000</v>
      </c>
      <c r="BI772" s="76">
        <f t="shared" ref="BI772:BI774" si="982">AVERAGE(BE772,BF772,BG772,BH772)</f>
        <v>128250</v>
      </c>
      <c r="BJ772" s="24">
        <f t="shared" ref="BJ772:BJ774" si="983">BI772-BD772</f>
        <v>-467181</v>
      </c>
      <c r="BK772" s="25">
        <f t="shared" ref="BK772:BK774" si="984">+BJ772/BD772</f>
        <v>-0.78460980365483157</v>
      </c>
      <c r="BL772" s="259">
        <f t="shared" ref="BL772:BL774" si="985">BI772</f>
        <v>128250</v>
      </c>
      <c r="BM772" s="10">
        <v>661583</v>
      </c>
      <c r="BN772" s="45">
        <v>650000</v>
      </c>
      <c r="BO772" s="45">
        <v>780600</v>
      </c>
      <c r="BP772" s="45">
        <v>345000</v>
      </c>
      <c r="BQ772" s="29">
        <f t="shared" si="978"/>
        <v>591866.66666666663</v>
      </c>
      <c r="BR772" s="24">
        <f t="shared" si="979"/>
        <v>-69716.333333333372</v>
      </c>
      <c r="BS772" s="25">
        <f t="shared" si="980"/>
        <v>-0.10537806039957703</v>
      </c>
      <c r="BT772" s="308">
        <f t="shared" si="981"/>
        <v>591866.66666666663</v>
      </c>
    </row>
    <row r="773" spans="1:72" s="1" customFormat="1" ht="35.1" customHeight="1">
      <c r="A773" s="91"/>
      <c r="B773" s="358" t="s">
        <v>2965</v>
      </c>
      <c r="C773" s="50" t="s">
        <v>1185</v>
      </c>
      <c r="D773" s="177" t="s">
        <v>1172</v>
      </c>
      <c r="E773" s="141" t="s">
        <v>14</v>
      </c>
      <c r="F773" s="10"/>
      <c r="G773" s="44"/>
      <c r="H773" s="31"/>
      <c r="I773" s="183"/>
      <c r="J773" s="29"/>
      <c r="K773" s="24"/>
      <c r="L773" s="25"/>
      <c r="M773" s="69"/>
      <c r="N773" s="77"/>
      <c r="O773" s="73"/>
      <c r="P773" s="74"/>
      <c r="Q773" s="74"/>
      <c r="R773" s="75"/>
      <c r="S773" s="61"/>
      <c r="T773" s="60"/>
      <c r="U773" s="74"/>
      <c r="V773" s="76"/>
      <c r="W773" s="24"/>
      <c r="X773" s="25"/>
      <c r="Y773" s="77"/>
      <c r="Z773" s="106"/>
      <c r="AA773" s="73"/>
      <c r="AB773" s="88"/>
      <c r="AC773" s="116"/>
      <c r="AD773" s="74"/>
      <c r="AE773" s="76"/>
      <c r="AF773" s="24"/>
      <c r="AG773" s="25"/>
      <c r="AH773" s="77"/>
      <c r="AI773" s="77"/>
      <c r="AJ773" s="73"/>
      <c r="AK773" s="79"/>
      <c r="AL773" s="79"/>
      <c r="AM773" s="127"/>
      <c r="AN773" s="142"/>
      <c r="AO773" s="142"/>
      <c r="AP773" s="29"/>
      <c r="AQ773" s="24"/>
      <c r="AR773" s="25"/>
      <c r="AS773" s="146"/>
      <c r="AT773" s="10">
        <v>92334</v>
      </c>
      <c r="AU773" s="10">
        <v>107698</v>
      </c>
      <c r="AV773" s="167">
        <v>215396</v>
      </c>
      <c r="AW773" s="168">
        <v>106000</v>
      </c>
      <c r="AX773" s="29">
        <f t="shared" si="972"/>
        <v>106849</v>
      </c>
      <c r="AY773" s="24">
        <f t="shared" si="973"/>
        <v>14515</v>
      </c>
      <c r="AZ773" s="25">
        <f t="shared" si="974"/>
        <v>0.15720103103948707</v>
      </c>
      <c r="BA773" s="24">
        <f t="shared" si="975"/>
        <v>123062</v>
      </c>
      <c r="BB773" s="169">
        <f t="shared" si="976"/>
        <v>1.3327918209976823</v>
      </c>
      <c r="BC773" s="170">
        <f t="shared" si="977"/>
        <v>106849</v>
      </c>
      <c r="BD773" s="10">
        <v>83106</v>
      </c>
      <c r="BE773" s="10">
        <v>240000</v>
      </c>
      <c r="BF773" s="10">
        <v>250000</v>
      </c>
      <c r="BG773" s="268">
        <v>255000</v>
      </c>
      <c r="BH773" s="10">
        <v>240000</v>
      </c>
      <c r="BI773" s="76">
        <f t="shared" si="982"/>
        <v>246250</v>
      </c>
      <c r="BJ773" s="24">
        <f t="shared" si="983"/>
        <v>163144</v>
      </c>
      <c r="BK773" s="25">
        <f t="shared" si="984"/>
        <v>1.9630832912184439</v>
      </c>
      <c r="BL773" s="259">
        <f t="shared" si="985"/>
        <v>246250</v>
      </c>
      <c r="BM773" s="10">
        <v>92333</v>
      </c>
      <c r="BN773" s="45">
        <v>120000</v>
      </c>
      <c r="BO773" s="45">
        <v>108945</v>
      </c>
      <c r="BP773" s="45">
        <v>110000</v>
      </c>
      <c r="BQ773" s="29">
        <f t="shared" si="978"/>
        <v>112981.66666666667</v>
      </c>
      <c r="BR773" s="24">
        <f t="shared" si="979"/>
        <v>20648.666666666672</v>
      </c>
      <c r="BS773" s="25">
        <f t="shared" si="980"/>
        <v>0.2236325762908892</v>
      </c>
      <c r="BT773" s="308">
        <f t="shared" si="981"/>
        <v>112981.66666666667</v>
      </c>
    </row>
    <row r="774" spans="1:72" s="1" customFormat="1" ht="35.1" customHeight="1">
      <c r="A774" s="91"/>
      <c r="B774" s="358" t="s">
        <v>2966</v>
      </c>
      <c r="C774" s="50" t="s">
        <v>1186</v>
      </c>
      <c r="D774" s="177" t="s">
        <v>1173</v>
      </c>
      <c r="E774" s="141" t="s">
        <v>14</v>
      </c>
      <c r="F774" s="10"/>
      <c r="G774" s="44"/>
      <c r="H774" s="31"/>
      <c r="I774" s="183"/>
      <c r="J774" s="29"/>
      <c r="K774" s="24"/>
      <c r="L774" s="25"/>
      <c r="M774" s="69"/>
      <c r="N774" s="77"/>
      <c r="O774" s="73"/>
      <c r="P774" s="74"/>
      <c r="Q774" s="74"/>
      <c r="R774" s="75"/>
      <c r="S774" s="61"/>
      <c r="T774" s="60"/>
      <c r="U774" s="74"/>
      <c r="V774" s="76"/>
      <c r="W774" s="24"/>
      <c r="X774" s="25"/>
      <c r="Y774" s="77"/>
      <c r="Z774" s="106"/>
      <c r="AA774" s="73"/>
      <c r="AB774" s="88"/>
      <c r="AC774" s="116"/>
      <c r="AD774" s="74"/>
      <c r="AE774" s="76"/>
      <c r="AF774" s="24"/>
      <c r="AG774" s="25"/>
      <c r="AH774" s="77"/>
      <c r="AI774" s="77"/>
      <c r="AJ774" s="73"/>
      <c r="AK774" s="79"/>
      <c r="AL774" s="79"/>
      <c r="AM774" s="127"/>
      <c r="AN774" s="142"/>
      <c r="AO774" s="142"/>
      <c r="AP774" s="29"/>
      <c r="AQ774" s="24"/>
      <c r="AR774" s="25"/>
      <c r="AS774" s="146"/>
      <c r="AT774" s="10">
        <v>388155</v>
      </c>
      <c r="AU774" s="10">
        <v>450538</v>
      </c>
      <c r="AV774" s="167">
        <v>901076</v>
      </c>
      <c r="AW774" s="168">
        <v>400000</v>
      </c>
      <c r="AX774" s="29">
        <f t="shared" si="972"/>
        <v>425269</v>
      </c>
      <c r="AY774" s="24">
        <f t="shared" si="973"/>
        <v>37114</v>
      </c>
      <c r="AZ774" s="25">
        <f t="shared" si="974"/>
        <v>9.561644188532932E-2</v>
      </c>
      <c r="BA774" s="24">
        <f t="shared" si="975"/>
        <v>512921</v>
      </c>
      <c r="BB774" s="169">
        <f t="shared" si="976"/>
        <v>1.3214334479782561</v>
      </c>
      <c r="BC774" s="170">
        <f t="shared" si="977"/>
        <v>425269</v>
      </c>
      <c r="BD774" s="10">
        <v>349339</v>
      </c>
      <c r="BE774" s="10">
        <v>240000</v>
      </c>
      <c r="BF774" s="10">
        <v>250000</v>
      </c>
      <c r="BG774" s="268">
        <v>255000</v>
      </c>
      <c r="BH774" s="10">
        <v>240000</v>
      </c>
      <c r="BI774" s="76">
        <f t="shared" si="982"/>
        <v>246250</v>
      </c>
      <c r="BJ774" s="24">
        <f t="shared" si="983"/>
        <v>-103089</v>
      </c>
      <c r="BK774" s="25">
        <f t="shared" si="984"/>
        <v>-0.29509731235275766</v>
      </c>
      <c r="BL774" s="259">
        <f t="shared" si="985"/>
        <v>246250</v>
      </c>
      <c r="BM774" s="10">
        <v>388154</v>
      </c>
      <c r="BN774" s="45">
        <v>460000</v>
      </c>
      <c r="BO774" s="45">
        <v>457984</v>
      </c>
      <c r="BP774" s="45">
        <v>450000</v>
      </c>
      <c r="BQ774" s="29">
        <f t="shared" si="978"/>
        <v>455994.66666666669</v>
      </c>
      <c r="BR774" s="24">
        <f t="shared" si="979"/>
        <v>67840.666666666686</v>
      </c>
      <c r="BS774" s="25">
        <f t="shared" si="980"/>
        <v>0.17477770850401306</v>
      </c>
      <c r="BT774" s="308">
        <f t="shared" si="981"/>
        <v>455994.66666666669</v>
      </c>
    </row>
    <row r="775" spans="1:72" s="1" customFormat="1" ht="108" customHeight="1">
      <c r="A775" s="91"/>
      <c r="B775" s="358" t="s">
        <v>2967</v>
      </c>
      <c r="C775" s="50" t="s">
        <v>1187</v>
      </c>
      <c r="D775" s="177" t="s">
        <v>1174</v>
      </c>
      <c r="E775" s="141" t="s">
        <v>10</v>
      </c>
      <c r="F775" s="10"/>
      <c r="G775" s="44"/>
      <c r="H775" s="31"/>
      <c r="I775" s="183"/>
      <c r="J775" s="29"/>
      <c r="K775" s="24"/>
      <c r="L775" s="25"/>
      <c r="M775" s="69"/>
      <c r="N775" s="77"/>
      <c r="O775" s="73"/>
      <c r="P775" s="74"/>
      <c r="Q775" s="74"/>
      <c r="R775" s="75"/>
      <c r="S775" s="61"/>
      <c r="T775" s="60"/>
      <c r="U775" s="74"/>
      <c r="V775" s="76"/>
      <c r="W775" s="24"/>
      <c r="X775" s="25"/>
      <c r="Y775" s="77"/>
      <c r="Z775" s="106"/>
      <c r="AA775" s="73"/>
      <c r="AB775" s="88"/>
      <c r="AC775" s="116"/>
      <c r="AD775" s="74"/>
      <c r="AE775" s="76"/>
      <c r="AF775" s="24"/>
      <c r="AG775" s="25"/>
      <c r="AH775" s="77"/>
      <c r="AI775" s="77"/>
      <c r="AJ775" s="73"/>
      <c r="AK775" s="79"/>
      <c r="AL775" s="79"/>
      <c r="AM775" s="127"/>
      <c r="AN775" s="142"/>
      <c r="AO775" s="142"/>
      <c r="AP775" s="29"/>
      <c r="AQ775" s="24"/>
      <c r="AR775" s="25"/>
      <c r="AS775" s="146"/>
      <c r="AT775" s="10">
        <v>548235</v>
      </c>
      <c r="AU775" s="10"/>
      <c r="AV775" s="167"/>
      <c r="AW775" s="168"/>
      <c r="AX775" s="29"/>
      <c r="AY775" s="24"/>
      <c r="AZ775" s="25"/>
      <c r="BA775" s="24">
        <f t="shared" si="975"/>
        <v>-548235</v>
      </c>
      <c r="BB775" s="169">
        <f t="shared" si="976"/>
        <v>-1</v>
      </c>
      <c r="BC775" s="220" t="s">
        <v>807</v>
      </c>
      <c r="BD775" s="150"/>
      <c r="BE775" s="150"/>
      <c r="BF775" s="150"/>
      <c r="BG775" s="150"/>
      <c r="BH775" s="150"/>
      <c r="BI775" s="150"/>
      <c r="BJ775" s="150"/>
      <c r="BK775" s="150"/>
      <c r="BL775" s="150"/>
      <c r="BM775" s="10">
        <v>556416</v>
      </c>
      <c r="BN775" s="45"/>
      <c r="BO775" s="45">
        <v>646855</v>
      </c>
      <c r="BP775" s="45">
        <v>25000</v>
      </c>
      <c r="BQ775" s="29">
        <f t="shared" si="978"/>
        <v>335927.5</v>
      </c>
      <c r="BR775" s="24">
        <f t="shared" si="979"/>
        <v>-220488.5</v>
      </c>
      <c r="BS775" s="25">
        <f t="shared" si="980"/>
        <v>-0.39626556389463996</v>
      </c>
      <c r="BT775" s="326" t="s">
        <v>807</v>
      </c>
    </row>
    <row r="776" spans="1:72" s="1" customFormat="1" ht="35.1" customHeight="1">
      <c r="A776" s="91"/>
      <c r="B776" s="358" t="s">
        <v>2968</v>
      </c>
      <c r="C776" s="50" t="s">
        <v>1188</v>
      </c>
      <c r="D776" s="177" t="s">
        <v>1175</v>
      </c>
      <c r="E776" s="141" t="s">
        <v>13</v>
      </c>
      <c r="F776" s="10"/>
      <c r="G776" s="44"/>
      <c r="H776" s="31"/>
      <c r="I776" s="183"/>
      <c r="J776" s="29"/>
      <c r="K776" s="24"/>
      <c r="L776" s="25"/>
      <c r="M776" s="69"/>
      <c r="N776" s="77"/>
      <c r="O776" s="73"/>
      <c r="P776" s="74"/>
      <c r="Q776" s="74"/>
      <c r="R776" s="75"/>
      <c r="S776" s="61"/>
      <c r="T776" s="60"/>
      <c r="U776" s="74"/>
      <c r="V776" s="76"/>
      <c r="W776" s="24"/>
      <c r="X776" s="25"/>
      <c r="Y776" s="77"/>
      <c r="Z776" s="106"/>
      <c r="AA776" s="73"/>
      <c r="AB776" s="88"/>
      <c r="AC776" s="116"/>
      <c r="AD776" s="74"/>
      <c r="AE776" s="76"/>
      <c r="AF776" s="24"/>
      <c r="AG776" s="25"/>
      <c r="AH776" s="77"/>
      <c r="AI776" s="77"/>
      <c r="AJ776" s="73"/>
      <c r="AK776" s="79"/>
      <c r="AL776" s="79"/>
      <c r="AM776" s="127"/>
      <c r="AN776" s="142"/>
      <c r="AO776" s="142"/>
      <c r="AP776" s="29"/>
      <c r="AQ776" s="24"/>
      <c r="AR776" s="25"/>
      <c r="AS776" s="146"/>
      <c r="AT776" s="10">
        <v>233504</v>
      </c>
      <c r="AU776" s="10"/>
      <c r="AV776" s="167"/>
      <c r="AW776" s="168"/>
      <c r="AX776" s="29"/>
      <c r="AY776" s="24"/>
      <c r="AZ776" s="25"/>
      <c r="BA776" s="24">
        <f t="shared" si="975"/>
        <v>-233504</v>
      </c>
      <c r="BB776" s="169">
        <f t="shared" si="976"/>
        <v>-1</v>
      </c>
      <c r="BC776" s="170" t="s">
        <v>894</v>
      </c>
      <c r="BD776" s="10">
        <v>212231</v>
      </c>
      <c r="BE776" s="10"/>
      <c r="BF776" s="10"/>
      <c r="BG776" s="268"/>
      <c r="BH776" s="10" t="s">
        <v>1421</v>
      </c>
      <c r="BI776" s="76"/>
      <c r="BJ776" s="24"/>
      <c r="BK776" s="25"/>
      <c r="BL776" s="259" t="s">
        <v>894</v>
      </c>
      <c r="BM776" s="10">
        <v>236987</v>
      </c>
      <c r="BN776" s="45"/>
      <c r="BO776" s="45">
        <v>275509</v>
      </c>
      <c r="BP776" s="45">
        <v>60000</v>
      </c>
      <c r="BQ776" s="29">
        <f t="shared" si="978"/>
        <v>167754.5</v>
      </c>
      <c r="BR776" s="24">
        <f t="shared" si="979"/>
        <v>-69232.5</v>
      </c>
      <c r="BS776" s="25">
        <f t="shared" si="980"/>
        <v>-0.29213627751733218</v>
      </c>
      <c r="BT776" s="308">
        <f t="shared" ref="BT776:BT780" si="986">BQ776</f>
        <v>167754.5</v>
      </c>
    </row>
    <row r="777" spans="1:72" s="1" customFormat="1" ht="35.1" customHeight="1">
      <c r="A777" s="91"/>
      <c r="B777" s="358" t="s">
        <v>2969</v>
      </c>
      <c r="C777" s="50" t="s">
        <v>1189</v>
      </c>
      <c r="D777" s="177" t="s">
        <v>1176</v>
      </c>
      <c r="E777" s="141" t="s">
        <v>14</v>
      </c>
      <c r="F777" s="10"/>
      <c r="G777" s="44"/>
      <c r="H777" s="31"/>
      <c r="I777" s="183"/>
      <c r="J777" s="29"/>
      <c r="K777" s="24"/>
      <c r="L777" s="25"/>
      <c r="M777" s="69"/>
      <c r="N777" s="77"/>
      <c r="O777" s="73"/>
      <c r="P777" s="74"/>
      <c r="Q777" s="74"/>
      <c r="R777" s="75"/>
      <c r="S777" s="61"/>
      <c r="T777" s="60"/>
      <c r="U777" s="74"/>
      <c r="V777" s="76"/>
      <c r="W777" s="24"/>
      <c r="X777" s="25"/>
      <c r="Y777" s="77"/>
      <c r="Z777" s="106"/>
      <c r="AA777" s="73"/>
      <c r="AB777" s="88"/>
      <c r="AC777" s="116"/>
      <c r="AD777" s="74"/>
      <c r="AE777" s="76"/>
      <c r="AF777" s="24"/>
      <c r="AG777" s="25"/>
      <c r="AH777" s="77"/>
      <c r="AI777" s="77"/>
      <c r="AJ777" s="73"/>
      <c r="AK777" s="79"/>
      <c r="AL777" s="79"/>
      <c r="AM777" s="127"/>
      <c r="AN777" s="142"/>
      <c r="AO777" s="142"/>
      <c r="AP777" s="29"/>
      <c r="AQ777" s="24"/>
      <c r="AR777" s="25"/>
      <c r="AS777" s="146"/>
      <c r="AT777" s="10">
        <v>61038</v>
      </c>
      <c r="AU777" s="10">
        <v>103663</v>
      </c>
      <c r="AV777" s="167">
        <v>310989</v>
      </c>
      <c r="AW777" s="168">
        <v>105900</v>
      </c>
      <c r="AX777" s="29">
        <f t="shared" ref="AX777:AX782" si="987">AVERAGE(AU777,AW777)</f>
        <v>104781.5</v>
      </c>
      <c r="AY777" s="24">
        <f t="shared" ref="AY777:AY782" si="988">AX777-AT777</f>
        <v>43743.5</v>
      </c>
      <c r="AZ777" s="25">
        <f t="shared" ref="AZ777:AZ782" si="989">+AY777/AT777</f>
        <v>0.71666011337199775</v>
      </c>
      <c r="BA777" s="24">
        <f t="shared" si="975"/>
        <v>249951</v>
      </c>
      <c r="BB777" s="169">
        <f t="shared" si="976"/>
        <v>4.0950063894623021</v>
      </c>
      <c r="BC777" s="170">
        <f t="shared" ref="BC777:BC782" si="990">AX777</f>
        <v>104781.5</v>
      </c>
      <c r="BD777" s="10">
        <v>54932</v>
      </c>
      <c r="BE777" s="10">
        <v>165000</v>
      </c>
      <c r="BF777" s="10">
        <v>170000</v>
      </c>
      <c r="BG777" s="268">
        <v>175000</v>
      </c>
      <c r="BH777" s="10">
        <v>200000</v>
      </c>
      <c r="BI777" s="76">
        <f t="shared" ref="BI777:BI778" si="991">AVERAGE(BE777,BF777,BG777,BH777)</f>
        <v>177500</v>
      </c>
      <c r="BJ777" s="24">
        <f t="shared" ref="BJ777:BJ778" si="992">BI777-BD777</f>
        <v>122568</v>
      </c>
      <c r="BK777" s="25">
        <f t="shared" ref="BK777:BK778" si="993">+BJ777/BD777</f>
        <v>2.2312677492172139</v>
      </c>
      <c r="BL777" s="259">
        <f t="shared" ref="BL777:BL778" si="994">BI777</f>
        <v>177500</v>
      </c>
      <c r="BM777" s="10">
        <v>61036</v>
      </c>
      <c r="BN777" s="45"/>
      <c r="BO777" s="45">
        <v>72016</v>
      </c>
      <c r="BP777" s="45">
        <v>48000</v>
      </c>
      <c r="BQ777" s="29">
        <f t="shared" si="978"/>
        <v>60008</v>
      </c>
      <c r="BR777" s="24">
        <f t="shared" si="979"/>
        <v>-1028</v>
      </c>
      <c r="BS777" s="25">
        <f t="shared" si="980"/>
        <v>-1.6842519169015007E-2</v>
      </c>
      <c r="BT777" s="308">
        <f t="shared" si="986"/>
        <v>60008</v>
      </c>
    </row>
    <row r="778" spans="1:72" s="1" customFormat="1" ht="35.1" customHeight="1">
      <c r="A778" s="91"/>
      <c r="B778" s="358" t="s">
        <v>2970</v>
      </c>
      <c r="C778" s="50" t="s">
        <v>1190</v>
      </c>
      <c r="D778" s="177" t="s">
        <v>1177</v>
      </c>
      <c r="E778" s="141" t="s">
        <v>14</v>
      </c>
      <c r="F778" s="10"/>
      <c r="G778" s="44"/>
      <c r="H778" s="31"/>
      <c r="I778" s="183"/>
      <c r="J778" s="29"/>
      <c r="K778" s="24"/>
      <c r="L778" s="25"/>
      <c r="M778" s="69"/>
      <c r="N778" s="77"/>
      <c r="O778" s="73"/>
      <c r="P778" s="74"/>
      <c r="Q778" s="74"/>
      <c r="R778" s="75"/>
      <c r="S778" s="61"/>
      <c r="T778" s="60"/>
      <c r="U778" s="74"/>
      <c r="V778" s="76"/>
      <c r="W778" s="24"/>
      <c r="X778" s="25"/>
      <c r="Y778" s="77"/>
      <c r="Z778" s="106"/>
      <c r="AA778" s="73"/>
      <c r="AB778" s="88"/>
      <c r="AC778" s="116"/>
      <c r="AD778" s="74"/>
      <c r="AE778" s="76"/>
      <c r="AF778" s="24"/>
      <c r="AG778" s="25"/>
      <c r="AH778" s="77"/>
      <c r="AI778" s="77"/>
      <c r="AJ778" s="73"/>
      <c r="AK778" s="79"/>
      <c r="AL778" s="79"/>
      <c r="AM778" s="127"/>
      <c r="AN778" s="142"/>
      <c r="AO778" s="142"/>
      <c r="AP778" s="29"/>
      <c r="AQ778" s="24"/>
      <c r="AR778" s="25"/>
      <c r="AS778" s="146"/>
      <c r="AT778" s="10">
        <v>132059</v>
      </c>
      <c r="AU778" s="10">
        <v>103663</v>
      </c>
      <c r="AV778" s="167">
        <v>310989</v>
      </c>
      <c r="AW778" s="168">
        <v>105900</v>
      </c>
      <c r="AX778" s="29">
        <f t="shared" si="987"/>
        <v>104781.5</v>
      </c>
      <c r="AY778" s="24">
        <f t="shared" si="988"/>
        <v>-27277.5</v>
      </c>
      <c r="AZ778" s="25">
        <f t="shared" si="989"/>
        <v>-0.2065554032667217</v>
      </c>
      <c r="BA778" s="24">
        <f t="shared" si="975"/>
        <v>178930</v>
      </c>
      <c r="BB778" s="169">
        <f t="shared" si="976"/>
        <v>1.3549246927509673</v>
      </c>
      <c r="BC778" s="170">
        <f t="shared" si="990"/>
        <v>104781.5</v>
      </c>
      <c r="BD778" s="10">
        <v>120032</v>
      </c>
      <c r="BE778" s="10">
        <v>165000</v>
      </c>
      <c r="BF778" s="10">
        <v>170000</v>
      </c>
      <c r="BG778" s="268">
        <v>175000</v>
      </c>
      <c r="BH778" s="10" t="s">
        <v>1421</v>
      </c>
      <c r="BI778" s="76">
        <f t="shared" si="991"/>
        <v>170000</v>
      </c>
      <c r="BJ778" s="24">
        <f t="shared" si="992"/>
        <v>49968</v>
      </c>
      <c r="BK778" s="25">
        <f t="shared" si="993"/>
        <v>0.41628898960277261</v>
      </c>
      <c r="BL778" s="259">
        <f t="shared" si="994"/>
        <v>170000</v>
      </c>
      <c r="BM778" s="10">
        <v>134033</v>
      </c>
      <c r="BN778" s="45"/>
      <c r="BO778" s="45">
        <v>155812</v>
      </c>
      <c r="BP778" s="45">
        <v>48000</v>
      </c>
      <c r="BQ778" s="29">
        <f t="shared" si="978"/>
        <v>101906</v>
      </c>
      <c r="BR778" s="24">
        <f t="shared" si="979"/>
        <v>-32127</v>
      </c>
      <c r="BS778" s="25">
        <f t="shared" si="980"/>
        <v>-0.23969470205098745</v>
      </c>
      <c r="BT778" s="308">
        <f t="shared" si="986"/>
        <v>101906</v>
      </c>
    </row>
    <row r="779" spans="1:72" s="1" customFormat="1" ht="35.1" customHeight="1">
      <c r="A779" s="91"/>
      <c r="B779" s="358" t="s">
        <v>2971</v>
      </c>
      <c r="C779" s="50" t="s">
        <v>1191</v>
      </c>
      <c r="D779" s="177" t="s">
        <v>1178</v>
      </c>
      <c r="E779" s="141" t="s">
        <v>14</v>
      </c>
      <c r="F779" s="10"/>
      <c r="G779" s="44"/>
      <c r="H779" s="31"/>
      <c r="I779" s="183"/>
      <c r="J779" s="29"/>
      <c r="K779" s="24"/>
      <c r="L779" s="25"/>
      <c r="M779" s="69"/>
      <c r="N779" s="77"/>
      <c r="O779" s="73"/>
      <c r="P779" s="74"/>
      <c r="Q779" s="74"/>
      <c r="R779" s="75"/>
      <c r="S779" s="61"/>
      <c r="T779" s="60"/>
      <c r="U779" s="74"/>
      <c r="V779" s="76"/>
      <c r="W779" s="24"/>
      <c r="X779" s="25"/>
      <c r="Y779" s="77"/>
      <c r="Z779" s="106"/>
      <c r="AA779" s="73"/>
      <c r="AB779" s="88"/>
      <c r="AC779" s="116"/>
      <c r="AD779" s="74"/>
      <c r="AE779" s="76"/>
      <c r="AF779" s="24"/>
      <c r="AG779" s="25"/>
      <c r="AH779" s="77"/>
      <c r="AI779" s="77"/>
      <c r="AJ779" s="73"/>
      <c r="AK779" s="79"/>
      <c r="AL779" s="79"/>
      <c r="AM779" s="127"/>
      <c r="AN779" s="142"/>
      <c r="AO779" s="142"/>
      <c r="AP779" s="29"/>
      <c r="AQ779" s="24"/>
      <c r="AR779" s="25"/>
      <c r="AS779" s="146"/>
      <c r="AT779" s="10">
        <v>335842</v>
      </c>
      <c r="AU779" s="10">
        <v>700287</v>
      </c>
      <c r="AV779" s="167">
        <v>2801148</v>
      </c>
      <c r="AW779" s="168">
        <v>680900</v>
      </c>
      <c r="AX779" s="29">
        <f t="shared" si="987"/>
        <v>690593.5</v>
      </c>
      <c r="AY779" s="24">
        <f t="shared" si="988"/>
        <v>354751.5</v>
      </c>
      <c r="AZ779" s="25">
        <f t="shared" si="989"/>
        <v>1.0563047504481273</v>
      </c>
      <c r="BA779" s="24">
        <f t="shared" si="975"/>
        <v>2465306</v>
      </c>
      <c r="BB779" s="169">
        <f t="shared" si="976"/>
        <v>7.3406721017621379</v>
      </c>
      <c r="BC779" s="170">
        <f t="shared" si="990"/>
        <v>690593.5</v>
      </c>
      <c r="BD779" s="150"/>
      <c r="BE779" s="150"/>
      <c r="BF779" s="150"/>
      <c r="BG779" s="150"/>
      <c r="BH779" s="150"/>
      <c r="BI779" s="150"/>
      <c r="BJ779" s="150"/>
      <c r="BK779" s="150"/>
      <c r="BL779" s="150"/>
      <c r="BM779" s="10">
        <v>340854</v>
      </c>
      <c r="BN779" s="45"/>
      <c r="BO779" s="45">
        <v>396250</v>
      </c>
      <c r="BP779" s="45">
        <v>195000</v>
      </c>
      <c r="BQ779" s="29">
        <f t="shared" si="978"/>
        <v>295625</v>
      </c>
      <c r="BR779" s="24">
        <f t="shared" si="979"/>
        <v>-45229</v>
      </c>
      <c r="BS779" s="25">
        <f t="shared" si="980"/>
        <v>-0.13269317655066393</v>
      </c>
      <c r="BT779" s="308">
        <f t="shared" si="986"/>
        <v>295625</v>
      </c>
    </row>
    <row r="780" spans="1:72" s="1" customFormat="1" ht="35.1" customHeight="1">
      <c r="A780" s="91"/>
      <c r="B780" s="358" t="s">
        <v>2972</v>
      </c>
      <c r="C780" s="50" t="s">
        <v>1192</v>
      </c>
      <c r="D780" s="177" t="s">
        <v>1179</v>
      </c>
      <c r="E780" s="141" t="s">
        <v>14</v>
      </c>
      <c r="F780" s="10"/>
      <c r="G780" s="44"/>
      <c r="H780" s="31"/>
      <c r="I780" s="183"/>
      <c r="J780" s="29"/>
      <c r="K780" s="24"/>
      <c r="L780" s="25"/>
      <c r="M780" s="69"/>
      <c r="N780" s="77"/>
      <c r="O780" s="73"/>
      <c r="P780" s="74"/>
      <c r="Q780" s="74"/>
      <c r="R780" s="75"/>
      <c r="S780" s="61"/>
      <c r="T780" s="60"/>
      <c r="U780" s="74"/>
      <c r="V780" s="76"/>
      <c r="W780" s="24"/>
      <c r="X780" s="25"/>
      <c r="Y780" s="77"/>
      <c r="Z780" s="106"/>
      <c r="AA780" s="73"/>
      <c r="AB780" s="88"/>
      <c r="AC780" s="116"/>
      <c r="AD780" s="74"/>
      <c r="AE780" s="76"/>
      <c r="AF780" s="24"/>
      <c r="AG780" s="25"/>
      <c r="AH780" s="77"/>
      <c r="AI780" s="77"/>
      <c r="AJ780" s="73"/>
      <c r="AK780" s="79"/>
      <c r="AL780" s="79"/>
      <c r="AM780" s="127"/>
      <c r="AN780" s="142"/>
      <c r="AO780" s="142"/>
      <c r="AP780" s="29"/>
      <c r="AQ780" s="24"/>
      <c r="AR780" s="25"/>
      <c r="AS780" s="146"/>
      <c r="AT780" s="10">
        <v>329254</v>
      </c>
      <c r="AU780" s="10">
        <v>347432</v>
      </c>
      <c r="AV780" s="167">
        <v>694864</v>
      </c>
      <c r="AW780" s="168">
        <v>345000</v>
      </c>
      <c r="AX780" s="29">
        <f t="shared" si="987"/>
        <v>346216</v>
      </c>
      <c r="AY780" s="24">
        <f t="shared" si="988"/>
        <v>16962</v>
      </c>
      <c r="AZ780" s="25">
        <f t="shared" si="989"/>
        <v>5.1516458418120963E-2</v>
      </c>
      <c r="BA780" s="24">
        <f t="shared" si="975"/>
        <v>365610</v>
      </c>
      <c r="BB780" s="169">
        <f t="shared" si="976"/>
        <v>1.11041931153456</v>
      </c>
      <c r="BC780" s="170">
        <f t="shared" si="990"/>
        <v>346216</v>
      </c>
      <c r="BD780" s="10">
        <v>299258</v>
      </c>
      <c r="BE780" s="10">
        <v>700000</v>
      </c>
      <c r="BF780" s="10">
        <v>750000</v>
      </c>
      <c r="BG780" s="268">
        <v>750000</v>
      </c>
      <c r="BH780" s="10">
        <v>800000</v>
      </c>
      <c r="BI780" s="76">
        <f t="shared" ref="BI780" si="995">AVERAGE(BE780,BF780,BG780,BH780)</f>
        <v>750000</v>
      </c>
      <c r="BJ780" s="24">
        <f t="shared" ref="BJ780" si="996">BI780-BD780</f>
        <v>450742</v>
      </c>
      <c r="BK780" s="25">
        <f t="shared" ref="BK780" si="997">+BJ780/BD780</f>
        <v>1.5061986646973515</v>
      </c>
      <c r="BL780" s="259">
        <f t="shared" ref="BL780" si="998">BI780</f>
        <v>750000</v>
      </c>
      <c r="BM780" s="10">
        <v>334171</v>
      </c>
      <c r="BN780" s="45"/>
      <c r="BO780" s="45">
        <v>388481</v>
      </c>
      <c r="BP780" s="45">
        <v>240000</v>
      </c>
      <c r="BQ780" s="29">
        <f t="shared" si="978"/>
        <v>314240.5</v>
      </c>
      <c r="BR780" s="24">
        <f t="shared" si="979"/>
        <v>-19930.5</v>
      </c>
      <c r="BS780" s="25">
        <f t="shared" si="980"/>
        <v>-5.964162060741357E-2</v>
      </c>
      <c r="BT780" s="308">
        <f t="shared" si="986"/>
        <v>314240.5</v>
      </c>
    </row>
    <row r="781" spans="1:72" s="1" customFormat="1" ht="35.1" customHeight="1">
      <c r="A781" s="91"/>
      <c r="B781" s="358" t="s">
        <v>2973</v>
      </c>
      <c r="C781" s="50" t="s">
        <v>1193</v>
      </c>
      <c r="D781" s="177" t="s">
        <v>1180</v>
      </c>
      <c r="E781" s="141" t="s">
        <v>14</v>
      </c>
      <c r="F781" s="10"/>
      <c r="G781" s="44"/>
      <c r="H781" s="31"/>
      <c r="I781" s="183"/>
      <c r="J781" s="29"/>
      <c r="K781" s="24"/>
      <c r="L781" s="25"/>
      <c r="M781" s="69"/>
      <c r="N781" s="77"/>
      <c r="O781" s="73"/>
      <c r="P781" s="74"/>
      <c r="Q781" s="74"/>
      <c r="R781" s="75"/>
      <c r="S781" s="61"/>
      <c r="T781" s="60"/>
      <c r="U781" s="74"/>
      <c r="V781" s="76"/>
      <c r="W781" s="24"/>
      <c r="X781" s="25"/>
      <c r="Y781" s="77"/>
      <c r="Z781" s="106"/>
      <c r="AA781" s="73"/>
      <c r="AB781" s="88"/>
      <c r="AC781" s="116"/>
      <c r="AD781" s="74"/>
      <c r="AE781" s="76"/>
      <c r="AF781" s="24"/>
      <c r="AG781" s="25"/>
      <c r="AH781" s="77"/>
      <c r="AI781" s="77"/>
      <c r="AJ781" s="73"/>
      <c r="AK781" s="79"/>
      <c r="AL781" s="79"/>
      <c r="AM781" s="127"/>
      <c r="AN781" s="142"/>
      <c r="AO781" s="142"/>
      <c r="AP781" s="29"/>
      <c r="AQ781" s="24"/>
      <c r="AR781" s="25"/>
      <c r="AS781" s="146"/>
      <c r="AT781" s="10">
        <v>132221</v>
      </c>
      <c r="AU781" s="10"/>
      <c r="AV781" s="167">
        <v>230000</v>
      </c>
      <c r="AW781" s="168">
        <v>150000</v>
      </c>
      <c r="AX781" s="29">
        <f t="shared" si="987"/>
        <v>150000</v>
      </c>
      <c r="AY781" s="24">
        <f t="shared" si="988"/>
        <v>17779</v>
      </c>
      <c r="AZ781" s="25">
        <f t="shared" si="989"/>
        <v>0.13446426815710061</v>
      </c>
      <c r="BA781" s="24">
        <f t="shared" si="975"/>
        <v>97779</v>
      </c>
      <c r="BB781" s="169">
        <f t="shared" si="976"/>
        <v>0.73951187784088757</v>
      </c>
      <c r="BC781" s="170">
        <f t="shared" si="990"/>
        <v>150000</v>
      </c>
      <c r="BD781" s="150"/>
      <c r="BE781" s="150"/>
      <c r="BF781" s="150"/>
      <c r="BG781" s="150"/>
      <c r="BH781" s="150"/>
      <c r="BI781" s="150"/>
      <c r="BJ781" s="150"/>
      <c r="BK781" s="150"/>
      <c r="BL781" s="150"/>
      <c r="BM781" s="293"/>
      <c r="BN781" s="293"/>
      <c r="BO781" s="293"/>
      <c r="BP781" s="293"/>
      <c r="BQ781" s="293"/>
      <c r="BR781" s="293"/>
      <c r="BS781" s="293"/>
      <c r="BT781" s="293"/>
    </row>
    <row r="782" spans="1:72" s="1" customFormat="1" ht="35.1" customHeight="1">
      <c r="A782" s="91"/>
      <c r="B782" s="358" t="s">
        <v>2974</v>
      </c>
      <c r="C782" s="50" t="s">
        <v>1194</v>
      </c>
      <c r="D782" s="177" t="s">
        <v>1181</v>
      </c>
      <c r="E782" s="141" t="s">
        <v>14</v>
      </c>
      <c r="F782" s="10"/>
      <c r="G782" s="44"/>
      <c r="H782" s="31"/>
      <c r="I782" s="183"/>
      <c r="J782" s="29"/>
      <c r="K782" s="24"/>
      <c r="L782" s="25"/>
      <c r="M782" s="69"/>
      <c r="N782" s="77"/>
      <c r="O782" s="73"/>
      <c r="P782" s="74"/>
      <c r="Q782" s="74"/>
      <c r="R782" s="75"/>
      <c r="S782" s="61"/>
      <c r="T782" s="60"/>
      <c r="U782" s="74"/>
      <c r="V782" s="76"/>
      <c r="W782" s="24"/>
      <c r="X782" s="25"/>
      <c r="Y782" s="77"/>
      <c r="Z782" s="106"/>
      <c r="AA782" s="73"/>
      <c r="AB782" s="88"/>
      <c r="AC782" s="116"/>
      <c r="AD782" s="74"/>
      <c r="AE782" s="76"/>
      <c r="AF782" s="24"/>
      <c r="AG782" s="25"/>
      <c r="AH782" s="77"/>
      <c r="AI782" s="77"/>
      <c r="AJ782" s="73"/>
      <c r="AK782" s="79"/>
      <c r="AL782" s="79"/>
      <c r="AM782" s="127"/>
      <c r="AN782" s="142"/>
      <c r="AO782" s="142"/>
      <c r="AP782" s="29"/>
      <c r="AQ782" s="24"/>
      <c r="AR782" s="25"/>
      <c r="AS782" s="146"/>
      <c r="AT782" s="10">
        <v>359944</v>
      </c>
      <c r="AU782" s="10">
        <v>235626</v>
      </c>
      <c r="AV782" s="167">
        <v>471252</v>
      </c>
      <c r="AW782" s="168">
        <v>234000</v>
      </c>
      <c r="AX782" s="29">
        <f t="shared" si="987"/>
        <v>234813</v>
      </c>
      <c r="AY782" s="24">
        <f t="shared" si="988"/>
        <v>-125131</v>
      </c>
      <c r="AZ782" s="25">
        <f t="shared" si="989"/>
        <v>-0.3476401884737626</v>
      </c>
      <c r="BA782" s="24">
        <f t="shared" si="975"/>
        <v>111308</v>
      </c>
      <c r="BB782" s="169">
        <f t="shared" si="976"/>
        <v>0.3092369924210433</v>
      </c>
      <c r="BC782" s="170">
        <f t="shared" si="990"/>
        <v>234813</v>
      </c>
      <c r="BD782" s="150"/>
      <c r="BE782" s="150"/>
      <c r="BF782" s="150"/>
      <c r="BG782" s="150"/>
      <c r="BH782" s="150"/>
      <c r="BI782" s="150"/>
      <c r="BJ782" s="150"/>
      <c r="BK782" s="150"/>
      <c r="BL782" s="150"/>
      <c r="BM782" s="293"/>
      <c r="BN782" s="293"/>
      <c r="BO782" s="293"/>
      <c r="BP782" s="293"/>
      <c r="BQ782" s="293"/>
      <c r="BR782" s="293"/>
      <c r="BS782" s="293"/>
      <c r="BT782" s="293"/>
    </row>
    <row r="783" spans="1:72" s="1" customFormat="1" ht="35.1" customHeight="1">
      <c r="A783" s="91"/>
      <c r="B783" s="358" t="s">
        <v>2975</v>
      </c>
      <c r="C783" s="50" t="s">
        <v>1195</v>
      </c>
      <c r="D783" s="264" t="s">
        <v>1169</v>
      </c>
      <c r="E783" s="262" t="s">
        <v>999</v>
      </c>
      <c r="F783" s="10"/>
      <c r="G783" s="44"/>
      <c r="H783" s="31"/>
      <c r="I783" s="183"/>
      <c r="J783" s="29"/>
      <c r="K783" s="24"/>
      <c r="L783" s="25"/>
      <c r="M783" s="69"/>
      <c r="N783" s="77"/>
      <c r="O783" s="73"/>
      <c r="P783" s="74"/>
      <c r="Q783" s="74"/>
      <c r="R783" s="75"/>
      <c r="S783" s="61"/>
      <c r="T783" s="60"/>
      <c r="U783" s="74"/>
      <c r="V783" s="76"/>
      <c r="W783" s="24"/>
      <c r="X783" s="25"/>
      <c r="Y783" s="77"/>
      <c r="Z783" s="106"/>
      <c r="AA783" s="73"/>
      <c r="AB783" s="88"/>
      <c r="AC783" s="116"/>
      <c r="AD783" s="74"/>
      <c r="AE783" s="76"/>
      <c r="AF783" s="24"/>
      <c r="AG783" s="25"/>
      <c r="AH783" s="77"/>
      <c r="AI783" s="77"/>
      <c r="AJ783" s="73"/>
      <c r="AK783" s="79"/>
      <c r="AL783" s="79"/>
      <c r="AM783" s="127"/>
      <c r="AN783" s="142"/>
      <c r="AO783" s="142"/>
      <c r="AP783" s="29"/>
      <c r="AQ783" s="24"/>
      <c r="AR783" s="25"/>
      <c r="AS783" s="146"/>
      <c r="AT783" s="10"/>
      <c r="AU783" s="10"/>
      <c r="AV783" s="167"/>
      <c r="AW783" s="168"/>
      <c r="AX783" s="29"/>
      <c r="AY783" s="24"/>
      <c r="AZ783" s="25"/>
      <c r="BA783" s="24"/>
      <c r="BB783" s="169"/>
      <c r="BC783" s="170"/>
      <c r="BD783" s="10">
        <v>673809</v>
      </c>
      <c r="BE783" s="10">
        <v>750000</v>
      </c>
      <c r="BF783" s="10">
        <v>800000</v>
      </c>
      <c r="BG783" s="268">
        <v>780000</v>
      </c>
      <c r="BH783" s="10">
        <v>800000</v>
      </c>
      <c r="BI783" s="76">
        <f t="shared" ref="BI783:BI846" si="999">AVERAGE(BE783,BF783,BG783,BH783)</f>
        <v>782500</v>
      </c>
      <c r="BJ783" s="24">
        <f t="shared" ref="BJ783:BJ846" si="1000">BI783-BD783</f>
        <v>108691</v>
      </c>
      <c r="BK783" s="25">
        <f t="shared" ref="BK783:BK846" si="1001">+BJ783/BD783</f>
        <v>0.16130832327855521</v>
      </c>
      <c r="BL783" s="309">
        <f t="shared" ref="BL783:BL846" si="1002">BI783</f>
        <v>782500</v>
      </c>
      <c r="BM783" s="293"/>
      <c r="BN783" s="293"/>
      <c r="BO783" s="293"/>
      <c r="BP783" s="293"/>
      <c r="BQ783" s="293"/>
      <c r="BR783" s="293"/>
      <c r="BS783" s="293"/>
      <c r="BT783" s="293"/>
    </row>
    <row r="784" spans="1:72" s="1" customFormat="1" ht="35.1" customHeight="1">
      <c r="A784" s="91"/>
      <c r="B784" s="358" t="s">
        <v>2976</v>
      </c>
      <c r="C784" s="50" t="s">
        <v>1196</v>
      </c>
      <c r="D784" s="264" t="s">
        <v>1835</v>
      </c>
      <c r="E784" s="262" t="s">
        <v>999</v>
      </c>
      <c r="F784" s="10"/>
      <c r="G784" s="44"/>
      <c r="H784" s="31"/>
      <c r="I784" s="183"/>
      <c r="J784" s="29"/>
      <c r="K784" s="24"/>
      <c r="L784" s="25"/>
      <c r="M784" s="69"/>
      <c r="N784" s="77"/>
      <c r="O784" s="73"/>
      <c r="P784" s="74"/>
      <c r="Q784" s="74"/>
      <c r="R784" s="75"/>
      <c r="S784" s="61"/>
      <c r="T784" s="60"/>
      <c r="U784" s="74"/>
      <c r="V784" s="76"/>
      <c r="W784" s="24"/>
      <c r="X784" s="25"/>
      <c r="Y784" s="77"/>
      <c r="Z784" s="106"/>
      <c r="AA784" s="73"/>
      <c r="AB784" s="88"/>
      <c r="AC784" s="116"/>
      <c r="AD784" s="74"/>
      <c r="AE784" s="76"/>
      <c r="AF784" s="24"/>
      <c r="AG784" s="25"/>
      <c r="AH784" s="77"/>
      <c r="AI784" s="77"/>
      <c r="AJ784" s="73"/>
      <c r="AK784" s="79"/>
      <c r="AL784" s="79"/>
      <c r="AM784" s="127"/>
      <c r="AN784" s="142"/>
      <c r="AO784" s="142"/>
      <c r="AP784" s="29"/>
      <c r="AQ784" s="24"/>
      <c r="AR784" s="25"/>
      <c r="AS784" s="146"/>
      <c r="AT784" s="10"/>
      <c r="AU784" s="10"/>
      <c r="AV784" s="167"/>
      <c r="AW784" s="168"/>
      <c r="AX784" s="29"/>
      <c r="AY784" s="24"/>
      <c r="AZ784" s="25"/>
      <c r="BA784" s="24"/>
      <c r="BB784" s="169"/>
      <c r="BC784" s="170"/>
      <c r="BD784" s="10">
        <v>43485</v>
      </c>
      <c r="BE784" s="10">
        <v>312000</v>
      </c>
      <c r="BF784" s="10">
        <v>320000</v>
      </c>
      <c r="BG784" s="268">
        <v>320000</v>
      </c>
      <c r="BH784" s="10">
        <v>350000</v>
      </c>
      <c r="BI784" s="76">
        <f t="shared" si="999"/>
        <v>325500</v>
      </c>
      <c r="BJ784" s="24">
        <f t="shared" si="1000"/>
        <v>282015</v>
      </c>
      <c r="BK784" s="25">
        <f t="shared" si="1001"/>
        <v>6.4853397723352879</v>
      </c>
      <c r="BL784" s="309">
        <f t="shared" si="1002"/>
        <v>325500</v>
      </c>
      <c r="BM784" s="293"/>
      <c r="BN784" s="293"/>
      <c r="BO784" s="293"/>
      <c r="BP784" s="293"/>
      <c r="BQ784" s="293"/>
      <c r="BR784" s="293"/>
      <c r="BS784" s="293"/>
      <c r="BT784" s="293"/>
    </row>
    <row r="785" spans="1:72" s="1" customFormat="1" ht="35.1" customHeight="1">
      <c r="A785" s="91"/>
      <c r="B785" s="358" t="s">
        <v>2977</v>
      </c>
      <c r="C785" s="50" t="s">
        <v>1197</v>
      </c>
      <c r="D785" s="264" t="s">
        <v>1170</v>
      </c>
      <c r="E785" s="262" t="s">
        <v>999</v>
      </c>
      <c r="F785" s="10"/>
      <c r="G785" s="44"/>
      <c r="H785" s="31"/>
      <c r="I785" s="183"/>
      <c r="J785" s="29"/>
      <c r="K785" s="24"/>
      <c r="L785" s="25"/>
      <c r="M785" s="69"/>
      <c r="N785" s="77"/>
      <c r="O785" s="73"/>
      <c r="P785" s="74"/>
      <c r="Q785" s="74"/>
      <c r="R785" s="75"/>
      <c r="S785" s="61"/>
      <c r="T785" s="60"/>
      <c r="U785" s="74"/>
      <c r="V785" s="76"/>
      <c r="W785" s="24"/>
      <c r="X785" s="25"/>
      <c r="Y785" s="77"/>
      <c r="Z785" s="106"/>
      <c r="AA785" s="73"/>
      <c r="AB785" s="88"/>
      <c r="AC785" s="116"/>
      <c r="AD785" s="74"/>
      <c r="AE785" s="76"/>
      <c r="AF785" s="24"/>
      <c r="AG785" s="25"/>
      <c r="AH785" s="77"/>
      <c r="AI785" s="77"/>
      <c r="AJ785" s="73"/>
      <c r="AK785" s="79"/>
      <c r="AL785" s="79"/>
      <c r="AM785" s="127"/>
      <c r="AN785" s="142"/>
      <c r="AO785" s="142"/>
      <c r="AP785" s="29"/>
      <c r="AQ785" s="24"/>
      <c r="AR785" s="25"/>
      <c r="AS785" s="146"/>
      <c r="AT785" s="10"/>
      <c r="AU785" s="10"/>
      <c r="AV785" s="167"/>
      <c r="AW785" s="168"/>
      <c r="AX785" s="29"/>
      <c r="AY785" s="24"/>
      <c r="AZ785" s="25"/>
      <c r="BA785" s="24"/>
      <c r="BB785" s="169"/>
      <c r="BC785" s="170"/>
      <c r="BD785" s="10">
        <v>77277</v>
      </c>
      <c r="BE785" s="10">
        <v>60000</v>
      </c>
      <c r="BF785" s="10">
        <v>71000</v>
      </c>
      <c r="BG785" s="268">
        <v>68000</v>
      </c>
      <c r="BH785" s="10">
        <v>65000</v>
      </c>
      <c r="BI785" s="76">
        <f t="shared" si="999"/>
        <v>66000</v>
      </c>
      <c r="BJ785" s="24">
        <f t="shared" si="1000"/>
        <v>-11277</v>
      </c>
      <c r="BK785" s="25">
        <f t="shared" si="1001"/>
        <v>-0.14592957801156878</v>
      </c>
      <c r="BL785" s="309">
        <f t="shared" si="1002"/>
        <v>66000</v>
      </c>
      <c r="BM785" s="293"/>
      <c r="BN785" s="293"/>
      <c r="BO785" s="293"/>
      <c r="BP785" s="293"/>
      <c r="BQ785" s="293"/>
      <c r="BR785" s="293"/>
      <c r="BS785" s="293"/>
      <c r="BT785" s="293"/>
    </row>
    <row r="786" spans="1:72" s="1" customFormat="1" ht="108.95" customHeight="1">
      <c r="A786" s="91"/>
      <c r="B786" s="358" t="s">
        <v>2978</v>
      </c>
      <c r="C786" s="50" t="s">
        <v>1198</v>
      </c>
      <c r="D786" s="264" t="s">
        <v>1836</v>
      </c>
      <c r="E786" s="262" t="s">
        <v>827</v>
      </c>
      <c r="F786" s="10"/>
      <c r="G786" s="44"/>
      <c r="H786" s="31"/>
      <c r="I786" s="183"/>
      <c r="J786" s="29"/>
      <c r="K786" s="24"/>
      <c r="L786" s="25"/>
      <c r="M786" s="69"/>
      <c r="N786" s="77"/>
      <c r="O786" s="73"/>
      <c r="P786" s="74"/>
      <c r="Q786" s="74"/>
      <c r="R786" s="75"/>
      <c r="S786" s="61"/>
      <c r="T786" s="60"/>
      <c r="U786" s="74"/>
      <c r="V786" s="76"/>
      <c r="W786" s="24"/>
      <c r="X786" s="25"/>
      <c r="Y786" s="77"/>
      <c r="Z786" s="106"/>
      <c r="AA786" s="73"/>
      <c r="AB786" s="88"/>
      <c r="AC786" s="116"/>
      <c r="AD786" s="74"/>
      <c r="AE786" s="76"/>
      <c r="AF786" s="24"/>
      <c r="AG786" s="25"/>
      <c r="AH786" s="77"/>
      <c r="AI786" s="77"/>
      <c r="AJ786" s="73"/>
      <c r="AK786" s="79"/>
      <c r="AL786" s="79"/>
      <c r="AM786" s="127"/>
      <c r="AN786" s="142"/>
      <c r="AO786" s="142"/>
      <c r="AP786" s="29"/>
      <c r="AQ786" s="24"/>
      <c r="AR786" s="25"/>
      <c r="AS786" s="146"/>
      <c r="AT786" s="10"/>
      <c r="AU786" s="10"/>
      <c r="AV786" s="167"/>
      <c r="AW786" s="168"/>
      <c r="AX786" s="29"/>
      <c r="AY786" s="24"/>
      <c r="AZ786" s="25"/>
      <c r="BA786" s="24"/>
      <c r="BB786" s="169"/>
      <c r="BC786" s="170"/>
      <c r="BD786" s="10">
        <v>498294</v>
      </c>
      <c r="BE786" s="10">
        <v>1680000</v>
      </c>
      <c r="BF786" s="10">
        <v>1710000</v>
      </c>
      <c r="BG786" s="268">
        <v>1750000</v>
      </c>
      <c r="BH786" s="10">
        <v>2000000</v>
      </c>
      <c r="BI786" s="76">
        <f t="shared" si="999"/>
        <v>1785000</v>
      </c>
      <c r="BJ786" s="24">
        <f t="shared" si="1000"/>
        <v>1286706</v>
      </c>
      <c r="BK786" s="25">
        <f t="shared" si="1001"/>
        <v>2.5822225433178003</v>
      </c>
      <c r="BL786" s="309">
        <f t="shared" si="1002"/>
        <v>1785000</v>
      </c>
      <c r="BM786" s="293"/>
      <c r="BN786" s="293"/>
      <c r="BO786" s="293"/>
      <c r="BP786" s="293"/>
      <c r="BQ786" s="293"/>
      <c r="BR786" s="293"/>
      <c r="BS786" s="293"/>
      <c r="BT786" s="293"/>
    </row>
    <row r="787" spans="1:72" s="1" customFormat="1" ht="35.1" customHeight="1">
      <c r="A787" s="91"/>
      <c r="B787" s="358" t="s">
        <v>2979</v>
      </c>
      <c r="C787" s="50" t="s">
        <v>1199</v>
      </c>
      <c r="D787" s="264" t="s">
        <v>1837</v>
      </c>
      <c r="E787" s="262" t="s">
        <v>999</v>
      </c>
      <c r="F787" s="10"/>
      <c r="G787" s="44"/>
      <c r="H787" s="31"/>
      <c r="I787" s="183"/>
      <c r="J787" s="29"/>
      <c r="K787" s="24"/>
      <c r="L787" s="25"/>
      <c r="M787" s="69"/>
      <c r="N787" s="77"/>
      <c r="O787" s="73"/>
      <c r="P787" s="74"/>
      <c r="Q787" s="74"/>
      <c r="R787" s="75"/>
      <c r="S787" s="61"/>
      <c r="T787" s="60"/>
      <c r="U787" s="74"/>
      <c r="V787" s="76"/>
      <c r="W787" s="24"/>
      <c r="X787" s="25"/>
      <c r="Y787" s="77"/>
      <c r="Z787" s="106"/>
      <c r="AA787" s="73"/>
      <c r="AB787" s="88"/>
      <c r="AC787" s="116"/>
      <c r="AD787" s="74"/>
      <c r="AE787" s="76"/>
      <c r="AF787" s="24"/>
      <c r="AG787" s="25"/>
      <c r="AH787" s="77"/>
      <c r="AI787" s="77"/>
      <c r="AJ787" s="73"/>
      <c r="AK787" s="79"/>
      <c r="AL787" s="79"/>
      <c r="AM787" s="127"/>
      <c r="AN787" s="142"/>
      <c r="AO787" s="142"/>
      <c r="AP787" s="29"/>
      <c r="AQ787" s="24"/>
      <c r="AR787" s="25"/>
      <c r="AS787" s="146"/>
      <c r="AT787" s="10"/>
      <c r="AU787" s="10"/>
      <c r="AV787" s="167"/>
      <c r="AW787" s="168"/>
      <c r="AX787" s="29"/>
      <c r="AY787" s="24"/>
      <c r="AZ787" s="25"/>
      <c r="BA787" s="24"/>
      <c r="BB787" s="169"/>
      <c r="BC787" s="170"/>
      <c r="BD787" s="10">
        <v>305248</v>
      </c>
      <c r="BE787" s="10">
        <v>840000</v>
      </c>
      <c r="BF787" s="10">
        <v>870000</v>
      </c>
      <c r="BG787" s="268">
        <v>900000</v>
      </c>
      <c r="BH787" s="10">
        <v>800000</v>
      </c>
      <c r="BI787" s="76">
        <f t="shared" si="999"/>
        <v>852500</v>
      </c>
      <c r="BJ787" s="24">
        <f t="shared" si="1000"/>
        <v>547252</v>
      </c>
      <c r="BK787" s="25">
        <f t="shared" si="1001"/>
        <v>1.7928110913093616</v>
      </c>
      <c r="BL787" s="309">
        <f t="shared" si="1002"/>
        <v>852500</v>
      </c>
      <c r="BM787" s="293"/>
      <c r="BN787" s="293"/>
      <c r="BO787" s="293"/>
      <c r="BP787" s="293"/>
      <c r="BQ787" s="293"/>
      <c r="BR787" s="293"/>
      <c r="BS787" s="293"/>
      <c r="BT787" s="293"/>
    </row>
    <row r="788" spans="1:72" s="1" customFormat="1" ht="48.95" customHeight="1">
      <c r="A788" s="91"/>
      <c r="B788" s="358" t="s">
        <v>2980</v>
      </c>
      <c r="C788" s="50" t="s">
        <v>1911</v>
      </c>
      <c r="D788" s="264" t="s">
        <v>1838</v>
      </c>
      <c r="E788" s="262" t="s">
        <v>999</v>
      </c>
      <c r="F788" s="10"/>
      <c r="G788" s="44"/>
      <c r="H788" s="31"/>
      <c r="I788" s="183"/>
      <c r="J788" s="29"/>
      <c r="K788" s="24"/>
      <c r="L788" s="25"/>
      <c r="M788" s="69"/>
      <c r="N788" s="77"/>
      <c r="O788" s="73"/>
      <c r="P788" s="74"/>
      <c r="Q788" s="74"/>
      <c r="R788" s="75"/>
      <c r="S788" s="61"/>
      <c r="T788" s="60"/>
      <c r="U788" s="74"/>
      <c r="V788" s="76"/>
      <c r="W788" s="24"/>
      <c r="X788" s="25"/>
      <c r="Y788" s="77"/>
      <c r="Z788" s="106"/>
      <c r="AA788" s="73"/>
      <c r="AB788" s="88"/>
      <c r="AC788" s="116"/>
      <c r="AD788" s="74"/>
      <c r="AE788" s="76"/>
      <c r="AF788" s="24"/>
      <c r="AG788" s="25"/>
      <c r="AH788" s="77"/>
      <c r="AI788" s="77"/>
      <c r="AJ788" s="73"/>
      <c r="AK788" s="79"/>
      <c r="AL788" s="79"/>
      <c r="AM788" s="127"/>
      <c r="AN788" s="142"/>
      <c r="AO788" s="142"/>
      <c r="AP788" s="29"/>
      <c r="AQ788" s="24"/>
      <c r="AR788" s="25"/>
      <c r="AS788" s="146"/>
      <c r="AT788" s="10"/>
      <c r="AU788" s="10"/>
      <c r="AV788" s="167"/>
      <c r="AW788" s="168"/>
      <c r="AX788" s="29"/>
      <c r="AY788" s="24"/>
      <c r="AZ788" s="25"/>
      <c r="BA788" s="24"/>
      <c r="BB788" s="169"/>
      <c r="BC788" s="170"/>
      <c r="BD788" s="10">
        <v>259494</v>
      </c>
      <c r="BE788" s="10">
        <v>512000</v>
      </c>
      <c r="BF788" s="10">
        <v>540000</v>
      </c>
      <c r="BG788" s="268">
        <v>525000</v>
      </c>
      <c r="BH788" s="10">
        <v>500000</v>
      </c>
      <c r="BI788" s="76">
        <f t="shared" si="999"/>
        <v>519250</v>
      </c>
      <c r="BJ788" s="24">
        <f t="shared" si="1000"/>
        <v>259756</v>
      </c>
      <c r="BK788" s="25">
        <f t="shared" si="1001"/>
        <v>1.0010096572560445</v>
      </c>
      <c r="BL788" s="309">
        <f t="shared" si="1002"/>
        <v>519250</v>
      </c>
      <c r="BM788" s="293"/>
      <c r="BN788" s="293"/>
      <c r="BO788" s="293"/>
      <c r="BP788" s="293"/>
      <c r="BQ788" s="293"/>
      <c r="BR788" s="293"/>
      <c r="BS788" s="293"/>
      <c r="BT788" s="293"/>
    </row>
    <row r="789" spans="1:72" s="1" customFormat="1" ht="48" customHeight="1">
      <c r="A789" s="91"/>
      <c r="B789" s="358" t="s">
        <v>2981</v>
      </c>
      <c r="C789" s="50" t="s">
        <v>1912</v>
      </c>
      <c r="D789" s="264" t="s">
        <v>1839</v>
      </c>
      <c r="E789" s="262" t="s">
        <v>827</v>
      </c>
      <c r="F789" s="10"/>
      <c r="G789" s="44"/>
      <c r="H789" s="31"/>
      <c r="I789" s="183"/>
      <c r="J789" s="29"/>
      <c r="K789" s="24"/>
      <c r="L789" s="25"/>
      <c r="M789" s="69"/>
      <c r="N789" s="77"/>
      <c r="O789" s="73"/>
      <c r="P789" s="74"/>
      <c r="Q789" s="74"/>
      <c r="R789" s="75"/>
      <c r="S789" s="61"/>
      <c r="T789" s="60"/>
      <c r="U789" s="74"/>
      <c r="V789" s="76"/>
      <c r="W789" s="24"/>
      <c r="X789" s="25"/>
      <c r="Y789" s="77"/>
      <c r="Z789" s="106"/>
      <c r="AA789" s="73"/>
      <c r="AB789" s="88"/>
      <c r="AC789" s="116"/>
      <c r="AD789" s="74"/>
      <c r="AE789" s="76"/>
      <c r="AF789" s="24"/>
      <c r="AG789" s="25"/>
      <c r="AH789" s="77"/>
      <c r="AI789" s="77"/>
      <c r="AJ789" s="73"/>
      <c r="AK789" s="79"/>
      <c r="AL789" s="79"/>
      <c r="AM789" s="127"/>
      <c r="AN789" s="142"/>
      <c r="AO789" s="142"/>
      <c r="AP789" s="29"/>
      <c r="AQ789" s="24"/>
      <c r="AR789" s="25"/>
      <c r="AS789" s="146"/>
      <c r="AT789" s="10"/>
      <c r="AU789" s="10"/>
      <c r="AV789" s="167"/>
      <c r="AW789" s="168"/>
      <c r="AX789" s="29"/>
      <c r="AY789" s="24"/>
      <c r="AZ789" s="25"/>
      <c r="BA789" s="24"/>
      <c r="BB789" s="169"/>
      <c r="BC789" s="170"/>
      <c r="BD789" s="10">
        <v>334199</v>
      </c>
      <c r="BE789" s="10">
        <v>800000</v>
      </c>
      <c r="BF789" s="10">
        <v>850000</v>
      </c>
      <c r="BG789" s="268">
        <v>845000</v>
      </c>
      <c r="BH789" s="10">
        <v>850000</v>
      </c>
      <c r="BI789" s="76">
        <f t="shared" si="999"/>
        <v>836250</v>
      </c>
      <c r="BJ789" s="24">
        <f t="shared" si="1000"/>
        <v>502051</v>
      </c>
      <c r="BK789" s="25">
        <f t="shared" si="1001"/>
        <v>1.5022516524585652</v>
      </c>
      <c r="BL789" s="309">
        <f t="shared" si="1002"/>
        <v>836250</v>
      </c>
      <c r="BM789" s="293"/>
      <c r="BN789" s="293"/>
      <c r="BO789" s="293"/>
      <c r="BP789" s="293"/>
      <c r="BQ789" s="293"/>
      <c r="BR789" s="293"/>
      <c r="BS789" s="293"/>
      <c r="BT789" s="293"/>
    </row>
    <row r="790" spans="1:72" s="1" customFormat="1" ht="45" customHeight="1">
      <c r="A790" s="91"/>
      <c r="B790" s="358" t="s">
        <v>2982</v>
      </c>
      <c r="C790" s="50" t="s">
        <v>1913</v>
      </c>
      <c r="D790" s="264" t="s">
        <v>1840</v>
      </c>
      <c r="E790" s="262" t="s">
        <v>827</v>
      </c>
      <c r="F790" s="10"/>
      <c r="G790" s="44"/>
      <c r="H790" s="31"/>
      <c r="I790" s="183"/>
      <c r="J790" s="29"/>
      <c r="K790" s="24"/>
      <c r="L790" s="25"/>
      <c r="M790" s="69"/>
      <c r="N790" s="77"/>
      <c r="O790" s="73"/>
      <c r="P790" s="74"/>
      <c r="Q790" s="74"/>
      <c r="R790" s="75"/>
      <c r="S790" s="61"/>
      <c r="T790" s="60"/>
      <c r="U790" s="74"/>
      <c r="V790" s="76"/>
      <c r="W790" s="24"/>
      <c r="X790" s="25"/>
      <c r="Y790" s="77"/>
      <c r="Z790" s="106"/>
      <c r="AA790" s="73"/>
      <c r="AB790" s="88"/>
      <c r="AC790" s="116"/>
      <c r="AD790" s="74"/>
      <c r="AE790" s="76"/>
      <c r="AF790" s="24"/>
      <c r="AG790" s="25"/>
      <c r="AH790" s="77"/>
      <c r="AI790" s="77"/>
      <c r="AJ790" s="73"/>
      <c r="AK790" s="79"/>
      <c r="AL790" s="79"/>
      <c r="AM790" s="127"/>
      <c r="AN790" s="142"/>
      <c r="AO790" s="142"/>
      <c r="AP790" s="29"/>
      <c r="AQ790" s="24"/>
      <c r="AR790" s="25"/>
      <c r="AS790" s="146"/>
      <c r="AT790" s="10"/>
      <c r="AU790" s="10"/>
      <c r="AV790" s="167"/>
      <c r="AW790" s="168"/>
      <c r="AX790" s="29"/>
      <c r="AY790" s="24"/>
      <c r="AZ790" s="25"/>
      <c r="BA790" s="24"/>
      <c r="BB790" s="169"/>
      <c r="BC790" s="170"/>
      <c r="BD790" s="10">
        <v>158969</v>
      </c>
      <c r="BE790" s="10">
        <v>340000</v>
      </c>
      <c r="BF790" s="10">
        <v>380000</v>
      </c>
      <c r="BG790" s="268">
        <v>360000</v>
      </c>
      <c r="BH790" s="10">
        <v>350000</v>
      </c>
      <c r="BI790" s="76">
        <f t="shared" si="999"/>
        <v>357500</v>
      </c>
      <c r="BJ790" s="24">
        <f t="shared" si="1000"/>
        <v>198531</v>
      </c>
      <c r="BK790" s="25">
        <f t="shared" si="1001"/>
        <v>1.2488661311324849</v>
      </c>
      <c r="BL790" s="309">
        <f t="shared" si="1002"/>
        <v>357500</v>
      </c>
      <c r="BM790" s="293"/>
      <c r="BN790" s="293"/>
      <c r="BO790" s="293"/>
      <c r="BP790" s="293"/>
      <c r="BQ790" s="293"/>
      <c r="BR790" s="293"/>
      <c r="BS790" s="293"/>
      <c r="BT790" s="293"/>
    </row>
    <row r="791" spans="1:72" s="1" customFormat="1" ht="35.1" customHeight="1">
      <c r="A791" s="91"/>
      <c r="B791" s="358" t="s">
        <v>2983</v>
      </c>
      <c r="C791" s="50" t="s">
        <v>1914</v>
      </c>
      <c r="D791" s="264" t="s">
        <v>1841</v>
      </c>
      <c r="E791" s="262" t="s">
        <v>1399</v>
      </c>
      <c r="F791" s="10"/>
      <c r="G791" s="44"/>
      <c r="H791" s="31"/>
      <c r="I791" s="183"/>
      <c r="J791" s="29"/>
      <c r="K791" s="24"/>
      <c r="L791" s="25"/>
      <c r="M791" s="69"/>
      <c r="N791" s="77"/>
      <c r="O791" s="73"/>
      <c r="P791" s="74"/>
      <c r="Q791" s="74"/>
      <c r="R791" s="75"/>
      <c r="S791" s="61"/>
      <c r="T791" s="60"/>
      <c r="U791" s="74"/>
      <c r="V791" s="76"/>
      <c r="W791" s="24"/>
      <c r="X791" s="25"/>
      <c r="Y791" s="77"/>
      <c r="Z791" s="106"/>
      <c r="AA791" s="73"/>
      <c r="AB791" s="88"/>
      <c r="AC791" s="116"/>
      <c r="AD791" s="74"/>
      <c r="AE791" s="76"/>
      <c r="AF791" s="24"/>
      <c r="AG791" s="25"/>
      <c r="AH791" s="77"/>
      <c r="AI791" s="77"/>
      <c r="AJ791" s="73"/>
      <c r="AK791" s="79"/>
      <c r="AL791" s="79"/>
      <c r="AM791" s="127"/>
      <c r="AN791" s="142"/>
      <c r="AO791" s="142"/>
      <c r="AP791" s="29"/>
      <c r="AQ791" s="24"/>
      <c r="AR791" s="25"/>
      <c r="AS791" s="146"/>
      <c r="AT791" s="10"/>
      <c r="AU791" s="10"/>
      <c r="AV791" s="167"/>
      <c r="AW791" s="168"/>
      <c r="AX791" s="29"/>
      <c r="AY791" s="24"/>
      <c r="AZ791" s="25"/>
      <c r="BA791" s="24"/>
      <c r="BB791" s="169"/>
      <c r="BC791" s="170"/>
      <c r="BD791" s="10">
        <v>62507</v>
      </c>
      <c r="BE791" s="10">
        <v>40000</v>
      </c>
      <c r="BF791" s="10">
        <v>49000</v>
      </c>
      <c r="BG791" s="268">
        <v>48000</v>
      </c>
      <c r="BH791" s="10">
        <v>60000</v>
      </c>
      <c r="BI791" s="76">
        <f t="shared" si="999"/>
        <v>49250</v>
      </c>
      <c r="BJ791" s="24">
        <f t="shared" si="1000"/>
        <v>-13257</v>
      </c>
      <c r="BK791" s="25">
        <f t="shared" si="1001"/>
        <v>-0.21208824611643495</v>
      </c>
      <c r="BL791" s="309">
        <f t="shared" si="1002"/>
        <v>49250</v>
      </c>
      <c r="BM791" s="293"/>
      <c r="BN791" s="293"/>
      <c r="BO791" s="293"/>
      <c r="BP791" s="293"/>
      <c r="BQ791" s="293"/>
      <c r="BR791" s="293"/>
      <c r="BS791" s="293"/>
      <c r="BT791" s="293"/>
    </row>
    <row r="792" spans="1:72" s="1" customFormat="1" ht="35.1" customHeight="1">
      <c r="A792" s="91"/>
      <c r="B792" s="358" t="s">
        <v>2984</v>
      </c>
      <c r="C792" s="50" t="s">
        <v>1915</v>
      </c>
      <c r="D792" s="264" t="s">
        <v>1842</v>
      </c>
      <c r="E792" s="262" t="s">
        <v>827</v>
      </c>
      <c r="F792" s="10"/>
      <c r="G792" s="44"/>
      <c r="H792" s="31"/>
      <c r="I792" s="183"/>
      <c r="J792" s="29"/>
      <c r="K792" s="24"/>
      <c r="L792" s="25"/>
      <c r="M792" s="69"/>
      <c r="N792" s="77"/>
      <c r="O792" s="73"/>
      <c r="P792" s="74"/>
      <c r="Q792" s="74"/>
      <c r="R792" s="75"/>
      <c r="S792" s="61"/>
      <c r="T792" s="60"/>
      <c r="U792" s="74"/>
      <c r="V792" s="76"/>
      <c r="W792" s="24"/>
      <c r="X792" s="25"/>
      <c r="Y792" s="77"/>
      <c r="Z792" s="106"/>
      <c r="AA792" s="73"/>
      <c r="AB792" s="88"/>
      <c r="AC792" s="116"/>
      <c r="AD792" s="74"/>
      <c r="AE792" s="76"/>
      <c r="AF792" s="24"/>
      <c r="AG792" s="25"/>
      <c r="AH792" s="77"/>
      <c r="AI792" s="77"/>
      <c r="AJ792" s="73"/>
      <c r="AK792" s="79"/>
      <c r="AL792" s="79"/>
      <c r="AM792" s="127"/>
      <c r="AN792" s="142"/>
      <c r="AO792" s="142"/>
      <c r="AP792" s="29"/>
      <c r="AQ792" s="24"/>
      <c r="AR792" s="25"/>
      <c r="AS792" s="146"/>
      <c r="AT792" s="10"/>
      <c r="AU792" s="10"/>
      <c r="AV792" s="167"/>
      <c r="AW792" s="168"/>
      <c r="AX792" s="29"/>
      <c r="AY792" s="24"/>
      <c r="AZ792" s="25"/>
      <c r="BA792" s="24"/>
      <c r="BB792" s="169"/>
      <c r="BC792" s="170"/>
      <c r="BD792" s="10">
        <v>8515</v>
      </c>
      <c r="BE792" s="10">
        <v>43000</v>
      </c>
      <c r="BF792" s="10">
        <v>48000</v>
      </c>
      <c r="BG792" s="268">
        <v>50000</v>
      </c>
      <c r="BH792" s="10">
        <v>60000</v>
      </c>
      <c r="BI792" s="76">
        <f t="shared" si="999"/>
        <v>50250</v>
      </c>
      <c r="BJ792" s="24">
        <f t="shared" si="1000"/>
        <v>41735</v>
      </c>
      <c r="BK792" s="25">
        <f t="shared" si="1001"/>
        <v>4.9013505578391072</v>
      </c>
      <c r="BL792" s="309">
        <f t="shared" si="1002"/>
        <v>50250</v>
      </c>
      <c r="BM792" s="293"/>
      <c r="BN792" s="293"/>
      <c r="BO792" s="293"/>
      <c r="BP792" s="293"/>
      <c r="BQ792" s="293"/>
      <c r="BR792" s="293"/>
      <c r="BS792" s="293"/>
      <c r="BT792" s="293"/>
    </row>
    <row r="793" spans="1:72" s="1" customFormat="1" ht="35.1" customHeight="1">
      <c r="A793" s="91"/>
      <c r="B793" s="358" t="s">
        <v>2985</v>
      </c>
      <c r="C793" s="50" t="s">
        <v>1916</v>
      </c>
      <c r="D793" s="264" t="s">
        <v>1843</v>
      </c>
      <c r="E793" s="262" t="s">
        <v>999</v>
      </c>
      <c r="F793" s="10"/>
      <c r="G793" s="44"/>
      <c r="H793" s="31"/>
      <c r="I793" s="183"/>
      <c r="J793" s="29"/>
      <c r="K793" s="24"/>
      <c r="L793" s="25"/>
      <c r="M793" s="69"/>
      <c r="N793" s="77"/>
      <c r="O793" s="73"/>
      <c r="P793" s="74"/>
      <c r="Q793" s="74"/>
      <c r="R793" s="75"/>
      <c r="S793" s="61"/>
      <c r="T793" s="60"/>
      <c r="U793" s="74"/>
      <c r="V793" s="76"/>
      <c r="W793" s="24"/>
      <c r="X793" s="25"/>
      <c r="Y793" s="77"/>
      <c r="Z793" s="106"/>
      <c r="AA793" s="73"/>
      <c r="AB793" s="88"/>
      <c r="AC793" s="116"/>
      <c r="AD793" s="74"/>
      <c r="AE793" s="76"/>
      <c r="AF793" s="24"/>
      <c r="AG793" s="25"/>
      <c r="AH793" s="77"/>
      <c r="AI793" s="77"/>
      <c r="AJ793" s="73"/>
      <c r="AK793" s="79"/>
      <c r="AL793" s="79"/>
      <c r="AM793" s="127"/>
      <c r="AN793" s="142"/>
      <c r="AO793" s="142"/>
      <c r="AP793" s="29"/>
      <c r="AQ793" s="24"/>
      <c r="AR793" s="25"/>
      <c r="AS793" s="146"/>
      <c r="AT793" s="10"/>
      <c r="AU793" s="10"/>
      <c r="AV793" s="167"/>
      <c r="AW793" s="168"/>
      <c r="AX793" s="29"/>
      <c r="AY793" s="24"/>
      <c r="AZ793" s="25"/>
      <c r="BA793" s="24"/>
      <c r="BB793" s="169"/>
      <c r="BC793" s="170"/>
      <c r="BD793" s="10">
        <v>70462</v>
      </c>
      <c r="BE793" s="10">
        <v>90000</v>
      </c>
      <c r="BF793" s="10">
        <v>98000</v>
      </c>
      <c r="BG793" s="268">
        <v>98000</v>
      </c>
      <c r="BH793" s="10">
        <v>100000</v>
      </c>
      <c r="BI793" s="76">
        <f t="shared" si="999"/>
        <v>96500</v>
      </c>
      <c r="BJ793" s="24">
        <f t="shared" si="1000"/>
        <v>26038</v>
      </c>
      <c r="BK793" s="25">
        <f t="shared" si="1001"/>
        <v>0.36953251397916609</v>
      </c>
      <c r="BL793" s="309">
        <f t="shared" si="1002"/>
        <v>96500</v>
      </c>
      <c r="BM793" s="293"/>
      <c r="BN793" s="293"/>
      <c r="BO793" s="293"/>
      <c r="BP793" s="293"/>
      <c r="BQ793" s="293"/>
      <c r="BR793" s="293"/>
      <c r="BS793" s="293"/>
      <c r="BT793" s="293"/>
    </row>
    <row r="794" spans="1:72" s="1" customFormat="1" ht="35.1" customHeight="1">
      <c r="A794" s="91"/>
      <c r="B794" s="358" t="s">
        <v>2986</v>
      </c>
      <c r="C794" s="50" t="s">
        <v>1917</v>
      </c>
      <c r="D794" s="264" t="s">
        <v>1844</v>
      </c>
      <c r="E794" s="262" t="s">
        <v>1457</v>
      </c>
      <c r="F794" s="10"/>
      <c r="G794" s="44"/>
      <c r="H794" s="31"/>
      <c r="I794" s="183"/>
      <c r="J794" s="29"/>
      <c r="K794" s="24"/>
      <c r="L794" s="25"/>
      <c r="M794" s="69"/>
      <c r="N794" s="77"/>
      <c r="O794" s="73"/>
      <c r="P794" s="74"/>
      <c r="Q794" s="74"/>
      <c r="R794" s="75"/>
      <c r="S794" s="61"/>
      <c r="T794" s="60"/>
      <c r="U794" s="74"/>
      <c r="V794" s="76"/>
      <c r="W794" s="24"/>
      <c r="X794" s="25"/>
      <c r="Y794" s="77"/>
      <c r="Z794" s="106"/>
      <c r="AA794" s="73"/>
      <c r="AB794" s="88"/>
      <c r="AC794" s="116"/>
      <c r="AD794" s="74"/>
      <c r="AE794" s="76"/>
      <c r="AF794" s="24"/>
      <c r="AG794" s="25"/>
      <c r="AH794" s="77"/>
      <c r="AI794" s="77"/>
      <c r="AJ794" s="73"/>
      <c r="AK794" s="79"/>
      <c r="AL794" s="79"/>
      <c r="AM794" s="127"/>
      <c r="AN794" s="142"/>
      <c r="AO794" s="142"/>
      <c r="AP794" s="29"/>
      <c r="AQ794" s="24"/>
      <c r="AR794" s="25"/>
      <c r="AS794" s="146"/>
      <c r="AT794" s="10"/>
      <c r="AU794" s="10"/>
      <c r="AV794" s="167"/>
      <c r="AW794" s="168"/>
      <c r="AX794" s="29"/>
      <c r="AY794" s="24"/>
      <c r="AZ794" s="25"/>
      <c r="BA794" s="24"/>
      <c r="BB794" s="169"/>
      <c r="BC794" s="170"/>
      <c r="BD794" s="10">
        <v>16783</v>
      </c>
      <c r="BE794" s="10">
        <v>190000</v>
      </c>
      <c r="BF794" s="10">
        <v>2200</v>
      </c>
      <c r="BG794" s="268">
        <v>205000</v>
      </c>
      <c r="BH794" s="10">
        <v>190000</v>
      </c>
      <c r="BI794" s="76">
        <f t="shared" si="999"/>
        <v>146800</v>
      </c>
      <c r="BJ794" s="24">
        <f t="shared" si="1000"/>
        <v>130017</v>
      </c>
      <c r="BK794" s="25">
        <f t="shared" si="1001"/>
        <v>7.7469463147232318</v>
      </c>
      <c r="BL794" s="309">
        <f t="shared" si="1002"/>
        <v>146800</v>
      </c>
      <c r="BM794" s="293"/>
      <c r="BN794" s="293"/>
      <c r="BO794" s="293"/>
      <c r="BP794" s="293"/>
      <c r="BQ794" s="293"/>
      <c r="BR794" s="293"/>
      <c r="BS794" s="293"/>
      <c r="BT794" s="293"/>
    </row>
    <row r="795" spans="1:72" s="1" customFormat="1" ht="35.1" customHeight="1">
      <c r="A795" s="91"/>
      <c r="B795" s="358" t="s">
        <v>2987</v>
      </c>
      <c r="C795" s="50" t="s">
        <v>1918</v>
      </c>
      <c r="D795" s="264" t="s">
        <v>1845</v>
      </c>
      <c r="E795" s="262" t="s">
        <v>1399</v>
      </c>
      <c r="F795" s="10"/>
      <c r="G795" s="44"/>
      <c r="H795" s="31"/>
      <c r="I795" s="183"/>
      <c r="J795" s="29"/>
      <c r="K795" s="24"/>
      <c r="L795" s="25"/>
      <c r="M795" s="69"/>
      <c r="N795" s="77"/>
      <c r="O795" s="73"/>
      <c r="P795" s="74"/>
      <c r="Q795" s="74"/>
      <c r="R795" s="75"/>
      <c r="S795" s="61"/>
      <c r="T795" s="60"/>
      <c r="U795" s="74"/>
      <c r="V795" s="76"/>
      <c r="W795" s="24"/>
      <c r="X795" s="25"/>
      <c r="Y795" s="77"/>
      <c r="Z795" s="106"/>
      <c r="AA795" s="73"/>
      <c r="AB795" s="88"/>
      <c r="AC795" s="116"/>
      <c r="AD795" s="74"/>
      <c r="AE795" s="76"/>
      <c r="AF795" s="24"/>
      <c r="AG795" s="25"/>
      <c r="AH795" s="77"/>
      <c r="AI795" s="77"/>
      <c r="AJ795" s="73"/>
      <c r="AK795" s="79"/>
      <c r="AL795" s="79"/>
      <c r="AM795" s="127"/>
      <c r="AN795" s="142"/>
      <c r="AO795" s="142"/>
      <c r="AP795" s="29"/>
      <c r="AQ795" s="24"/>
      <c r="AR795" s="25"/>
      <c r="AS795" s="146"/>
      <c r="AT795" s="10"/>
      <c r="AU795" s="10"/>
      <c r="AV795" s="167"/>
      <c r="AW795" s="168"/>
      <c r="AX795" s="29"/>
      <c r="AY795" s="24"/>
      <c r="AZ795" s="25"/>
      <c r="BA795" s="24"/>
      <c r="BB795" s="169"/>
      <c r="BC795" s="170"/>
      <c r="BD795" s="10">
        <v>18349</v>
      </c>
      <c r="BE795" s="10">
        <v>160000</v>
      </c>
      <c r="BF795" s="10">
        <v>180000</v>
      </c>
      <c r="BG795" s="268">
        <v>175000</v>
      </c>
      <c r="BH795" s="10">
        <v>185000</v>
      </c>
      <c r="BI795" s="76">
        <f t="shared" si="999"/>
        <v>175000</v>
      </c>
      <c r="BJ795" s="24">
        <f t="shared" si="1000"/>
        <v>156651</v>
      </c>
      <c r="BK795" s="25">
        <f t="shared" si="1001"/>
        <v>8.5373044852580531</v>
      </c>
      <c r="BL795" s="309">
        <f t="shared" si="1002"/>
        <v>175000</v>
      </c>
      <c r="BM795" s="293"/>
      <c r="BN795" s="293"/>
      <c r="BO795" s="293"/>
      <c r="BP795" s="293"/>
      <c r="BQ795" s="293"/>
      <c r="BR795" s="293"/>
      <c r="BS795" s="293"/>
      <c r="BT795" s="293"/>
    </row>
    <row r="796" spans="1:72" s="1" customFormat="1" ht="35.1" customHeight="1">
      <c r="A796" s="91"/>
      <c r="B796" s="358" t="s">
        <v>2988</v>
      </c>
      <c r="C796" s="50" t="s">
        <v>1919</v>
      </c>
      <c r="D796" s="264" t="s">
        <v>1846</v>
      </c>
      <c r="E796" s="262" t="s">
        <v>999</v>
      </c>
      <c r="F796" s="10"/>
      <c r="G796" s="44"/>
      <c r="H796" s="31"/>
      <c r="I796" s="183"/>
      <c r="J796" s="29"/>
      <c r="K796" s="24"/>
      <c r="L796" s="25"/>
      <c r="M796" s="69"/>
      <c r="N796" s="77"/>
      <c r="O796" s="73"/>
      <c r="P796" s="74"/>
      <c r="Q796" s="74"/>
      <c r="R796" s="75"/>
      <c r="S796" s="61"/>
      <c r="T796" s="60"/>
      <c r="U796" s="74"/>
      <c r="V796" s="76"/>
      <c r="W796" s="24"/>
      <c r="X796" s="25"/>
      <c r="Y796" s="77"/>
      <c r="Z796" s="106"/>
      <c r="AA796" s="73"/>
      <c r="AB796" s="88"/>
      <c r="AC796" s="116"/>
      <c r="AD796" s="74"/>
      <c r="AE796" s="76"/>
      <c r="AF796" s="24"/>
      <c r="AG796" s="25"/>
      <c r="AH796" s="77"/>
      <c r="AI796" s="77"/>
      <c r="AJ796" s="73"/>
      <c r="AK796" s="79"/>
      <c r="AL796" s="79"/>
      <c r="AM796" s="127"/>
      <c r="AN796" s="142"/>
      <c r="AO796" s="142"/>
      <c r="AP796" s="29"/>
      <c r="AQ796" s="24"/>
      <c r="AR796" s="25"/>
      <c r="AS796" s="146"/>
      <c r="AT796" s="10"/>
      <c r="AU796" s="10"/>
      <c r="AV796" s="167"/>
      <c r="AW796" s="168"/>
      <c r="AX796" s="29"/>
      <c r="AY796" s="24"/>
      <c r="AZ796" s="25"/>
      <c r="BA796" s="24"/>
      <c r="BB796" s="169"/>
      <c r="BC796" s="170"/>
      <c r="BD796" s="10">
        <v>104274</v>
      </c>
      <c r="BE796" s="10">
        <v>250000</v>
      </c>
      <c r="BF796" s="10">
        <v>280000</v>
      </c>
      <c r="BG796" s="268">
        <v>265000</v>
      </c>
      <c r="BH796" s="10">
        <v>250000</v>
      </c>
      <c r="BI796" s="76">
        <f t="shared" si="999"/>
        <v>261250</v>
      </c>
      <c r="BJ796" s="24">
        <f t="shared" si="1000"/>
        <v>156976</v>
      </c>
      <c r="BK796" s="25">
        <f t="shared" si="1001"/>
        <v>1.5054184168632641</v>
      </c>
      <c r="BL796" s="309">
        <f t="shared" si="1002"/>
        <v>261250</v>
      </c>
      <c r="BM796" s="293"/>
      <c r="BN796" s="293"/>
      <c r="BO796" s="293"/>
      <c r="BP796" s="293"/>
      <c r="BQ796" s="293"/>
      <c r="BR796" s="293"/>
      <c r="BS796" s="293"/>
      <c r="BT796" s="293"/>
    </row>
    <row r="797" spans="1:72" s="1" customFormat="1" ht="35.1" customHeight="1">
      <c r="A797" s="91"/>
      <c r="B797" s="358" t="s">
        <v>2989</v>
      </c>
      <c r="C797" s="50" t="s">
        <v>1920</v>
      </c>
      <c r="D797" s="264" t="s">
        <v>1847</v>
      </c>
      <c r="E797" s="262" t="s">
        <v>999</v>
      </c>
      <c r="F797" s="10"/>
      <c r="G797" s="44"/>
      <c r="H797" s="31"/>
      <c r="I797" s="183"/>
      <c r="J797" s="29"/>
      <c r="K797" s="24"/>
      <c r="L797" s="25"/>
      <c r="M797" s="69"/>
      <c r="N797" s="77"/>
      <c r="O797" s="73"/>
      <c r="P797" s="74"/>
      <c r="Q797" s="74"/>
      <c r="R797" s="75"/>
      <c r="S797" s="61"/>
      <c r="T797" s="60"/>
      <c r="U797" s="74"/>
      <c r="V797" s="76"/>
      <c r="W797" s="24"/>
      <c r="X797" s="25"/>
      <c r="Y797" s="77"/>
      <c r="Z797" s="106"/>
      <c r="AA797" s="73"/>
      <c r="AB797" s="88"/>
      <c r="AC797" s="116"/>
      <c r="AD797" s="74"/>
      <c r="AE797" s="76"/>
      <c r="AF797" s="24"/>
      <c r="AG797" s="25"/>
      <c r="AH797" s="77"/>
      <c r="AI797" s="77"/>
      <c r="AJ797" s="73"/>
      <c r="AK797" s="79"/>
      <c r="AL797" s="79"/>
      <c r="AM797" s="127"/>
      <c r="AN797" s="142"/>
      <c r="AO797" s="142"/>
      <c r="AP797" s="29"/>
      <c r="AQ797" s="24"/>
      <c r="AR797" s="25"/>
      <c r="AS797" s="146"/>
      <c r="AT797" s="10"/>
      <c r="AU797" s="10"/>
      <c r="AV797" s="167"/>
      <c r="AW797" s="168"/>
      <c r="AX797" s="29"/>
      <c r="AY797" s="24"/>
      <c r="AZ797" s="25"/>
      <c r="BA797" s="24"/>
      <c r="BB797" s="169"/>
      <c r="BC797" s="170"/>
      <c r="BD797" s="10">
        <v>37021</v>
      </c>
      <c r="BE797" s="10">
        <v>340000</v>
      </c>
      <c r="BF797" s="10">
        <v>390000</v>
      </c>
      <c r="BG797" s="268">
        <v>370000</v>
      </c>
      <c r="BH797" s="10">
        <v>350000</v>
      </c>
      <c r="BI797" s="76">
        <f t="shared" si="999"/>
        <v>362500</v>
      </c>
      <c r="BJ797" s="24">
        <f t="shared" si="1000"/>
        <v>325479</v>
      </c>
      <c r="BK797" s="25">
        <f t="shared" si="1001"/>
        <v>8.7917398233435069</v>
      </c>
      <c r="BL797" s="309">
        <f t="shared" si="1002"/>
        <v>362500</v>
      </c>
      <c r="BM797" s="293"/>
      <c r="BN797" s="293"/>
      <c r="BO797" s="293"/>
      <c r="BP797" s="293"/>
      <c r="BQ797" s="293"/>
      <c r="BR797" s="293"/>
      <c r="BS797" s="293"/>
      <c r="BT797" s="293"/>
    </row>
    <row r="798" spans="1:72" s="1" customFormat="1" ht="35.1" customHeight="1">
      <c r="A798" s="91"/>
      <c r="B798" s="358" t="s">
        <v>2990</v>
      </c>
      <c r="C798" s="50" t="s">
        <v>1921</v>
      </c>
      <c r="D798" s="264" t="s">
        <v>1848</v>
      </c>
      <c r="E798" s="262" t="s">
        <v>999</v>
      </c>
      <c r="F798" s="10"/>
      <c r="G798" s="44"/>
      <c r="H798" s="31"/>
      <c r="I798" s="183"/>
      <c r="J798" s="29"/>
      <c r="K798" s="24"/>
      <c r="L798" s="25"/>
      <c r="M798" s="69"/>
      <c r="N798" s="77"/>
      <c r="O798" s="73"/>
      <c r="P798" s="74"/>
      <c r="Q798" s="74"/>
      <c r="R798" s="75"/>
      <c r="S798" s="61"/>
      <c r="T798" s="60"/>
      <c r="U798" s="74"/>
      <c r="V798" s="76"/>
      <c r="W798" s="24"/>
      <c r="X798" s="25"/>
      <c r="Y798" s="77"/>
      <c r="Z798" s="106"/>
      <c r="AA798" s="73"/>
      <c r="AB798" s="88"/>
      <c r="AC798" s="116"/>
      <c r="AD798" s="74"/>
      <c r="AE798" s="76"/>
      <c r="AF798" s="24"/>
      <c r="AG798" s="25"/>
      <c r="AH798" s="77"/>
      <c r="AI798" s="77"/>
      <c r="AJ798" s="73"/>
      <c r="AK798" s="79"/>
      <c r="AL798" s="79"/>
      <c r="AM798" s="127"/>
      <c r="AN798" s="142"/>
      <c r="AO798" s="142"/>
      <c r="AP798" s="29"/>
      <c r="AQ798" s="24"/>
      <c r="AR798" s="25"/>
      <c r="AS798" s="146"/>
      <c r="AT798" s="10"/>
      <c r="AU798" s="10"/>
      <c r="AV798" s="167"/>
      <c r="AW798" s="168"/>
      <c r="AX798" s="29"/>
      <c r="AY798" s="24"/>
      <c r="AZ798" s="25"/>
      <c r="BA798" s="24"/>
      <c r="BB798" s="169"/>
      <c r="BC798" s="170"/>
      <c r="BD798" s="10">
        <v>56821</v>
      </c>
      <c r="BE798" s="10">
        <v>90000</v>
      </c>
      <c r="BF798" s="10">
        <v>120000</v>
      </c>
      <c r="BG798" s="268">
        <v>110000</v>
      </c>
      <c r="BH798" s="10">
        <v>120000</v>
      </c>
      <c r="BI798" s="76">
        <f t="shared" si="999"/>
        <v>110000</v>
      </c>
      <c r="BJ798" s="24">
        <f t="shared" si="1000"/>
        <v>53179</v>
      </c>
      <c r="BK798" s="25">
        <f t="shared" si="1001"/>
        <v>0.93590397916263357</v>
      </c>
      <c r="BL798" s="309">
        <f t="shared" si="1002"/>
        <v>110000</v>
      </c>
      <c r="BM798" s="293"/>
      <c r="BN798" s="293"/>
      <c r="BO798" s="293"/>
      <c r="BP798" s="293"/>
      <c r="BQ798" s="293"/>
      <c r="BR798" s="293"/>
      <c r="BS798" s="293"/>
      <c r="BT798" s="293"/>
    </row>
    <row r="799" spans="1:72" s="1" customFormat="1" ht="35.1" customHeight="1">
      <c r="A799" s="91"/>
      <c r="B799" s="358" t="s">
        <v>2991</v>
      </c>
      <c r="C799" s="50" t="s">
        <v>1922</v>
      </c>
      <c r="D799" s="264" t="s">
        <v>1849</v>
      </c>
      <c r="E799" s="262" t="s">
        <v>999</v>
      </c>
      <c r="F799" s="10"/>
      <c r="G799" s="44"/>
      <c r="H799" s="31"/>
      <c r="I799" s="183"/>
      <c r="J799" s="29"/>
      <c r="K799" s="24"/>
      <c r="L799" s="25"/>
      <c r="M799" s="69"/>
      <c r="N799" s="77"/>
      <c r="O799" s="73"/>
      <c r="P799" s="74"/>
      <c r="Q799" s="74"/>
      <c r="R799" s="75"/>
      <c r="S799" s="61"/>
      <c r="T799" s="60"/>
      <c r="U799" s="74"/>
      <c r="V799" s="76"/>
      <c r="W799" s="24"/>
      <c r="X799" s="25"/>
      <c r="Y799" s="77"/>
      <c r="Z799" s="106"/>
      <c r="AA799" s="73"/>
      <c r="AB799" s="88"/>
      <c r="AC799" s="116"/>
      <c r="AD799" s="74"/>
      <c r="AE799" s="76"/>
      <c r="AF799" s="24"/>
      <c r="AG799" s="25"/>
      <c r="AH799" s="77"/>
      <c r="AI799" s="77"/>
      <c r="AJ799" s="73"/>
      <c r="AK799" s="79"/>
      <c r="AL799" s="79"/>
      <c r="AM799" s="127"/>
      <c r="AN799" s="142"/>
      <c r="AO799" s="142"/>
      <c r="AP799" s="29"/>
      <c r="AQ799" s="24"/>
      <c r="AR799" s="25"/>
      <c r="AS799" s="146"/>
      <c r="AT799" s="10"/>
      <c r="AU799" s="10"/>
      <c r="AV799" s="167"/>
      <c r="AW799" s="168"/>
      <c r="AX799" s="29"/>
      <c r="AY799" s="24"/>
      <c r="AZ799" s="25"/>
      <c r="BA799" s="24"/>
      <c r="BB799" s="169"/>
      <c r="BC799" s="170"/>
      <c r="BD799" s="10">
        <v>56821</v>
      </c>
      <c r="BE799" s="10">
        <v>90000</v>
      </c>
      <c r="BF799" s="10">
        <v>120000</v>
      </c>
      <c r="BG799" s="268">
        <v>110000</v>
      </c>
      <c r="BH799" s="10">
        <v>120000</v>
      </c>
      <c r="BI799" s="76">
        <f t="shared" si="999"/>
        <v>110000</v>
      </c>
      <c r="BJ799" s="24">
        <f t="shared" si="1000"/>
        <v>53179</v>
      </c>
      <c r="BK799" s="25">
        <f t="shared" si="1001"/>
        <v>0.93590397916263357</v>
      </c>
      <c r="BL799" s="309">
        <f t="shared" si="1002"/>
        <v>110000</v>
      </c>
      <c r="BM799" s="293"/>
      <c r="BN799" s="293"/>
      <c r="BO799" s="293"/>
      <c r="BP799" s="293"/>
      <c r="BQ799" s="293"/>
      <c r="BR799" s="293"/>
      <c r="BS799" s="293"/>
      <c r="BT799" s="293"/>
    </row>
    <row r="800" spans="1:72" s="1" customFormat="1" ht="35.1" customHeight="1">
      <c r="A800" s="91"/>
      <c r="B800" s="358" t="s">
        <v>2992</v>
      </c>
      <c r="C800" s="50" t="s">
        <v>1923</v>
      </c>
      <c r="D800" s="264" t="s">
        <v>1850</v>
      </c>
      <c r="E800" s="262" t="s">
        <v>999</v>
      </c>
      <c r="F800" s="10"/>
      <c r="G800" s="44"/>
      <c r="H800" s="31"/>
      <c r="I800" s="183"/>
      <c r="J800" s="29"/>
      <c r="K800" s="24"/>
      <c r="L800" s="25"/>
      <c r="M800" s="69"/>
      <c r="N800" s="77"/>
      <c r="O800" s="73"/>
      <c r="P800" s="74"/>
      <c r="Q800" s="74"/>
      <c r="R800" s="75"/>
      <c r="S800" s="61"/>
      <c r="T800" s="60"/>
      <c r="U800" s="74"/>
      <c r="V800" s="76"/>
      <c r="W800" s="24"/>
      <c r="X800" s="25"/>
      <c r="Y800" s="77"/>
      <c r="Z800" s="106"/>
      <c r="AA800" s="73"/>
      <c r="AB800" s="88"/>
      <c r="AC800" s="116"/>
      <c r="AD800" s="74"/>
      <c r="AE800" s="76"/>
      <c r="AF800" s="24"/>
      <c r="AG800" s="25"/>
      <c r="AH800" s="77"/>
      <c r="AI800" s="77"/>
      <c r="AJ800" s="73"/>
      <c r="AK800" s="79"/>
      <c r="AL800" s="79"/>
      <c r="AM800" s="127"/>
      <c r="AN800" s="142"/>
      <c r="AO800" s="142"/>
      <c r="AP800" s="29"/>
      <c r="AQ800" s="24"/>
      <c r="AR800" s="25"/>
      <c r="AS800" s="146"/>
      <c r="AT800" s="10"/>
      <c r="AU800" s="10"/>
      <c r="AV800" s="167"/>
      <c r="AW800" s="168"/>
      <c r="AX800" s="29"/>
      <c r="AY800" s="24"/>
      <c r="AZ800" s="25"/>
      <c r="BA800" s="24"/>
      <c r="BB800" s="169"/>
      <c r="BC800" s="170"/>
      <c r="BD800" s="10">
        <v>3119091</v>
      </c>
      <c r="BE800" s="10">
        <v>6250000</v>
      </c>
      <c r="BF800" s="10">
        <v>52000</v>
      </c>
      <c r="BG800" s="268">
        <v>6500</v>
      </c>
      <c r="BH800" s="10">
        <v>6250000</v>
      </c>
      <c r="BI800" s="76">
        <f t="shared" si="999"/>
        <v>3139625</v>
      </c>
      <c r="BJ800" s="24">
        <f t="shared" si="1000"/>
        <v>20534</v>
      </c>
      <c r="BK800" s="25">
        <f t="shared" si="1001"/>
        <v>6.5833282837852438E-3</v>
      </c>
      <c r="BL800" s="309">
        <f t="shared" si="1002"/>
        <v>3139625</v>
      </c>
      <c r="BM800" s="293"/>
      <c r="BN800" s="293"/>
      <c r="BO800" s="293"/>
      <c r="BP800" s="293"/>
      <c r="BQ800" s="293"/>
      <c r="BR800" s="293"/>
      <c r="BS800" s="293"/>
      <c r="BT800" s="293"/>
    </row>
    <row r="801" spans="1:72" s="1" customFormat="1" ht="35.1" customHeight="1">
      <c r="A801" s="91"/>
      <c r="B801" s="358" t="s">
        <v>2993</v>
      </c>
      <c r="C801" s="50" t="s">
        <v>1924</v>
      </c>
      <c r="D801" s="264" t="s">
        <v>1851</v>
      </c>
      <c r="E801" s="262" t="s">
        <v>999</v>
      </c>
      <c r="F801" s="10"/>
      <c r="G801" s="44"/>
      <c r="H801" s="31"/>
      <c r="I801" s="183"/>
      <c r="J801" s="29"/>
      <c r="K801" s="24"/>
      <c r="L801" s="25"/>
      <c r="M801" s="69"/>
      <c r="N801" s="77"/>
      <c r="O801" s="73"/>
      <c r="P801" s="74"/>
      <c r="Q801" s="74"/>
      <c r="R801" s="75"/>
      <c r="S801" s="61"/>
      <c r="T801" s="60"/>
      <c r="U801" s="74"/>
      <c r="V801" s="76"/>
      <c r="W801" s="24"/>
      <c r="X801" s="25"/>
      <c r="Y801" s="77"/>
      <c r="Z801" s="106"/>
      <c r="AA801" s="73"/>
      <c r="AB801" s="88"/>
      <c r="AC801" s="116"/>
      <c r="AD801" s="74"/>
      <c r="AE801" s="76"/>
      <c r="AF801" s="24"/>
      <c r="AG801" s="25"/>
      <c r="AH801" s="77"/>
      <c r="AI801" s="77"/>
      <c r="AJ801" s="73"/>
      <c r="AK801" s="79"/>
      <c r="AL801" s="79"/>
      <c r="AM801" s="127"/>
      <c r="AN801" s="142"/>
      <c r="AO801" s="142"/>
      <c r="AP801" s="29"/>
      <c r="AQ801" s="24"/>
      <c r="AR801" s="25"/>
      <c r="AS801" s="146"/>
      <c r="AT801" s="10"/>
      <c r="AU801" s="10"/>
      <c r="AV801" s="167"/>
      <c r="AW801" s="168"/>
      <c r="AX801" s="29"/>
      <c r="AY801" s="24"/>
      <c r="AZ801" s="25"/>
      <c r="BA801" s="24"/>
      <c r="BB801" s="169"/>
      <c r="BC801" s="170"/>
      <c r="BD801" s="10">
        <v>29569</v>
      </c>
      <c r="BE801" s="10">
        <v>40000</v>
      </c>
      <c r="BF801" s="10">
        <v>52000</v>
      </c>
      <c r="BG801" s="268">
        <v>48000</v>
      </c>
      <c r="BH801" s="10">
        <v>45000</v>
      </c>
      <c r="BI801" s="76">
        <f t="shared" si="999"/>
        <v>46250</v>
      </c>
      <c r="BJ801" s="24">
        <f t="shared" si="1000"/>
        <v>16681</v>
      </c>
      <c r="BK801" s="25">
        <f t="shared" si="1001"/>
        <v>0.56413811762318644</v>
      </c>
      <c r="BL801" s="309">
        <f t="shared" si="1002"/>
        <v>46250</v>
      </c>
      <c r="BM801" s="293"/>
      <c r="BN801" s="293"/>
      <c r="BO801" s="293"/>
      <c r="BP801" s="293"/>
      <c r="BQ801" s="293"/>
      <c r="BR801" s="293"/>
      <c r="BS801" s="293"/>
      <c r="BT801" s="293"/>
    </row>
    <row r="802" spans="1:72" s="1" customFormat="1" ht="35.1" customHeight="1">
      <c r="A802" s="91"/>
      <c r="B802" s="358" t="s">
        <v>2994</v>
      </c>
      <c r="C802" s="50" t="s">
        <v>1925</v>
      </c>
      <c r="D802" s="264" t="s">
        <v>1852</v>
      </c>
      <c r="E802" s="262" t="s">
        <v>999</v>
      </c>
      <c r="F802" s="10"/>
      <c r="G802" s="44"/>
      <c r="H802" s="31"/>
      <c r="I802" s="183"/>
      <c r="J802" s="29"/>
      <c r="K802" s="24"/>
      <c r="L802" s="25"/>
      <c r="M802" s="69"/>
      <c r="N802" s="77"/>
      <c r="O802" s="73"/>
      <c r="P802" s="74"/>
      <c r="Q802" s="74"/>
      <c r="R802" s="75"/>
      <c r="S802" s="61"/>
      <c r="T802" s="60"/>
      <c r="U802" s="74"/>
      <c r="V802" s="76"/>
      <c r="W802" s="24"/>
      <c r="X802" s="25"/>
      <c r="Y802" s="77"/>
      <c r="Z802" s="106"/>
      <c r="AA802" s="73"/>
      <c r="AB802" s="88"/>
      <c r="AC802" s="116"/>
      <c r="AD802" s="74"/>
      <c r="AE802" s="76"/>
      <c r="AF802" s="24"/>
      <c r="AG802" s="25"/>
      <c r="AH802" s="77"/>
      <c r="AI802" s="77"/>
      <c r="AJ802" s="73"/>
      <c r="AK802" s="79"/>
      <c r="AL802" s="79"/>
      <c r="AM802" s="127"/>
      <c r="AN802" s="142"/>
      <c r="AO802" s="142"/>
      <c r="AP802" s="29"/>
      <c r="AQ802" s="24"/>
      <c r="AR802" s="25"/>
      <c r="AS802" s="146"/>
      <c r="AT802" s="10"/>
      <c r="AU802" s="10"/>
      <c r="AV802" s="167"/>
      <c r="AW802" s="168"/>
      <c r="AX802" s="29"/>
      <c r="AY802" s="24"/>
      <c r="AZ802" s="25"/>
      <c r="BA802" s="24"/>
      <c r="BB802" s="169"/>
      <c r="BC802" s="170"/>
      <c r="BD802" s="10">
        <v>5192</v>
      </c>
      <c r="BE802" s="10">
        <v>19000</v>
      </c>
      <c r="BF802" s="10">
        <v>28000</v>
      </c>
      <c r="BG802" s="268">
        <v>25000</v>
      </c>
      <c r="BH802" s="10">
        <v>20000</v>
      </c>
      <c r="BI802" s="76">
        <f t="shared" si="999"/>
        <v>23000</v>
      </c>
      <c r="BJ802" s="24">
        <f t="shared" si="1000"/>
        <v>17808</v>
      </c>
      <c r="BK802" s="25">
        <f t="shared" si="1001"/>
        <v>3.4298921417565484</v>
      </c>
      <c r="BL802" s="309">
        <f t="shared" si="1002"/>
        <v>23000</v>
      </c>
      <c r="BM802" s="293"/>
      <c r="BN802" s="293"/>
      <c r="BO802" s="293"/>
      <c r="BP802" s="293"/>
      <c r="BQ802" s="293"/>
      <c r="BR802" s="293"/>
      <c r="BS802" s="293"/>
      <c r="BT802" s="293"/>
    </row>
    <row r="803" spans="1:72" s="1" customFormat="1" ht="35.1" customHeight="1">
      <c r="A803" s="91"/>
      <c r="B803" s="358" t="s">
        <v>2995</v>
      </c>
      <c r="C803" s="50" t="s">
        <v>1926</v>
      </c>
      <c r="D803" s="264" t="s">
        <v>1853</v>
      </c>
      <c r="E803" s="262" t="s">
        <v>1399</v>
      </c>
      <c r="F803" s="10"/>
      <c r="G803" s="44"/>
      <c r="H803" s="31"/>
      <c r="I803" s="183"/>
      <c r="J803" s="29"/>
      <c r="K803" s="24"/>
      <c r="L803" s="25"/>
      <c r="M803" s="69"/>
      <c r="N803" s="77"/>
      <c r="O803" s="73"/>
      <c r="P803" s="74"/>
      <c r="Q803" s="74"/>
      <c r="R803" s="75"/>
      <c r="S803" s="61"/>
      <c r="T803" s="60"/>
      <c r="U803" s="74"/>
      <c r="V803" s="76"/>
      <c r="W803" s="24"/>
      <c r="X803" s="25"/>
      <c r="Y803" s="77"/>
      <c r="Z803" s="106"/>
      <c r="AA803" s="73"/>
      <c r="AB803" s="88"/>
      <c r="AC803" s="116"/>
      <c r="AD803" s="74"/>
      <c r="AE803" s="76"/>
      <c r="AF803" s="24"/>
      <c r="AG803" s="25"/>
      <c r="AH803" s="77"/>
      <c r="AI803" s="77"/>
      <c r="AJ803" s="73"/>
      <c r="AK803" s="79"/>
      <c r="AL803" s="79"/>
      <c r="AM803" s="127"/>
      <c r="AN803" s="142"/>
      <c r="AO803" s="142"/>
      <c r="AP803" s="29"/>
      <c r="AQ803" s="24"/>
      <c r="AR803" s="25"/>
      <c r="AS803" s="146"/>
      <c r="AT803" s="10"/>
      <c r="AU803" s="10"/>
      <c r="AV803" s="167"/>
      <c r="AW803" s="168"/>
      <c r="AX803" s="29"/>
      <c r="AY803" s="24"/>
      <c r="AZ803" s="25"/>
      <c r="BA803" s="24"/>
      <c r="BB803" s="169"/>
      <c r="BC803" s="170"/>
      <c r="BD803" s="10">
        <v>77762</v>
      </c>
      <c r="BE803" s="10">
        <v>93000</v>
      </c>
      <c r="BF803" s="10">
        <v>110000</v>
      </c>
      <c r="BG803" s="268">
        <v>100000</v>
      </c>
      <c r="BH803" s="10">
        <v>100000</v>
      </c>
      <c r="BI803" s="76">
        <f t="shared" si="999"/>
        <v>100750</v>
      </c>
      <c r="BJ803" s="24">
        <f t="shared" si="1000"/>
        <v>22988</v>
      </c>
      <c r="BK803" s="25">
        <f t="shared" si="1001"/>
        <v>0.29561996862220624</v>
      </c>
      <c r="BL803" s="309">
        <f t="shared" si="1002"/>
        <v>100750</v>
      </c>
      <c r="BM803" s="293"/>
      <c r="BN803" s="293"/>
      <c r="BO803" s="293"/>
      <c r="BP803" s="293"/>
      <c r="BQ803" s="293"/>
      <c r="BR803" s="293"/>
      <c r="BS803" s="293"/>
      <c r="BT803" s="293"/>
    </row>
    <row r="804" spans="1:72" s="1" customFormat="1" ht="35.1" customHeight="1">
      <c r="A804" s="91"/>
      <c r="B804" s="358" t="s">
        <v>2996</v>
      </c>
      <c r="C804" s="50" t="s">
        <v>1927</v>
      </c>
      <c r="D804" s="264" t="s">
        <v>1854</v>
      </c>
      <c r="E804" s="262" t="s">
        <v>999</v>
      </c>
      <c r="F804" s="10"/>
      <c r="G804" s="44"/>
      <c r="H804" s="31"/>
      <c r="I804" s="183"/>
      <c r="J804" s="29"/>
      <c r="K804" s="24"/>
      <c r="L804" s="25"/>
      <c r="M804" s="69"/>
      <c r="N804" s="77"/>
      <c r="O804" s="73"/>
      <c r="P804" s="74"/>
      <c r="Q804" s="74"/>
      <c r="R804" s="75"/>
      <c r="S804" s="61"/>
      <c r="T804" s="60"/>
      <c r="U804" s="74"/>
      <c r="V804" s="76"/>
      <c r="W804" s="24"/>
      <c r="X804" s="25"/>
      <c r="Y804" s="77"/>
      <c r="Z804" s="106"/>
      <c r="AA804" s="73"/>
      <c r="AB804" s="88"/>
      <c r="AC804" s="116"/>
      <c r="AD804" s="74"/>
      <c r="AE804" s="76"/>
      <c r="AF804" s="24"/>
      <c r="AG804" s="25"/>
      <c r="AH804" s="77"/>
      <c r="AI804" s="77"/>
      <c r="AJ804" s="73"/>
      <c r="AK804" s="79"/>
      <c r="AL804" s="79"/>
      <c r="AM804" s="127"/>
      <c r="AN804" s="142"/>
      <c r="AO804" s="142"/>
      <c r="AP804" s="29"/>
      <c r="AQ804" s="24"/>
      <c r="AR804" s="25"/>
      <c r="AS804" s="146"/>
      <c r="AT804" s="10"/>
      <c r="AU804" s="10"/>
      <c r="AV804" s="167"/>
      <c r="AW804" s="168"/>
      <c r="AX804" s="29"/>
      <c r="AY804" s="24"/>
      <c r="AZ804" s="25"/>
      <c r="BA804" s="24"/>
      <c r="BB804" s="169"/>
      <c r="BC804" s="170"/>
      <c r="BD804" s="10">
        <v>85479</v>
      </c>
      <c r="BE804" s="10">
        <v>90000</v>
      </c>
      <c r="BF804" s="10">
        <v>110000</v>
      </c>
      <c r="BG804" s="268">
        <v>100000</v>
      </c>
      <c r="BH804" s="10">
        <v>120000</v>
      </c>
      <c r="BI804" s="76">
        <f t="shared" si="999"/>
        <v>105000</v>
      </c>
      <c r="BJ804" s="24">
        <f t="shared" si="1000"/>
        <v>19521</v>
      </c>
      <c r="BK804" s="25">
        <f t="shared" si="1001"/>
        <v>0.22837188081283122</v>
      </c>
      <c r="BL804" s="309">
        <f t="shared" si="1002"/>
        <v>105000</v>
      </c>
      <c r="BM804" s="293"/>
      <c r="BN804" s="293"/>
      <c r="BO804" s="293"/>
      <c r="BP804" s="293"/>
      <c r="BQ804" s="293"/>
      <c r="BR804" s="293"/>
      <c r="BS804" s="293"/>
      <c r="BT804" s="293"/>
    </row>
    <row r="805" spans="1:72" s="1" customFormat="1" ht="35.1" customHeight="1">
      <c r="A805" s="91"/>
      <c r="B805" s="358" t="s">
        <v>2997</v>
      </c>
      <c r="C805" s="50" t="s">
        <v>1928</v>
      </c>
      <c r="D805" s="264" t="s">
        <v>1855</v>
      </c>
      <c r="E805" s="262" t="s">
        <v>999</v>
      </c>
      <c r="F805" s="10"/>
      <c r="G805" s="44"/>
      <c r="H805" s="31"/>
      <c r="I805" s="183"/>
      <c r="J805" s="29"/>
      <c r="K805" s="24"/>
      <c r="L805" s="25"/>
      <c r="M805" s="69"/>
      <c r="N805" s="77"/>
      <c r="O805" s="73"/>
      <c r="P805" s="74"/>
      <c r="Q805" s="74"/>
      <c r="R805" s="75"/>
      <c r="S805" s="61"/>
      <c r="T805" s="60"/>
      <c r="U805" s="74"/>
      <c r="V805" s="76"/>
      <c r="W805" s="24"/>
      <c r="X805" s="25"/>
      <c r="Y805" s="77"/>
      <c r="Z805" s="106"/>
      <c r="AA805" s="73"/>
      <c r="AB805" s="88"/>
      <c r="AC805" s="116"/>
      <c r="AD805" s="74"/>
      <c r="AE805" s="76"/>
      <c r="AF805" s="24"/>
      <c r="AG805" s="25"/>
      <c r="AH805" s="77"/>
      <c r="AI805" s="77"/>
      <c r="AJ805" s="73"/>
      <c r="AK805" s="79"/>
      <c r="AL805" s="79"/>
      <c r="AM805" s="127"/>
      <c r="AN805" s="142"/>
      <c r="AO805" s="142"/>
      <c r="AP805" s="29"/>
      <c r="AQ805" s="24"/>
      <c r="AR805" s="25"/>
      <c r="AS805" s="146"/>
      <c r="AT805" s="10"/>
      <c r="AU805" s="10"/>
      <c r="AV805" s="167"/>
      <c r="AW805" s="168"/>
      <c r="AX805" s="29"/>
      <c r="AY805" s="24"/>
      <c r="AZ805" s="25"/>
      <c r="BA805" s="24"/>
      <c r="BB805" s="169"/>
      <c r="BC805" s="170"/>
      <c r="BD805" s="10">
        <v>85479</v>
      </c>
      <c r="BE805" s="10">
        <v>90000</v>
      </c>
      <c r="BF805" s="10">
        <v>110000</v>
      </c>
      <c r="BG805" s="268">
        <v>100000</v>
      </c>
      <c r="BH805" s="10">
        <v>120000</v>
      </c>
      <c r="BI805" s="76">
        <f t="shared" si="999"/>
        <v>105000</v>
      </c>
      <c r="BJ805" s="24">
        <f t="shared" si="1000"/>
        <v>19521</v>
      </c>
      <c r="BK805" s="25">
        <f t="shared" si="1001"/>
        <v>0.22837188081283122</v>
      </c>
      <c r="BL805" s="309">
        <f t="shared" si="1002"/>
        <v>105000</v>
      </c>
      <c r="BM805" s="293"/>
      <c r="BN805" s="293"/>
      <c r="BO805" s="293"/>
      <c r="BP805" s="293"/>
      <c r="BQ805" s="293"/>
      <c r="BR805" s="293"/>
      <c r="BS805" s="293"/>
      <c r="BT805" s="293"/>
    </row>
    <row r="806" spans="1:72" s="1" customFormat="1" ht="35.1" customHeight="1">
      <c r="A806" s="91"/>
      <c r="B806" s="358" t="s">
        <v>2998</v>
      </c>
      <c r="C806" s="50" t="s">
        <v>1929</v>
      </c>
      <c r="D806" s="264" t="s">
        <v>1856</v>
      </c>
      <c r="E806" s="262" t="s">
        <v>999</v>
      </c>
      <c r="F806" s="10"/>
      <c r="G806" s="44"/>
      <c r="H806" s="31"/>
      <c r="I806" s="183"/>
      <c r="J806" s="29"/>
      <c r="K806" s="24"/>
      <c r="L806" s="25"/>
      <c r="M806" s="69"/>
      <c r="N806" s="77"/>
      <c r="O806" s="73"/>
      <c r="P806" s="74"/>
      <c r="Q806" s="74"/>
      <c r="R806" s="75"/>
      <c r="S806" s="61"/>
      <c r="T806" s="60"/>
      <c r="U806" s="74"/>
      <c r="V806" s="76"/>
      <c r="W806" s="24"/>
      <c r="X806" s="25"/>
      <c r="Y806" s="77"/>
      <c r="Z806" s="106"/>
      <c r="AA806" s="73"/>
      <c r="AB806" s="88"/>
      <c r="AC806" s="116"/>
      <c r="AD806" s="74"/>
      <c r="AE806" s="76"/>
      <c r="AF806" s="24"/>
      <c r="AG806" s="25"/>
      <c r="AH806" s="77"/>
      <c r="AI806" s="77"/>
      <c r="AJ806" s="73"/>
      <c r="AK806" s="79"/>
      <c r="AL806" s="79"/>
      <c r="AM806" s="127"/>
      <c r="AN806" s="142"/>
      <c r="AO806" s="142"/>
      <c r="AP806" s="29"/>
      <c r="AQ806" s="24"/>
      <c r="AR806" s="25"/>
      <c r="AS806" s="146"/>
      <c r="AT806" s="10"/>
      <c r="AU806" s="10"/>
      <c r="AV806" s="167"/>
      <c r="AW806" s="168"/>
      <c r="AX806" s="29"/>
      <c r="AY806" s="24"/>
      <c r="AZ806" s="25"/>
      <c r="BA806" s="24"/>
      <c r="BB806" s="169"/>
      <c r="BC806" s="170"/>
      <c r="BD806" s="10">
        <v>12226</v>
      </c>
      <c r="BE806" s="10">
        <v>43000</v>
      </c>
      <c r="BF806" s="10">
        <v>51000</v>
      </c>
      <c r="BG806" s="268">
        <v>48000</v>
      </c>
      <c r="BH806" s="10">
        <v>55000</v>
      </c>
      <c r="BI806" s="76">
        <f t="shared" si="999"/>
        <v>49250</v>
      </c>
      <c r="BJ806" s="24">
        <f t="shared" si="1000"/>
        <v>37024</v>
      </c>
      <c r="BK806" s="25">
        <f t="shared" si="1001"/>
        <v>3.0283003435301814</v>
      </c>
      <c r="BL806" s="309">
        <f t="shared" si="1002"/>
        <v>49250</v>
      </c>
      <c r="BM806" s="293"/>
      <c r="BN806" s="293"/>
      <c r="BO806" s="293"/>
      <c r="BP806" s="293"/>
      <c r="BQ806" s="293"/>
      <c r="BR806" s="293"/>
      <c r="BS806" s="293"/>
      <c r="BT806" s="293"/>
    </row>
    <row r="807" spans="1:72" s="1" customFormat="1" ht="35.1" customHeight="1">
      <c r="A807" s="91"/>
      <c r="B807" s="358" t="s">
        <v>2999</v>
      </c>
      <c r="C807" s="50" t="s">
        <v>1930</v>
      </c>
      <c r="D807" s="264" t="s">
        <v>1857</v>
      </c>
      <c r="E807" s="262" t="s">
        <v>999</v>
      </c>
      <c r="F807" s="10"/>
      <c r="G807" s="44"/>
      <c r="H807" s="31"/>
      <c r="I807" s="183"/>
      <c r="J807" s="29"/>
      <c r="K807" s="24"/>
      <c r="L807" s="25"/>
      <c r="M807" s="69"/>
      <c r="N807" s="77"/>
      <c r="O807" s="73"/>
      <c r="P807" s="74"/>
      <c r="Q807" s="74"/>
      <c r="R807" s="75"/>
      <c r="S807" s="61"/>
      <c r="T807" s="60"/>
      <c r="U807" s="74"/>
      <c r="V807" s="76"/>
      <c r="W807" s="24"/>
      <c r="X807" s="25"/>
      <c r="Y807" s="77"/>
      <c r="Z807" s="106"/>
      <c r="AA807" s="73"/>
      <c r="AB807" s="88"/>
      <c r="AC807" s="116"/>
      <c r="AD807" s="74"/>
      <c r="AE807" s="76"/>
      <c r="AF807" s="24"/>
      <c r="AG807" s="25"/>
      <c r="AH807" s="77"/>
      <c r="AI807" s="77"/>
      <c r="AJ807" s="73"/>
      <c r="AK807" s="79"/>
      <c r="AL807" s="79"/>
      <c r="AM807" s="127"/>
      <c r="AN807" s="142"/>
      <c r="AO807" s="142"/>
      <c r="AP807" s="29"/>
      <c r="AQ807" s="24"/>
      <c r="AR807" s="25"/>
      <c r="AS807" s="146"/>
      <c r="AT807" s="10"/>
      <c r="AU807" s="10"/>
      <c r="AV807" s="167"/>
      <c r="AW807" s="168"/>
      <c r="AX807" s="29"/>
      <c r="AY807" s="24"/>
      <c r="AZ807" s="25"/>
      <c r="BA807" s="24"/>
      <c r="BB807" s="169"/>
      <c r="BC807" s="170"/>
      <c r="BD807" s="10">
        <v>62441</v>
      </c>
      <c r="BE807" s="10">
        <v>90000</v>
      </c>
      <c r="BF807" s="10">
        <v>105000</v>
      </c>
      <c r="BG807" s="268">
        <v>100000</v>
      </c>
      <c r="BH807" s="10">
        <v>90000</v>
      </c>
      <c r="BI807" s="76">
        <f t="shared" si="999"/>
        <v>96250</v>
      </c>
      <c r="BJ807" s="24">
        <f t="shared" si="1000"/>
        <v>33809</v>
      </c>
      <c r="BK807" s="25">
        <f t="shared" si="1001"/>
        <v>0.54145513364616193</v>
      </c>
      <c r="BL807" s="309">
        <f t="shared" si="1002"/>
        <v>96250</v>
      </c>
      <c r="BM807" s="293"/>
      <c r="BN807" s="293"/>
      <c r="BO807" s="293"/>
      <c r="BP807" s="293"/>
      <c r="BQ807" s="293"/>
      <c r="BR807" s="293"/>
      <c r="BS807" s="293"/>
      <c r="BT807" s="293"/>
    </row>
    <row r="808" spans="1:72" s="1" customFormat="1" ht="35.1" customHeight="1">
      <c r="A808" s="91"/>
      <c r="B808" s="358" t="s">
        <v>3000</v>
      </c>
      <c r="C808" s="50" t="s">
        <v>1931</v>
      </c>
      <c r="D808" s="264" t="s">
        <v>1858</v>
      </c>
      <c r="E808" s="262" t="s">
        <v>999</v>
      </c>
      <c r="F808" s="10"/>
      <c r="G808" s="44"/>
      <c r="H808" s="31"/>
      <c r="I808" s="183"/>
      <c r="J808" s="29"/>
      <c r="K808" s="24"/>
      <c r="L808" s="25"/>
      <c r="M808" s="69"/>
      <c r="N808" s="77"/>
      <c r="O808" s="73"/>
      <c r="P808" s="74"/>
      <c r="Q808" s="74"/>
      <c r="R808" s="75"/>
      <c r="S808" s="61"/>
      <c r="T808" s="60"/>
      <c r="U808" s="74"/>
      <c r="V808" s="76"/>
      <c r="W808" s="24"/>
      <c r="X808" s="25"/>
      <c r="Y808" s="77"/>
      <c r="Z808" s="106"/>
      <c r="AA808" s="73"/>
      <c r="AB808" s="88"/>
      <c r="AC808" s="116"/>
      <c r="AD808" s="74"/>
      <c r="AE808" s="76"/>
      <c r="AF808" s="24"/>
      <c r="AG808" s="25"/>
      <c r="AH808" s="77"/>
      <c r="AI808" s="77"/>
      <c r="AJ808" s="73"/>
      <c r="AK808" s="79"/>
      <c r="AL808" s="79"/>
      <c r="AM808" s="127"/>
      <c r="AN808" s="142"/>
      <c r="AO808" s="142"/>
      <c r="AP808" s="29"/>
      <c r="AQ808" s="24"/>
      <c r="AR808" s="25"/>
      <c r="AS808" s="146"/>
      <c r="AT808" s="10"/>
      <c r="AU808" s="10"/>
      <c r="AV808" s="167"/>
      <c r="AW808" s="168"/>
      <c r="AX808" s="29"/>
      <c r="AY808" s="24"/>
      <c r="AZ808" s="25"/>
      <c r="BA808" s="24"/>
      <c r="BB808" s="169"/>
      <c r="BC808" s="170"/>
      <c r="BD808" s="10">
        <v>1347751</v>
      </c>
      <c r="BE808" s="10">
        <v>600000</v>
      </c>
      <c r="BF808" s="10">
        <v>680000</v>
      </c>
      <c r="BG808" s="268">
        <v>630000</v>
      </c>
      <c r="BH808" s="10">
        <v>600000</v>
      </c>
      <c r="BI808" s="76">
        <f t="shared" si="999"/>
        <v>627500</v>
      </c>
      <c r="BJ808" s="24">
        <f t="shared" si="1000"/>
        <v>-720251</v>
      </c>
      <c r="BK808" s="25">
        <f t="shared" si="1001"/>
        <v>-0.53440954597696455</v>
      </c>
      <c r="BL808" s="309">
        <f t="shared" si="1002"/>
        <v>627500</v>
      </c>
      <c r="BM808" s="293"/>
      <c r="BN808" s="293"/>
      <c r="BO808" s="293"/>
      <c r="BP808" s="293"/>
      <c r="BQ808" s="293"/>
      <c r="BR808" s="293"/>
      <c r="BS808" s="293"/>
      <c r="BT808" s="293"/>
    </row>
    <row r="809" spans="1:72" s="1" customFormat="1" ht="35.1" customHeight="1">
      <c r="A809" s="91"/>
      <c r="B809" s="358" t="s">
        <v>3001</v>
      </c>
      <c r="C809" s="50" t="s">
        <v>1932</v>
      </c>
      <c r="D809" s="264" t="s">
        <v>1859</v>
      </c>
      <c r="E809" s="262" t="s">
        <v>999</v>
      </c>
      <c r="F809" s="10"/>
      <c r="G809" s="44"/>
      <c r="H809" s="31"/>
      <c r="I809" s="183"/>
      <c r="J809" s="29"/>
      <c r="K809" s="24"/>
      <c r="L809" s="25"/>
      <c r="M809" s="69"/>
      <c r="N809" s="77"/>
      <c r="O809" s="73"/>
      <c r="P809" s="74"/>
      <c r="Q809" s="74"/>
      <c r="R809" s="75"/>
      <c r="S809" s="61"/>
      <c r="T809" s="60"/>
      <c r="U809" s="74"/>
      <c r="V809" s="76"/>
      <c r="W809" s="24"/>
      <c r="X809" s="25"/>
      <c r="Y809" s="77"/>
      <c r="Z809" s="106"/>
      <c r="AA809" s="73"/>
      <c r="AB809" s="88"/>
      <c r="AC809" s="116"/>
      <c r="AD809" s="74"/>
      <c r="AE809" s="76"/>
      <c r="AF809" s="24"/>
      <c r="AG809" s="25"/>
      <c r="AH809" s="77"/>
      <c r="AI809" s="77"/>
      <c r="AJ809" s="73"/>
      <c r="AK809" s="79"/>
      <c r="AL809" s="79"/>
      <c r="AM809" s="127"/>
      <c r="AN809" s="142"/>
      <c r="AO809" s="142"/>
      <c r="AP809" s="29"/>
      <c r="AQ809" s="24"/>
      <c r="AR809" s="25"/>
      <c r="AS809" s="146"/>
      <c r="AT809" s="10"/>
      <c r="AU809" s="10"/>
      <c r="AV809" s="167"/>
      <c r="AW809" s="168"/>
      <c r="AX809" s="29"/>
      <c r="AY809" s="24"/>
      <c r="AZ809" s="25"/>
      <c r="BA809" s="24"/>
      <c r="BB809" s="169"/>
      <c r="BC809" s="170"/>
      <c r="BD809" s="10">
        <v>1027430</v>
      </c>
      <c r="BE809" s="10">
        <v>700000</v>
      </c>
      <c r="BF809" s="10">
        <v>750000</v>
      </c>
      <c r="BG809" s="268">
        <v>730000</v>
      </c>
      <c r="BH809" s="10">
        <v>750000</v>
      </c>
      <c r="BI809" s="76">
        <f t="shared" si="999"/>
        <v>732500</v>
      </c>
      <c r="BJ809" s="24">
        <f t="shared" si="1000"/>
        <v>-294930</v>
      </c>
      <c r="BK809" s="25">
        <f t="shared" si="1001"/>
        <v>-0.28705605248046095</v>
      </c>
      <c r="BL809" s="309">
        <f t="shared" si="1002"/>
        <v>732500</v>
      </c>
      <c r="BM809" s="293"/>
      <c r="BN809" s="293"/>
      <c r="BO809" s="293"/>
      <c r="BP809" s="293"/>
      <c r="BQ809" s="293"/>
      <c r="BR809" s="293"/>
      <c r="BS809" s="293"/>
      <c r="BT809" s="293"/>
    </row>
    <row r="810" spans="1:72" s="1" customFormat="1" ht="35.1" customHeight="1">
      <c r="A810" s="91"/>
      <c r="B810" s="358" t="s">
        <v>3002</v>
      </c>
      <c r="C810" s="50" t="s">
        <v>1933</v>
      </c>
      <c r="D810" s="264" t="s">
        <v>1860</v>
      </c>
      <c r="E810" s="262" t="s">
        <v>999</v>
      </c>
      <c r="F810" s="10"/>
      <c r="G810" s="44"/>
      <c r="H810" s="31"/>
      <c r="I810" s="183"/>
      <c r="J810" s="29"/>
      <c r="K810" s="24"/>
      <c r="L810" s="25"/>
      <c r="M810" s="69"/>
      <c r="N810" s="77"/>
      <c r="O810" s="73"/>
      <c r="P810" s="74"/>
      <c r="Q810" s="74"/>
      <c r="R810" s="75"/>
      <c r="S810" s="61"/>
      <c r="T810" s="60"/>
      <c r="U810" s="74"/>
      <c r="V810" s="76"/>
      <c r="W810" s="24"/>
      <c r="X810" s="25"/>
      <c r="Y810" s="77"/>
      <c r="Z810" s="106"/>
      <c r="AA810" s="73"/>
      <c r="AB810" s="88"/>
      <c r="AC810" s="116"/>
      <c r="AD810" s="74"/>
      <c r="AE810" s="76"/>
      <c r="AF810" s="24"/>
      <c r="AG810" s="25"/>
      <c r="AH810" s="77"/>
      <c r="AI810" s="77"/>
      <c r="AJ810" s="73"/>
      <c r="AK810" s="79"/>
      <c r="AL810" s="79"/>
      <c r="AM810" s="127"/>
      <c r="AN810" s="142"/>
      <c r="AO810" s="142"/>
      <c r="AP810" s="29"/>
      <c r="AQ810" s="24"/>
      <c r="AR810" s="25"/>
      <c r="AS810" s="146"/>
      <c r="AT810" s="10"/>
      <c r="AU810" s="10"/>
      <c r="AV810" s="167"/>
      <c r="AW810" s="168"/>
      <c r="AX810" s="29"/>
      <c r="AY810" s="24"/>
      <c r="AZ810" s="25"/>
      <c r="BA810" s="24"/>
      <c r="BB810" s="169"/>
      <c r="BC810" s="170"/>
      <c r="BD810" s="10">
        <v>99908</v>
      </c>
      <c r="BE810" s="10">
        <v>190000</v>
      </c>
      <c r="BF810" s="10">
        <v>205000</v>
      </c>
      <c r="BG810" s="268">
        <v>200000</v>
      </c>
      <c r="BH810" s="10">
        <v>200000</v>
      </c>
      <c r="BI810" s="76">
        <f t="shared" si="999"/>
        <v>198750</v>
      </c>
      <c r="BJ810" s="24">
        <f t="shared" si="1000"/>
        <v>98842</v>
      </c>
      <c r="BK810" s="25">
        <f t="shared" si="1001"/>
        <v>0.98933018376906756</v>
      </c>
      <c r="BL810" s="309">
        <f t="shared" si="1002"/>
        <v>198750</v>
      </c>
      <c r="BM810" s="293"/>
      <c r="BN810" s="293"/>
      <c r="BO810" s="293"/>
      <c r="BP810" s="293"/>
      <c r="BQ810" s="293"/>
      <c r="BR810" s="293"/>
      <c r="BS810" s="293"/>
      <c r="BT810" s="293"/>
    </row>
    <row r="811" spans="1:72" s="1" customFormat="1" ht="35.1" customHeight="1">
      <c r="A811" s="91"/>
      <c r="B811" s="358" t="s">
        <v>3003</v>
      </c>
      <c r="C811" s="50" t="s">
        <v>1934</v>
      </c>
      <c r="D811" s="264" t="s">
        <v>1861</v>
      </c>
      <c r="E811" s="262" t="s">
        <v>999</v>
      </c>
      <c r="F811" s="10"/>
      <c r="G811" s="44"/>
      <c r="H811" s="31"/>
      <c r="I811" s="183"/>
      <c r="J811" s="29"/>
      <c r="K811" s="24"/>
      <c r="L811" s="25"/>
      <c r="M811" s="69"/>
      <c r="N811" s="77"/>
      <c r="O811" s="73"/>
      <c r="P811" s="74"/>
      <c r="Q811" s="74"/>
      <c r="R811" s="75"/>
      <c r="S811" s="61"/>
      <c r="T811" s="60"/>
      <c r="U811" s="74"/>
      <c r="V811" s="76"/>
      <c r="W811" s="24"/>
      <c r="X811" s="25"/>
      <c r="Y811" s="77"/>
      <c r="Z811" s="106"/>
      <c r="AA811" s="73"/>
      <c r="AB811" s="88"/>
      <c r="AC811" s="116"/>
      <c r="AD811" s="74"/>
      <c r="AE811" s="76"/>
      <c r="AF811" s="24"/>
      <c r="AG811" s="25"/>
      <c r="AH811" s="77"/>
      <c r="AI811" s="77"/>
      <c r="AJ811" s="73"/>
      <c r="AK811" s="79"/>
      <c r="AL811" s="79"/>
      <c r="AM811" s="127"/>
      <c r="AN811" s="142"/>
      <c r="AO811" s="142"/>
      <c r="AP811" s="29"/>
      <c r="AQ811" s="24"/>
      <c r="AR811" s="25"/>
      <c r="AS811" s="146"/>
      <c r="AT811" s="10"/>
      <c r="AU811" s="10"/>
      <c r="AV811" s="167"/>
      <c r="AW811" s="168"/>
      <c r="AX811" s="29"/>
      <c r="AY811" s="24"/>
      <c r="AZ811" s="25"/>
      <c r="BA811" s="24"/>
      <c r="BB811" s="169"/>
      <c r="BC811" s="170"/>
      <c r="BD811" s="10">
        <v>88763</v>
      </c>
      <c r="BE811" s="10">
        <v>190000</v>
      </c>
      <c r="BF811" s="10">
        <v>2050000</v>
      </c>
      <c r="BG811" s="268">
        <v>2000000</v>
      </c>
      <c r="BH811" s="10">
        <v>200000</v>
      </c>
      <c r="BI811" s="76">
        <f t="shared" si="999"/>
        <v>1110000</v>
      </c>
      <c r="BJ811" s="24">
        <f t="shared" si="1000"/>
        <v>1021237</v>
      </c>
      <c r="BK811" s="25">
        <f t="shared" si="1001"/>
        <v>11.505210504376823</v>
      </c>
      <c r="BL811" s="309">
        <f t="shared" si="1002"/>
        <v>1110000</v>
      </c>
      <c r="BM811" s="293"/>
      <c r="BN811" s="293"/>
      <c r="BO811" s="293"/>
      <c r="BP811" s="293"/>
      <c r="BQ811" s="293"/>
      <c r="BR811" s="293"/>
      <c r="BS811" s="293"/>
      <c r="BT811" s="293"/>
    </row>
    <row r="812" spans="1:72" s="1" customFormat="1" ht="35.1" customHeight="1">
      <c r="A812" s="91"/>
      <c r="B812" s="358" t="s">
        <v>3004</v>
      </c>
      <c r="C812" s="50" t="s">
        <v>1935</v>
      </c>
      <c r="D812" s="264" t="s">
        <v>1862</v>
      </c>
      <c r="E812" s="262" t="s">
        <v>999</v>
      </c>
      <c r="F812" s="10"/>
      <c r="G812" s="44"/>
      <c r="H812" s="31"/>
      <c r="I812" s="183"/>
      <c r="J812" s="29"/>
      <c r="K812" s="24"/>
      <c r="L812" s="25"/>
      <c r="M812" s="69"/>
      <c r="N812" s="77"/>
      <c r="O812" s="73"/>
      <c r="P812" s="74"/>
      <c r="Q812" s="74"/>
      <c r="R812" s="75"/>
      <c r="S812" s="61"/>
      <c r="T812" s="60"/>
      <c r="U812" s="74"/>
      <c r="V812" s="76"/>
      <c r="W812" s="24"/>
      <c r="X812" s="25"/>
      <c r="Y812" s="77"/>
      <c r="Z812" s="106"/>
      <c r="AA812" s="73"/>
      <c r="AB812" s="88"/>
      <c r="AC812" s="116"/>
      <c r="AD812" s="74"/>
      <c r="AE812" s="76"/>
      <c r="AF812" s="24"/>
      <c r="AG812" s="25"/>
      <c r="AH812" s="77"/>
      <c r="AI812" s="77"/>
      <c r="AJ812" s="73"/>
      <c r="AK812" s="79"/>
      <c r="AL812" s="79"/>
      <c r="AM812" s="127"/>
      <c r="AN812" s="142"/>
      <c r="AO812" s="142"/>
      <c r="AP812" s="29"/>
      <c r="AQ812" s="24"/>
      <c r="AR812" s="25"/>
      <c r="AS812" s="146"/>
      <c r="AT812" s="10"/>
      <c r="AU812" s="10"/>
      <c r="AV812" s="167"/>
      <c r="AW812" s="168"/>
      <c r="AX812" s="29"/>
      <c r="AY812" s="24"/>
      <c r="AZ812" s="25"/>
      <c r="BA812" s="24"/>
      <c r="BB812" s="169"/>
      <c r="BC812" s="170"/>
      <c r="BD812" s="10">
        <v>88763</v>
      </c>
      <c r="BE812" s="10">
        <v>190000</v>
      </c>
      <c r="BF812" s="10">
        <v>205000</v>
      </c>
      <c r="BG812" s="268">
        <v>200000</v>
      </c>
      <c r="BH812" s="10">
        <v>200000</v>
      </c>
      <c r="BI812" s="76">
        <f t="shared" si="999"/>
        <v>198750</v>
      </c>
      <c r="BJ812" s="24">
        <f t="shared" si="1000"/>
        <v>109987</v>
      </c>
      <c r="BK812" s="25">
        <f t="shared" si="1001"/>
        <v>1.2391086376080123</v>
      </c>
      <c r="BL812" s="309">
        <f t="shared" si="1002"/>
        <v>198750</v>
      </c>
      <c r="BM812" s="293"/>
      <c r="BN812" s="293"/>
      <c r="BO812" s="293"/>
      <c r="BP812" s="293"/>
      <c r="BQ812" s="293"/>
      <c r="BR812" s="293"/>
      <c r="BS812" s="293"/>
      <c r="BT812" s="293"/>
    </row>
    <row r="813" spans="1:72" s="1" customFormat="1" ht="35.1" customHeight="1">
      <c r="A813" s="91"/>
      <c r="B813" s="358" t="s">
        <v>3005</v>
      </c>
      <c r="C813" s="50" t="s">
        <v>1936</v>
      </c>
      <c r="D813" s="264" t="s">
        <v>1863</v>
      </c>
      <c r="E813" s="262" t="s">
        <v>999</v>
      </c>
      <c r="F813" s="10"/>
      <c r="G813" s="44"/>
      <c r="H813" s="31"/>
      <c r="I813" s="183"/>
      <c r="J813" s="29"/>
      <c r="K813" s="24"/>
      <c r="L813" s="25"/>
      <c r="M813" s="69"/>
      <c r="N813" s="77"/>
      <c r="O813" s="73"/>
      <c r="P813" s="74"/>
      <c r="Q813" s="74"/>
      <c r="R813" s="75"/>
      <c r="S813" s="61"/>
      <c r="T813" s="60"/>
      <c r="U813" s="74"/>
      <c r="V813" s="76"/>
      <c r="W813" s="24"/>
      <c r="X813" s="25"/>
      <c r="Y813" s="77"/>
      <c r="Z813" s="106"/>
      <c r="AA813" s="73"/>
      <c r="AB813" s="88"/>
      <c r="AC813" s="116"/>
      <c r="AD813" s="74"/>
      <c r="AE813" s="76"/>
      <c r="AF813" s="24"/>
      <c r="AG813" s="25"/>
      <c r="AH813" s="77"/>
      <c r="AI813" s="77"/>
      <c r="AJ813" s="73"/>
      <c r="AK813" s="79"/>
      <c r="AL813" s="79"/>
      <c r="AM813" s="127"/>
      <c r="AN813" s="142"/>
      <c r="AO813" s="142"/>
      <c r="AP813" s="29"/>
      <c r="AQ813" s="24"/>
      <c r="AR813" s="25"/>
      <c r="AS813" s="146"/>
      <c r="AT813" s="10"/>
      <c r="AU813" s="10"/>
      <c r="AV813" s="167"/>
      <c r="AW813" s="168"/>
      <c r="AX813" s="29"/>
      <c r="AY813" s="24"/>
      <c r="AZ813" s="25"/>
      <c r="BA813" s="24"/>
      <c r="BB813" s="169"/>
      <c r="BC813" s="170"/>
      <c r="BD813" s="10">
        <v>285703</v>
      </c>
      <c r="BE813" s="10">
        <v>600000</v>
      </c>
      <c r="BF813" s="10">
        <v>650000</v>
      </c>
      <c r="BG813" s="268">
        <v>620000</v>
      </c>
      <c r="BH813" s="10">
        <v>700000</v>
      </c>
      <c r="BI813" s="76">
        <f t="shared" si="999"/>
        <v>642500</v>
      </c>
      <c r="BJ813" s="24">
        <f t="shared" si="1000"/>
        <v>356797</v>
      </c>
      <c r="BK813" s="25">
        <f t="shared" si="1001"/>
        <v>1.2488388291337509</v>
      </c>
      <c r="BL813" s="309">
        <f t="shared" si="1002"/>
        <v>642500</v>
      </c>
      <c r="BM813" s="293"/>
      <c r="BN813" s="293"/>
      <c r="BO813" s="293"/>
      <c r="BP813" s="293"/>
      <c r="BQ813" s="293"/>
      <c r="BR813" s="293"/>
      <c r="BS813" s="293"/>
      <c r="BT813" s="293"/>
    </row>
    <row r="814" spans="1:72" s="1" customFormat="1" ht="35.1" customHeight="1">
      <c r="A814" s="91"/>
      <c r="B814" s="358" t="s">
        <v>3006</v>
      </c>
      <c r="C814" s="50" t="s">
        <v>1937</v>
      </c>
      <c r="D814" s="264" t="s">
        <v>1864</v>
      </c>
      <c r="E814" s="262" t="s">
        <v>999</v>
      </c>
      <c r="F814" s="10"/>
      <c r="G814" s="44"/>
      <c r="H814" s="31"/>
      <c r="I814" s="183"/>
      <c r="J814" s="29"/>
      <c r="K814" s="24"/>
      <c r="L814" s="25"/>
      <c r="M814" s="69"/>
      <c r="N814" s="77"/>
      <c r="O814" s="73"/>
      <c r="P814" s="74"/>
      <c r="Q814" s="74"/>
      <c r="R814" s="75"/>
      <c r="S814" s="61"/>
      <c r="T814" s="60"/>
      <c r="U814" s="74"/>
      <c r="V814" s="76"/>
      <c r="W814" s="24"/>
      <c r="X814" s="25"/>
      <c r="Y814" s="77"/>
      <c r="Z814" s="106"/>
      <c r="AA814" s="73"/>
      <c r="AB814" s="88"/>
      <c r="AC814" s="116"/>
      <c r="AD814" s="74"/>
      <c r="AE814" s="76"/>
      <c r="AF814" s="24"/>
      <c r="AG814" s="25"/>
      <c r="AH814" s="77"/>
      <c r="AI814" s="77"/>
      <c r="AJ814" s="73"/>
      <c r="AK814" s="79"/>
      <c r="AL814" s="79"/>
      <c r="AM814" s="127"/>
      <c r="AN814" s="142"/>
      <c r="AO814" s="142"/>
      <c r="AP814" s="29"/>
      <c r="AQ814" s="24"/>
      <c r="AR814" s="25"/>
      <c r="AS814" s="146"/>
      <c r="AT814" s="10"/>
      <c r="AU814" s="10"/>
      <c r="AV814" s="167"/>
      <c r="AW814" s="168"/>
      <c r="AX814" s="29"/>
      <c r="AY814" s="24"/>
      <c r="AZ814" s="25"/>
      <c r="BA814" s="24"/>
      <c r="BB814" s="169"/>
      <c r="BC814" s="170"/>
      <c r="BD814" s="10">
        <v>56053</v>
      </c>
      <c r="BE814" s="10">
        <v>150000</v>
      </c>
      <c r="BF814" s="10">
        <v>180000</v>
      </c>
      <c r="BG814" s="268">
        <v>170000</v>
      </c>
      <c r="BH814" s="10">
        <v>120000</v>
      </c>
      <c r="BI814" s="76">
        <f t="shared" si="999"/>
        <v>155000</v>
      </c>
      <c r="BJ814" s="24">
        <f t="shared" si="1000"/>
        <v>98947</v>
      </c>
      <c r="BK814" s="25">
        <f t="shared" si="1001"/>
        <v>1.7652400406757889</v>
      </c>
      <c r="BL814" s="309">
        <f t="shared" si="1002"/>
        <v>155000</v>
      </c>
      <c r="BM814" s="293"/>
      <c r="BN814" s="293"/>
      <c r="BO814" s="293"/>
      <c r="BP814" s="293"/>
      <c r="BQ814" s="293"/>
      <c r="BR814" s="293"/>
      <c r="BS814" s="293"/>
      <c r="BT814" s="293"/>
    </row>
    <row r="815" spans="1:72" s="1" customFormat="1" ht="35.1" customHeight="1">
      <c r="A815" s="91"/>
      <c r="B815" s="358" t="s">
        <v>3007</v>
      </c>
      <c r="C815" s="50" t="s">
        <v>1938</v>
      </c>
      <c r="D815" s="264" t="s">
        <v>1865</v>
      </c>
      <c r="E815" s="262" t="s">
        <v>999</v>
      </c>
      <c r="F815" s="10"/>
      <c r="G815" s="44"/>
      <c r="H815" s="31"/>
      <c r="I815" s="183"/>
      <c r="J815" s="29"/>
      <c r="K815" s="24"/>
      <c r="L815" s="25"/>
      <c r="M815" s="69"/>
      <c r="N815" s="77"/>
      <c r="O815" s="73"/>
      <c r="P815" s="74"/>
      <c r="Q815" s="74"/>
      <c r="R815" s="75"/>
      <c r="S815" s="61"/>
      <c r="T815" s="60"/>
      <c r="U815" s="74"/>
      <c r="V815" s="76"/>
      <c r="W815" s="24"/>
      <c r="X815" s="25"/>
      <c r="Y815" s="77"/>
      <c r="Z815" s="106"/>
      <c r="AA815" s="73"/>
      <c r="AB815" s="88"/>
      <c r="AC815" s="116"/>
      <c r="AD815" s="74"/>
      <c r="AE815" s="76"/>
      <c r="AF815" s="24"/>
      <c r="AG815" s="25"/>
      <c r="AH815" s="77"/>
      <c r="AI815" s="77"/>
      <c r="AJ815" s="73"/>
      <c r="AK815" s="79"/>
      <c r="AL815" s="79"/>
      <c r="AM815" s="127"/>
      <c r="AN815" s="142"/>
      <c r="AO815" s="142"/>
      <c r="AP815" s="29"/>
      <c r="AQ815" s="24"/>
      <c r="AR815" s="25"/>
      <c r="AS815" s="146"/>
      <c r="AT815" s="10"/>
      <c r="AU815" s="10"/>
      <c r="AV815" s="167"/>
      <c r="AW815" s="168"/>
      <c r="AX815" s="29"/>
      <c r="AY815" s="24"/>
      <c r="AZ815" s="25"/>
      <c r="BA815" s="24"/>
      <c r="BB815" s="169"/>
      <c r="BC815" s="170"/>
      <c r="BD815" s="10">
        <v>122385</v>
      </c>
      <c r="BE815" s="10">
        <v>250000</v>
      </c>
      <c r="BF815" s="10">
        <v>285000</v>
      </c>
      <c r="BG815" s="268">
        <v>265000</v>
      </c>
      <c r="BH815" s="10">
        <v>250000</v>
      </c>
      <c r="BI815" s="76">
        <f t="shared" si="999"/>
        <v>262500</v>
      </c>
      <c r="BJ815" s="24">
        <f t="shared" si="1000"/>
        <v>140115</v>
      </c>
      <c r="BK815" s="25">
        <f t="shared" si="1001"/>
        <v>1.1448706949381051</v>
      </c>
      <c r="BL815" s="309">
        <f t="shared" si="1002"/>
        <v>262500</v>
      </c>
      <c r="BM815" s="293"/>
      <c r="BN815" s="293"/>
      <c r="BO815" s="293"/>
      <c r="BP815" s="293"/>
      <c r="BQ815" s="293"/>
      <c r="BR815" s="293"/>
      <c r="BS815" s="293"/>
      <c r="BT815" s="293"/>
    </row>
    <row r="816" spans="1:72" s="1" customFormat="1" ht="35.1" customHeight="1">
      <c r="A816" s="91"/>
      <c r="B816" s="358" t="s">
        <v>3008</v>
      </c>
      <c r="C816" s="50" t="s">
        <v>1939</v>
      </c>
      <c r="D816" s="264" t="s">
        <v>1866</v>
      </c>
      <c r="E816" s="262" t="s">
        <v>999</v>
      </c>
      <c r="F816" s="10"/>
      <c r="G816" s="44"/>
      <c r="H816" s="31"/>
      <c r="I816" s="183"/>
      <c r="J816" s="29"/>
      <c r="K816" s="24"/>
      <c r="L816" s="25"/>
      <c r="M816" s="69"/>
      <c r="N816" s="77"/>
      <c r="O816" s="73"/>
      <c r="P816" s="74"/>
      <c r="Q816" s="74"/>
      <c r="R816" s="75"/>
      <c r="S816" s="61"/>
      <c r="T816" s="60"/>
      <c r="U816" s="74"/>
      <c r="V816" s="76"/>
      <c r="W816" s="24"/>
      <c r="X816" s="25"/>
      <c r="Y816" s="77"/>
      <c r="Z816" s="106"/>
      <c r="AA816" s="73"/>
      <c r="AB816" s="88"/>
      <c r="AC816" s="116"/>
      <c r="AD816" s="74"/>
      <c r="AE816" s="76"/>
      <c r="AF816" s="24"/>
      <c r="AG816" s="25"/>
      <c r="AH816" s="77"/>
      <c r="AI816" s="77"/>
      <c r="AJ816" s="73"/>
      <c r="AK816" s="79"/>
      <c r="AL816" s="79"/>
      <c r="AM816" s="127"/>
      <c r="AN816" s="142"/>
      <c r="AO816" s="142"/>
      <c r="AP816" s="29"/>
      <c r="AQ816" s="24"/>
      <c r="AR816" s="25"/>
      <c r="AS816" s="146"/>
      <c r="AT816" s="10"/>
      <c r="AU816" s="10"/>
      <c r="AV816" s="167"/>
      <c r="AW816" s="168"/>
      <c r="AX816" s="29"/>
      <c r="AY816" s="24"/>
      <c r="AZ816" s="25"/>
      <c r="BA816" s="24"/>
      <c r="BB816" s="169"/>
      <c r="BC816" s="170"/>
      <c r="BD816" s="10">
        <v>662816</v>
      </c>
      <c r="BE816" s="10">
        <v>950000</v>
      </c>
      <c r="BF816" s="10">
        <v>1020000</v>
      </c>
      <c r="BG816" s="268">
        <v>1010000</v>
      </c>
      <c r="BH816" s="10">
        <v>1000000</v>
      </c>
      <c r="BI816" s="76">
        <f t="shared" si="999"/>
        <v>995000</v>
      </c>
      <c r="BJ816" s="24">
        <f t="shared" si="1000"/>
        <v>332184</v>
      </c>
      <c r="BK816" s="25">
        <f t="shared" si="1001"/>
        <v>0.5011707623231787</v>
      </c>
      <c r="BL816" s="309">
        <f t="shared" si="1002"/>
        <v>995000</v>
      </c>
      <c r="BM816" s="293"/>
      <c r="BN816" s="293"/>
      <c r="BO816" s="293"/>
      <c r="BP816" s="293"/>
      <c r="BQ816" s="293"/>
      <c r="BR816" s="293"/>
      <c r="BS816" s="293"/>
      <c r="BT816" s="293"/>
    </row>
    <row r="817" spans="1:72" s="1" customFormat="1" ht="35.1" customHeight="1">
      <c r="A817" s="91"/>
      <c r="B817" s="358" t="s">
        <v>3009</v>
      </c>
      <c r="C817" s="50" t="s">
        <v>1940</v>
      </c>
      <c r="D817" s="264" t="s">
        <v>1867</v>
      </c>
      <c r="E817" s="262" t="s">
        <v>1396</v>
      </c>
      <c r="F817" s="10"/>
      <c r="G817" s="44"/>
      <c r="H817" s="31"/>
      <c r="I817" s="183"/>
      <c r="J817" s="29"/>
      <c r="K817" s="24"/>
      <c r="L817" s="25"/>
      <c r="M817" s="69"/>
      <c r="N817" s="77"/>
      <c r="O817" s="73"/>
      <c r="P817" s="74"/>
      <c r="Q817" s="74"/>
      <c r="R817" s="75"/>
      <c r="S817" s="61"/>
      <c r="T817" s="60"/>
      <c r="U817" s="74"/>
      <c r="V817" s="76"/>
      <c r="W817" s="24"/>
      <c r="X817" s="25"/>
      <c r="Y817" s="77"/>
      <c r="Z817" s="106"/>
      <c r="AA817" s="73"/>
      <c r="AB817" s="88"/>
      <c r="AC817" s="116"/>
      <c r="AD817" s="74"/>
      <c r="AE817" s="76"/>
      <c r="AF817" s="24"/>
      <c r="AG817" s="25"/>
      <c r="AH817" s="77"/>
      <c r="AI817" s="77"/>
      <c r="AJ817" s="73"/>
      <c r="AK817" s="79"/>
      <c r="AL817" s="79"/>
      <c r="AM817" s="127"/>
      <c r="AN817" s="142"/>
      <c r="AO817" s="142"/>
      <c r="AP817" s="29"/>
      <c r="AQ817" s="24"/>
      <c r="AR817" s="25"/>
      <c r="AS817" s="146"/>
      <c r="AT817" s="10"/>
      <c r="AU817" s="10"/>
      <c r="AV817" s="167"/>
      <c r="AW817" s="168"/>
      <c r="AX817" s="29"/>
      <c r="AY817" s="24"/>
      <c r="AZ817" s="25"/>
      <c r="BA817" s="24"/>
      <c r="BB817" s="169"/>
      <c r="BC817" s="170"/>
      <c r="BD817" s="10">
        <v>89684</v>
      </c>
      <c r="BE817" s="10">
        <v>150000</v>
      </c>
      <c r="BF817" s="10">
        <v>175000</v>
      </c>
      <c r="BG817" s="268">
        <v>165000</v>
      </c>
      <c r="BH817" s="10" t="s">
        <v>1421</v>
      </c>
      <c r="BI817" s="76">
        <f t="shared" si="999"/>
        <v>163333.33333333334</v>
      </c>
      <c r="BJ817" s="24">
        <f t="shared" si="1000"/>
        <v>73649.333333333343</v>
      </c>
      <c r="BK817" s="25">
        <f t="shared" si="1001"/>
        <v>0.82120928296388818</v>
      </c>
      <c r="BL817" s="309">
        <f t="shared" si="1002"/>
        <v>163333.33333333334</v>
      </c>
      <c r="BM817" s="293"/>
      <c r="BN817" s="293"/>
      <c r="BO817" s="293"/>
      <c r="BP817" s="293"/>
      <c r="BQ817" s="293"/>
      <c r="BR817" s="293"/>
      <c r="BS817" s="293"/>
      <c r="BT817" s="293"/>
    </row>
    <row r="818" spans="1:72" s="1" customFormat="1" ht="35.1" customHeight="1">
      <c r="A818" s="91"/>
      <c r="B818" s="358" t="s">
        <v>3010</v>
      </c>
      <c r="C818" s="50" t="s">
        <v>1941</v>
      </c>
      <c r="D818" s="264" t="s">
        <v>1868</v>
      </c>
      <c r="E818" s="262" t="s">
        <v>999</v>
      </c>
      <c r="F818" s="10"/>
      <c r="G818" s="44"/>
      <c r="H818" s="31"/>
      <c r="I818" s="183"/>
      <c r="J818" s="29"/>
      <c r="K818" s="24"/>
      <c r="L818" s="25"/>
      <c r="M818" s="69"/>
      <c r="N818" s="77"/>
      <c r="O818" s="73"/>
      <c r="P818" s="74"/>
      <c r="Q818" s="74"/>
      <c r="R818" s="75"/>
      <c r="S818" s="61"/>
      <c r="T818" s="60"/>
      <c r="U818" s="74"/>
      <c r="V818" s="76"/>
      <c r="W818" s="24"/>
      <c r="X818" s="25"/>
      <c r="Y818" s="77"/>
      <c r="Z818" s="106"/>
      <c r="AA818" s="73"/>
      <c r="AB818" s="88"/>
      <c r="AC818" s="116"/>
      <c r="AD818" s="74"/>
      <c r="AE818" s="76"/>
      <c r="AF818" s="24"/>
      <c r="AG818" s="25"/>
      <c r="AH818" s="77"/>
      <c r="AI818" s="77"/>
      <c r="AJ818" s="73"/>
      <c r="AK818" s="79"/>
      <c r="AL818" s="79"/>
      <c r="AM818" s="127"/>
      <c r="AN818" s="142"/>
      <c r="AO818" s="142"/>
      <c r="AP818" s="29"/>
      <c r="AQ818" s="24"/>
      <c r="AR818" s="25"/>
      <c r="AS818" s="146"/>
      <c r="AT818" s="10"/>
      <c r="AU818" s="10"/>
      <c r="AV818" s="167"/>
      <c r="AW818" s="168"/>
      <c r="AX818" s="29"/>
      <c r="AY818" s="24"/>
      <c r="AZ818" s="25"/>
      <c r="BA818" s="24"/>
      <c r="BB818" s="169"/>
      <c r="BC818" s="170"/>
      <c r="BD818" s="10">
        <v>205663</v>
      </c>
      <c r="BE818" s="10">
        <v>250000</v>
      </c>
      <c r="BF818" s="10">
        <v>275000</v>
      </c>
      <c r="BG818" s="268">
        <v>265000</v>
      </c>
      <c r="BH818" s="10">
        <v>250000</v>
      </c>
      <c r="BI818" s="76">
        <f t="shared" si="999"/>
        <v>260000</v>
      </c>
      <c r="BJ818" s="24">
        <f t="shared" si="1000"/>
        <v>54337</v>
      </c>
      <c r="BK818" s="25">
        <f t="shared" si="1001"/>
        <v>0.2642040619848976</v>
      </c>
      <c r="BL818" s="309">
        <f t="shared" si="1002"/>
        <v>260000</v>
      </c>
      <c r="BM818" s="293"/>
      <c r="BN818" s="293"/>
      <c r="BO818" s="293"/>
      <c r="BP818" s="293"/>
      <c r="BQ818" s="293"/>
      <c r="BR818" s="293"/>
      <c r="BS818" s="293"/>
      <c r="BT818" s="293"/>
    </row>
    <row r="819" spans="1:72" s="1" customFormat="1" ht="35.1" customHeight="1">
      <c r="A819" s="91"/>
      <c r="B819" s="358" t="s">
        <v>3011</v>
      </c>
      <c r="C819" s="50" t="s">
        <v>1942</v>
      </c>
      <c r="D819" s="264" t="s">
        <v>1869</v>
      </c>
      <c r="E819" s="262" t="s">
        <v>1399</v>
      </c>
      <c r="F819" s="10"/>
      <c r="G819" s="44"/>
      <c r="H819" s="31"/>
      <c r="I819" s="183"/>
      <c r="J819" s="29"/>
      <c r="K819" s="24"/>
      <c r="L819" s="25"/>
      <c r="M819" s="69"/>
      <c r="N819" s="77"/>
      <c r="O819" s="73"/>
      <c r="P819" s="74"/>
      <c r="Q819" s="74"/>
      <c r="R819" s="75"/>
      <c r="S819" s="61"/>
      <c r="T819" s="60"/>
      <c r="U819" s="74"/>
      <c r="V819" s="76"/>
      <c r="W819" s="24"/>
      <c r="X819" s="25"/>
      <c r="Y819" s="77"/>
      <c r="Z819" s="106"/>
      <c r="AA819" s="73"/>
      <c r="AB819" s="88"/>
      <c r="AC819" s="116"/>
      <c r="AD819" s="74"/>
      <c r="AE819" s="76"/>
      <c r="AF819" s="24"/>
      <c r="AG819" s="25"/>
      <c r="AH819" s="77"/>
      <c r="AI819" s="77"/>
      <c r="AJ819" s="73"/>
      <c r="AK819" s="79"/>
      <c r="AL819" s="79"/>
      <c r="AM819" s="127"/>
      <c r="AN819" s="142"/>
      <c r="AO819" s="142"/>
      <c r="AP819" s="29"/>
      <c r="AQ819" s="24"/>
      <c r="AR819" s="25"/>
      <c r="AS819" s="146"/>
      <c r="AT819" s="10"/>
      <c r="AU819" s="10"/>
      <c r="AV819" s="167"/>
      <c r="AW819" s="168"/>
      <c r="AX819" s="29"/>
      <c r="AY819" s="24"/>
      <c r="AZ819" s="25"/>
      <c r="BA819" s="24"/>
      <c r="BB819" s="169"/>
      <c r="BC819" s="170"/>
      <c r="BD819" s="10">
        <v>60002</v>
      </c>
      <c r="BE819" s="10">
        <v>90000</v>
      </c>
      <c r="BF819" s="10">
        <v>105000</v>
      </c>
      <c r="BG819" s="268">
        <v>100000</v>
      </c>
      <c r="BH819" s="10">
        <v>120000</v>
      </c>
      <c r="BI819" s="76">
        <f t="shared" si="999"/>
        <v>103750</v>
      </c>
      <c r="BJ819" s="24">
        <f t="shared" si="1000"/>
        <v>43748</v>
      </c>
      <c r="BK819" s="25">
        <f t="shared" si="1001"/>
        <v>0.72910902969901004</v>
      </c>
      <c r="BL819" s="309">
        <f t="shared" si="1002"/>
        <v>103750</v>
      </c>
      <c r="BM819" s="293"/>
      <c r="BN819" s="293"/>
      <c r="BO819" s="293"/>
      <c r="BP819" s="293"/>
      <c r="BQ819" s="293"/>
      <c r="BR819" s="293"/>
      <c r="BS819" s="293"/>
      <c r="BT819" s="293"/>
    </row>
    <row r="820" spans="1:72" s="1" customFormat="1" ht="35.1" customHeight="1">
      <c r="A820" s="91"/>
      <c r="B820" s="358" t="s">
        <v>3012</v>
      </c>
      <c r="C820" s="50" t="s">
        <v>1943</v>
      </c>
      <c r="D820" s="264" t="s">
        <v>1870</v>
      </c>
      <c r="E820" s="262" t="s">
        <v>999</v>
      </c>
      <c r="F820" s="10"/>
      <c r="G820" s="44"/>
      <c r="H820" s="31"/>
      <c r="I820" s="183"/>
      <c r="J820" s="29"/>
      <c r="K820" s="24"/>
      <c r="L820" s="25"/>
      <c r="M820" s="69"/>
      <c r="N820" s="77"/>
      <c r="O820" s="73"/>
      <c r="P820" s="74"/>
      <c r="Q820" s="74"/>
      <c r="R820" s="75"/>
      <c r="S820" s="61"/>
      <c r="T820" s="60"/>
      <c r="U820" s="74"/>
      <c r="V820" s="76"/>
      <c r="W820" s="24"/>
      <c r="X820" s="25"/>
      <c r="Y820" s="77"/>
      <c r="Z820" s="106"/>
      <c r="AA820" s="73"/>
      <c r="AB820" s="88"/>
      <c r="AC820" s="116"/>
      <c r="AD820" s="74"/>
      <c r="AE820" s="76"/>
      <c r="AF820" s="24"/>
      <c r="AG820" s="25"/>
      <c r="AH820" s="77"/>
      <c r="AI820" s="77"/>
      <c r="AJ820" s="73"/>
      <c r="AK820" s="79"/>
      <c r="AL820" s="79"/>
      <c r="AM820" s="127"/>
      <c r="AN820" s="142"/>
      <c r="AO820" s="142"/>
      <c r="AP820" s="29"/>
      <c r="AQ820" s="24"/>
      <c r="AR820" s="25"/>
      <c r="AS820" s="146"/>
      <c r="AT820" s="10"/>
      <c r="AU820" s="10"/>
      <c r="AV820" s="167"/>
      <c r="AW820" s="168"/>
      <c r="AX820" s="29"/>
      <c r="AY820" s="24"/>
      <c r="AZ820" s="25"/>
      <c r="BA820" s="24"/>
      <c r="BB820" s="169"/>
      <c r="BC820" s="170"/>
      <c r="BD820" s="10">
        <v>1317992</v>
      </c>
      <c r="BE820" s="10">
        <v>165000</v>
      </c>
      <c r="BF820" s="10">
        <v>190000</v>
      </c>
      <c r="BG820" s="268">
        <v>170000</v>
      </c>
      <c r="BH820" s="10">
        <v>185000</v>
      </c>
      <c r="BI820" s="76">
        <f t="shared" si="999"/>
        <v>177500</v>
      </c>
      <c r="BJ820" s="24">
        <f t="shared" si="1000"/>
        <v>-1140492</v>
      </c>
      <c r="BK820" s="25">
        <f t="shared" si="1001"/>
        <v>-0.86532543444876753</v>
      </c>
      <c r="BL820" s="309">
        <f t="shared" si="1002"/>
        <v>177500</v>
      </c>
      <c r="BM820" s="293"/>
      <c r="BN820" s="293"/>
      <c r="BO820" s="293"/>
      <c r="BP820" s="293"/>
      <c r="BQ820" s="293"/>
      <c r="BR820" s="293"/>
      <c r="BS820" s="293"/>
      <c r="BT820" s="293"/>
    </row>
    <row r="821" spans="1:72" s="1" customFormat="1" ht="35.1" customHeight="1">
      <c r="A821" s="91"/>
      <c r="B821" s="358" t="s">
        <v>3013</v>
      </c>
      <c r="C821" s="50" t="s">
        <v>1944</v>
      </c>
      <c r="D821" s="264" t="s">
        <v>1871</v>
      </c>
      <c r="E821" s="262" t="s">
        <v>999</v>
      </c>
      <c r="F821" s="10"/>
      <c r="G821" s="44"/>
      <c r="H821" s="31"/>
      <c r="I821" s="183"/>
      <c r="J821" s="29"/>
      <c r="K821" s="24"/>
      <c r="L821" s="25"/>
      <c r="M821" s="69"/>
      <c r="N821" s="77"/>
      <c r="O821" s="73"/>
      <c r="P821" s="74"/>
      <c r="Q821" s="74"/>
      <c r="R821" s="75"/>
      <c r="S821" s="61"/>
      <c r="T821" s="60"/>
      <c r="U821" s="74"/>
      <c r="V821" s="76"/>
      <c r="W821" s="24"/>
      <c r="X821" s="25"/>
      <c r="Y821" s="77"/>
      <c r="Z821" s="106"/>
      <c r="AA821" s="73"/>
      <c r="AB821" s="88"/>
      <c r="AC821" s="116"/>
      <c r="AD821" s="74"/>
      <c r="AE821" s="76"/>
      <c r="AF821" s="24"/>
      <c r="AG821" s="25"/>
      <c r="AH821" s="77"/>
      <c r="AI821" s="77"/>
      <c r="AJ821" s="73"/>
      <c r="AK821" s="79"/>
      <c r="AL821" s="79"/>
      <c r="AM821" s="127"/>
      <c r="AN821" s="142"/>
      <c r="AO821" s="142"/>
      <c r="AP821" s="29"/>
      <c r="AQ821" s="24"/>
      <c r="AR821" s="25"/>
      <c r="AS821" s="146"/>
      <c r="AT821" s="10"/>
      <c r="AU821" s="10"/>
      <c r="AV821" s="167"/>
      <c r="AW821" s="168"/>
      <c r="AX821" s="29"/>
      <c r="AY821" s="24"/>
      <c r="AZ821" s="25"/>
      <c r="BA821" s="24"/>
      <c r="BB821" s="169"/>
      <c r="BC821" s="170"/>
      <c r="BD821" s="10">
        <v>85479</v>
      </c>
      <c r="BE821" s="10">
        <v>90000</v>
      </c>
      <c r="BF821" s="10">
        <v>120000</v>
      </c>
      <c r="BG821" s="268">
        <v>110000</v>
      </c>
      <c r="BH821" s="10">
        <v>120000</v>
      </c>
      <c r="BI821" s="76">
        <f t="shared" si="999"/>
        <v>110000</v>
      </c>
      <c r="BJ821" s="24">
        <f t="shared" si="1000"/>
        <v>24521</v>
      </c>
      <c r="BK821" s="25">
        <f t="shared" si="1001"/>
        <v>0.28686577989915651</v>
      </c>
      <c r="BL821" s="309">
        <f t="shared" si="1002"/>
        <v>110000</v>
      </c>
      <c r="BM821" s="293"/>
      <c r="BN821" s="293"/>
      <c r="BO821" s="293"/>
      <c r="BP821" s="293"/>
      <c r="BQ821" s="293"/>
      <c r="BR821" s="293"/>
      <c r="BS821" s="293"/>
      <c r="BT821" s="293"/>
    </row>
    <row r="822" spans="1:72" s="1" customFormat="1" ht="35.1" customHeight="1">
      <c r="A822" s="91"/>
      <c r="B822" s="358" t="s">
        <v>3014</v>
      </c>
      <c r="C822" s="50" t="s">
        <v>1945</v>
      </c>
      <c r="D822" s="264" t="s">
        <v>1872</v>
      </c>
      <c r="E822" s="262" t="s">
        <v>999</v>
      </c>
      <c r="F822" s="10"/>
      <c r="G822" s="44"/>
      <c r="H822" s="31"/>
      <c r="I822" s="183"/>
      <c r="J822" s="29"/>
      <c r="K822" s="24"/>
      <c r="L822" s="25"/>
      <c r="M822" s="69"/>
      <c r="N822" s="77"/>
      <c r="O822" s="73"/>
      <c r="P822" s="74"/>
      <c r="Q822" s="74"/>
      <c r="R822" s="75"/>
      <c r="S822" s="61"/>
      <c r="T822" s="60"/>
      <c r="U822" s="74"/>
      <c r="V822" s="76"/>
      <c r="W822" s="24"/>
      <c r="X822" s="25"/>
      <c r="Y822" s="77"/>
      <c r="Z822" s="106"/>
      <c r="AA822" s="73"/>
      <c r="AB822" s="88"/>
      <c r="AC822" s="116"/>
      <c r="AD822" s="74"/>
      <c r="AE822" s="76"/>
      <c r="AF822" s="24"/>
      <c r="AG822" s="25"/>
      <c r="AH822" s="77"/>
      <c r="AI822" s="77"/>
      <c r="AJ822" s="73"/>
      <c r="AK822" s="79"/>
      <c r="AL822" s="79"/>
      <c r="AM822" s="127"/>
      <c r="AN822" s="142"/>
      <c r="AO822" s="142"/>
      <c r="AP822" s="29"/>
      <c r="AQ822" s="24"/>
      <c r="AR822" s="25"/>
      <c r="AS822" s="146"/>
      <c r="AT822" s="10"/>
      <c r="AU822" s="10"/>
      <c r="AV822" s="167"/>
      <c r="AW822" s="168"/>
      <c r="AX822" s="29"/>
      <c r="AY822" s="24"/>
      <c r="AZ822" s="25"/>
      <c r="BA822" s="24"/>
      <c r="BB822" s="169"/>
      <c r="BC822" s="170"/>
      <c r="BD822" s="10">
        <v>79100</v>
      </c>
      <c r="BE822" s="10">
        <v>150000</v>
      </c>
      <c r="BF822" s="10">
        <v>170000</v>
      </c>
      <c r="BG822" s="268">
        <v>160000</v>
      </c>
      <c r="BH822" s="10">
        <v>150000</v>
      </c>
      <c r="BI822" s="76">
        <f t="shared" si="999"/>
        <v>157500</v>
      </c>
      <c r="BJ822" s="24">
        <f t="shared" si="1000"/>
        <v>78400</v>
      </c>
      <c r="BK822" s="25">
        <f t="shared" si="1001"/>
        <v>0.99115044247787609</v>
      </c>
      <c r="BL822" s="309">
        <f t="shared" si="1002"/>
        <v>157500</v>
      </c>
      <c r="BM822" s="293"/>
      <c r="BN822" s="293"/>
      <c r="BO822" s="293"/>
      <c r="BP822" s="293"/>
      <c r="BQ822" s="293"/>
      <c r="BR822" s="293"/>
      <c r="BS822" s="293"/>
      <c r="BT822" s="293"/>
    </row>
    <row r="823" spans="1:72" s="1" customFormat="1" ht="35.1" customHeight="1">
      <c r="A823" s="91"/>
      <c r="B823" s="358" t="s">
        <v>3015</v>
      </c>
      <c r="C823" s="50" t="s">
        <v>1946</v>
      </c>
      <c r="D823" s="264" t="s">
        <v>1873</v>
      </c>
      <c r="E823" s="262" t="s">
        <v>999</v>
      </c>
      <c r="F823" s="10"/>
      <c r="G823" s="44"/>
      <c r="H823" s="31"/>
      <c r="I823" s="183"/>
      <c r="J823" s="29"/>
      <c r="K823" s="24"/>
      <c r="L823" s="25"/>
      <c r="M823" s="69"/>
      <c r="N823" s="77"/>
      <c r="O823" s="73"/>
      <c r="P823" s="74"/>
      <c r="Q823" s="74"/>
      <c r="R823" s="75"/>
      <c r="S823" s="61"/>
      <c r="T823" s="60"/>
      <c r="U823" s="74"/>
      <c r="V823" s="76"/>
      <c r="W823" s="24"/>
      <c r="X823" s="25"/>
      <c r="Y823" s="77"/>
      <c r="Z823" s="106"/>
      <c r="AA823" s="73"/>
      <c r="AB823" s="88"/>
      <c r="AC823" s="116"/>
      <c r="AD823" s="74"/>
      <c r="AE823" s="76"/>
      <c r="AF823" s="24"/>
      <c r="AG823" s="25"/>
      <c r="AH823" s="77"/>
      <c r="AI823" s="77"/>
      <c r="AJ823" s="73"/>
      <c r="AK823" s="79"/>
      <c r="AL823" s="79"/>
      <c r="AM823" s="127"/>
      <c r="AN823" s="142"/>
      <c r="AO823" s="142"/>
      <c r="AP823" s="29"/>
      <c r="AQ823" s="24"/>
      <c r="AR823" s="25"/>
      <c r="AS823" s="146"/>
      <c r="AT823" s="10"/>
      <c r="AU823" s="10"/>
      <c r="AV823" s="167"/>
      <c r="AW823" s="168"/>
      <c r="AX823" s="29"/>
      <c r="AY823" s="24"/>
      <c r="AZ823" s="25"/>
      <c r="BA823" s="24"/>
      <c r="BB823" s="169"/>
      <c r="BC823" s="170"/>
      <c r="BD823" s="10">
        <v>198685</v>
      </c>
      <c r="BE823" s="10">
        <v>150000</v>
      </c>
      <c r="BF823" s="10">
        <v>170000</v>
      </c>
      <c r="BG823" s="268">
        <v>160000</v>
      </c>
      <c r="BH823" s="10">
        <v>150000</v>
      </c>
      <c r="BI823" s="76">
        <f t="shared" si="999"/>
        <v>157500</v>
      </c>
      <c r="BJ823" s="24">
        <f t="shared" si="1000"/>
        <v>-41185</v>
      </c>
      <c r="BK823" s="25">
        <f t="shared" si="1001"/>
        <v>-0.20728791806125274</v>
      </c>
      <c r="BL823" s="309">
        <f t="shared" si="1002"/>
        <v>157500</v>
      </c>
      <c r="BM823" s="293"/>
      <c r="BN823" s="293"/>
      <c r="BO823" s="293"/>
      <c r="BP823" s="293"/>
      <c r="BQ823" s="293"/>
      <c r="BR823" s="293"/>
      <c r="BS823" s="293"/>
      <c r="BT823" s="293"/>
    </row>
    <row r="824" spans="1:72" s="1" customFormat="1" ht="35.1" customHeight="1">
      <c r="A824" s="91"/>
      <c r="B824" s="358" t="s">
        <v>3016</v>
      </c>
      <c r="C824" s="50" t="s">
        <v>1947</v>
      </c>
      <c r="D824" s="264" t="s">
        <v>1874</v>
      </c>
      <c r="E824" s="262" t="s">
        <v>999</v>
      </c>
      <c r="F824" s="10"/>
      <c r="G824" s="44"/>
      <c r="H824" s="31"/>
      <c r="I824" s="183"/>
      <c r="J824" s="29"/>
      <c r="K824" s="24"/>
      <c r="L824" s="25"/>
      <c r="M824" s="69"/>
      <c r="N824" s="77"/>
      <c r="O824" s="73"/>
      <c r="P824" s="74"/>
      <c r="Q824" s="74"/>
      <c r="R824" s="75"/>
      <c r="S824" s="61"/>
      <c r="T824" s="60"/>
      <c r="U824" s="74"/>
      <c r="V824" s="76"/>
      <c r="W824" s="24"/>
      <c r="X824" s="25"/>
      <c r="Y824" s="77"/>
      <c r="Z824" s="106"/>
      <c r="AA824" s="73"/>
      <c r="AB824" s="88"/>
      <c r="AC824" s="116"/>
      <c r="AD824" s="74"/>
      <c r="AE824" s="76"/>
      <c r="AF824" s="24"/>
      <c r="AG824" s="25"/>
      <c r="AH824" s="77"/>
      <c r="AI824" s="77"/>
      <c r="AJ824" s="73"/>
      <c r="AK824" s="79"/>
      <c r="AL824" s="79"/>
      <c r="AM824" s="127"/>
      <c r="AN824" s="142"/>
      <c r="AO824" s="142"/>
      <c r="AP824" s="29"/>
      <c r="AQ824" s="24"/>
      <c r="AR824" s="25"/>
      <c r="AS824" s="146"/>
      <c r="AT824" s="10"/>
      <c r="AU824" s="10"/>
      <c r="AV824" s="167"/>
      <c r="AW824" s="168"/>
      <c r="AX824" s="29"/>
      <c r="AY824" s="24"/>
      <c r="AZ824" s="25"/>
      <c r="BA824" s="24"/>
      <c r="BB824" s="169"/>
      <c r="BC824" s="170"/>
      <c r="BD824" s="10">
        <v>162748</v>
      </c>
      <c r="BE824" s="10">
        <v>30000</v>
      </c>
      <c r="BF824" s="10">
        <v>45000</v>
      </c>
      <c r="BG824" s="268">
        <v>40000</v>
      </c>
      <c r="BH824" s="10">
        <v>55000</v>
      </c>
      <c r="BI824" s="76">
        <f t="shared" si="999"/>
        <v>42500</v>
      </c>
      <c r="BJ824" s="24">
        <f t="shared" si="1000"/>
        <v>-120248</v>
      </c>
      <c r="BK824" s="25">
        <f t="shared" si="1001"/>
        <v>-0.73886007815764254</v>
      </c>
      <c r="BL824" s="309">
        <f t="shared" si="1002"/>
        <v>42500</v>
      </c>
      <c r="BM824" s="293"/>
      <c r="BN824" s="293"/>
      <c r="BO824" s="293"/>
      <c r="BP824" s="293"/>
      <c r="BQ824" s="293"/>
      <c r="BR824" s="293"/>
      <c r="BS824" s="293"/>
      <c r="BT824" s="293"/>
    </row>
    <row r="825" spans="1:72" s="1" customFormat="1" ht="35.1" customHeight="1">
      <c r="A825" s="91"/>
      <c r="B825" s="358" t="s">
        <v>3017</v>
      </c>
      <c r="C825" s="50" t="s">
        <v>1948</v>
      </c>
      <c r="D825" s="264" t="s">
        <v>1875</v>
      </c>
      <c r="E825" s="262" t="s">
        <v>999</v>
      </c>
      <c r="F825" s="10"/>
      <c r="G825" s="44"/>
      <c r="H825" s="31"/>
      <c r="I825" s="183"/>
      <c r="J825" s="29"/>
      <c r="K825" s="24"/>
      <c r="L825" s="25"/>
      <c r="M825" s="69"/>
      <c r="N825" s="77"/>
      <c r="O825" s="73"/>
      <c r="P825" s="74"/>
      <c r="Q825" s="74"/>
      <c r="R825" s="75"/>
      <c r="S825" s="61"/>
      <c r="T825" s="60"/>
      <c r="U825" s="74"/>
      <c r="V825" s="76"/>
      <c r="W825" s="24"/>
      <c r="X825" s="25"/>
      <c r="Y825" s="77"/>
      <c r="Z825" s="106"/>
      <c r="AA825" s="73"/>
      <c r="AB825" s="88"/>
      <c r="AC825" s="116"/>
      <c r="AD825" s="74"/>
      <c r="AE825" s="76"/>
      <c r="AF825" s="24"/>
      <c r="AG825" s="25"/>
      <c r="AH825" s="77"/>
      <c r="AI825" s="77"/>
      <c r="AJ825" s="73"/>
      <c r="AK825" s="79"/>
      <c r="AL825" s="79"/>
      <c r="AM825" s="127"/>
      <c r="AN825" s="142"/>
      <c r="AO825" s="142"/>
      <c r="AP825" s="29"/>
      <c r="AQ825" s="24"/>
      <c r="AR825" s="25"/>
      <c r="AS825" s="146"/>
      <c r="AT825" s="10"/>
      <c r="AU825" s="10"/>
      <c r="AV825" s="167"/>
      <c r="AW825" s="168"/>
      <c r="AX825" s="29"/>
      <c r="AY825" s="24"/>
      <c r="AZ825" s="25"/>
      <c r="BA825" s="24"/>
      <c r="BB825" s="169"/>
      <c r="BC825" s="170"/>
      <c r="BD825" s="10">
        <v>28239</v>
      </c>
      <c r="BE825" s="10">
        <v>240000</v>
      </c>
      <c r="BF825" s="10">
        <v>260000</v>
      </c>
      <c r="BG825" s="268">
        <v>250000</v>
      </c>
      <c r="BH825" s="10">
        <v>250000</v>
      </c>
      <c r="BI825" s="76">
        <f t="shared" si="999"/>
        <v>250000</v>
      </c>
      <c r="BJ825" s="24">
        <f t="shared" si="1000"/>
        <v>221761</v>
      </c>
      <c r="BK825" s="25">
        <f t="shared" si="1001"/>
        <v>7.8530047097985056</v>
      </c>
      <c r="BL825" s="309">
        <f t="shared" si="1002"/>
        <v>250000</v>
      </c>
      <c r="BM825" s="293"/>
      <c r="BN825" s="293"/>
      <c r="BO825" s="293"/>
      <c r="BP825" s="293"/>
      <c r="BQ825" s="293"/>
      <c r="BR825" s="293"/>
      <c r="BS825" s="293"/>
      <c r="BT825" s="293"/>
    </row>
    <row r="826" spans="1:72" s="1" customFormat="1" ht="35.1" customHeight="1">
      <c r="A826" s="91"/>
      <c r="B826" s="358" t="s">
        <v>3018</v>
      </c>
      <c r="C826" s="50" t="s">
        <v>1949</v>
      </c>
      <c r="D826" s="264" t="s">
        <v>1876</v>
      </c>
      <c r="E826" s="262" t="s">
        <v>827</v>
      </c>
      <c r="F826" s="10"/>
      <c r="G826" s="44"/>
      <c r="H826" s="31"/>
      <c r="I826" s="183"/>
      <c r="J826" s="29"/>
      <c r="K826" s="24"/>
      <c r="L826" s="25"/>
      <c r="M826" s="69"/>
      <c r="N826" s="77"/>
      <c r="O826" s="73"/>
      <c r="P826" s="74"/>
      <c r="Q826" s="74"/>
      <c r="R826" s="75"/>
      <c r="S826" s="61"/>
      <c r="T826" s="60"/>
      <c r="U826" s="74"/>
      <c r="V826" s="76"/>
      <c r="W826" s="24"/>
      <c r="X826" s="25"/>
      <c r="Y826" s="77"/>
      <c r="Z826" s="106"/>
      <c r="AA826" s="73"/>
      <c r="AB826" s="88"/>
      <c r="AC826" s="116"/>
      <c r="AD826" s="74"/>
      <c r="AE826" s="76"/>
      <c r="AF826" s="24"/>
      <c r="AG826" s="25"/>
      <c r="AH826" s="77"/>
      <c r="AI826" s="77"/>
      <c r="AJ826" s="73"/>
      <c r="AK826" s="79"/>
      <c r="AL826" s="79"/>
      <c r="AM826" s="127"/>
      <c r="AN826" s="142"/>
      <c r="AO826" s="142"/>
      <c r="AP826" s="29"/>
      <c r="AQ826" s="24"/>
      <c r="AR826" s="25"/>
      <c r="AS826" s="146"/>
      <c r="AT826" s="10"/>
      <c r="AU826" s="10"/>
      <c r="AV826" s="167"/>
      <c r="AW826" s="168"/>
      <c r="AX826" s="29"/>
      <c r="AY826" s="24"/>
      <c r="AZ826" s="25"/>
      <c r="BA826" s="24"/>
      <c r="BB826" s="169"/>
      <c r="BC826" s="170"/>
      <c r="BD826" s="10">
        <v>132903</v>
      </c>
      <c r="BE826" s="10">
        <v>600000</v>
      </c>
      <c r="BF826" s="10">
        <v>650000</v>
      </c>
      <c r="BG826" s="268">
        <v>630000</v>
      </c>
      <c r="BH826" s="10">
        <v>650000</v>
      </c>
      <c r="BI826" s="76">
        <f t="shared" si="999"/>
        <v>632500</v>
      </c>
      <c r="BJ826" s="24">
        <f t="shared" si="1000"/>
        <v>499597</v>
      </c>
      <c r="BK826" s="25">
        <f t="shared" si="1001"/>
        <v>3.7591100276141245</v>
      </c>
      <c r="BL826" s="309">
        <f t="shared" si="1002"/>
        <v>632500</v>
      </c>
      <c r="BM826" s="293"/>
      <c r="BN826" s="293"/>
      <c r="BO826" s="293"/>
      <c r="BP826" s="293"/>
      <c r="BQ826" s="293"/>
      <c r="BR826" s="293"/>
      <c r="BS826" s="293"/>
      <c r="BT826" s="293"/>
    </row>
    <row r="827" spans="1:72" s="1" customFormat="1" ht="35.1" customHeight="1">
      <c r="A827" s="91"/>
      <c r="B827" s="358" t="s">
        <v>3019</v>
      </c>
      <c r="C827" s="50" t="s">
        <v>1950</v>
      </c>
      <c r="D827" s="264" t="s">
        <v>1877</v>
      </c>
      <c r="E827" s="262" t="s">
        <v>999</v>
      </c>
      <c r="F827" s="10"/>
      <c r="G827" s="44"/>
      <c r="H827" s="31"/>
      <c r="I827" s="183"/>
      <c r="J827" s="29"/>
      <c r="K827" s="24"/>
      <c r="L827" s="25"/>
      <c r="M827" s="69"/>
      <c r="N827" s="77"/>
      <c r="O827" s="73"/>
      <c r="P827" s="74"/>
      <c r="Q827" s="74"/>
      <c r="R827" s="75"/>
      <c r="S827" s="61"/>
      <c r="T827" s="60"/>
      <c r="U827" s="74"/>
      <c r="V827" s="76"/>
      <c r="W827" s="24"/>
      <c r="X827" s="25"/>
      <c r="Y827" s="77"/>
      <c r="Z827" s="106"/>
      <c r="AA827" s="73"/>
      <c r="AB827" s="88"/>
      <c r="AC827" s="116"/>
      <c r="AD827" s="74"/>
      <c r="AE827" s="76"/>
      <c r="AF827" s="24"/>
      <c r="AG827" s="25"/>
      <c r="AH827" s="77"/>
      <c r="AI827" s="77"/>
      <c r="AJ827" s="73"/>
      <c r="AK827" s="79"/>
      <c r="AL827" s="79"/>
      <c r="AM827" s="127"/>
      <c r="AN827" s="142"/>
      <c r="AO827" s="142"/>
      <c r="AP827" s="29"/>
      <c r="AQ827" s="24"/>
      <c r="AR827" s="25"/>
      <c r="AS827" s="146"/>
      <c r="AT827" s="10"/>
      <c r="AU827" s="10"/>
      <c r="AV827" s="167"/>
      <c r="AW827" s="168"/>
      <c r="AX827" s="29"/>
      <c r="AY827" s="24"/>
      <c r="AZ827" s="25"/>
      <c r="BA827" s="24"/>
      <c r="BB827" s="169"/>
      <c r="BC827" s="170"/>
      <c r="BD827" s="10">
        <v>283225</v>
      </c>
      <c r="BE827" s="10">
        <v>600000</v>
      </c>
      <c r="BF827" s="10">
        <v>650000</v>
      </c>
      <c r="BG827" s="268">
        <v>630000</v>
      </c>
      <c r="BH827" s="10">
        <v>650000</v>
      </c>
      <c r="BI827" s="76">
        <f t="shared" si="999"/>
        <v>632500</v>
      </c>
      <c r="BJ827" s="24">
        <f t="shared" si="1000"/>
        <v>349275</v>
      </c>
      <c r="BK827" s="25">
        <f t="shared" si="1001"/>
        <v>1.2332068143702004</v>
      </c>
      <c r="BL827" s="309">
        <f t="shared" si="1002"/>
        <v>632500</v>
      </c>
      <c r="BM827" s="293"/>
      <c r="BN827" s="293"/>
      <c r="BO827" s="293"/>
      <c r="BP827" s="293"/>
      <c r="BQ827" s="293"/>
      <c r="BR827" s="293"/>
      <c r="BS827" s="293"/>
      <c r="BT827" s="293"/>
    </row>
    <row r="828" spans="1:72" s="1" customFormat="1" ht="35.1" customHeight="1">
      <c r="A828" s="91"/>
      <c r="B828" s="358" t="s">
        <v>3020</v>
      </c>
      <c r="C828" s="50" t="s">
        <v>1951</v>
      </c>
      <c r="D828" s="264" t="s">
        <v>1878</v>
      </c>
      <c r="E828" s="262" t="s">
        <v>999</v>
      </c>
      <c r="F828" s="10"/>
      <c r="G828" s="44"/>
      <c r="H828" s="31"/>
      <c r="I828" s="183"/>
      <c r="J828" s="29"/>
      <c r="K828" s="24"/>
      <c r="L828" s="25"/>
      <c r="M828" s="69"/>
      <c r="N828" s="77"/>
      <c r="O828" s="73"/>
      <c r="P828" s="74"/>
      <c r="Q828" s="74"/>
      <c r="R828" s="75"/>
      <c r="S828" s="61"/>
      <c r="T828" s="60"/>
      <c r="U828" s="74"/>
      <c r="V828" s="76"/>
      <c r="W828" s="24"/>
      <c r="X828" s="25"/>
      <c r="Y828" s="77"/>
      <c r="Z828" s="106"/>
      <c r="AA828" s="73"/>
      <c r="AB828" s="88"/>
      <c r="AC828" s="116"/>
      <c r="AD828" s="74"/>
      <c r="AE828" s="76"/>
      <c r="AF828" s="24"/>
      <c r="AG828" s="25"/>
      <c r="AH828" s="77"/>
      <c r="AI828" s="77"/>
      <c r="AJ828" s="73"/>
      <c r="AK828" s="79"/>
      <c r="AL828" s="79"/>
      <c r="AM828" s="127"/>
      <c r="AN828" s="142"/>
      <c r="AO828" s="142"/>
      <c r="AP828" s="29"/>
      <c r="AQ828" s="24"/>
      <c r="AR828" s="25"/>
      <c r="AS828" s="146"/>
      <c r="AT828" s="10"/>
      <c r="AU828" s="10"/>
      <c r="AV828" s="167"/>
      <c r="AW828" s="168"/>
      <c r="AX828" s="29"/>
      <c r="AY828" s="24"/>
      <c r="AZ828" s="25"/>
      <c r="BA828" s="24"/>
      <c r="BB828" s="169"/>
      <c r="BC828" s="170"/>
      <c r="BD828" s="10">
        <v>212497</v>
      </c>
      <c r="BE828" s="10">
        <v>350000</v>
      </c>
      <c r="BF828" s="10">
        <v>390000</v>
      </c>
      <c r="BG828" s="268">
        <v>370000</v>
      </c>
      <c r="BH828" s="10">
        <v>350000</v>
      </c>
      <c r="BI828" s="76">
        <f t="shared" si="999"/>
        <v>365000</v>
      </c>
      <c r="BJ828" s="24">
        <f t="shared" si="1000"/>
        <v>152503</v>
      </c>
      <c r="BK828" s="25">
        <f t="shared" si="1001"/>
        <v>0.71767130830082304</v>
      </c>
      <c r="BL828" s="309">
        <f t="shared" si="1002"/>
        <v>365000</v>
      </c>
      <c r="BM828" s="293"/>
      <c r="BN828" s="293"/>
      <c r="BO828" s="293"/>
      <c r="BP828" s="293"/>
      <c r="BQ828" s="293"/>
      <c r="BR828" s="293"/>
      <c r="BS828" s="293"/>
      <c r="BT828" s="293"/>
    </row>
    <row r="829" spans="1:72" s="1" customFormat="1" ht="35.1" customHeight="1">
      <c r="A829" s="91"/>
      <c r="B829" s="358" t="s">
        <v>3021</v>
      </c>
      <c r="C829" s="50" t="s">
        <v>1952</v>
      </c>
      <c r="D829" s="264" t="s">
        <v>1879</v>
      </c>
      <c r="E829" s="262" t="s">
        <v>999</v>
      </c>
      <c r="F829" s="10"/>
      <c r="G829" s="44"/>
      <c r="H829" s="31"/>
      <c r="I829" s="183"/>
      <c r="J829" s="29"/>
      <c r="K829" s="24"/>
      <c r="L829" s="25"/>
      <c r="M829" s="69"/>
      <c r="N829" s="77"/>
      <c r="O829" s="73"/>
      <c r="P829" s="74"/>
      <c r="Q829" s="74"/>
      <c r="R829" s="75"/>
      <c r="S829" s="61"/>
      <c r="T829" s="60"/>
      <c r="U829" s="74"/>
      <c r="V829" s="76"/>
      <c r="W829" s="24"/>
      <c r="X829" s="25"/>
      <c r="Y829" s="77"/>
      <c r="Z829" s="106"/>
      <c r="AA829" s="73"/>
      <c r="AB829" s="88"/>
      <c r="AC829" s="116"/>
      <c r="AD829" s="74"/>
      <c r="AE829" s="76"/>
      <c r="AF829" s="24"/>
      <c r="AG829" s="25"/>
      <c r="AH829" s="77"/>
      <c r="AI829" s="77"/>
      <c r="AJ829" s="73"/>
      <c r="AK829" s="79"/>
      <c r="AL829" s="79"/>
      <c r="AM829" s="127"/>
      <c r="AN829" s="142"/>
      <c r="AO829" s="142"/>
      <c r="AP829" s="29"/>
      <c r="AQ829" s="24"/>
      <c r="AR829" s="25"/>
      <c r="AS829" s="146"/>
      <c r="AT829" s="10"/>
      <c r="AU829" s="10"/>
      <c r="AV829" s="167"/>
      <c r="AW829" s="168"/>
      <c r="AX829" s="29"/>
      <c r="AY829" s="24"/>
      <c r="AZ829" s="25"/>
      <c r="BA829" s="24"/>
      <c r="BB829" s="169"/>
      <c r="BC829" s="170"/>
      <c r="BD829" s="10">
        <v>61701</v>
      </c>
      <c r="BE829" s="10">
        <v>650000</v>
      </c>
      <c r="BF829" s="10">
        <v>680000</v>
      </c>
      <c r="BG829" s="268">
        <v>660000</v>
      </c>
      <c r="BH829" s="10">
        <v>680000</v>
      </c>
      <c r="BI829" s="76">
        <f t="shared" si="999"/>
        <v>667500</v>
      </c>
      <c r="BJ829" s="24">
        <f t="shared" si="1000"/>
        <v>605799</v>
      </c>
      <c r="BK829" s="25">
        <f t="shared" si="1001"/>
        <v>9.8183011620557199</v>
      </c>
      <c r="BL829" s="309">
        <f t="shared" si="1002"/>
        <v>667500</v>
      </c>
      <c r="BM829" s="293"/>
      <c r="BN829" s="293"/>
      <c r="BO829" s="293"/>
      <c r="BP829" s="293"/>
      <c r="BQ829" s="293"/>
      <c r="BR829" s="293"/>
      <c r="BS829" s="293"/>
      <c r="BT829" s="293"/>
    </row>
    <row r="830" spans="1:72" s="1" customFormat="1" ht="35.1" customHeight="1">
      <c r="A830" s="91"/>
      <c r="B830" s="358" t="s">
        <v>3022</v>
      </c>
      <c r="C830" s="50" t="s">
        <v>1953</v>
      </c>
      <c r="D830" s="264" t="s">
        <v>1880</v>
      </c>
      <c r="E830" s="262" t="s">
        <v>999</v>
      </c>
      <c r="F830" s="10"/>
      <c r="G830" s="44"/>
      <c r="H830" s="31"/>
      <c r="I830" s="183"/>
      <c r="J830" s="29"/>
      <c r="K830" s="24"/>
      <c r="L830" s="25"/>
      <c r="M830" s="69"/>
      <c r="N830" s="77"/>
      <c r="O830" s="73"/>
      <c r="P830" s="74"/>
      <c r="Q830" s="74"/>
      <c r="R830" s="75"/>
      <c r="S830" s="61"/>
      <c r="T830" s="60"/>
      <c r="U830" s="74"/>
      <c r="V830" s="76"/>
      <c r="W830" s="24"/>
      <c r="X830" s="25"/>
      <c r="Y830" s="77"/>
      <c r="Z830" s="106"/>
      <c r="AA830" s="73"/>
      <c r="AB830" s="88"/>
      <c r="AC830" s="116"/>
      <c r="AD830" s="74"/>
      <c r="AE830" s="76"/>
      <c r="AF830" s="24"/>
      <c r="AG830" s="25"/>
      <c r="AH830" s="77"/>
      <c r="AI830" s="77"/>
      <c r="AJ830" s="73"/>
      <c r="AK830" s="79"/>
      <c r="AL830" s="79"/>
      <c r="AM830" s="127"/>
      <c r="AN830" s="142"/>
      <c r="AO830" s="142"/>
      <c r="AP830" s="29"/>
      <c r="AQ830" s="24"/>
      <c r="AR830" s="25"/>
      <c r="AS830" s="146"/>
      <c r="AT830" s="10"/>
      <c r="AU830" s="10"/>
      <c r="AV830" s="167"/>
      <c r="AW830" s="168"/>
      <c r="AX830" s="29"/>
      <c r="AY830" s="24"/>
      <c r="AZ830" s="25"/>
      <c r="BA830" s="24"/>
      <c r="BB830" s="169"/>
      <c r="BC830" s="170"/>
      <c r="BD830" s="10">
        <v>61843</v>
      </c>
      <c r="BE830" s="10">
        <v>250000</v>
      </c>
      <c r="BF830" s="10">
        <v>275000</v>
      </c>
      <c r="BG830" s="268">
        <v>265000</v>
      </c>
      <c r="BH830" s="10">
        <v>250000</v>
      </c>
      <c r="BI830" s="76">
        <f t="shared" si="999"/>
        <v>260000</v>
      </c>
      <c r="BJ830" s="24">
        <f t="shared" si="1000"/>
        <v>198157</v>
      </c>
      <c r="BK830" s="25">
        <f t="shared" si="1001"/>
        <v>3.2041944925052146</v>
      </c>
      <c r="BL830" s="309">
        <f t="shared" si="1002"/>
        <v>260000</v>
      </c>
      <c r="BM830" s="293"/>
      <c r="BN830" s="293"/>
      <c r="BO830" s="293"/>
      <c r="BP830" s="293"/>
      <c r="BQ830" s="293"/>
      <c r="BR830" s="293"/>
      <c r="BS830" s="293"/>
      <c r="BT830" s="293"/>
    </row>
    <row r="831" spans="1:72" s="1" customFormat="1" ht="35.1" customHeight="1">
      <c r="A831" s="91"/>
      <c r="B831" s="358" t="s">
        <v>3023</v>
      </c>
      <c r="C831" s="50" t="s">
        <v>1954</v>
      </c>
      <c r="D831" s="264" t="s">
        <v>1881</v>
      </c>
      <c r="E831" s="262" t="s">
        <v>999</v>
      </c>
      <c r="F831" s="10"/>
      <c r="G831" s="44"/>
      <c r="H831" s="31"/>
      <c r="I831" s="183"/>
      <c r="J831" s="29"/>
      <c r="K831" s="24"/>
      <c r="L831" s="25"/>
      <c r="M831" s="69"/>
      <c r="N831" s="77"/>
      <c r="O831" s="73"/>
      <c r="P831" s="74"/>
      <c r="Q831" s="74"/>
      <c r="R831" s="75"/>
      <c r="S831" s="61"/>
      <c r="T831" s="60"/>
      <c r="U831" s="74"/>
      <c r="V831" s="76"/>
      <c r="W831" s="24"/>
      <c r="X831" s="25"/>
      <c r="Y831" s="77"/>
      <c r="Z831" s="106"/>
      <c r="AA831" s="73"/>
      <c r="AB831" s="88"/>
      <c r="AC831" s="116"/>
      <c r="AD831" s="74"/>
      <c r="AE831" s="76"/>
      <c r="AF831" s="24"/>
      <c r="AG831" s="25"/>
      <c r="AH831" s="77"/>
      <c r="AI831" s="77"/>
      <c r="AJ831" s="73"/>
      <c r="AK831" s="79"/>
      <c r="AL831" s="79"/>
      <c r="AM831" s="127"/>
      <c r="AN831" s="142"/>
      <c r="AO831" s="142"/>
      <c r="AP831" s="29"/>
      <c r="AQ831" s="24"/>
      <c r="AR831" s="25"/>
      <c r="AS831" s="146"/>
      <c r="AT831" s="10"/>
      <c r="AU831" s="10"/>
      <c r="AV831" s="167"/>
      <c r="AW831" s="168"/>
      <c r="AX831" s="29"/>
      <c r="AY831" s="24"/>
      <c r="AZ831" s="25"/>
      <c r="BA831" s="24"/>
      <c r="BB831" s="169"/>
      <c r="BC831" s="170"/>
      <c r="BD831" s="10">
        <v>3455</v>
      </c>
      <c r="BE831" s="10">
        <v>240000</v>
      </c>
      <c r="BF831" s="10">
        <v>275000</v>
      </c>
      <c r="BG831" s="268">
        <v>265000</v>
      </c>
      <c r="BH831" s="10">
        <v>250000</v>
      </c>
      <c r="BI831" s="76">
        <f t="shared" si="999"/>
        <v>257500</v>
      </c>
      <c r="BJ831" s="24">
        <f t="shared" si="1000"/>
        <v>254045</v>
      </c>
      <c r="BK831" s="25">
        <f t="shared" si="1001"/>
        <v>73.529667149059335</v>
      </c>
      <c r="BL831" s="309">
        <f t="shared" si="1002"/>
        <v>257500</v>
      </c>
      <c r="BM831" s="293"/>
      <c r="BN831" s="293"/>
      <c r="BO831" s="293"/>
      <c r="BP831" s="293"/>
      <c r="BQ831" s="293"/>
      <c r="BR831" s="293"/>
      <c r="BS831" s="293"/>
      <c r="BT831" s="293"/>
    </row>
    <row r="832" spans="1:72" s="1" customFormat="1" ht="35.1" customHeight="1">
      <c r="A832" s="91"/>
      <c r="B832" s="358" t="s">
        <v>3024</v>
      </c>
      <c r="C832" s="50" t="s">
        <v>1955</v>
      </c>
      <c r="D832" s="264" t="s">
        <v>1882</v>
      </c>
      <c r="E832" s="262" t="s">
        <v>1457</v>
      </c>
      <c r="F832" s="10"/>
      <c r="G832" s="44"/>
      <c r="H832" s="31"/>
      <c r="I832" s="183"/>
      <c r="J832" s="29"/>
      <c r="K832" s="24"/>
      <c r="L832" s="25"/>
      <c r="M832" s="69"/>
      <c r="N832" s="77"/>
      <c r="O832" s="73"/>
      <c r="P832" s="74"/>
      <c r="Q832" s="74"/>
      <c r="R832" s="75"/>
      <c r="S832" s="61"/>
      <c r="T832" s="60"/>
      <c r="U832" s="74"/>
      <c r="V832" s="76"/>
      <c r="W832" s="24"/>
      <c r="X832" s="25"/>
      <c r="Y832" s="77"/>
      <c r="Z832" s="106"/>
      <c r="AA832" s="73"/>
      <c r="AB832" s="88"/>
      <c r="AC832" s="116"/>
      <c r="AD832" s="74"/>
      <c r="AE832" s="76"/>
      <c r="AF832" s="24"/>
      <c r="AG832" s="25"/>
      <c r="AH832" s="77"/>
      <c r="AI832" s="77"/>
      <c r="AJ832" s="73"/>
      <c r="AK832" s="79"/>
      <c r="AL832" s="79"/>
      <c r="AM832" s="127"/>
      <c r="AN832" s="142"/>
      <c r="AO832" s="142"/>
      <c r="AP832" s="29"/>
      <c r="AQ832" s="24"/>
      <c r="AR832" s="25"/>
      <c r="AS832" s="146"/>
      <c r="AT832" s="10"/>
      <c r="AU832" s="10"/>
      <c r="AV832" s="167"/>
      <c r="AW832" s="168"/>
      <c r="AX832" s="29"/>
      <c r="AY832" s="24"/>
      <c r="AZ832" s="25"/>
      <c r="BA832" s="24"/>
      <c r="BB832" s="169"/>
      <c r="BC832" s="170"/>
      <c r="BD832" s="10">
        <v>34286</v>
      </c>
      <c r="BE832" s="10">
        <v>460000</v>
      </c>
      <c r="BF832" s="10">
        <v>490000</v>
      </c>
      <c r="BG832" s="268">
        <v>470000</v>
      </c>
      <c r="BH832" s="10">
        <v>190000</v>
      </c>
      <c r="BI832" s="76">
        <f t="shared" si="999"/>
        <v>402500</v>
      </c>
      <c r="BJ832" s="24">
        <f t="shared" si="1000"/>
        <v>368214</v>
      </c>
      <c r="BK832" s="25">
        <f t="shared" si="1001"/>
        <v>10.739485504287464</v>
      </c>
      <c r="BL832" s="309">
        <f t="shared" si="1002"/>
        <v>402500</v>
      </c>
      <c r="BM832" s="293"/>
      <c r="BN832" s="293"/>
      <c r="BO832" s="293"/>
      <c r="BP832" s="293"/>
      <c r="BQ832" s="293"/>
      <c r="BR832" s="293"/>
      <c r="BS832" s="293"/>
      <c r="BT832" s="293"/>
    </row>
    <row r="833" spans="1:72" s="1" customFormat="1" ht="35.1" customHeight="1">
      <c r="A833" s="91"/>
      <c r="B833" s="358" t="s">
        <v>3025</v>
      </c>
      <c r="C833" s="50" t="s">
        <v>1956</v>
      </c>
      <c r="D833" s="264" t="s">
        <v>1883</v>
      </c>
      <c r="E833" s="262" t="s">
        <v>999</v>
      </c>
      <c r="F833" s="10"/>
      <c r="G833" s="44"/>
      <c r="H833" s="31"/>
      <c r="I833" s="183"/>
      <c r="J833" s="29"/>
      <c r="K833" s="24"/>
      <c r="L833" s="25"/>
      <c r="M833" s="69"/>
      <c r="N833" s="77"/>
      <c r="O833" s="73"/>
      <c r="P833" s="74"/>
      <c r="Q833" s="74"/>
      <c r="R833" s="75"/>
      <c r="S833" s="61"/>
      <c r="T833" s="60"/>
      <c r="U833" s="74"/>
      <c r="V833" s="76"/>
      <c r="W833" s="24"/>
      <c r="X833" s="25"/>
      <c r="Y833" s="77"/>
      <c r="Z833" s="106"/>
      <c r="AA833" s="73"/>
      <c r="AB833" s="88"/>
      <c r="AC833" s="116"/>
      <c r="AD833" s="74"/>
      <c r="AE833" s="76"/>
      <c r="AF833" s="24"/>
      <c r="AG833" s="25"/>
      <c r="AH833" s="77"/>
      <c r="AI833" s="77"/>
      <c r="AJ833" s="73"/>
      <c r="AK833" s="79"/>
      <c r="AL833" s="79"/>
      <c r="AM833" s="127"/>
      <c r="AN833" s="142"/>
      <c r="AO833" s="142"/>
      <c r="AP833" s="29"/>
      <c r="AQ833" s="24"/>
      <c r="AR833" s="25"/>
      <c r="AS833" s="146"/>
      <c r="AT833" s="10"/>
      <c r="AU833" s="10"/>
      <c r="AV833" s="167"/>
      <c r="AW833" s="168"/>
      <c r="AX833" s="29"/>
      <c r="AY833" s="24"/>
      <c r="AZ833" s="25"/>
      <c r="BA833" s="24"/>
      <c r="BB833" s="169"/>
      <c r="BC833" s="170"/>
      <c r="BD833" s="10">
        <v>144874</v>
      </c>
      <c r="BE833" s="10">
        <v>640000</v>
      </c>
      <c r="BF833" s="10">
        <v>680000</v>
      </c>
      <c r="BG833" s="268">
        <v>660000</v>
      </c>
      <c r="BH833" s="10">
        <v>640000</v>
      </c>
      <c r="BI833" s="76">
        <f t="shared" si="999"/>
        <v>655000</v>
      </c>
      <c r="BJ833" s="24">
        <f t="shared" si="1000"/>
        <v>510126</v>
      </c>
      <c r="BK833" s="25">
        <f t="shared" si="1001"/>
        <v>3.5211701202424175</v>
      </c>
      <c r="BL833" s="309">
        <f t="shared" si="1002"/>
        <v>655000</v>
      </c>
      <c r="BM833" s="293"/>
      <c r="BN833" s="293"/>
      <c r="BO833" s="293"/>
      <c r="BP833" s="293"/>
      <c r="BQ833" s="293"/>
      <c r="BR833" s="293"/>
      <c r="BS833" s="293"/>
      <c r="BT833" s="293"/>
    </row>
    <row r="834" spans="1:72" s="1" customFormat="1" ht="35.1" customHeight="1">
      <c r="A834" s="91"/>
      <c r="B834" s="358" t="s">
        <v>3026</v>
      </c>
      <c r="C834" s="50" t="s">
        <v>1957</v>
      </c>
      <c r="D834" s="264" t="s">
        <v>1884</v>
      </c>
      <c r="E834" s="262" t="s">
        <v>827</v>
      </c>
      <c r="F834" s="10"/>
      <c r="G834" s="44"/>
      <c r="H834" s="31"/>
      <c r="I834" s="183"/>
      <c r="J834" s="29"/>
      <c r="K834" s="24"/>
      <c r="L834" s="25"/>
      <c r="M834" s="69"/>
      <c r="N834" s="77"/>
      <c r="O834" s="73"/>
      <c r="P834" s="74"/>
      <c r="Q834" s="74"/>
      <c r="R834" s="75"/>
      <c r="S834" s="61"/>
      <c r="T834" s="60"/>
      <c r="U834" s="74"/>
      <c r="V834" s="76"/>
      <c r="W834" s="24"/>
      <c r="X834" s="25"/>
      <c r="Y834" s="77"/>
      <c r="Z834" s="106"/>
      <c r="AA834" s="73"/>
      <c r="AB834" s="88"/>
      <c r="AC834" s="116"/>
      <c r="AD834" s="74"/>
      <c r="AE834" s="76"/>
      <c r="AF834" s="24"/>
      <c r="AG834" s="25"/>
      <c r="AH834" s="77"/>
      <c r="AI834" s="77"/>
      <c r="AJ834" s="73"/>
      <c r="AK834" s="79"/>
      <c r="AL834" s="79"/>
      <c r="AM834" s="127"/>
      <c r="AN834" s="142"/>
      <c r="AO834" s="142"/>
      <c r="AP834" s="29"/>
      <c r="AQ834" s="24"/>
      <c r="AR834" s="25"/>
      <c r="AS834" s="146"/>
      <c r="AT834" s="10"/>
      <c r="AU834" s="10"/>
      <c r="AV834" s="167"/>
      <c r="AW834" s="168"/>
      <c r="AX834" s="29"/>
      <c r="AY834" s="24"/>
      <c r="AZ834" s="25"/>
      <c r="BA834" s="24"/>
      <c r="BB834" s="169"/>
      <c r="BC834" s="170"/>
      <c r="BD834" s="10">
        <v>180242</v>
      </c>
      <c r="BE834" s="10">
        <v>145000</v>
      </c>
      <c r="BF834" s="10">
        <v>1500000</v>
      </c>
      <c r="BG834" s="268">
        <v>160000</v>
      </c>
      <c r="BH834" s="10">
        <v>145000</v>
      </c>
      <c r="BI834" s="76">
        <f t="shared" si="999"/>
        <v>487500</v>
      </c>
      <c r="BJ834" s="24">
        <f t="shared" si="1000"/>
        <v>307258</v>
      </c>
      <c r="BK834" s="25">
        <f t="shared" si="1001"/>
        <v>1.7046970184529688</v>
      </c>
      <c r="BL834" s="309">
        <f t="shared" si="1002"/>
        <v>487500</v>
      </c>
      <c r="BM834" s="293"/>
      <c r="BN834" s="293"/>
      <c r="BO834" s="293"/>
      <c r="BP834" s="293"/>
      <c r="BQ834" s="293"/>
      <c r="BR834" s="293"/>
      <c r="BS834" s="293"/>
      <c r="BT834" s="293"/>
    </row>
    <row r="835" spans="1:72" s="1" customFormat="1" ht="35.1" customHeight="1">
      <c r="A835" s="91"/>
      <c r="B835" s="358" t="s">
        <v>3027</v>
      </c>
      <c r="C835" s="50" t="s">
        <v>1958</v>
      </c>
      <c r="D835" s="264" t="s">
        <v>1885</v>
      </c>
      <c r="E835" s="262" t="s">
        <v>827</v>
      </c>
      <c r="F835" s="10"/>
      <c r="G835" s="44"/>
      <c r="H835" s="31"/>
      <c r="I835" s="183"/>
      <c r="J835" s="29"/>
      <c r="K835" s="24"/>
      <c r="L835" s="25"/>
      <c r="M835" s="69"/>
      <c r="N835" s="77"/>
      <c r="O835" s="73"/>
      <c r="P835" s="74"/>
      <c r="Q835" s="74"/>
      <c r="R835" s="75"/>
      <c r="S835" s="61"/>
      <c r="T835" s="60"/>
      <c r="U835" s="74"/>
      <c r="V835" s="76"/>
      <c r="W835" s="24"/>
      <c r="X835" s="25"/>
      <c r="Y835" s="77"/>
      <c r="Z835" s="106"/>
      <c r="AA835" s="73"/>
      <c r="AB835" s="88"/>
      <c r="AC835" s="116"/>
      <c r="AD835" s="74"/>
      <c r="AE835" s="76"/>
      <c r="AF835" s="24"/>
      <c r="AG835" s="25"/>
      <c r="AH835" s="77"/>
      <c r="AI835" s="77"/>
      <c r="AJ835" s="73"/>
      <c r="AK835" s="79"/>
      <c r="AL835" s="79"/>
      <c r="AM835" s="127"/>
      <c r="AN835" s="142"/>
      <c r="AO835" s="142"/>
      <c r="AP835" s="29"/>
      <c r="AQ835" s="24"/>
      <c r="AR835" s="25"/>
      <c r="AS835" s="146"/>
      <c r="AT835" s="10"/>
      <c r="AU835" s="10"/>
      <c r="AV835" s="167"/>
      <c r="AW835" s="168"/>
      <c r="AX835" s="29"/>
      <c r="AY835" s="24"/>
      <c r="AZ835" s="25"/>
      <c r="BA835" s="24"/>
      <c r="BB835" s="169"/>
      <c r="BC835" s="170"/>
      <c r="BD835" s="10">
        <v>457914</v>
      </c>
      <c r="BE835" s="10">
        <v>540000</v>
      </c>
      <c r="BF835" s="10">
        <v>580000</v>
      </c>
      <c r="BG835" s="268">
        <v>560000</v>
      </c>
      <c r="BH835" s="10">
        <v>600000</v>
      </c>
      <c r="BI835" s="76">
        <f t="shared" si="999"/>
        <v>570000</v>
      </c>
      <c r="BJ835" s="24">
        <f t="shared" si="1000"/>
        <v>112086</v>
      </c>
      <c r="BK835" s="25">
        <f t="shared" si="1001"/>
        <v>0.24477521980109801</v>
      </c>
      <c r="BL835" s="309">
        <f t="shared" si="1002"/>
        <v>570000</v>
      </c>
      <c r="BM835" s="293"/>
      <c r="BN835" s="293"/>
      <c r="BO835" s="293"/>
      <c r="BP835" s="293"/>
      <c r="BQ835" s="293"/>
      <c r="BR835" s="293"/>
      <c r="BS835" s="293"/>
      <c r="BT835" s="293"/>
    </row>
    <row r="836" spans="1:72" s="1" customFormat="1" ht="35.1" customHeight="1">
      <c r="A836" s="91"/>
      <c r="B836" s="358" t="s">
        <v>3028</v>
      </c>
      <c r="C836" s="50" t="s">
        <v>1959</v>
      </c>
      <c r="D836" s="264" t="s">
        <v>1886</v>
      </c>
      <c r="E836" s="262" t="s">
        <v>999</v>
      </c>
      <c r="F836" s="10"/>
      <c r="G836" s="44"/>
      <c r="H836" s="31"/>
      <c r="I836" s="183"/>
      <c r="J836" s="29"/>
      <c r="K836" s="24"/>
      <c r="L836" s="25"/>
      <c r="M836" s="69"/>
      <c r="N836" s="77"/>
      <c r="O836" s="73"/>
      <c r="P836" s="74"/>
      <c r="Q836" s="74"/>
      <c r="R836" s="75"/>
      <c r="S836" s="61"/>
      <c r="T836" s="60"/>
      <c r="U836" s="74"/>
      <c r="V836" s="76"/>
      <c r="W836" s="24"/>
      <c r="X836" s="25"/>
      <c r="Y836" s="77"/>
      <c r="Z836" s="106"/>
      <c r="AA836" s="73"/>
      <c r="AB836" s="88"/>
      <c r="AC836" s="116"/>
      <c r="AD836" s="74"/>
      <c r="AE836" s="76"/>
      <c r="AF836" s="24"/>
      <c r="AG836" s="25"/>
      <c r="AH836" s="77"/>
      <c r="AI836" s="77"/>
      <c r="AJ836" s="73"/>
      <c r="AK836" s="79"/>
      <c r="AL836" s="79"/>
      <c r="AM836" s="127"/>
      <c r="AN836" s="142"/>
      <c r="AO836" s="142"/>
      <c r="AP836" s="29"/>
      <c r="AQ836" s="24"/>
      <c r="AR836" s="25"/>
      <c r="AS836" s="146"/>
      <c r="AT836" s="10"/>
      <c r="AU836" s="10"/>
      <c r="AV836" s="167"/>
      <c r="AW836" s="168"/>
      <c r="AX836" s="29"/>
      <c r="AY836" s="24"/>
      <c r="AZ836" s="25"/>
      <c r="BA836" s="24"/>
      <c r="BB836" s="169"/>
      <c r="BC836" s="170"/>
      <c r="BD836" s="10">
        <v>160545</v>
      </c>
      <c r="BE836" s="10">
        <v>300000</v>
      </c>
      <c r="BF836" s="10">
        <v>330000</v>
      </c>
      <c r="BG836" s="268">
        <v>320000</v>
      </c>
      <c r="BH836" s="10">
        <v>450000</v>
      </c>
      <c r="BI836" s="76">
        <f t="shared" si="999"/>
        <v>350000</v>
      </c>
      <c r="BJ836" s="24">
        <f t="shared" si="1000"/>
        <v>189455</v>
      </c>
      <c r="BK836" s="25">
        <f t="shared" si="1001"/>
        <v>1.1800741225201656</v>
      </c>
      <c r="BL836" s="309">
        <f t="shared" si="1002"/>
        <v>350000</v>
      </c>
      <c r="BM836" s="293"/>
      <c r="BN836" s="293"/>
      <c r="BO836" s="293"/>
      <c r="BP836" s="293"/>
      <c r="BQ836" s="293"/>
      <c r="BR836" s="293"/>
      <c r="BS836" s="293"/>
      <c r="BT836" s="293"/>
    </row>
    <row r="837" spans="1:72" s="1" customFormat="1" ht="35.1" customHeight="1">
      <c r="A837" s="91"/>
      <c r="B837" s="358" t="s">
        <v>3029</v>
      </c>
      <c r="C837" s="50" t="s">
        <v>1960</v>
      </c>
      <c r="D837" s="264" t="s">
        <v>1887</v>
      </c>
      <c r="E837" s="262" t="s">
        <v>1399</v>
      </c>
      <c r="F837" s="10"/>
      <c r="G837" s="44"/>
      <c r="H837" s="31"/>
      <c r="I837" s="183"/>
      <c r="J837" s="29"/>
      <c r="K837" s="24"/>
      <c r="L837" s="25"/>
      <c r="M837" s="69"/>
      <c r="N837" s="77"/>
      <c r="O837" s="73"/>
      <c r="P837" s="74"/>
      <c r="Q837" s="74"/>
      <c r="R837" s="75"/>
      <c r="S837" s="61"/>
      <c r="T837" s="60"/>
      <c r="U837" s="74"/>
      <c r="V837" s="76"/>
      <c r="W837" s="24"/>
      <c r="X837" s="25"/>
      <c r="Y837" s="77"/>
      <c r="Z837" s="106"/>
      <c r="AA837" s="73"/>
      <c r="AB837" s="88"/>
      <c r="AC837" s="116"/>
      <c r="AD837" s="74"/>
      <c r="AE837" s="76"/>
      <c r="AF837" s="24"/>
      <c r="AG837" s="25"/>
      <c r="AH837" s="77"/>
      <c r="AI837" s="77"/>
      <c r="AJ837" s="73"/>
      <c r="AK837" s="79"/>
      <c r="AL837" s="79"/>
      <c r="AM837" s="127"/>
      <c r="AN837" s="142"/>
      <c r="AO837" s="142"/>
      <c r="AP837" s="29"/>
      <c r="AQ837" s="24"/>
      <c r="AR837" s="25"/>
      <c r="AS837" s="146"/>
      <c r="AT837" s="10"/>
      <c r="AU837" s="10"/>
      <c r="AV837" s="167"/>
      <c r="AW837" s="168"/>
      <c r="AX837" s="29"/>
      <c r="AY837" s="24"/>
      <c r="AZ837" s="25"/>
      <c r="BA837" s="24"/>
      <c r="BB837" s="169"/>
      <c r="BC837" s="170"/>
      <c r="BD837" s="10">
        <v>34799</v>
      </c>
      <c r="BE837" s="10">
        <v>120000</v>
      </c>
      <c r="BF837" s="10">
        <v>135000</v>
      </c>
      <c r="BG837" s="268">
        <v>125000</v>
      </c>
      <c r="BH837" s="10">
        <v>140000</v>
      </c>
      <c r="BI837" s="76">
        <f t="shared" si="999"/>
        <v>130000</v>
      </c>
      <c r="BJ837" s="24">
        <f t="shared" si="1000"/>
        <v>95201</v>
      </c>
      <c r="BK837" s="25">
        <f t="shared" si="1001"/>
        <v>2.7357395327451939</v>
      </c>
      <c r="BL837" s="309">
        <f t="shared" si="1002"/>
        <v>130000</v>
      </c>
      <c r="BM837" s="293"/>
      <c r="BN837" s="293"/>
      <c r="BO837" s="293"/>
      <c r="BP837" s="293"/>
      <c r="BQ837" s="293"/>
      <c r="BR837" s="293"/>
      <c r="BS837" s="293"/>
      <c r="BT837" s="293"/>
    </row>
    <row r="838" spans="1:72" s="1" customFormat="1" ht="35.1" customHeight="1">
      <c r="A838" s="91"/>
      <c r="B838" s="358" t="s">
        <v>3030</v>
      </c>
      <c r="C838" s="50" t="s">
        <v>1961</v>
      </c>
      <c r="D838" s="264" t="s">
        <v>1888</v>
      </c>
      <c r="E838" s="262" t="s">
        <v>999</v>
      </c>
      <c r="F838" s="10"/>
      <c r="G838" s="44"/>
      <c r="H838" s="31"/>
      <c r="I838" s="183"/>
      <c r="J838" s="29"/>
      <c r="K838" s="24"/>
      <c r="L838" s="25"/>
      <c r="M838" s="69"/>
      <c r="N838" s="77"/>
      <c r="O838" s="73"/>
      <c r="P838" s="74"/>
      <c r="Q838" s="74"/>
      <c r="R838" s="75"/>
      <c r="S838" s="61"/>
      <c r="T838" s="60"/>
      <c r="U838" s="74"/>
      <c r="V838" s="76"/>
      <c r="W838" s="24"/>
      <c r="X838" s="25"/>
      <c r="Y838" s="77"/>
      <c r="Z838" s="106"/>
      <c r="AA838" s="73"/>
      <c r="AB838" s="88"/>
      <c r="AC838" s="116"/>
      <c r="AD838" s="74"/>
      <c r="AE838" s="76"/>
      <c r="AF838" s="24"/>
      <c r="AG838" s="25"/>
      <c r="AH838" s="77"/>
      <c r="AI838" s="77"/>
      <c r="AJ838" s="73"/>
      <c r="AK838" s="79"/>
      <c r="AL838" s="79"/>
      <c r="AM838" s="127"/>
      <c r="AN838" s="142"/>
      <c r="AO838" s="142"/>
      <c r="AP838" s="29"/>
      <c r="AQ838" s="24"/>
      <c r="AR838" s="25"/>
      <c r="AS838" s="146"/>
      <c r="AT838" s="10"/>
      <c r="AU838" s="10"/>
      <c r="AV838" s="167"/>
      <c r="AW838" s="168"/>
      <c r="AX838" s="29"/>
      <c r="AY838" s="24"/>
      <c r="AZ838" s="25"/>
      <c r="BA838" s="24"/>
      <c r="BB838" s="169"/>
      <c r="BC838" s="170"/>
      <c r="BD838" s="10">
        <v>293762</v>
      </c>
      <c r="BE838" s="10">
        <v>800000</v>
      </c>
      <c r="BF838" s="10">
        <v>850000</v>
      </c>
      <c r="BG838" s="268">
        <v>820000</v>
      </c>
      <c r="BH838" s="10">
        <v>350000</v>
      </c>
      <c r="BI838" s="76">
        <f t="shared" si="999"/>
        <v>705000</v>
      </c>
      <c r="BJ838" s="24">
        <f t="shared" si="1000"/>
        <v>411238</v>
      </c>
      <c r="BK838" s="25">
        <f t="shared" si="1001"/>
        <v>1.3999019614517876</v>
      </c>
      <c r="BL838" s="309">
        <f t="shared" si="1002"/>
        <v>705000</v>
      </c>
      <c r="BM838" s="293"/>
      <c r="BN838" s="293"/>
      <c r="BO838" s="293"/>
      <c r="BP838" s="293"/>
      <c r="BQ838" s="293"/>
      <c r="BR838" s="293"/>
      <c r="BS838" s="293"/>
      <c r="BT838" s="293"/>
    </row>
    <row r="839" spans="1:72" s="1" customFormat="1" ht="35.1" customHeight="1">
      <c r="A839" s="91"/>
      <c r="B839" s="358" t="s">
        <v>3031</v>
      </c>
      <c r="C839" s="50" t="s">
        <v>1962</v>
      </c>
      <c r="D839" s="264" t="s">
        <v>1889</v>
      </c>
      <c r="E839" s="262" t="s">
        <v>827</v>
      </c>
      <c r="F839" s="10"/>
      <c r="G839" s="44"/>
      <c r="H839" s="31"/>
      <c r="I839" s="183"/>
      <c r="J839" s="29"/>
      <c r="K839" s="24"/>
      <c r="L839" s="25"/>
      <c r="M839" s="69"/>
      <c r="N839" s="77"/>
      <c r="O839" s="73"/>
      <c r="P839" s="74"/>
      <c r="Q839" s="74"/>
      <c r="R839" s="75"/>
      <c r="S839" s="61"/>
      <c r="T839" s="60"/>
      <c r="U839" s="74"/>
      <c r="V839" s="76"/>
      <c r="W839" s="24"/>
      <c r="X839" s="25"/>
      <c r="Y839" s="77"/>
      <c r="Z839" s="106"/>
      <c r="AA839" s="73"/>
      <c r="AB839" s="88"/>
      <c r="AC839" s="116"/>
      <c r="AD839" s="74"/>
      <c r="AE839" s="76"/>
      <c r="AF839" s="24"/>
      <c r="AG839" s="25"/>
      <c r="AH839" s="77"/>
      <c r="AI839" s="77"/>
      <c r="AJ839" s="73"/>
      <c r="AK839" s="79"/>
      <c r="AL839" s="79"/>
      <c r="AM839" s="127"/>
      <c r="AN839" s="142"/>
      <c r="AO839" s="142"/>
      <c r="AP839" s="29"/>
      <c r="AQ839" s="24"/>
      <c r="AR839" s="25"/>
      <c r="AS839" s="146"/>
      <c r="AT839" s="10"/>
      <c r="AU839" s="10"/>
      <c r="AV839" s="167"/>
      <c r="AW839" s="168"/>
      <c r="AX839" s="29"/>
      <c r="AY839" s="24"/>
      <c r="AZ839" s="25"/>
      <c r="BA839" s="24"/>
      <c r="BB839" s="169"/>
      <c r="BC839" s="170"/>
      <c r="BD839" s="10">
        <v>429436</v>
      </c>
      <c r="BE839" s="10">
        <v>2300000</v>
      </c>
      <c r="BF839" s="10">
        <v>2400000</v>
      </c>
      <c r="BG839" s="268">
        <v>2350000</v>
      </c>
      <c r="BH839" s="10">
        <v>2300000</v>
      </c>
      <c r="BI839" s="76">
        <f t="shared" si="999"/>
        <v>2337500</v>
      </c>
      <c r="BJ839" s="24">
        <f t="shared" si="1000"/>
        <v>1908064</v>
      </c>
      <c r="BK839" s="25">
        <f t="shared" si="1001"/>
        <v>4.44318594621783</v>
      </c>
      <c r="BL839" s="309">
        <f t="shared" si="1002"/>
        <v>2337500</v>
      </c>
      <c r="BM839" s="293"/>
      <c r="BN839" s="293"/>
      <c r="BO839" s="293"/>
      <c r="BP839" s="293"/>
      <c r="BQ839" s="293"/>
      <c r="BR839" s="293"/>
      <c r="BS839" s="293"/>
      <c r="BT839" s="293"/>
    </row>
    <row r="840" spans="1:72" s="1" customFormat="1" ht="35.1" customHeight="1">
      <c r="A840" s="91"/>
      <c r="B840" s="358" t="s">
        <v>3032</v>
      </c>
      <c r="C840" s="50" t="s">
        <v>1963</v>
      </c>
      <c r="D840" s="264" t="s">
        <v>1890</v>
      </c>
      <c r="E840" s="262" t="s">
        <v>999</v>
      </c>
      <c r="F840" s="10"/>
      <c r="G840" s="44"/>
      <c r="H840" s="31"/>
      <c r="I840" s="183"/>
      <c r="J840" s="29"/>
      <c r="K840" s="24"/>
      <c r="L840" s="25"/>
      <c r="M840" s="69"/>
      <c r="N840" s="77"/>
      <c r="O840" s="73"/>
      <c r="P840" s="74"/>
      <c r="Q840" s="74"/>
      <c r="R840" s="75"/>
      <c r="S840" s="61"/>
      <c r="T840" s="60"/>
      <c r="U840" s="74"/>
      <c r="V840" s="76"/>
      <c r="W840" s="24"/>
      <c r="X840" s="25"/>
      <c r="Y840" s="77"/>
      <c r="Z840" s="106"/>
      <c r="AA840" s="73"/>
      <c r="AB840" s="88"/>
      <c r="AC840" s="116"/>
      <c r="AD840" s="74"/>
      <c r="AE840" s="76"/>
      <c r="AF840" s="24"/>
      <c r="AG840" s="25"/>
      <c r="AH840" s="77"/>
      <c r="AI840" s="77"/>
      <c r="AJ840" s="73"/>
      <c r="AK840" s="79"/>
      <c r="AL840" s="79"/>
      <c r="AM840" s="127"/>
      <c r="AN840" s="142"/>
      <c r="AO840" s="142"/>
      <c r="AP840" s="29"/>
      <c r="AQ840" s="24"/>
      <c r="AR840" s="25"/>
      <c r="AS840" s="146"/>
      <c r="AT840" s="10"/>
      <c r="AU840" s="10"/>
      <c r="AV840" s="167"/>
      <c r="AW840" s="168"/>
      <c r="AX840" s="29"/>
      <c r="AY840" s="24"/>
      <c r="AZ840" s="25"/>
      <c r="BA840" s="24"/>
      <c r="BB840" s="169"/>
      <c r="BC840" s="170"/>
      <c r="BD840" s="10">
        <v>294236</v>
      </c>
      <c r="BE840" s="10">
        <v>1400000</v>
      </c>
      <c r="BF840" s="10">
        <v>1500000</v>
      </c>
      <c r="BG840" s="268">
        <v>1450000</v>
      </c>
      <c r="BH840" s="10">
        <v>1400000</v>
      </c>
      <c r="BI840" s="76">
        <f t="shared" si="999"/>
        <v>1437500</v>
      </c>
      <c r="BJ840" s="24">
        <f t="shared" si="1000"/>
        <v>1143264</v>
      </c>
      <c r="BK840" s="25">
        <f t="shared" si="1001"/>
        <v>3.885534061093816</v>
      </c>
      <c r="BL840" s="309">
        <f t="shared" si="1002"/>
        <v>1437500</v>
      </c>
      <c r="BM840" s="293"/>
      <c r="BN840" s="293"/>
      <c r="BO840" s="293"/>
      <c r="BP840" s="293"/>
      <c r="BQ840" s="293"/>
      <c r="BR840" s="293"/>
      <c r="BS840" s="293"/>
      <c r="BT840" s="293"/>
    </row>
    <row r="841" spans="1:72" s="1" customFormat="1" ht="35.1" customHeight="1">
      <c r="A841" s="91"/>
      <c r="B841" s="358" t="s">
        <v>3033</v>
      </c>
      <c r="C841" s="50" t="s">
        <v>1964</v>
      </c>
      <c r="D841" s="264" t="s">
        <v>1891</v>
      </c>
      <c r="E841" s="262" t="s">
        <v>999</v>
      </c>
      <c r="F841" s="10"/>
      <c r="G841" s="44"/>
      <c r="H841" s="31"/>
      <c r="I841" s="183"/>
      <c r="J841" s="29"/>
      <c r="K841" s="24"/>
      <c r="L841" s="25"/>
      <c r="M841" s="69"/>
      <c r="N841" s="77"/>
      <c r="O841" s="73"/>
      <c r="P841" s="74"/>
      <c r="Q841" s="74"/>
      <c r="R841" s="75"/>
      <c r="S841" s="61"/>
      <c r="T841" s="60"/>
      <c r="U841" s="74"/>
      <c r="V841" s="76"/>
      <c r="W841" s="24"/>
      <c r="X841" s="25"/>
      <c r="Y841" s="77"/>
      <c r="Z841" s="106"/>
      <c r="AA841" s="73"/>
      <c r="AB841" s="88"/>
      <c r="AC841" s="116"/>
      <c r="AD841" s="74"/>
      <c r="AE841" s="76"/>
      <c r="AF841" s="24"/>
      <c r="AG841" s="25"/>
      <c r="AH841" s="77"/>
      <c r="AI841" s="77"/>
      <c r="AJ841" s="73"/>
      <c r="AK841" s="79"/>
      <c r="AL841" s="79"/>
      <c r="AM841" s="127"/>
      <c r="AN841" s="142"/>
      <c r="AO841" s="142"/>
      <c r="AP841" s="29"/>
      <c r="AQ841" s="24"/>
      <c r="AR841" s="25"/>
      <c r="AS841" s="146"/>
      <c r="AT841" s="10"/>
      <c r="AU841" s="10"/>
      <c r="AV841" s="167"/>
      <c r="AW841" s="168"/>
      <c r="AX841" s="29"/>
      <c r="AY841" s="24"/>
      <c r="AZ841" s="25"/>
      <c r="BA841" s="24"/>
      <c r="BB841" s="169"/>
      <c r="BC841" s="170"/>
      <c r="BD841" s="10">
        <v>3692148</v>
      </c>
      <c r="BE841" s="10">
        <v>4700000</v>
      </c>
      <c r="BF841" s="10">
        <v>4750000</v>
      </c>
      <c r="BG841" s="268">
        <v>4750000</v>
      </c>
      <c r="BH841" s="10">
        <v>4700000</v>
      </c>
      <c r="BI841" s="76">
        <f t="shared" si="999"/>
        <v>4725000</v>
      </c>
      <c r="BJ841" s="24">
        <f t="shared" si="1000"/>
        <v>1032852</v>
      </c>
      <c r="BK841" s="25">
        <f t="shared" si="1001"/>
        <v>0.27974284887821399</v>
      </c>
      <c r="BL841" s="309">
        <f t="shared" si="1002"/>
        <v>4725000</v>
      </c>
      <c r="BM841" s="293"/>
      <c r="BN841" s="293"/>
      <c r="BO841" s="293"/>
      <c r="BP841" s="293"/>
      <c r="BQ841" s="293"/>
      <c r="BR841" s="293"/>
      <c r="BS841" s="293"/>
      <c r="BT841" s="293"/>
    </row>
    <row r="842" spans="1:72" s="1" customFormat="1" ht="35.1" customHeight="1">
      <c r="A842" s="91"/>
      <c r="B842" s="358" t="s">
        <v>3034</v>
      </c>
      <c r="C842" s="50" t="s">
        <v>1965</v>
      </c>
      <c r="D842" s="264" t="s">
        <v>1883</v>
      </c>
      <c r="E842" s="262" t="s">
        <v>999</v>
      </c>
      <c r="F842" s="10"/>
      <c r="G842" s="44"/>
      <c r="H842" s="31"/>
      <c r="I842" s="183"/>
      <c r="J842" s="29"/>
      <c r="K842" s="24"/>
      <c r="L842" s="25"/>
      <c r="M842" s="69"/>
      <c r="N842" s="77"/>
      <c r="O842" s="73"/>
      <c r="P842" s="74"/>
      <c r="Q842" s="74"/>
      <c r="R842" s="75"/>
      <c r="S842" s="61"/>
      <c r="T842" s="60"/>
      <c r="U842" s="74"/>
      <c r="V842" s="76"/>
      <c r="W842" s="24"/>
      <c r="X842" s="25"/>
      <c r="Y842" s="77"/>
      <c r="Z842" s="106"/>
      <c r="AA842" s="73"/>
      <c r="AB842" s="88"/>
      <c r="AC842" s="116"/>
      <c r="AD842" s="74"/>
      <c r="AE842" s="76"/>
      <c r="AF842" s="24"/>
      <c r="AG842" s="25"/>
      <c r="AH842" s="77"/>
      <c r="AI842" s="77"/>
      <c r="AJ842" s="73"/>
      <c r="AK842" s="79"/>
      <c r="AL842" s="79"/>
      <c r="AM842" s="127"/>
      <c r="AN842" s="142"/>
      <c r="AO842" s="142"/>
      <c r="AP842" s="29"/>
      <c r="AQ842" s="24"/>
      <c r="AR842" s="25"/>
      <c r="AS842" s="146"/>
      <c r="AT842" s="10"/>
      <c r="AU842" s="10"/>
      <c r="AV842" s="167"/>
      <c r="AW842" s="168"/>
      <c r="AX842" s="29"/>
      <c r="AY842" s="24"/>
      <c r="AZ842" s="25"/>
      <c r="BA842" s="24"/>
      <c r="BB842" s="169"/>
      <c r="BC842" s="170"/>
      <c r="BD842" s="10">
        <v>436262</v>
      </c>
      <c r="BE842" s="10">
        <v>340000</v>
      </c>
      <c r="BF842" s="10">
        <v>3650000</v>
      </c>
      <c r="BG842" s="268">
        <v>3500000</v>
      </c>
      <c r="BH842" s="10">
        <v>350000</v>
      </c>
      <c r="BI842" s="76">
        <f t="shared" si="999"/>
        <v>1960000</v>
      </c>
      <c r="BJ842" s="24">
        <f t="shared" si="1000"/>
        <v>1523738</v>
      </c>
      <c r="BK842" s="25">
        <f t="shared" si="1001"/>
        <v>3.4927130944249098</v>
      </c>
      <c r="BL842" s="309">
        <f t="shared" si="1002"/>
        <v>1960000</v>
      </c>
      <c r="BM842" s="293"/>
      <c r="BN842" s="293"/>
      <c r="BO842" s="293"/>
      <c r="BP842" s="293"/>
      <c r="BQ842" s="293"/>
      <c r="BR842" s="293"/>
      <c r="BS842" s="293"/>
      <c r="BT842" s="293"/>
    </row>
    <row r="843" spans="1:72" s="1" customFormat="1" ht="35.1" customHeight="1">
      <c r="A843" s="91"/>
      <c r="B843" s="358" t="s">
        <v>3035</v>
      </c>
      <c r="C843" s="50" t="s">
        <v>1966</v>
      </c>
      <c r="D843" s="264" t="s">
        <v>1892</v>
      </c>
      <c r="E843" s="262" t="s">
        <v>827</v>
      </c>
      <c r="F843" s="10"/>
      <c r="G843" s="44"/>
      <c r="H843" s="31"/>
      <c r="I843" s="183"/>
      <c r="J843" s="29"/>
      <c r="K843" s="24"/>
      <c r="L843" s="25"/>
      <c r="M843" s="69"/>
      <c r="N843" s="77"/>
      <c r="O843" s="73"/>
      <c r="P843" s="74"/>
      <c r="Q843" s="74"/>
      <c r="R843" s="75"/>
      <c r="S843" s="61"/>
      <c r="T843" s="60"/>
      <c r="U843" s="74"/>
      <c r="V843" s="76"/>
      <c r="W843" s="24"/>
      <c r="X843" s="25"/>
      <c r="Y843" s="77"/>
      <c r="Z843" s="106"/>
      <c r="AA843" s="73"/>
      <c r="AB843" s="88"/>
      <c r="AC843" s="116"/>
      <c r="AD843" s="74"/>
      <c r="AE843" s="76"/>
      <c r="AF843" s="24"/>
      <c r="AG843" s="25"/>
      <c r="AH843" s="77"/>
      <c r="AI843" s="77"/>
      <c r="AJ843" s="73"/>
      <c r="AK843" s="79"/>
      <c r="AL843" s="79"/>
      <c r="AM843" s="127"/>
      <c r="AN843" s="142"/>
      <c r="AO843" s="142"/>
      <c r="AP843" s="29"/>
      <c r="AQ843" s="24"/>
      <c r="AR843" s="25"/>
      <c r="AS843" s="146"/>
      <c r="AT843" s="10"/>
      <c r="AU843" s="10"/>
      <c r="AV843" s="167"/>
      <c r="AW843" s="168"/>
      <c r="AX843" s="29"/>
      <c r="AY843" s="24"/>
      <c r="AZ843" s="25"/>
      <c r="BA843" s="24"/>
      <c r="BB843" s="169"/>
      <c r="BC843" s="170"/>
      <c r="BD843" s="10">
        <v>166051</v>
      </c>
      <c r="BE843" s="10">
        <v>421000</v>
      </c>
      <c r="BF843" s="10">
        <v>435000</v>
      </c>
      <c r="BG843" s="268">
        <v>430000</v>
      </c>
      <c r="BH843" s="10">
        <v>450000</v>
      </c>
      <c r="BI843" s="76">
        <f t="shared" si="999"/>
        <v>434000</v>
      </c>
      <c r="BJ843" s="24">
        <f t="shared" si="1000"/>
        <v>267949</v>
      </c>
      <c r="BK843" s="25">
        <f t="shared" si="1001"/>
        <v>1.6136548409825897</v>
      </c>
      <c r="BL843" s="309">
        <f t="shared" si="1002"/>
        <v>434000</v>
      </c>
      <c r="BM843" s="293"/>
      <c r="BN843" s="293"/>
      <c r="BO843" s="293"/>
      <c r="BP843" s="293"/>
      <c r="BQ843" s="293"/>
      <c r="BR843" s="293"/>
      <c r="BS843" s="293"/>
      <c r="BT843" s="293"/>
    </row>
    <row r="844" spans="1:72" s="1" customFormat="1" ht="35.1" customHeight="1">
      <c r="A844" s="91"/>
      <c r="B844" s="358" t="s">
        <v>3036</v>
      </c>
      <c r="C844" s="50" t="s">
        <v>1967</v>
      </c>
      <c r="D844" s="264" t="s">
        <v>1893</v>
      </c>
      <c r="E844" s="262" t="s">
        <v>1457</v>
      </c>
      <c r="F844" s="10"/>
      <c r="G844" s="44"/>
      <c r="H844" s="31"/>
      <c r="I844" s="183"/>
      <c r="J844" s="29"/>
      <c r="K844" s="24"/>
      <c r="L844" s="25"/>
      <c r="M844" s="69"/>
      <c r="N844" s="77"/>
      <c r="O844" s="73"/>
      <c r="P844" s="74"/>
      <c r="Q844" s="74"/>
      <c r="R844" s="75"/>
      <c r="S844" s="61"/>
      <c r="T844" s="60"/>
      <c r="U844" s="74"/>
      <c r="V844" s="76"/>
      <c r="W844" s="24"/>
      <c r="X844" s="25"/>
      <c r="Y844" s="77"/>
      <c r="Z844" s="106"/>
      <c r="AA844" s="73"/>
      <c r="AB844" s="88"/>
      <c r="AC844" s="116"/>
      <c r="AD844" s="74"/>
      <c r="AE844" s="76"/>
      <c r="AF844" s="24"/>
      <c r="AG844" s="25"/>
      <c r="AH844" s="77"/>
      <c r="AI844" s="77"/>
      <c r="AJ844" s="73"/>
      <c r="AK844" s="79"/>
      <c r="AL844" s="79"/>
      <c r="AM844" s="127"/>
      <c r="AN844" s="142"/>
      <c r="AO844" s="142"/>
      <c r="AP844" s="29"/>
      <c r="AQ844" s="24"/>
      <c r="AR844" s="25"/>
      <c r="AS844" s="146"/>
      <c r="AT844" s="10"/>
      <c r="AU844" s="10"/>
      <c r="AV844" s="167"/>
      <c r="AW844" s="168"/>
      <c r="AX844" s="29"/>
      <c r="AY844" s="24"/>
      <c r="AZ844" s="25"/>
      <c r="BA844" s="24"/>
      <c r="BB844" s="169"/>
      <c r="BC844" s="170"/>
      <c r="BD844" s="10">
        <v>97088</v>
      </c>
      <c r="BE844" s="10">
        <v>455000</v>
      </c>
      <c r="BF844" s="10">
        <v>470000</v>
      </c>
      <c r="BG844" s="268">
        <v>465000</v>
      </c>
      <c r="BH844" s="10">
        <v>455000</v>
      </c>
      <c r="BI844" s="76">
        <f t="shared" si="999"/>
        <v>461250</v>
      </c>
      <c r="BJ844" s="24">
        <f t="shared" si="1000"/>
        <v>364162</v>
      </c>
      <c r="BK844" s="25">
        <f t="shared" si="1001"/>
        <v>3.7508445945945947</v>
      </c>
      <c r="BL844" s="309">
        <f t="shared" si="1002"/>
        <v>461250</v>
      </c>
      <c r="BM844" s="293"/>
      <c r="BN844" s="293"/>
      <c r="BO844" s="293"/>
      <c r="BP844" s="293"/>
      <c r="BQ844" s="293"/>
      <c r="BR844" s="293"/>
      <c r="BS844" s="293"/>
      <c r="BT844" s="293"/>
    </row>
    <row r="845" spans="1:72" s="1" customFormat="1" ht="35.1" customHeight="1">
      <c r="A845" s="91"/>
      <c r="B845" s="358" t="s">
        <v>3037</v>
      </c>
      <c r="C845" s="50" t="s">
        <v>1968</v>
      </c>
      <c r="D845" s="264" t="s">
        <v>1894</v>
      </c>
      <c r="E845" s="262" t="s">
        <v>1399</v>
      </c>
      <c r="F845" s="10"/>
      <c r="G845" s="44"/>
      <c r="H845" s="31"/>
      <c r="I845" s="183"/>
      <c r="J845" s="29"/>
      <c r="K845" s="24"/>
      <c r="L845" s="25"/>
      <c r="M845" s="69"/>
      <c r="N845" s="77"/>
      <c r="O845" s="73"/>
      <c r="P845" s="74"/>
      <c r="Q845" s="74"/>
      <c r="R845" s="75"/>
      <c r="S845" s="61"/>
      <c r="T845" s="60"/>
      <c r="U845" s="74"/>
      <c r="V845" s="76"/>
      <c r="W845" s="24"/>
      <c r="X845" s="25"/>
      <c r="Y845" s="77"/>
      <c r="Z845" s="106"/>
      <c r="AA845" s="73"/>
      <c r="AB845" s="88"/>
      <c r="AC845" s="116"/>
      <c r="AD845" s="74"/>
      <c r="AE845" s="76"/>
      <c r="AF845" s="24"/>
      <c r="AG845" s="25"/>
      <c r="AH845" s="77"/>
      <c r="AI845" s="77"/>
      <c r="AJ845" s="73"/>
      <c r="AK845" s="79"/>
      <c r="AL845" s="79"/>
      <c r="AM845" s="127"/>
      <c r="AN845" s="142"/>
      <c r="AO845" s="142"/>
      <c r="AP845" s="29"/>
      <c r="AQ845" s="24"/>
      <c r="AR845" s="25"/>
      <c r="AS845" s="146"/>
      <c r="AT845" s="10"/>
      <c r="AU845" s="10"/>
      <c r="AV845" s="167"/>
      <c r="AW845" s="168"/>
      <c r="AX845" s="29"/>
      <c r="AY845" s="24"/>
      <c r="AZ845" s="25"/>
      <c r="BA845" s="24"/>
      <c r="BB845" s="169"/>
      <c r="BC845" s="170"/>
      <c r="BD845" s="10">
        <v>58056</v>
      </c>
      <c r="BE845" s="10">
        <v>450000</v>
      </c>
      <c r="BF845" s="10">
        <v>470000</v>
      </c>
      <c r="BG845" s="268">
        <v>460000</v>
      </c>
      <c r="BH845" s="10">
        <v>450000</v>
      </c>
      <c r="BI845" s="76">
        <f t="shared" si="999"/>
        <v>457500</v>
      </c>
      <c r="BJ845" s="24">
        <f t="shared" si="1000"/>
        <v>399444</v>
      </c>
      <c r="BK845" s="25">
        <f t="shared" si="1001"/>
        <v>6.8803224472922695</v>
      </c>
      <c r="BL845" s="309">
        <f t="shared" si="1002"/>
        <v>457500</v>
      </c>
      <c r="BM845" s="293"/>
      <c r="BN845" s="293"/>
      <c r="BO845" s="293"/>
      <c r="BP845" s="293"/>
      <c r="BQ845" s="293"/>
      <c r="BR845" s="293"/>
      <c r="BS845" s="293"/>
      <c r="BT845" s="293"/>
    </row>
    <row r="846" spans="1:72" s="1" customFormat="1" ht="35.1" customHeight="1">
      <c r="A846" s="91"/>
      <c r="B846" s="358" t="s">
        <v>3038</v>
      </c>
      <c r="C846" s="50" t="s">
        <v>1969</v>
      </c>
      <c r="D846" s="264" t="s">
        <v>1895</v>
      </c>
      <c r="E846" s="262" t="s">
        <v>1399</v>
      </c>
      <c r="F846" s="10"/>
      <c r="G846" s="44"/>
      <c r="H846" s="31"/>
      <c r="I846" s="183"/>
      <c r="J846" s="29"/>
      <c r="K846" s="24"/>
      <c r="L846" s="25"/>
      <c r="M846" s="69"/>
      <c r="N846" s="77"/>
      <c r="O846" s="73"/>
      <c r="P846" s="74"/>
      <c r="Q846" s="74"/>
      <c r="R846" s="75"/>
      <c r="S846" s="61"/>
      <c r="T846" s="60"/>
      <c r="U846" s="74"/>
      <c r="V846" s="76"/>
      <c r="W846" s="24"/>
      <c r="X846" s="25"/>
      <c r="Y846" s="77"/>
      <c r="Z846" s="106"/>
      <c r="AA846" s="73"/>
      <c r="AB846" s="88"/>
      <c r="AC846" s="116"/>
      <c r="AD846" s="74"/>
      <c r="AE846" s="76"/>
      <c r="AF846" s="24"/>
      <c r="AG846" s="25"/>
      <c r="AH846" s="77"/>
      <c r="AI846" s="77"/>
      <c r="AJ846" s="73"/>
      <c r="AK846" s="79"/>
      <c r="AL846" s="79"/>
      <c r="AM846" s="127"/>
      <c r="AN846" s="142"/>
      <c r="AO846" s="142"/>
      <c r="AP846" s="29"/>
      <c r="AQ846" s="24"/>
      <c r="AR846" s="25"/>
      <c r="AS846" s="146"/>
      <c r="AT846" s="10"/>
      <c r="AU846" s="10"/>
      <c r="AV846" s="167"/>
      <c r="AW846" s="168"/>
      <c r="AX846" s="29"/>
      <c r="AY846" s="24"/>
      <c r="AZ846" s="25"/>
      <c r="BA846" s="24"/>
      <c r="BB846" s="169"/>
      <c r="BC846" s="170"/>
      <c r="BD846" s="10">
        <v>314930</v>
      </c>
      <c r="BE846" s="10">
        <v>340000</v>
      </c>
      <c r="BF846" s="10">
        <v>375000</v>
      </c>
      <c r="BG846" s="268">
        <v>365000</v>
      </c>
      <c r="BH846" s="10">
        <v>450000</v>
      </c>
      <c r="BI846" s="76">
        <f t="shared" si="999"/>
        <v>382500</v>
      </c>
      <c r="BJ846" s="24">
        <f t="shared" si="1000"/>
        <v>67570</v>
      </c>
      <c r="BK846" s="25">
        <f t="shared" si="1001"/>
        <v>0.21455561553361063</v>
      </c>
      <c r="BL846" s="309">
        <f t="shared" si="1002"/>
        <v>382500</v>
      </c>
      <c r="BM846" s="293"/>
      <c r="BN846" s="293"/>
      <c r="BO846" s="293"/>
      <c r="BP846" s="293"/>
      <c r="BQ846" s="293"/>
      <c r="BR846" s="293"/>
      <c r="BS846" s="293"/>
      <c r="BT846" s="293"/>
    </row>
    <row r="847" spans="1:72" s="1" customFormat="1" ht="35.1" customHeight="1">
      <c r="A847" s="91"/>
      <c r="B847" s="358" t="s">
        <v>3039</v>
      </c>
      <c r="C847" s="50" t="s">
        <v>1970</v>
      </c>
      <c r="D847" s="264" t="s">
        <v>1896</v>
      </c>
      <c r="E847" s="262" t="s">
        <v>1399</v>
      </c>
      <c r="F847" s="10"/>
      <c r="G847" s="44"/>
      <c r="H847" s="31"/>
      <c r="I847" s="183"/>
      <c r="J847" s="29"/>
      <c r="K847" s="24"/>
      <c r="L847" s="25"/>
      <c r="M847" s="69"/>
      <c r="N847" s="77"/>
      <c r="O847" s="73"/>
      <c r="P847" s="74"/>
      <c r="Q847" s="74"/>
      <c r="R847" s="75"/>
      <c r="S847" s="61"/>
      <c r="T847" s="60"/>
      <c r="U847" s="74"/>
      <c r="V847" s="76"/>
      <c r="W847" s="24"/>
      <c r="X847" s="25"/>
      <c r="Y847" s="77"/>
      <c r="Z847" s="106"/>
      <c r="AA847" s="73"/>
      <c r="AB847" s="88"/>
      <c r="AC847" s="116"/>
      <c r="AD847" s="74"/>
      <c r="AE847" s="76"/>
      <c r="AF847" s="24"/>
      <c r="AG847" s="25"/>
      <c r="AH847" s="77"/>
      <c r="AI847" s="77"/>
      <c r="AJ847" s="73"/>
      <c r="AK847" s="79"/>
      <c r="AL847" s="79"/>
      <c r="AM847" s="127"/>
      <c r="AN847" s="142"/>
      <c r="AO847" s="142"/>
      <c r="AP847" s="29"/>
      <c r="AQ847" s="24"/>
      <c r="AR847" s="25"/>
      <c r="AS847" s="146"/>
      <c r="AT847" s="10"/>
      <c r="AU847" s="10"/>
      <c r="AV847" s="167"/>
      <c r="AW847" s="168"/>
      <c r="AX847" s="29"/>
      <c r="AY847" s="24"/>
      <c r="AZ847" s="25"/>
      <c r="BA847" s="24"/>
      <c r="BB847" s="169"/>
      <c r="BC847" s="170"/>
      <c r="BD847" s="10">
        <v>57713</v>
      </c>
      <c r="BE847" s="10">
        <v>190000</v>
      </c>
      <c r="BF847" s="10">
        <v>210000</v>
      </c>
      <c r="BG847" s="268">
        <v>205000</v>
      </c>
      <c r="BH847" s="10">
        <v>190000</v>
      </c>
      <c r="BI847" s="76">
        <f t="shared" ref="BI847:BI861" si="1003">AVERAGE(BE847,BF847,BG847,BH847)</f>
        <v>198750</v>
      </c>
      <c r="BJ847" s="24">
        <f t="shared" ref="BJ847:BJ861" si="1004">BI847-BD847</f>
        <v>141037</v>
      </c>
      <c r="BK847" s="25">
        <f t="shared" ref="BK847:BK861" si="1005">+BJ847/BD847</f>
        <v>2.4437648363453643</v>
      </c>
      <c r="BL847" s="309">
        <f t="shared" ref="BL847:BL861" si="1006">BI847</f>
        <v>198750</v>
      </c>
      <c r="BM847" s="293"/>
      <c r="BN847" s="293"/>
      <c r="BO847" s="293"/>
      <c r="BP847" s="293"/>
      <c r="BQ847" s="293"/>
      <c r="BR847" s="293"/>
      <c r="BS847" s="293"/>
      <c r="BT847" s="293"/>
    </row>
    <row r="848" spans="1:72" s="1" customFormat="1" ht="35.1" customHeight="1">
      <c r="A848" s="91"/>
      <c r="B848" s="358" t="s">
        <v>3040</v>
      </c>
      <c r="C848" s="50" t="s">
        <v>1971</v>
      </c>
      <c r="D848" s="264" t="s">
        <v>1897</v>
      </c>
      <c r="E848" s="262" t="s">
        <v>1399</v>
      </c>
      <c r="F848" s="10"/>
      <c r="G848" s="44"/>
      <c r="H848" s="31"/>
      <c r="I848" s="183"/>
      <c r="J848" s="29"/>
      <c r="K848" s="24"/>
      <c r="L848" s="25"/>
      <c r="M848" s="69"/>
      <c r="N848" s="77"/>
      <c r="O848" s="73"/>
      <c r="P848" s="74"/>
      <c r="Q848" s="74"/>
      <c r="R848" s="75"/>
      <c r="S848" s="61"/>
      <c r="T848" s="60"/>
      <c r="U848" s="74"/>
      <c r="V848" s="76"/>
      <c r="W848" s="24"/>
      <c r="X848" s="25"/>
      <c r="Y848" s="77"/>
      <c r="Z848" s="106"/>
      <c r="AA848" s="73"/>
      <c r="AB848" s="88"/>
      <c r="AC848" s="116"/>
      <c r="AD848" s="74"/>
      <c r="AE848" s="76"/>
      <c r="AF848" s="24"/>
      <c r="AG848" s="25"/>
      <c r="AH848" s="77"/>
      <c r="AI848" s="77"/>
      <c r="AJ848" s="73"/>
      <c r="AK848" s="79"/>
      <c r="AL848" s="79"/>
      <c r="AM848" s="127"/>
      <c r="AN848" s="142"/>
      <c r="AO848" s="142"/>
      <c r="AP848" s="29"/>
      <c r="AQ848" s="24"/>
      <c r="AR848" s="25"/>
      <c r="AS848" s="146"/>
      <c r="AT848" s="10"/>
      <c r="AU848" s="10"/>
      <c r="AV848" s="167"/>
      <c r="AW848" s="168"/>
      <c r="AX848" s="29"/>
      <c r="AY848" s="24"/>
      <c r="AZ848" s="25"/>
      <c r="BA848" s="24"/>
      <c r="BB848" s="169"/>
      <c r="BC848" s="170"/>
      <c r="BD848" s="10">
        <v>129610</v>
      </c>
      <c r="BE848" s="10">
        <v>190000</v>
      </c>
      <c r="BF848" s="10">
        <v>205000</v>
      </c>
      <c r="BG848" s="268">
        <v>205000</v>
      </c>
      <c r="BH848" s="10">
        <v>190000</v>
      </c>
      <c r="BI848" s="76">
        <f t="shared" si="1003"/>
        <v>197500</v>
      </c>
      <c r="BJ848" s="24">
        <f t="shared" si="1004"/>
        <v>67890</v>
      </c>
      <c r="BK848" s="25">
        <f t="shared" si="1005"/>
        <v>0.52380217575804333</v>
      </c>
      <c r="BL848" s="309">
        <f t="shared" si="1006"/>
        <v>197500</v>
      </c>
      <c r="BM848" s="293"/>
      <c r="BN848" s="293"/>
      <c r="BO848" s="293"/>
      <c r="BP848" s="293"/>
      <c r="BQ848" s="293"/>
      <c r="BR848" s="293"/>
      <c r="BS848" s="293"/>
      <c r="BT848" s="293"/>
    </row>
    <row r="849" spans="1:72" s="1" customFormat="1" ht="35.1" customHeight="1">
      <c r="A849" s="91"/>
      <c r="B849" s="358" t="s">
        <v>3041</v>
      </c>
      <c r="C849" s="50" t="s">
        <v>1972</v>
      </c>
      <c r="D849" s="264" t="s">
        <v>1898</v>
      </c>
      <c r="E849" s="262" t="s">
        <v>999</v>
      </c>
      <c r="F849" s="10"/>
      <c r="G849" s="44"/>
      <c r="H849" s="31"/>
      <c r="I849" s="183"/>
      <c r="J849" s="29"/>
      <c r="K849" s="24"/>
      <c r="L849" s="25"/>
      <c r="M849" s="69"/>
      <c r="N849" s="77"/>
      <c r="O849" s="73"/>
      <c r="P849" s="74"/>
      <c r="Q849" s="74"/>
      <c r="R849" s="75"/>
      <c r="S849" s="61"/>
      <c r="T849" s="60"/>
      <c r="U849" s="74"/>
      <c r="V849" s="76"/>
      <c r="W849" s="24"/>
      <c r="X849" s="25"/>
      <c r="Y849" s="77"/>
      <c r="Z849" s="106"/>
      <c r="AA849" s="73"/>
      <c r="AB849" s="88"/>
      <c r="AC849" s="116"/>
      <c r="AD849" s="74"/>
      <c r="AE849" s="76"/>
      <c r="AF849" s="24"/>
      <c r="AG849" s="25"/>
      <c r="AH849" s="77"/>
      <c r="AI849" s="77"/>
      <c r="AJ849" s="73"/>
      <c r="AK849" s="79"/>
      <c r="AL849" s="79"/>
      <c r="AM849" s="127"/>
      <c r="AN849" s="142"/>
      <c r="AO849" s="142"/>
      <c r="AP849" s="29"/>
      <c r="AQ849" s="24"/>
      <c r="AR849" s="25"/>
      <c r="AS849" s="146"/>
      <c r="AT849" s="10"/>
      <c r="AU849" s="10"/>
      <c r="AV849" s="167"/>
      <c r="AW849" s="168"/>
      <c r="AX849" s="29"/>
      <c r="AY849" s="24"/>
      <c r="AZ849" s="25"/>
      <c r="BA849" s="24"/>
      <c r="BB849" s="169"/>
      <c r="BC849" s="170"/>
      <c r="BD849" s="10">
        <v>168850</v>
      </c>
      <c r="BE849" s="10">
        <v>90000</v>
      </c>
      <c r="BF849" s="10">
        <v>110000</v>
      </c>
      <c r="BG849" s="268">
        <v>100000</v>
      </c>
      <c r="BH849" s="10">
        <v>120000</v>
      </c>
      <c r="BI849" s="76">
        <f t="shared" si="1003"/>
        <v>105000</v>
      </c>
      <c r="BJ849" s="24">
        <f t="shared" si="1004"/>
        <v>-63850</v>
      </c>
      <c r="BK849" s="25">
        <f t="shared" si="1005"/>
        <v>-0.37814628368374298</v>
      </c>
      <c r="BL849" s="309">
        <f t="shared" si="1006"/>
        <v>105000</v>
      </c>
      <c r="BM849" s="293"/>
      <c r="BN849" s="293"/>
      <c r="BO849" s="293"/>
      <c r="BP849" s="293"/>
      <c r="BQ849" s="293"/>
      <c r="BR849" s="293"/>
      <c r="BS849" s="293"/>
      <c r="BT849" s="293"/>
    </row>
    <row r="850" spans="1:72" s="1" customFormat="1" ht="35.1" customHeight="1">
      <c r="A850" s="91"/>
      <c r="B850" s="358" t="s">
        <v>3042</v>
      </c>
      <c r="C850" s="50" t="s">
        <v>1973</v>
      </c>
      <c r="D850" s="264" t="s">
        <v>1899</v>
      </c>
      <c r="E850" s="262" t="s">
        <v>1457</v>
      </c>
      <c r="F850" s="10"/>
      <c r="G850" s="44"/>
      <c r="H850" s="31"/>
      <c r="I850" s="183"/>
      <c r="J850" s="29"/>
      <c r="K850" s="24"/>
      <c r="L850" s="25"/>
      <c r="M850" s="69"/>
      <c r="N850" s="77"/>
      <c r="O850" s="73"/>
      <c r="P850" s="74"/>
      <c r="Q850" s="74"/>
      <c r="R850" s="75"/>
      <c r="S850" s="61"/>
      <c r="T850" s="60"/>
      <c r="U850" s="74"/>
      <c r="V850" s="76"/>
      <c r="W850" s="24"/>
      <c r="X850" s="25"/>
      <c r="Y850" s="77"/>
      <c r="Z850" s="106"/>
      <c r="AA850" s="73"/>
      <c r="AB850" s="88"/>
      <c r="AC850" s="116"/>
      <c r="AD850" s="74"/>
      <c r="AE850" s="76"/>
      <c r="AF850" s="24"/>
      <c r="AG850" s="25"/>
      <c r="AH850" s="77"/>
      <c r="AI850" s="77"/>
      <c r="AJ850" s="73"/>
      <c r="AK850" s="79"/>
      <c r="AL850" s="79"/>
      <c r="AM850" s="127"/>
      <c r="AN850" s="142"/>
      <c r="AO850" s="142"/>
      <c r="AP850" s="29"/>
      <c r="AQ850" s="24"/>
      <c r="AR850" s="25"/>
      <c r="AS850" s="146"/>
      <c r="AT850" s="10"/>
      <c r="AU850" s="10"/>
      <c r="AV850" s="167"/>
      <c r="AW850" s="168"/>
      <c r="AX850" s="29"/>
      <c r="AY850" s="24"/>
      <c r="AZ850" s="25"/>
      <c r="BA850" s="24"/>
      <c r="BB850" s="169"/>
      <c r="BC850" s="170"/>
      <c r="BD850" s="10">
        <v>89893</v>
      </c>
      <c r="BE850" s="10">
        <v>452000</v>
      </c>
      <c r="BF850" s="10">
        <v>475000</v>
      </c>
      <c r="BG850" s="268">
        <v>465000</v>
      </c>
      <c r="BH850" s="10">
        <v>500000</v>
      </c>
      <c r="BI850" s="76">
        <f t="shared" si="1003"/>
        <v>473000</v>
      </c>
      <c r="BJ850" s="24">
        <f t="shared" si="1004"/>
        <v>383107</v>
      </c>
      <c r="BK850" s="25">
        <f t="shared" si="1005"/>
        <v>4.2618112645033541</v>
      </c>
      <c r="BL850" s="309">
        <f t="shared" si="1006"/>
        <v>473000</v>
      </c>
      <c r="BM850" s="293"/>
      <c r="BN850" s="293"/>
      <c r="BO850" s="293"/>
      <c r="BP850" s="293"/>
      <c r="BQ850" s="293"/>
      <c r="BR850" s="293"/>
      <c r="BS850" s="293"/>
      <c r="BT850" s="293"/>
    </row>
    <row r="851" spans="1:72" s="1" customFormat="1" ht="35.1" customHeight="1">
      <c r="A851" s="91"/>
      <c r="B851" s="358" t="s">
        <v>3043</v>
      </c>
      <c r="C851" s="50" t="s">
        <v>1974</v>
      </c>
      <c r="D851" s="264" t="s">
        <v>1900</v>
      </c>
      <c r="E851" s="262" t="s">
        <v>1457</v>
      </c>
      <c r="F851" s="10"/>
      <c r="G851" s="44"/>
      <c r="H851" s="31"/>
      <c r="I851" s="183"/>
      <c r="J851" s="29"/>
      <c r="K851" s="24"/>
      <c r="L851" s="25"/>
      <c r="M851" s="69"/>
      <c r="N851" s="77"/>
      <c r="O851" s="73"/>
      <c r="P851" s="74"/>
      <c r="Q851" s="74"/>
      <c r="R851" s="75"/>
      <c r="S851" s="61"/>
      <c r="T851" s="60"/>
      <c r="U851" s="74"/>
      <c r="V851" s="76"/>
      <c r="W851" s="24"/>
      <c r="X851" s="25"/>
      <c r="Y851" s="77"/>
      <c r="Z851" s="106"/>
      <c r="AA851" s="73"/>
      <c r="AB851" s="88"/>
      <c r="AC851" s="116"/>
      <c r="AD851" s="74"/>
      <c r="AE851" s="76"/>
      <c r="AF851" s="24"/>
      <c r="AG851" s="25"/>
      <c r="AH851" s="77"/>
      <c r="AI851" s="77"/>
      <c r="AJ851" s="73"/>
      <c r="AK851" s="79"/>
      <c r="AL851" s="79"/>
      <c r="AM851" s="127"/>
      <c r="AN851" s="142"/>
      <c r="AO851" s="142"/>
      <c r="AP851" s="29"/>
      <c r="AQ851" s="24"/>
      <c r="AR851" s="25"/>
      <c r="AS851" s="146"/>
      <c r="AT851" s="10"/>
      <c r="AU851" s="10"/>
      <c r="AV851" s="167"/>
      <c r="AW851" s="168"/>
      <c r="AX851" s="29"/>
      <c r="AY851" s="24"/>
      <c r="AZ851" s="25"/>
      <c r="BA851" s="24"/>
      <c r="BB851" s="169"/>
      <c r="BC851" s="170"/>
      <c r="BD851" s="10">
        <v>43171</v>
      </c>
      <c r="BE851" s="10">
        <v>150000</v>
      </c>
      <c r="BF851" s="10">
        <v>165000</v>
      </c>
      <c r="BG851" s="268">
        <v>160000</v>
      </c>
      <c r="BH851" s="10">
        <v>200000</v>
      </c>
      <c r="BI851" s="76">
        <f t="shared" si="1003"/>
        <v>168750</v>
      </c>
      <c r="BJ851" s="24">
        <f t="shared" si="1004"/>
        <v>125579</v>
      </c>
      <c r="BK851" s="25">
        <f t="shared" si="1005"/>
        <v>2.9088740126473791</v>
      </c>
      <c r="BL851" s="309">
        <f t="shared" si="1006"/>
        <v>168750</v>
      </c>
      <c r="BM851" s="293"/>
      <c r="BN851" s="293"/>
      <c r="BO851" s="293"/>
      <c r="BP851" s="293"/>
      <c r="BQ851" s="293"/>
      <c r="BR851" s="293"/>
      <c r="BS851" s="293"/>
      <c r="BT851" s="293"/>
    </row>
    <row r="852" spans="1:72" s="1" customFormat="1" ht="35.1" customHeight="1">
      <c r="A852" s="91"/>
      <c r="B852" s="358" t="s">
        <v>3044</v>
      </c>
      <c r="C852" s="50" t="s">
        <v>1975</v>
      </c>
      <c r="D852" s="264" t="s">
        <v>1901</v>
      </c>
      <c r="E852" s="262" t="s">
        <v>999</v>
      </c>
      <c r="F852" s="10"/>
      <c r="G852" s="44"/>
      <c r="H852" s="31"/>
      <c r="I852" s="183"/>
      <c r="J852" s="29"/>
      <c r="K852" s="24"/>
      <c r="L852" s="25"/>
      <c r="M852" s="69"/>
      <c r="N852" s="77"/>
      <c r="O852" s="73"/>
      <c r="P852" s="74"/>
      <c r="Q852" s="74"/>
      <c r="R852" s="75"/>
      <c r="S852" s="61"/>
      <c r="T852" s="60"/>
      <c r="U852" s="74"/>
      <c r="V852" s="76"/>
      <c r="W852" s="24"/>
      <c r="X852" s="25"/>
      <c r="Y852" s="77"/>
      <c r="Z852" s="106"/>
      <c r="AA852" s="73"/>
      <c r="AB852" s="88"/>
      <c r="AC852" s="116"/>
      <c r="AD852" s="74"/>
      <c r="AE852" s="76"/>
      <c r="AF852" s="24"/>
      <c r="AG852" s="25"/>
      <c r="AH852" s="77"/>
      <c r="AI852" s="77"/>
      <c r="AJ852" s="73"/>
      <c r="AK852" s="79"/>
      <c r="AL852" s="79"/>
      <c r="AM852" s="127"/>
      <c r="AN852" s="142"/>
      <c r="AO852" s="142"/>
      <c r="AP852" s="29"/>
      <c r="AQ852" s="24"/>
      <c r="AR852" s="25"/>
      <c r="AS852" s="146"/>
      <c r="AT852" s="10"/>
      <c r="AU852" s="10"/>
      <c r="AV852" s="167"/>
      <c r="AW852" s="168"/>
      <c r="AX852" s="29"/>
      <c r="AY852" s="24"/>
      <c r="AZ852" s="25"/>
      <c r="BA852" s="24"/>
      <c r="BB852" s="169"/>
      <c r="BC852" s="170"/>
      <c r="BD852" s="10">
        <v>52635</v>
      </c>
      <c r="BE852" s="10">
        <v>190000</v>
      </c>
      <c r="BF852" s="10">
        <v>205000</v>
      </c>
      <c r="BG852" s="268">
        <v>200000</v>
      </c>
      <c r="BH852" s="10">
        <v>190000</v>
      </c>
      <c r="BI852" s="76">
        <f t="shared" si="1003"/>
        <v>196250</v>
      </c>
      <c r="BJ852" s="24">
        <f t="shared" si="1004"/>
        <v>143615</v>
      </c>
      <c r="BK852" s="25">
        <f t="shared" si="1005"/>
        <v>2.728507647002945</v>
      </c>
      <c r="BL852" s="309">
        <f t="shared" si="1006"/>
        <v>196250</v>
      </c>
      <c r="BM852" s="293"/>
      <c r="BN852" s="293"/>
      <c r="BO852" s="293"/>
      <c r="BP852" s="293"/>
      <c r="BQ852" s="293"/>
      <c r="BR852" s="293"/>
      <c r="BS852" s="293"/>
      <c r="BT852" s="293"/>
    </row>
    <row r="853" spans="1:72" s="1" customFormat="1" ht="35.1" customHeight="1">
      <c r="A853" s="91"/>
      <c r="B853" s="358" t="s">
        <v>3045</v>
      </c>
      <c r="C853" s="50" t="s">
        <v>1976</v>
      </c>
      <c r="D853" s="264" t="s">
        <v>1902</v>
      </c>
      <c r="E853" s="262" t="s">
        <v>1399</v>
      </c>
      <c r="F853" s="10"/>
      <c r="G853" s="44"/>
      <c r="H853" s="31"/>
      <c r="I853" s="183"/>
      <c r="J853" s="29"/>
      <c r="K853" s="24"/>
      <c r="L853" s="25"/>
      <c r="M853" s="69"/>
      <c r="N853" s="77"/>
      <c r="O853" s="73"/>
      <c r="P853" s="74"/>
      <c r="Q853" s="74"/>
      <c r="R853" s="75"/>
      <c r="S853" s="61"/>
      <c r="T853" s="60"/>
      <c r="U853" s="74"/>
      <c r="V853" s="76"/>
      <c r="W853" s="24"/>
      <c r="X853" s="25"/>
      <c r="Y853" s="77"/>
      <c r="Z853" s="106"/>
      <c r="AA853" s="73"/>
      <c r="AB853" s="88"/>
      <c r="AC853" s="116"/>
      <c r="AD853" s="74"/>
      <c r="AE853" s="76"/>
      <c r="AF853" s="24"/>
      <c r="AG853" s="25"/>
      <c r="AH853" s="77"/>
      <c r="AI853" s="77"/>
      <c r="AJ853" s="73"/>
      <c r="AK853" s="79"/>
      <c r="AL853" s="79"/>
      <c r="AM853" s="127"/>
      <c r="AN853" s="142"/>
      <c r="AO853" s="142"/>
      <c r="AP853" s="29"/>
      <c r="AQ853" s="24"/>
      <c r="AR853" s="25"/>
      <c r="AS853" s="146"/>
      <c r="AT853" s="10"/>
      <c r="AU853" s="10"/>
      <c r="AV853" s="167"/>
      <c r="AW853" s="168"/>
      <c r="AX853" s="29"/>
      <c r="AY853" s="24"/>
      <c r="AZ853" s="25"/>
      <c r="BA853" s="24"/>
      <c r="BB853" s="169"/>
      <c r="BC853" s="170"/>
      <c r="BD853" s="10">
        <v>105479</v>
      </c>
      <c r="BE853" s="10">
        <v>240000</v>
      </c>
      <c r="BF853" s="10">
        <v>265000</v>
      </c>
      <c r="BG853" s="268">
        <v>260000</v>
      </c>
      <c r="BH853" s="10">
        <v>250000</v>
      </c>
      <c r="BI853" s="76">
        <f t="shared" si="1003"/>
        <v>253750</v>
      </c>
      <c r="BJ853" s="24">
        <f t="shared" si="1004"/>
        <v>148271</v>
      </c>
      <c r="BK853" s="25">
        <f t="shared" si="1005"/>
        <v>1.4056921282909394</v>
      </c>
      <c r="BL853" s="309">
        <f t="shared" si="1006"/>
        <v>253750</v>
      </c>
      <c r="BM853" s="293"/>
      <c r="BN853" s="293"/>
      <c r="BO853" s="293"/>
      <c r="BP853" s="293"/>
      <c r="BQ853" s="293"/>
      <c r="BR853" s="293"/>
      <c r="BS853" s="293"/>
      <c r="BT853" s="293"/>
    </row>
    <row r="854" spans="1:72" s="1" customFormat="1" ht="35.1" customHeight="1">
      <c r="A854" s="91"/>
      <c r="B854" s="358" t="s">
        <v>3046</v>
      </c>
      <c r="C854" s="50" t="s">
        <v>1977</v>
      </c>
      <c r="D854" s="264" t="s">
        <v>1903</v>
      </c>
      <c r="E854" s="262" t="s">
        <v>999</v>
      </c>
      <c r="F854" s="10"/>
      <c r="G854" s="44"/>
      <c r="H854" s="31"/>
      <c r="I854" s="183"/>
      <c r="J854" s="29"/>
      <c r="K854" s="24"/>
      <c r="L854" s="25"/>
      <c r="M854" s="69"/>
      <c r="N854" s="77"/>
      <c r="O854" s="73"/>
      <c r="P854" s="74"/>
      <c r="Q854" s="74"/>
      <c r="R854" s="75"/>
      <c r="S854" s="61"/>
      <c r="T854" s="60"/>
      <c r="U854" s="74"/>
      <c r="V854" s="76"/>
      <c r="W854" s="24"/>
      <c r="X854" s="25"/>
      <c r="Y854" s="77"/>
      <c r="Z854" s="106"/>
      <c r="AA854" s="73"/>
      <c r="AB854" s="88"/>
      <c r="AC854" s="116"/>
      <c r="AD854" s="74"/>
      <c r="AE854" s="76"/>
      <c r="AF854" s="24"/>
      <c r="AG854" s="25"/>
      <c r="AH854" s="77"/>
      <c r="AI854" s="77"/>
      <c r="AJ854" s="73"/>
      <c r="AK854" s="79"/>
      <c r="AL854" s="79"/>
      <c r="AM854" s="127"/>
      <c r="AN854" s="142"/>
      <c r="AO854" s="142"/>
      <c r="AP854" s="29"/>
      <c r="AQ854" s="24"/>
      <c r="AR854" s="25"/>
      <c r="AS854" s="146"/>
      <c r="AT854" s="10"/>
      <c r="AU854" s="10"/>
      <c r="AV854" s="167"/>
      <c r="AW854" s="168"/>
      <c r="AX854" s="29"/>
      <c r="AY854" s="24"/>
      <c r="AZ854" s="25"/>
      <c r="BA854" s="24"/>
      <c r="BB854" s="169"/>
      <c r="BC854" s="170"/>
      <c r="BD854" s="10">
        <v>212497</v>
      </c>
      <c r="BE854" s="10">
        <v>430000</v>
      </c>
      <c r="BF854" s="10">
        <v>470000</v>
      </c>
      <c r="BG854" s="268">
        <v>450000</v>
      </c>
      <c r="BH854" s="10">
        <v>450000</v>
      </c>
      <c r="BI854" s="76">
        <f t="shared" si="1003"/>
        <v>450000</v>
      </c>
      <c r="BJ854" s="24">
        <f t="shared" si="1004"/>
        <v>237503</v>
      </c>
      <c r="BK854" s="25">
        <f t="shared" si="1005"/>
        <v>1.1176769554393708</v>
      </c>
      <c r="BL854" s="309">
        <f t="shared" si="1006"/>
        <v>450000</v>
      </c>
      <c r="BM854" s="293"/>
      <c r="BN854" s="293"/>
      <c r="BO854" s="293"/>
      <c r="BP854" s="293"/>
      <c r="BQ854" s="293"/>
      <c r="BR854" s="293"/>
      <c r="BS854" s="293"/>
      <c r="BT854" s="293"/>
    </row>
    <row r="855" spans="1:72" s="1" customFormat="1" ht="35.1" customHeight="1">
      <c r="A855" s="91"/>
      <c r="B855" s="358" t="s">
        <v>3047</v>
      </c>
      <c r="C855" s="50" t="s">
        <v>1978</v>
      </c>
      <c r="D855" s="264" t="s">
        <v>1904</v>
      </c>
      <c r="E855" s="262" t="s">
        <v>999</v>
      </c>
      <c r="F855" s="10"/>
      <c r="G855" s="44"/>
      <c r="H855" s="31"/>
      <c r="I855" s="183"/>
      <c r="J855" s="29"/>
      <c r="K855" s="24"/>
      <c r="L855" s="25"/>
      <c r="M855" s="69"/>
      <c r="N855" s="77"/>
      <c r="O855" s="73"/>
      <c r="P855" s="74"/>
      <c r="Q855" s="74"/>
      <c r="R855" s="75"/>
      <c r="S855" s="61"/>
      <c r="T855" s="60"/>
      <c r="U855" s="74"/>
      <c r="V855" s="76"/>
      <c r="W855" s="24"/>
      <c r="X855" s="25"/>
      <c r="Y855" s="77"/>
      <c r="Z855" s="106"/>
      <c r="AA855" s="73"/>
      <c r="AB855" s="88"/>
      <c r="AC855" s="116"/>
      <c r="AD855" s="74"/>
      <c r="AE855" s="76"/>
      <c r="AF855" s="24"/>
      <c r="AG855" s="25"/>
      <c r="AH855" s="77"/>
      <c r="AI855" s="77"/>
      <c r="AJ855" s="73"/>
      <c r="AK855" s="79"/>
      <c r="AL855" s="79"/>
      <c r="AM855" s="127"/>
      <c r="AN855" s="142"/>
      <c r="AO855" s="142"/>
      <c r="AP855" s="29"/>
      <c r="AQ855" s="24"/>
      <c r="AR855" s="25"/>
      <c r="AS855" s="146"/>
      <c r="AT855" s="10"/>
      <c r="AU855" s="10"/>
      <c r="AV855" s="167"/>
      <c r="AW855" s="168"/>
      <c r="AX855" s="29"/>
      <c r="AY855" s="24"/>
      <c r="AZ855" s="25"/>
      <c r="BA855" s="24"/>
      <c r="BB855" s="169"/>
      <c r="BC855" s="170"/>
      <c r="BD855" s="10">
        <v>432360</v>
      </c>
      <c r="BE855" s="10">
        <v>1240000</v>
      </c>
      <c r="BF855" s="10">
        <v>1290000</v>
      </c>
      <c r="BG855" s="268">
        <v>1260000</v>
      </c>
      <c r="BH855" s="10">
        <v>1350000</v>
      </c>
      <c r="BI855" s="76">
        <f t="shared" si="1003"/>
        <v>1285000</v>
      </c>
      <c r="BJ855" s="24">
        <f t="shared" si="1004"/>
        <v>852640</v>
      </c>
      <c r="BK855" s="25">
        <f t="shared" si="1005"/>
        <v>1.9720603201036173</v>
      </c>
      <c r="BL855" s="309">
        <f t="shared" si="1006"/>
        <v>1285000</v>
      </c>
      <c r="BM855" s="293"/>
      <c r="BN855" s="293"/>
      <c r="BO855" s="293"/>
      <c r="BP855" s="293"/>
      <c r="BQ855" s="293"/>
      <c r="BR855" s="293"/>
      <c r="BS855" s="293"/>
      <c r="BT855" s="293"/>
    </row>
    <row r="856" spans="1:72" s="1" customFormat="1" ht="35.1" customHeight="1">
      <c r="A856" s="91"/>
      <c r="B856" s="358" t="s">
        <v>3048</v>
      </c>
      <c r="C856" s="50" t="s">
        <v>1979</v>
      </c>
      <c r="D856" s="264" t="s">
        <v>1905</v>
      </c>
      <c r="E856" s="262" t="s">
        <v>1399</v>
      </c>
      <c r="F856" s="10"/>
      <c r="G856" s="44"/>
      <c r="H856" s="31"/>
      <c r="I856" s="183"/>
      <c r="J856" s="29"/>
      <c r="K856" s="24"/>
      <c r="L856" s="25"/>
      <c r="M856" s="69"/>
      <c r="N856" s="77"/>
      <c r="O856" s="73"/>
      <c r="P856" s="74"/>
      <c r="Q856" s="74"/>
      <c r="R856" s="75"/>
      <c r="S856" s="61"/>
      <c r="T856" s="60"/>
      <c r="U856" s="74"/>
      <c r="V856" s="76"/>
      <c r="W856" s="24"/>
      <c r="X856" s="25"/>
      <c r="Y856" s="77"/>
      <c r="Z856" s="106"/>
      <c r="AA856" s="73"/>
      <c r="AB856" s="88"/>
      <c r="AC856" s="116"/>
      <c r="AD856" s="74"/>
      <c r="AE856" s="76"/>
      <c r="AF856" s="24"/>
      <c r="AG856" s="25"/>
      <c r="AH856" s="77"/>
      <c r="AI856" s="77"/>
      <c r="AJ856" s="73"/>
      <c r="AK856" s="79"/>
      <c r="AL856" s="79"/>
      <c r="AM856" s="127"/>
      <c r="AN856" s="142"/>
      <c r="AO856" s="142"/>
      <c r="AP856" s="29"/>
      <c r="AQ856" s="24"/>
      <c r="AR856" s="25"/>
      <c r="AS856" s="146"/>
      <c r="AT856" s="10"/>
      <c r="AU856" s="10"/>
      <c r="AV856" s="167"/>
      <c r="AW856" s="168"/>
      <c r="AX856" s="29"/>
      <c r="AY856" s="24"/>
      <c r="AZ856" s="25"/>
      <c r="BA856" s="24"/>
      <c r="BB856" s="169"/>
      <c r="BC856" s="170"/>
      <c r="BD856" s="10">
        <v>86219</v>
      </c>
      <c r="BE856" s="10">
        <v>190000</v>
      </c>
      <c r="BF856" s="10">
        <v>205000</v>
      </c>
      <c r="BG856" s="268">
        <v>200000</v>
      </c>
      <c r="BH856" s="10">
        <v>200000</v>
      </c>
      <c r="BI856" s="76">
        <f t="shared" si="1003"/>
        <v>198750</v>
      </c>
      <c r="BJ856" s="24">
        <f t="shared" si="1004"/>
        <v>112531</v>
      </c>
      <c r="BK856" s="25">
        <f t="shared" si="1005"/>
        <v>1.3051763532400051</v>
      </c>
      <c r="BL856" s="309">
        <f t="shared" si="1006"/>
        <v>198750</v>
      </c>
      <c r="BM856" s="293"/>
      <c r="BN856" s="293"/>
      <c r="BO856" s="293"/>
      <c r="BP856" s="293"/>
      <c r="BQ856" s="293"/>
      <c r="BR856" s="293"/>
      <c r="BS856" s="293"/>
      <c r="BT856" s="293"/>
    </row>
    <row r="857" spans="1:72" s="1" customFormat="1" ht="35.1" customHeight="1">
      <c r="A857" s="91"/>
      <c r="B857" s="358" t="s">
        <v>3049</v>
      </c>
      <c r="C857" s="50" t="s">
        <v>1980</v>
      </c>
      <c r="D857" s="264" t="s">
        <v>1906</v>
      </c>
      <c r="E857" s="262" t="s">
        <v>1457</v>
      </c>
      <c r="F857" s="10"/>
      <c r="G857" s="44"/>
      <c r="H857" s="31"/>
      <c r="I857" s="183"/>
      <c r="J857" s="29"/>
      <c r="K857" s="24"/>
      <c r="L857" s="25"/>
      <c r="M857" s="69"/>
      <c r="N857" s="77"/>
      <c r="O857" s="73"/>
      <c r="P857" s="74"/>
      <c r="Q857" s="74"/>
      <c r="R857" s="75"/>
      <c r="S857" s="61"/>
      <c r="T857" s="60"/>
      <c r="U857" s="74"/>
      <c r="V857" s="76"/>
      <c r="W857" s="24"/>
      <c r="X857" s="25"/>
      <c r="Y857" s="77"/>
      <c r="Z857" s="106"/>
      <c r="AA857" s="73"/>
      <c r="AB857" s="88"/>
      <c r="AC857" s="116"/>
      <c r="AD857" s="74"/>
      <c r="AE857" s="76"/>
      <c r="AF857" s="24"/>
      <c r="AG857" s="25"/>
      <c r="AH857" s="77"/>
      <c r="AI857" s="77"/>
      <c r="AJ857" s="73"/>
      <c r="AK857" s="79"/>
      <c r="AL857" s="79"/>
      <c r="AM857" s="127"/>
      <c r="AN857" s="142"/>
      <c r="AO857" s="142"/>
      <c r="AP857" s="29"/>
      <c r="AQ857" s="24"/>
      <c r="AR857" s="25"/>
      <c r="AS857" s="146"/>
      <c r="AT857" s="10"/>
      <c r="AU857" s="10"/>
      <c r="AV857" s="167"/>
      <c r="AW857" s="168"/>
      <c r="AX857" s="29"/>
      <c r="AY857" s="24"/>
      <c r="AZ857" s="25"/>
      <c r="BA857" s="24"/>
      <c r="BB857" s="169"/>
      <c r="BC857" s="170"/>
      <c r="BD857" s="10">
        <v>56100</v>
      </c>
      <c r="BE857" s="10">
        <v>190000</v>
      </c>
      <c r="BF857" s="10">
        <v>205000</v>
      </c>
      <c r="BG857" s="268">
        <v>200000</v>
      </c>
      <c r="BH857" s="10">
        <v>200000</v>
      </c>
      <c r="BI857" s="76">
        <f t="shared" si="1003"/>
        <v>198750</v>
      </c>
      <c r="BJ857" s="24">
        <f t="shared" si="1004"/>
        <v>142650</v>
      </c>
      <c r="BK857" s="25">
        <f t="shared" si="1005"/>
        <v>2.5427807486631018</v>
      </c>
      <c r="BL857" s="309">
        <f t="shared" si="1006"/>
        <v>198750</v>
      </c>
      <c r="BM857" s="293"/>
      <c r="BN857" s="293"/>
      <c r="BO857" s="293"/>
      <c r="BP857" s="293"/>
      <c r="BQ857" s="293"/>
      <c r="BR857" s="293"/>
      <c r="BS857" s="293"/>
      <c r="BT857" s="293"/>
    </row>
    <row r="858" spans="1:72" s="1" customFormat="1" ht="35.1" customHeight="1">
      <c r="A858" s="91"/>
      <c r="B858" s="358" t="s">
        <v>3050</v>
      </c>
      <c r="C858" s="50" t="s">
        <v>1981</v>
      </c>
      <c r="D858" s="264" t="s">
        <v>1907</v>
      </c>
      <c r="E858" s="262" t="s">
        <v>999</v>
      </c>
      <c r="F858" s="10"/>
      <c r="G858" s="44"/>
      <c r="H858" s="31"/>
      <c r="I858" s="183"/>
      <c r="J858" s="29"/>
      <c r="K858" s="24"/>
      <c r="L858" s="25"/>
      <c r="M858" s="69"/>
      <c r="N858" s="77"/>
      <c r="O858" s="73"/>
      <c r="P858" s="74"/>
      <c r="Q858" s="74"/>
      <c r="R858" s="75"/>
      <c r="S858" s="61"/>
      <c r="T858" s="60"/>
      <c r="U858" s="74"/>
      <c r="V858" s="76"/>
      <c r="W858" s="24"/>
      <c r="X858" s="25"/>
      <c r="Y858" s="77"/>
      <c r="Z858" s="106"/>
      <c r="AA858" s="73"/>
      <c r="AB858" s="88"/>
      <c r="AC858" s="116"/>
      <c r="AD858" s="74"/>
      <c r="AE858" s="76"/>
      <c r="AF858" s="24"/>
      <c r="AG858" s="25"/>
      <c r="AH858" s="77"/>
      <c r="AI858" s="77"/>
      <c r="AJ858" s="73"/>
      <c r="AK858" s="79"/>
      <c r="AL858" s="79"/>
      <c r="AM858" s="127"/>
      <c r="AN858" s="142"/>
      <c r="AO858" s="142"/>
      <c r="AP858" s="29"/>
      <c r="AQ858" s="24"/>
      <c r="AR858" s="25"/>
      <c r="AS858" s="146"/>
      <c r="AT858" s="10"/>
      <c r="AU858" s="10"/>
      <c r="AV858" s="167"/>
      <c r="AW858" s="168"/>
      <c r="AX858" s="29"/>
      <c r="AY858" s="24"/>
      <c r="AZ858" s="25"/>
      <c r="BA858" s="24"/>
      <c r="BB858" s="169"/>
      <c r="BC858" s="170"/>
      <c r="BD858" s="10">
        <v>427561</v>
      </c>
      <c r="BE858" s="10">
        <v>450000</v>
      </c>
      <c r="BF858" s="10">
        <v>4900000</v>
      </c>
      <c r="BG858" s="268">
        <v>4600000</v>
      </c>
      <c r="BH858" s="10">
        <v>520000</v>
      </c>
      <c r="BI858" s="76">
        <f t="shared" si="1003"/>
        <v>2617500</v>
      </c>
      <c r="BJ858" s="24">
        <f t="shared" si="1004"/>
        <v>2189939</v>
      </c>
      <c r="BK858" s="25">
        <f t="shared" si="1005"/>
        <v>5.1219334784978052</v>
      </c>
      <c r="BL858" s="309">
        <f t="shared" si="1006"/>
        <v>2617500</v>
      </c>
      <c r="BM858" s="293"/>
      <c r="BN858" s="293"/>
      <c r="BO858" s="293"/>
      <c r="BP858" s="293"/>
      <c r="BQ858" s="293"/>
      <c r="BR858" s="293"/>
      <c r="BS858" s="293"/>
      <c r="BT858" s="293"/>
    </row>
    <row r="859" spans="1:72" s="1" customFormat="1" ht="35.1" customHeight="1">
      <c r="A859" s="91"/>
      <c r="B859" s="358" t="s">
        <v>3051</v>
      </c>
      <c r="C859" s="50" t="s">
        <v>1982</v>
      </c>
      <c r="D859" s="264" t="s">
        <v>1908</v>
      </c>
      <c r="E859" s="262" t="s">
        <v>1466</v>
      </c>
      <c r="F859" s="10"/>
      <c r="G859" s="44"/>
      <c r="H859" s="31"/>
      <c r="I859" s="183"/>
      <c r="J859" s="29"/>
      <c r="K859" s="24"/>
      <c r="L859" s="25"/>
      <c r="M859" s="69"/>
      <c r="N859" s="77"/>
      <c r="O859" s="73"/>
      <c r="P859" s="74"/>
      <c r="Q859" s="74"/>
      <c r="R859" s="75"/>
      <c r="S859" s="61"/>
      <c r="T859" s="60"/>
      <c r="U859" s="74"/>
      <c r="V859" s="76"/>
      <c r="W859" s="24"/>
      <c r="X859" s="25"/>
      <c r="Y859" s="77"/>
      <c r="Z859" s="106"/>
      <c r="AA859" s="73"/>
      <c r="AB859" s="88"/>
      <c r="AC859" s="116"/>
      <c r="AD859" s="74"/>
      <c r="AE859" s="76"/>
      <c r="AF859" s="24"/>
      <c r="AG859" s="25"/>
      <c r="AH859" s="77"/>
      <c r="AI859" s="77"/>
      <c r="AJ859" s="73"/>
      <c r="AK859" s="79"/>
      <c r="AL859" s="79"/>
      <c r="AM859" s="127"/>
      <c r="AN859" s="142"/>
      <c r="AO859" s="142"/>
      <c r="AP859" s="29"/>
      <c r="AQ859" s="24"/>
      <c r="AR859" s="25"/>
      <c r="AS859" s="146"/>
      <c r="AT859" s="10"/>
      <c r="AU859" s="10"/>
      <c r="AV859" s="167"/>
      <c r="AW859" s="168"/>
      <c r="AX859" s="29"/>
      <c r="AY859" s="24"/>
      <c r="AZ859" s="25"/>
      <c r="BA859" s="24"/>
      <c r="BB859" s="169"/>
      <c r="BC859" s="170"/>
      <c r="BD859" s="10">
        <v>1517216</v>
      </c>
      <c r="BE859" s="10">
        <v>830000</v>
      </c>
      <c r="BF859" s="10">
        <v>900000</v>
      </c>
      <c r="BG859" s="268">
        <v>850000</v>
      </c>
      <c r="BH859" s="10">
        <v>1200000</v>
      </c>
      <c r="BI859" s="76">
        <f t="shared" si="1003"/>
        <v>945000</v>
      </c>
      <c r="BJ859" s="24">
        <f t="shared" si="1004"/>
        <v>-572216</v>
      </c>
      <c r="BK859" s="25">
        <f t="shared" si="1005"/>
        <v>-0.37714867230506399</v>
      </c>
      <c r="BL859" s="309">
        <f t="shared" si="1006"/>
        <v>945000</v>
      </c>
      <c r="BM859" s="293"/>
      <c r="BN859" s="293"/>
      <c r="BO859" s="293"/>
      <c r="BP859" s="293"/>
      <c r="BQ859" s="293"/>
      <c r="BR859" s="293"/>
      <c r="BS859" s="293"/>
      <c r="BT859" s="293"/>
    </row>
    <row r="860" spans="1:72" s="1" customFormat="1" ht="35.1" customHeight="1">
      <c r="A860" s="91"/>
      <c r="B860" s="358" t="s">
        <v>3052</v>
      </c>
      <c r="C860" s="50" t="s">
        <v>1983</v>
      </c>
      <c r="D860" s="264" t="s">
        <v>1909</v>
      </c>
      <c r="E860" s="262" t="s">
        <v>999</v>
      </c>
      <c r="F860" s="10"/>
      <c r="G860" s="44"/>
      <c r="H860" s="31"/>
      <c r="I860" s="183"/>
      <c r="J860" s="29"/>
      <c r="K860" s="24"/>
      <c r="L860" s="25"/>
      <c r="M860" s="69"/>
      <c r="N860" s="77"/>
      <c r="O860" s="73"/>
      <c r="P860" s="74"/>
      <c r="Q860" s="74"/>
      <c r="R860" s="75"/>
      <c r="S860" s="61"/>
      <c r="T860" s="60"/>
      <c r="U860" s="74"/>
      <c r="V860" s="76"/>
      <c r="W860" s="24"/>
      <c r="X860" s="25"/>
      <c r="Y860" s="77"/>
      <c r="Z860" s="106"/>
      <c r="AA860" s="73"/>
      <c r="AB860" s="88"/>
      <c r="AC860" s="116"/>
      <c r="AD860" s="74"/>
      <c r="AE860" s="76"/>
      <c r="AF860" s="24"/>
      <c r="AG860" s="25"/>
      <c r="AH860" s="77"/>
      <c r="AI860" s="77"/>
      <c r="AJ860" s="73"/>
      <c r="AK860" s="79"/>
      <c r="AL860" s="79"/>
      <c r="AM860" s="127"/>
      <c r="AN860" s="142"/>
      <c r="AO860" s="142"/>
      <c r="AP860" s="29"/>
      <c r="AQ860" s="24"/>
      <c r="AR860" s="25"/>
      <c r="AS860" s="146"/>
      <c r="AT860" s="10"/>
      <c r="AU860" s="10"/>
      <c r="AV860" s="167"/>
      <c r="AW860" s="168"/>
      <c r="AX860" s="29"/>
      <c r="AY860" s="24"/>
      <c r="AZ860" s="25"/>
      <c r="BA860" s="24"/>
      <c r="BB860" s="169"/>
      <c r="BC860" s="170"/>
      <c r="BD860" s="10">
        <v>261337</v>
      </c>
      <c r="BE860" s="10">
        <v>432000</v>
      </c>
      <c r="BF860" s="10">
        <v>470000</v>
      </c>
      <c r="BG860" s="268">
        <v>450000</v>
      </c>
      <c r="BH860" s="10">
        <v>432000</v>
      </c>
      <c r="BI860" s="76">
        <f t="shared" si="1003"/>
        <v>446000</v>
      </c>
      <c r="BJ860" s="24">
        <f t="shared" si="1004"/>
        <v>184663</v>
      </c>
      <c r="BK860" s="25">
        <f t="shared" si="1005"/>
        <v>0.70660870829618461</v>
      </c>
      <c r="BL860" s="309">
        <f t="shared" si="1006"/>
        <v>446000</v>
      </c>
      <c r="BM860" s="293"/>
      <c r="BN860" s="293"/>
      <c r="BO860" s="293"/>
      <c r="BP860" s="293"/>
      <c r="BQ860" s="293"/>
      <c r="BR860" s="293"/>
      <c r="BS860" s="293"/>
      <c r="BT860" s="293"/>
    </row>
    <row r="861" spans="1:72" s="1" customFormat="1" ht="35.1" customHeight="1">
      <c r="A861" s="91"/>
      <c r="B861" s="358" t="s">
        <v>3053</v>
      </c>
      <c r="C861" s="50" t="s">
        <v>1984</v>
      </c>
      <c r="D861" s="264" t="s">
        <v>1910</v>
      </c>
      <c r="E861" s="262" t="s">
        <v>999</v>
      </c>
      <c r="F861" s="10"/>
      <c r="G861" s="44"/>
      <c r="H861" s="31"/>
      <c r="I861" s="183"/>
      <c r="J861" s="29"/>
      <c r="K861" s="24"/>
      <c r="L861" s="25"/>
      <c r="M861" s="69"/>
      <c r="N861" s="77"/>
      <c r="O861" s="73"/>
      <c r="P861" s="74"/>
      <c r="Q861" s="74"/>
      <c r="R861" s="75"/>
      <c r="S861" s="61"/>
      <c r="T861" s="60"/>
      <c r="U861" s="74"/>
      <c r="V861" s="76"/>
      <c r="W861" s="24"/>
      <c r="X861" s="25"/>
      <c r="Y861" s="77"/>
      <c r="Z861" s="106"/>
      <c r="AA861" s="73"/>
      <c r="AB861" s="88"/>
      <c r="AC861" s="116"/>
      <c r="AD861" s="74"/>
      <c r="AE861" s="76"/>
      <c r="AF861" s="24"/>
      <c r="AG861" s="25"/>
      <c r="AH861" s="77"/>
      <c r="AI861" s="77"/>
      <c r="AJ861" s="73"/>
      <c r="AK861" s="79"/>
      <c r="AL861" s="79"/>
      <c r="AM861" s="127"/>
      <c r="AN861" s="142"/>
      <c r="AO861" s="142"/>
      <c r="AP861" s="29"/>
      <c r="AQ861" s="24"/>
      <c r="AR861" s="25"/>
      <c r="AS861" s="146"/>
      <c r="AT861" s="10"/>
      <c r="AU861" s="10"/>
      <c r="AV861" s="167"/>
      <c r="AW861" s="168"/>
      <c r="AX861" s="29"/>
      <c r="AY861" s="24"/>
      <c r="AZ861" s="25"/>
      <c r="BA861" s="24"/>
      <c r="BB861" s="169"/>
      <c r="BC861" s="170"/>
      <c r="BD861" s="10">
        <v>284703</v>
      </c>
      <c r="BE861" s="10">
        <v>350000</v>
      </c>
      <c r="BF861" s="10">
        <v>390000</v>
      </c>
      <c r="BG861" s="268">
        <v>360000</v>
      </c>
      <c r="BH861" s="10">
        <v>350000</v>
      </c>
      <c r="BI861" s="76">
        <f t="shared" si="1003"/>
        <v>362500</v>
      </c>
      <c r="BJ861" s="24">
        <f t="shared" si="1004"/>
        <v>77797</v>
      </c>
      <c r="BK861" s="25">
        <f t="shared" si="1005"/>
        <v>0.27325669206155184</v>
      </c>
      <c r="BL861" s="309">
        <f t="shared" si="1006"/>
        <v>362500</v>
      </c>
      <c r="BM861" s="293"/>
      <c r="BN861" s="293"/>
      <c r="BO861" s="293"/>
      <c r="BP861" s="293"/>
      <c r="BQ861" s="293"/>
      <c r="BR861" s="293"/>
      <c r="BS861" s="293"/>
      <c r="BT861" s="293"/>
    </row>
    <row r="862" spans="1:72" s="1" customFormat="1" ht="50.1" customHeight="1">
      <c r="A862" s="91"/>
      <c r="B862" s="358" t="s">
        <v>3054</v>
      </c>
      <c r="C862" s="50" t="s">
        <v>2205</v>
      </c>
      <c r="D862" s="322" t="s">
        <v>2200</v>
      </c>
      <c r="E862" s="48" t="s">
        <v>14</v>
      </c>
      <c r="F862" s="10"/>
      <c r="G862" s="44"/>
      <c r="H862" s="31"/>
      <c r="I862" s="183"/>
      <c r="J862" s="29"/>
      <c r="K862" s="24"/>
      <c r="L862" s="25"/>
      <c r="M862" s="69"/>
      <c r="N862" s="77"/>
      <c r="O862" s="73"/>
      <c r="P862" s="74"/>
      <c r="Q862" s="74"/>
      <c r="R862" s="75"/>
      <c r="S862" s="61"/>
      <c r="T862" s="60"/>
      <c r="U862" s="74"/>
      <c r="V862" s="76"/>
      <c r="W862" s="24"/>
      <c r="X862" s="25"/>
      <c r="Y862" s="77"/>
      <c r="Z862" s="106"/>
      <c r="AA862" s="73"/>
      <c r="AB862" s="88"/>
      <c r="AC862" s="116"/>
      <c r="AD862" s="74"/>
      <c r="AE862" s="76"/>
      <c r="AF862" s="24"/>
      <c r="AG862" s="25"/>
      <c r="AH862" s="77"/>
      <c r="AI862" s="77"/>
      <c r="AJ862" s="73"/>
      <c r="AK862" s="79"/>
      <c r="AL862" s="79"/>
      <c r="AM862" s="127"/>
      <c r="AN862" s="142"/>
      <c r="AO862" s="142"/>
      <c r="AP862" s="29"/>
      <c r="AQ862" s="24"/>
      <c r="AR862" s="25"/>
      <c r="AS862" s="146"/>
      <c r="AT862" s="10"/>
      <c r="AU862" s="10"/>
      <c r="AV862" s="167"/>
      <c r="AW862" s="168"/>
      <c r="AX862" s="29"/>
      <c r="AY862" s="24"/>
      <c r="AZ862" s="25"/>
      <c r="BA862" s="24"/>
      <c r="BB862" s="169"/>
      <c r="BC862" s="170"/>
      <c r="BD862" s="7"/>
      <c r="BE862" s="7"/>
      <c r="BF862" s="7"/>
      <c r="BG862" s="273"/>
      <c r="BH862" s="7"/>
      <c r="BI862" s="186"/>
      <c r="BJ862" s="187"/>
      <c r="BK862" s="188"/>
      <c r="BL862" s="170"/>
      <c r="BM862" s="10">
        <v>676363</v>
      </c>
      <c r="BN862" s="45"/>
      <c r="BO862" s="45"/>
      <c r="BP862" s="45">
        <v>2480000</v>
      </c>
      <c r="BQ862" s="29">
        <f t="shared" ref="BQ862:BQ866" si="1007">AVERAGE(BN862,BO862,BP862)</f>
        <v>2480000</v>
      </c>
      <c r="BR862" s="24">
        <f t="shared" ref="BR862:BR866" si="1008">BQ862-BM862</f>
        <v>1803637</v>
      </c>
      <c r="BS862" s="25">
        <f t="shared" ref="BS862:BS866" si="1009">+BR862/BM862</f>
        <v>2.666670116490701</v>
      </c>
      <c r="BT862" s="308">
        <f t="shared" ref="BT862:BT866" si="1010">BQ862</f>
        <v>2480000</v>
      </c>
    </row>
    <row r="863" spans="1:72" s="1" customFormat="1" ht="35.1" customHeight="1">
      <c r="A863" s="91"/>
      <c r="B863" s="358" t="s">
        <v>3055</v>
      </c>
      <c r="C863" s="50" t="s">
        <v>2206</v>
      </c>
      <c r="D863" s="322" t="s">
        <v>2201</v>
      </c>
      <c r="E863" s="48" t="s">
        <v>14</v>
      </c>
      <c r="F863" s="10"/>
      <c r="G863" s="44"/>
      <c r="H863" s="31"/>
      <c r="I863" s="183"/>
      <c r="J863" s="29"/>
      <c r="K863" s="24"/>
      <c r="L863" s="25"/>
      <c r="M863" s="69"/>
      <c r="N863" s="77"/>
      <c r="O863" s="73"/>
      <c r="P863" s="74"/>
      <c r="Q863" s="74"/>
      <c r="R863" s="75"/>
      <c r="S863" s="61"/>
      <c r="T863" s="60"/>
      <c r="U863" s="74"/>
      <c r="V863" s="76"/>
      <c r="W863" s="24"/>
      <c r="X863" s="25"/>
      <c r="Y863" s="77"/>
      <c r="Z863" s="106"/>
      <c r="AA863" s="73"/>
      <c r="AB863" s="88"/>
      <c r="AC863" s="116"/>
      <c r="AD863" s="74"/>
      <c r="AE863" s="76"/>
      <c r="AF863" s="24"/>
      <c r="AG863" s="25"/>
      <c r="AH863" s="77"/>
      <c r="AI863" s="77"/>
      <c r="AJ863" s="73"/>
      <c r="AK863" s="79"/>
      <c r="AL863" s="79"/>
      <c r="AM863" s="127"/>
      <c r="AN863" s="142"/>
      <c r="AO863" s="142"/>
      <c r="AP863" s="29"/>
      <c r="AQ863" s="24"/>
      <c r="AR863" s="25"/>
      <c r="AS863" s="146"/>
      <c r="AT863" s="10"/>
      <c r="AU863" s="10"/>
      <c r="AV863" s="167"/>
      <c r="AW863" s="168"/>
      <c r="AX863" s="29"/>
      <c r="AY863" s="24"/>
      <c r="AZ863" s="25"/>
      <c r="BA863" s="24"/>
      <c r="BB863" s="169"/>
      <c r="BC863" s="170"/>
      <c r="BD863" s="7"/>
      <c r="BE863" s="7"/>
      <c r="BF863" s="7"/>
      <c r="BG863" s="273"/>
      <c r="BH863" s="7"/>
      <c r="BI863" s="186"/>
      <c r="BJ863" s="187"/>
      <c r="BK863" s="188"/>
      <c r="BL863" s="170"/>
      <c r="BM863" s="10">
        <v>293762</v>
      </c>
      <c r="BN863" s="45"/>
      <c r="BO863" s="45"/>
      <c r="BP863" s="45">
        <v>370000</v>
      </c>
      <c r="BQ863" s="29">
        <f t="shared" si="1007"/>
        <v>370000</v>
      </c>
      <c r="BR863" s="24">
        <f t="shared" si="1008"/>
        <v>76238</v>
      </c>
      <c r="BS863" s="25">
        <f t="shared" si="1009"/>
        <v>0.25952301523001614</v>
      </c>
      <c r="BT863" s="308">
        <f t="shared" si="1010"/>
        <v>370000</v>
      </c>
    </row>
    <row r="864" spans="1:72" s="1" customFormat="1" ht="35.1" customHeight="1">
      <c r="A864" s="91"/>
      <c r="B864" s="358" t="s">
        <v>3056</v>
      </c>
      <c r="C864" s="50" t="s">
        <v>2207</v>
      </c>
      <c r="D864" s="322" t="s">
        <v>2202</v>
      </c>
      <c r="E864" s="48" t="s">
        <v>14</v>
      </c>
      <c r="F864" s="10"/>
      <c r="G864" s="44"/>
      <c r="H864" s="31"/>
      <c r="I864" s="183"/>
      <c r="J864" s="29"/>
      <c r="K864" s="24"/>
      <c r="L864" s="25"/>
      <c r="M864" s="69"/>
      <c r="N864" s="77"/>
      <c r="O864" s="73"/>
      <c r="P864" s="74"/>
      <c r="Q864" s="74"/>
      <c r="R864" s="75"/>
      <c r="S864" s="61"/>
      <c r="T864" s="60"/>
      <c r="U864" s="74"/>
      <c r="V864" s="76"/>
      <c r="W864" s="24"/>
      <c r="X864" s="25"/>
      <c r="Y864" s="77"/>
      <c r="Z864" s="106"/>
      <c r="AA864" s="73"/>
      <c r="AB864" s="88"/>
      <c r="AC864" s="116"/>
      <c r="AD864" s="74"/>
      <c r="AE864" s="76"/>
      <c r="AF864" s="24"/>
      <c r="AG864" s="25"/>
      <c r="AH864" s="77"/>
      <c r="AI864" s="77"/>
      <c r="AJ864" s="73"/>
      <c r="AK864" s="79"/>
      <c r="AL864" s="79"/>
      <c r="AM864" s="127"/>
      <c r="AN864" s="142"/>
      <c r="AO864" s="142"/>
      <c r="AP864" s="29"/>
      <c r="AQ864" s="24"/>
      <c r="AR864" s="25"/>
      <c r="AS864" s="146"/>
      <c r="AT864" s="10"/>
      <c r="AU864" s="10"/>
      <c r="AV864" s="167"/>
      <c r="AW864" s="168"/>
      <c r="AX864" s="29"/>
      <c r="AY864" s="24"/>
      <c r="AZ864" s="25"/>
      <c r="BA864" s="24"/>
      <c r="BB864" s="169"/>
      <c r="BC864" s="170"/>
      <c r="BD864" s="7"/>
      <c r="BE864" s="7"/>
      <c r="BF864" s="7"/>
      <c r="BG864" s="273"/>
      <c r="BH864" s="7"/>
      <c r="BI864" s="186"/>
      <c r="BJ864" s="187"/>
      <c r="BK864" s="188"/>
      <c r="BL864" s="170"/>
      <c r="BM864" s="10">
        <v>337882</v>
      </c>
      <c r="BN864" s="45"/>
      <c r="BO864" s="45"/>
      <c r="BP864" s="45">
        <v>480000</v>
      </c>
      <c r="BQ864" s="29">
        <f t="shared" si="1007"/>
        <v>480000</v>
      </c>
      <c r="BR864" s="24">
        <f t="shared" si="1008"/>
        <v>142118</v>
      </c>
      <c r="BS864" s="25">
        <f t="shared" si="1009"/>
        <v>0.42061429729905708</v>
      </c>
      <c r="BT864" s="308">
        <f t="shared" si="1010"/>
        <v>480000</v>
      </c>
    </row>
    <row r="865" spans="1:72" s="1" customFormat="1" ht="35.1" customHeight="1">
      <c r="A865" s="91"/>
      <c r="B865" s="358" t="s">
        <v>3057</v>
      </c>
      <c r="C865" s="50" t="s">
        <v>2208</v>
      </c>
      <c r="D865" s="322" t="s">
        <v>2203</v>
      </c>
      <c r="E865" s="48" t="s">
        <v>14</v>
      </c>
      <c r="F865" s="10"/>
      <c r="G865" s="44"/>
      <c r="H865" s="31"/>
      <c r="I865" s="183"/>
      <c r="J865" s="29"/>
      <c r="K865" s="24"/>
      <c r="L865" s="25"/>
      <c r="M865" s="69"/>
      <c r="N865" s="77"/>
      <c r="O865" s="73"/>
      <c r="P865" s="74"/>
      <c r="Q865" s="74"/>
      <c r="R865" s="75"/>
      <c r="S865" s="61"/>
      <c r="T865" s="60"/>
      <c r="U865" s="74"/>
      <c r="V865" s="76"/>
      <c r="W865" s="24"/>
      <c r="X865" s="25"/>
      <c r="Y865" s="77"/>
      <c r="Z865" s="106"/>
      <c r="AA865" s="73"/>
      <c r="AB865" s="88"/>
      <c r="AC865" s="116"/>
      <c r="AD865" s="74"/>
      <c r="AE865" s="76"/>
      <c r="AF865" s="24"/>
      <c r="AG865" s="25"/>
      <c r="AH865" s="77"/>
      <c r="AI865" s="77"/>
      <c r="AJ865" s="73"/>
      <c r="AK865" s="79"/>
      <c r="AL865" s="79"/>
      <c r="AM865" s="127"/>
      <c r="AN865" s="142"/>
      <c r="AO865" s="142"/>
      <c r="AP865" s="29"/>
      <c r="AQ865" s="24"/>
      <c r="AR865" s="25"/>
      <c r="AS865" s="146"/>
      <c r="AT865" s="10"/>
      <c r="AU865" s="10"/>
      <c r="AV865" s="167"/>
      <c r="AW865" s="168"/>
      <c r="AX865" s="29"/>
      <c r="AY865" s="24"/>
      <c r="AZ865" s="25"/>
      <c r="BA865" s="24"/>
      <c r="BB865" s="169"/>
      <c r="BC865" s="170"/>
      <c r="BD865" s="7"/>
      <c r="BE865" s="7"/>
      <c r="BF865" s="7"/>
      <c r="BG865" s="273"/>
      <c r="BH865" s="7"/>
      <c r="BI865" s="186"/>
      <c r="BJ865" s="187"/>
      <c r="BK865" s="188"/>
      <c r="BL865" s="170"/>
      <c r="BM865" s="10">
        <v>170750</v>
      </c>
      <c r="BN865" s="45"/>
      <c r="BO865" s="45"/>
      <c r="BP865" s="45">
        <v>160000</v>
      </c>
      <c r="BQ865" s="29">
        <f t="shared" si="1007"/>
        <v>160000</v>
      </c>
      <c r="BR865" s="24">
        <f t="shared" si="1008"/>
        <v>-10750</v>
      </c>
      <c r="BS865" s="25">
        <f t="shared" si="1009"/>
        <v>-6.2957540263543194E-2</v>
      </c>
      <c r="BT865" s="308">
        <f t="shared" si="1010"/>
        <v>160000</v>
      </c>
    </row>
    <row r="866" spans="1:72" s="1" customFormat="1" ht="35.1" customHeight="1">
      <c r="A866" s="91"/>
      <c r="B866" s="358" t="s">
        <v>3058</v>
      </c>
      <c r="C866" s="50" t="s">
        <v>2209</v>
      </c>
      <c r="D866" s="322" t="s">
        <v>2204</v>
      </c>
      <c r="E866" s="48" t="s">
        <v>14</v>
      </c>
      <c r="F866" s="10"/>
      <c r="G866" s="44"/>
      <c r="H866" s="31"/>
      <c r="I866" s="183"/>
      <c r="J866" s="29"/>
      <c r="K866" s="24"/>
      <c r="L866" s="25"/>
      <c r="M866" s="69"/>
      <c r="N866" s="77"/>
      <c r="O866" s="73"/>
      <c r="P866" s="74"/>
      <c r="Q866" s="74"/>
      <c r="R866" s="75"/>
      <c r="S866" s="61"/>
      <c r="T866" s="60"/>
      <c r="U866" s="74"/>
      <c r="V866" s="76"/>
      <c r="W866" s="24"/>
      <c r="X866" s="25"/>
      <c r="Y866" s="77"/>
      <c r="Z866" s="106"/>
      <c r="AA866" s="73"/>
      <c r="AB866" s="88"/>
      <c r="AC866" s="116"/>
      <c r="AD866" s="74"/>
      <c r="AE866" s="76"/>
      <c r="AF866" s="24"/>
      <c r="AG866" s="25"/>
      <c r="AH866" s="77"/>
      <c r="AI866" s="77"/>
      <c r="AJ866" s="73"/>
      <c r="AK866" s="79"/>
      <c r="AL866" s="79"/>
      <c r="AM866" s="127"/>
      <c r="AN866" s="142"/>
      <c r="AO866" s="142"/>
      <c r="AP866" s="29"/>
      <c r="AQ866" s="24"/>
      <c r="AR866" s="25"/>
      <c r="AS866" s="146"/>
      <c r="AT866" s="10"/>
      <c r="AU866" s="10"/>
      <c r="AV866" s="167"/>
      <c r="AW866" s="168"/>
      <c r="AX866" s="29"/>
      <c r="AY866" s="24"/>
      <c r="AZ866" s="25"/>
      <c r="BA866" s="24"/>
      <c r="BB866" s="169"/>
      <c r="BC866" s="170"/>
      <c r="BD866" s="7"/>
      <c r="BE866" s="7"/>
      <c r="BF866" s="7"/>
      <c r="BG866" s="273"/>
      <c r="BH866" s="7"/>
      <c r="BI866" s="186"/>
      <c r="BJ866" s="187"/>
      <c r="BK866" s="188"/>
      <c r="BL866" s="170"/>
      <c r="BM866" s="10">
        <v>293762</v>
      </c>
      <c r="BN866" s="45"/>
      <c r="BO866" s="45"/>
      <c r="BP866" s="45">
        <v>180000</v>
      </c>
      <c r="BQ866" s="29">
        <f t="shared" si="1007"/>
        <v>180000</v>
      </c>
      <c r="BR866" s="24">
        <f t="shared" si="1008"/>
        <v>-113762</v>
      </c>
      <c r="BS866" s="25">
        <f t="shared" si="1009"/>
        <v>-0.38725907367188406</v>
      </c>
      <c r="BT866" s="308">
        <f t="shared" si="1010"/>
        <v>180000</v>
      </c>
    </row>
    <row r="867" spans="1:72" ht="35.1" customHeight="1">
      <c r="A867" s="91" t="s">
        <v>36</v>
      </c>
      <c r="B867" s="358" t="s">
        <v>3059</v>
      </c>
      <c r="C867" s="252" t="s">
        <v>762</v>
      </c>
      <c r="D867" s="100" t="s">
        <v>36</v>
      </c>
      <c r="E867" s="47"/>
      <c r="F867" s="47"/>
      <c r="G867" s="47"/>
      <c r="H867" s="47"/>
      <c r="I867" s="47"/>
      <c r="J867" s="47"/>
      <c r="K867" s="47"/>
      <c r="L867" s="47"/>
      <c r="M867" s="91"/>
      <c r="N867" s="47"/>
      <c r="O867" s="47"/>
      <c r="P867" s="47"/>
      <c r="Q867" s="47"/>
      <c r="R867" s="47"/>
      <c r="S867" s="47"/>
      <c r="T867" s="47"/>
      <c r="U867" s="47"/>
      <c r="V867" s="47"/>
      <c r="W867" s="47"/>
      <c r="X867" s="47"/>
      <c r="Y867" s="47"/>
      <c r="Z867" s="47"/>
      <c r="AA867" s="47"/>
      <c r="AB867" s="47"/>
      <c r="AC867" s="47"/>
      <c r="AD867" s="47"/>
      <c r="AE867" s="47"/>
      <c r="AF867" s="47"/>
      <c r="AG867" s="47"/>
      <c r="AH867" s="47"/>
      <c r="AI867" s="47"/>
      <c r="AJ867" s="153"/>
      <c r="AK867" s="154"/>
      <c r="AL867" s="154"/>
      <c r="AM867" s="155"/>
      <c r="AN867" s="154"/>
      <c r="AO867" s="154"/>
      <c r="AP867" s="29"/>
      <c r="AQ867" s="24"/>
      <c r="AR867" s="25"/>
      <c r="AS867" s="47"/>
      <c r="AT867" s="47"/>
      <c r="AU867" s="47"/>
      <c r="AV867" s="47"/>
      <c r="AW867" s="47"/>
      <c r="AX867" s="47"/>
      <c r="AY867" s="47"/>
      <c r="AZ867" s="47"/>
      <c r="BA867" s="47"/>
      <c r="BB867" s="47"/>
      <c r="BC867" s="47"/>
      <c r="BD867" s="47"/>
      <c r="BE867" s="47"/>
      <c r="BF867" s="47"/>
      <c r="BG867" s="47"/>
      <c r="BH867" s="47"/>
      <c r="BI867" s="47"/>
      <c r="BJ867" s="47"/>
      <c r="BK867" s="47"/>
      <c r="BL867" s="47"/>
      <c r="BM867" s="47"/>
      <c r="BN867" s="47"/>
      <c r="BO867" s="47"/>
      <c r="BP867" s="47"/>
      <c r="BQ867" s="47"/>
      <c r="BR867" s="47"/>
      <c r="BS867" s="47"/>
      <c r="BT867" s="47"/>
    </row>
    <row r="868" spans="1:72" ht="35.1" customHeight="1">
      <c r="A868" s="91" t="s">
        <v>36</v>
      </c>
      <c r="B868" s="358" t="s">
        <v>3060</v>
      </c>
      <c r="C868" s="50" t="s">
        <v>359</v>
      </c>
      <c r="D868" s="99" t="s">
        <v>714</v>
      </c>
      <c r="E868" s="48" t="s">
        <v>40</v>
      </c>
      <c r="F868" s="10">
        <v>30600</v>
      </c>
      <c r="G868" s="33">
        <v>39798</v>
      </c>
      <c r="H868" s="31">
        <v>51737</v>
      </c>
      <c r="I868" s="36">
        <v>34786.400000000001</v>
      </c>
      <c r="J868" s="29">
        <f t="shared" si="941"/>
        <v>42107.133333333331</v>
      </c>
      <c r="K868" s="24">
        <f t="shared" si="942"/>
        <v>11507.133333333331</v>
      </c>
      <c r="L868" s="25">
        <f t="shared" si="943"/>
        <v>0.37605010893246182</v>
      </c>
      <c r="M868" s="69" t="str">
        <f t="shared" si="944"/>
        <v>REVISAR PRECIO</v>
      </c>
      <c r="N868" s="77">
        <f t="shared" si="926"/>
        <v>42107.133333333331</v>
      </c>
      <c r="O868" s="73">
        <v>3616</v>
      </c>
      <c r="P868" s="74">
        <v>19142.900000000001</v>
      </c>
      <c r="Q868" s="74">
        <v>35000</v>
      </c>
      <c r="R868" s="75">
        <v>22055.949999999997</v>
      </c>
      <c r="S868" s="61">
        <v>19142.899999999998</v>
      </c>
      <c r="T868" s="60">
        <v>35000</v>
      </c>
      <c r="U868" s="74">
        <v>22014.334999999995</v>
      </c>
      <c r="V868" s="76">
        <f t="shared" ref="V868:V869" si="1011">AVERAGE(P868,Q868,R868,S868,T868,U868)</f>
        <v>25392.680833333332</v>
      </c>
      <c r="W868" s="24">
        <f t="shared" ref="W868:W869" si="1012">V868-O868</f>
        <v>21776.680833333332</v>
      </c>
      <c r="X868" s="25">
        <f t="shared" ref="X868" si="1013">+W868/O868</f>
        <v>6.0223121773598818</v>
      </c>
      <c r="Y868" s="77" t="str">
        <f t="shared" ref="Y868:Y869" si="1014">+IF(X868&lt;35%,V868,"REVISAR PRECIO")</f>
        <v>REVISAR PRECIO</v>
      </c>
      <c r="Z868" s="106">
        <f t="shared" ref="Z868:Z869" si="1015">V868</f>
        <v>25392.680833333332</v>
      </c>
      <c r="AA868" s="73">
        <v>3616</v>
      </c>
      <c r="AB868" s="88">
        <v>20000</v>
      </c>
      <c r="AC868" s="116">
        <v>20000</v>
      </c>
      <c r="AD868" s="74">
        <v>18310.599999999999</v>
      </c>
      <c r="AE868" s="76">
        <f t="shared" ref="AE868:AE869" si="1016">AVERAGE(AB868,AC868,AD868)</f>
        <v>19436.866666666665</v>
      </c>
      <c r="AF868" s="24">
        <f t="shared" ref="AF868:AF869" si="1017">AE868-AA868</f>
        <v>15820.866666666665</v>
      </c>
      <c r="AG868" s="25">
        <f t="shared" ref="AG868" si="1018">+AF868/AA868</f>
        <v>4.3752396755162239</v>
      </c>
      <c r="AH868" s="77" t="str">
        <f t="shared" ref="AH868" si="1019">+IF(AG868&lt;35%,AE868,"REVISAR PRECIO")</f>
        <v>REVISAR PRECIO</v>
      </c>
      <c r="AI868" s="77">
        <f t="shared" ref="AI868:AI869" si="1020">AE868</f>
        <v>19436.866666666665</v>
      </c>
      <c r="AJ868" s="73">
        <v>3616</v>
      </c>
      <c r="AK868" s="79">
        <v>22055.949999999997</v>
      </c>
      <c r="AL868" s="79">
        <v>16646</v>
      </c>
      <c r="AM868" s="127">
        <v>19975.2</v>
      </c>
      <c r="AN868" s="142">
        <v>15600</v>
      </c>
      <c r="AO868" s="142">
        <v>15000</v>
      </c>
      <c r="AP868" s="143">
        <f t="shared" ref="AP868:AP869" si="1021">AVERAGE(AK868,AL868,AM868,AN868,AO868)</f>
        <v>17855.43</v>
      </c>
      <c r="AQ868" s="144">
        <f t="shared" ref="AQ868:AQ869" si="1022">AP868-AJ868</f>
        <v>14239.43</v>
      </c>
      <c r="AR868" s="145">
        <f t="shared" ref="AR868" si="1023">+AQ868/AJ868</f>
        <v>3.9378954646017701</v>
      </c>
      <c r="AS868" s="146">
        <f>AP868</f>
        <v>17855.43</v>
      </c>
      <c r="AT868" s="250"/>
      <c r="AU868" s="250"/>
      <c r="AV868" s="250"/>
      <c r="AW868" s="250"/>
      <c r="AX868" s="250"/>
      <c r="AY868" s="250"/>
      <c r="AZ868" s="250"/>
      <c r="BA868" s="250"/>
      <c r="BB868" s="250"/>
      <c r="BC868" s="251"/>
      <c r="BD868" s="150"/>
      <c r="BE868" s="150"/>
      <c r="BF868" s="150"/>
      <c r="BG868" s="150"/>
      <c r="BH868" s="150"/>
      <c r="BI868" s="150"/>
      <c r="BJ868" s="150"/>
      <c r="BK868" s="150"/>
      <c r="BL868" s="150"/>
      <c r="BM868" s="293"/>
      <c r="BN868" s="293"/>
      <c r="BO868" s="293"/>
      <c r="BP868" s="293"/>
      <c r="BQ868" s="293"/>
      <c r="BR868" s="293"/>
      <c r="BS868" s="293"/>
      <c r="BT868" s="293"/>
    </row>
    <row r="869" spans="1:72" ht="35.1" customHeight="1">
      <c r="A869" s="91" t="s">
        <v>36</v>
      </c>
      <c r="B869" s="358" t="s">
        <v>3061</v>
      </c>
      <c r="C869" s="50" t="s">
        <v>360</v>
      </c>
      <c r="D869" s="99" t="s">
        <v>715</v>
      </c>
      <c r="E869" s="48" t="s">
        <v>40</v>
      </c>
      <c r="F869" s="10">
        <v>34347</v>
      </c>
      <c r="G869" s="31">
        <v>44672</v>
      </c>
      <c r="H869" s="31">
        <v>58073</v>
      </c>
      <c r="I869" s="36">
        <v>39046.199999999997</v>
      </c>
      <c r="J869" s="29">
        <f t="shared" si="941"/>
        <v>47263.733333333337</v>
      </c>
      <c r="K869" s="24">
        <f t="shared" si="942"/>
        <v>12916.733333333337</v>
      </c>
      <c r="L869" s="25">
        <f t="shared" si="943"/>
        <v>0.37606583787036241</v>
      </c>
      <c r="M869" s="69" t="str">
        <f t="shared" si="944"/>
        <v>REVISAR PRECIO</v>
      </c>
      <c r="N869" s="77">
        <f t="shared" si="926"/>
        <v>47263.733333333337</v>
      </c>
      <c r="O869" s="73"/>
      <c r="P869" s="74">
        <v>31541.337500000001</v>
      </c>
      <c r="Q869" s="74">
        <v>45000</v>
      </c>
      <c r="R869" s="75">
        <v>36341.106249999997</v>
      </c>
      <c r="S869" s="61">
        <v>31541.337499999998</v>
      </c>
      <c r="T869" s="60"/>
      <c r="U869" s="74">
        <v>36272.538124999992</v>
      </c>
      <c r="V869" s="76">
        <f t="shared" si="1011"/>
        <v>36139.263874999997</v>
      </c>
      <c r="W869" s="24">
        <f t="shared" si="1012"/>
        <v>36139.263874999997</v>
      </c>
      <c r="X869" s="25"/>
      <c r="Y869" s="77">
        <f t="shared" si="1014"/>
        <v>36139.263874999997</v>
      </c>
      <c r="Z869" s="106">
        <f t="shared" si="1015"/>
        <v>36139.263874999997</v>
      </c>
      <c r="AA869" s="73"/>
      <c r="AB869" s="88">
        <v>30000</v>
      </c>
      <c r="AC869" s="116">
        <v>30000</v>
      </c>
      <c r="AD869" s="74">
        <v>30169.974999999999</v>
      </c>
      <c r="AE869" s="76">
        <f t="shared" si="1016"/>
        <v>30056.658333333336</v>
      </c>
      <c r="AF869" s="24">
        <f t="shared" si="1017"/>
        <v>30056.658333333336</v>
      </c>
      <c r="AG869" s="25"/>
      <c r="AH869" s="77"/>
      <c r="AI869" s="77">
        <f t="shared" si="1020"/>
        <v>30056.658333333336</v>
      </c>
      <c r="AJ869" s="73"/>
      <c r="AK869" s="79">
        <v>36341.106249999997</v>
      </c>
      <c r="AL869" s="79">
        <f>+AL868+(AL752/8)</f>
        <v>47896</v>
      </c>
      <c r="AM869" s="127">
        <v>32912.699999999997</v>
      </c>
      <c r="AN869" s="142">
        <v>32000</v>
      </c>
      <c r="AO869" s="142">
        <v>30000</v>
      </c>
      <c r="AP869" s="29">
        <f t="shared" si="1021"/>
        <v>35829.96125</v>
      </c>
      <c r="AQ869" s="24">
        <f t="shared" si="1022"/>
        <v>35829.96125</v>
      </c>
      <c r="AR869" s="25"/>
      <c r="AS869" s="146">
        <f>AP869</f>
        <v>35829.96125</v>
      </c>
      <c r="AT869" s="250"/>
      <c r="AU869" s="250"/>
      <c r="AV869" s="250"/>
      <c r="AW869" s="250"/>
      <c r="AX869" s="250"/>
      <c r="AY869" s="250"/>
      <c r="AZ869" s="250"/>
      <c r="BA869" s="250"/>
      <c r="BB869" s="250"/>
      <c r="BC869" s="251"/>
      <c r="BD869" s="150"/>
      <c r="BE869" s="150"/>
      <c r="BF869" s="150"/>
      <c r="BG869" s="150"/>
      <c r="BH869" s="150"/>
      <c r="BI869" s="150"/>
      <c r="BJ869" s="150"/>
      <c r="BK869" s="150"/>
      <c r="BL869" s="150"/>
      <c r="BM869" s="293"/>
      <c r="BN869" s="293"/>
      <c r="BO869" s="293"/>
      <c r="BP869" s="293"/>
      <c r="BQ869" s="293"/>
      <c r="BR869" s="293"/>
      <c r="BS869" s="293"/>
      <c r="BT869" s="293"/>
    </row>
    <row r="870" spans="1:72" s="68" customFormat="1" ht="22.35" customHeight="1">
      <c r="A870" s="231" t="s">
        <v>36</v>
      </c>
      <c r="B870" s="358" t="s">
        <v>3062</v>
      </c>
      <c r="C870" s="50" t="s">
        <v>361</v>
      </c>
      <c r="D870" s="101" t="s">
        <v>37</v>
      </c>
      <c r="E870" s="65" t="s">
        <v>14</v>
      </c>
      <c r="F870" s="60">
        <v>227197</v>
      </c>
      <c r="G870" s="92">
        <v>295488</v>
      </c>
      <c r="H870" s="66">
        <v>384134</v>
      </c>
      <c r="I870" s="36">
        <v>258278.39999999999</v>
      </c>
      <c r="J870" s="63">
        <f t="shared" si="941"/>
        <v>312633.46666666667</v>
      </c>
      <c r="K870" s="67">
        <f t="shared" si="942"/>
        <v>85436.466666666674</v>
      </c>
      <c r="L870" s="64">
        <f t="shared" si="943"/>
        <v>0.37604575177782573</v>
      </c>
      <c r="M870" s="78" t="str">
        <f t="shared" si="944"/>
        <v>REVISAR PRECIO</v>
      </c>
      <c r="N870" s="81">
        <f t="shared" si="926"/>
        <v>312633.46666666667</v>
      </c>
      <c r="O870" s="82"/>
      <c r="P870" s="83"/>
      <c r="Q870" s="83"/>
      <c r="R870" s="84"/>
      <c r="S870" s="85"/>
      <c r="T870" s="60"/>
      <c r="U870" s="83"/>
      <c r="V870" s="86"/>
      <c r="W870" s="67"/>
      <c r="X870" s="64"/>
      <c r="Y870" s="81"/>
      <c r="Z870" s="108"/>
      <c r="AA870" s="117"/>
      <c r="AB870" s="117"/>
      <c r="AC870" s="117"/>
      <c r="AD870" s="117"/>
      <c r="AE870" s="117"/>
      <c r="AF870" s="117"/>
      <c r="AG870" s="117"/>
      <c r="AH870" s="117"/>
      <c r="AI870" s="117"/>
      <c r="AJ870" s="250"/>
      <c r="AK870" s="250"/>
      <c r="AL870" s="250"/>
      <c r="AM870" s="250"/>
      <c r="AN870" s="250"/>
      <c r="AO870" s="250"/>
      <c r="AP870" s="250"/>
      <c r="AQ870" s="250"/>
      <c r="AR870" s="250"/>
      <c r="AS870" s="250"/>
      <c r="AT870" s="10">
        <v>151879</v>
      </c>
      <c r="AU870" s="10">
        <v>1404200</v>
      </c>
      <c r="AV870" s="167">
        <v>1404200</v>
      </c>
      <c r="AW870" s="168">
        <v>1200000</v>
      </c>
      <c r="AX870" s="29">
        <f t="shared" ref="AX870:AX872" si="1024">AVERAGE(AU870,AW870)</f>
        <v>1302100</v>
      </c>
      <c r="AY870" s="24">
        <f t="shared" ref="AY870:AY872" si="1025">AX870-AT870</f>
        <v>1150221</v>
      </c>
      <c r="AZ870" s="25">
        <f t="shared" ref="AZ870:AZ872" si="1026">+AY870/AT870</f>
        <v>7.5732721442727433</v>
      </c>
      <c r="BA870" s="24">
        <f t="shared" ref="BA870:BA872" si="1027">AV870-AT870</f>
        <v>1252321</v>
      </c>
      <c r="BB870" s="169">
        <f t="shared" ref="BB870:BB872" si="1028">+BA870/AT870</f>
        <v>8.245517813522607</v>
      </c>
      <c r="BC870" s="170">
        <f t="shared" ref="BC870:BC872" si="1029">AX870</f>
        <v>1302100</v>
      </c>
      <c r="BD870" s="10">
        <v>136691</v>
      </c>
      <c r="BE870" s="10">
        <v>450000</v>
      </c>
      <c r="BF870" s="10">
        <v>480000</v>
      </c>
      <c r="BG870" s="268">
        <v>460000</v>
      </c>
      <c r="BH870" s="10">
        <v>500000</v>
      </c>
      <c r="BI870" s="76">
        <f t="shared" ref="BI870:BI872" si="1030">AVERAGE(BE870,BF870,BG870,BH870)</f>
        <v>472500</v>
      </c>
      <c r="BJ870" s="24">
        <f t="shared" ref="BJ870:BJ872" si="1031">BI870-BD870</f>
        <v>335809</v>
      </c>
      <c r="BK870" s="25">
        <f t="shared" ref="BK870:BK872" si="1032">+BJ870/BD870</f>
        <v>2.4567016116642648</v>
      </c>
      <c r="BL870" s="259">
        <f t="shared" ref="BL870:BL872" si="1033">BI870</f>
        <v>472500</v>
      </c>
      <c r="BM870" s="10">
        <v>151878</v>
      </c>
      <c r="BN870" s="45"/>
      <c r="BO870" s="45">
        <v>179200</v>
      </c>
      <c r="BP870" s="45">
        <v>60000</v>
      </c>
      <c r="BQ870" s="29">
        <f t="shared" ref="BQ870:BQ872" si="1034">AVERAGE(BN870,BO870,BP870)</f>
        <v>119600</v>
      </c>
      <c r="BR870" s="24">
        <f t="shared" ref="BR870:BR872" si="1035">BQ870-BM870</f>
        <v>-32278</v>
      </c>
      <c r="BS870" s="25">
        <f t="shared" ref="BS870:BS872" si="1036">+BR870/BM870</f>
        <v>-0.21252584311091796</v>
      </c>
      <c r="BT870" s="308">
        <f t="shared" ref="BT870:BT872" si="1037">BQ870</f>
        <v>119600</v>
      </c>
    </row>
    <row r="871" spans="1:72" s="68" customFormat="1" ht="22.35" customHeight="1">
      <c r="A871" s="231" t="s">
        <v>36</v>
      </c>
      <c r="B871" s="358" t="s">
        <v>3063</v>
      </c>
      <c r="C871" s="50" t="s">
        <v>362</v>
      </c>
      <c r="D871" s="101" t="s">
        <v>716</v>
      </c>
      <c r="E871" s="65" t="s">
        <v>14</v>
      </c>
      <c r="F871" s="60">
        <v>127799</v>
      </c>
      <c r="G871" s="66">
        <v>166212</v>
      </c>
      <c r="H871" s="92">
        <v>216076</v>
      </c>
      <c r="I871" s="36">
        <v>145281.60000000001</v>
      </c>
      <c r="J871" s="63">
        <f t="shared" si="941"/>
        <v>175856.53333333333</v>
      </c>
      <c r="K871" s="67">
        <f t="shared" si="942"/>
        <v>48057.533333333326</v>
      </c>
      <c r="L871" s="64">
        <f t="shared" si="943"/>
        <v>0.37603997944689183</v>
      </c>
      <c r="M871" s="78" t="str">
        <f t="shared" si="944"/>
        <v>REVISAR PRECIO</v>
      </c>
      <c r="N871" s="81">
        <f t="shared" si="926"/>
        <v>175856.53333333333</v>
      </c>
      <c r="O871" s="82"/>
      <c r="P871" s="83"/>
      <c r="Q871" s="83"/>
      <c r="R871" s="84"/>
      <c r="S871" s="85"/>
      <c r="T871" s="60"/>
      <c r="U871" s="83"/>
      <c r="V871" s="86"/>
      <c r="W871" s="67"/>
      <c r="X871" s="64"/>
      <c r="Y871" s="81"/>
      <c r="Z871" s="108"/>
      <c r="AA871" s="117"/>
      <c r="AB871" s="117"/>
      <c r="AC871" s="117"/>
      <c r="AD871" s="117"/>
      <c r="AE871" s="117"/>
      <c r="AF871" s="117"/>
      <c r="AG871" s="117"/>
      <c r="AH871" s="117"/>
      <c r="AI871" s="117"/>
      <c r="AJ871" s="250"/>
      <c r="AK871" s="250"/>
      <c r="AL871" s="250"/>
      <c r="AM871" s="250"/>
      <c r="AN871" s="250"/>
      <c r="AO871" s="250"/>
      <c r="AP871" s="250"/>
      <c r="AQ871" s="250"/>
      <c r="AR871" s="250"/>
      <c r="AS871" s="250"/>
      <c r="AT871" s="10">
        <v>85432</v>
      </c>
      <c r="AU871" s="10">
        <v>865000</v>
      </c>
      <c r="AV871" s="167">
        <v>865000</v>
      </c>
      <c r="AW871" s="168">
        <v>650000</v>
      </c>
      <c r="AX871" s="29">
        <f t="shared" si="1024"/>
        <v>757500</v>
      </c>
      <c r="AY871" s="24">
        <f t="shared" si="1025"/>
        <v>672068</v>
      </c>
      <c r="AZ871" s="25">
        <f t="shared" si="1026"/>
        <v>7.8667010019664767</v>
      </c>
      <c r="BA871" s="24">
        <f t="shared" si="1027"/>
        <v>779568</v>
      </c>
      <c r="BB871" s="169">
        <f t="shared" si="1028"/>
        <v>9.1250117052158437</v>
      </c>
      <c r="BC871" s="170">
        <f t="shared" si="1029"/>
        <v>757500</v>
      </c>
      <c r="BD871" s="10">
        <v>76888</v>
      </c>
      <c r="BE871" s="10">
        <v>250000</v>
      </c>
      <c r="BF871" s="10">
        <v>280000</v>
      </c>
      <c r="BG871" s="268">
        <v>260000</v>
      </c>
      <c r="BH871" s="10">
        <v>250000</v>
      </c>
      <c r="BI871" s="76">
        <f t="shared" si="1030"/>
        <v>260000</v>
      </c>
      <c r="BJ871" s="24">
        <f t="shared" si="1031"/>
        <v>183112</v>
      </c>
      <c r="BK871" s="25">
        <f t="shared" si="1032"/>
        <v>2.3815419831443139</v>
      </c>
      <c r="BL871" s="259">
        <f t="shared" si="1033"/>
        <v>260000</v>
      </c>
      <c r="BM871" s="10">
        <v>85432</v>
      </c>
      <c r="BN871" s="45"/>
      <c r="BO871" s="45">
        <v>100800</v>
      </c>
      <c r="BP871" s="45">
        <v>45000</v>
      </c>
      <c r="BQ871" s="29">
        <f t="shared" si="1034"/>
        <v>72900</v>
      </c>
      <c r="BR871" s="24">
        <f t="shared" si="1035"/>
        <v>-12532</v>
      </c>
      <c r="BS871" s="25">
        <f t="shared" si="1036"/>
        <v>-0.14668976495926586</v>
      </c>
      <c r="BT871" s="308">
        <f t="shared" si="1037"/>
        <v>72900</v>
      </c>
    </row>
    <row r="872" spans="1:72" ht="22.35" customHeight="1">
      <c r="A872" s="91" t="s">
        <v>36</v>
      </c>
      <c r="B872" s="358" t="s">
        <v>3064</v>
      </c>
      <c r="C872" s="50" t="s">
        <v>363</v>
      </c>
      <c r="D872" s="99" t="s">
        <v>717</v>
      </c>
      <c r="E872" s="48" t="s">
        <v>40</v>
      </c>
      <c r="F872" s="10">
        <v>25535</v>
      </c>
      <c r="G872" s="33">
        <v>33210</v>
      </c>
      <c r="H872" s="31">
        <v>43173</v>
      </c>
      <c r="I872" s="36">
        <v>29028</v>
      </c>
      <c r="J872" s="29">
        <f t="shared" si="941"/>
        <v>35137</v>
      </c>
      <c r="K872" s="24">
        <f t="shared" si="942"/>
        <v>9602</v>
      </c>
      <c r="L872" s="25">
        <f t="shared" si="943"/>
        <v>0.37603289602506362</v>
      </c>
      <c r="M872" s="69" t="str">
        <f t="shared" si="944"/>
        <v>REVISAR PRECIO</v>
      </c>
      <c r="N872" s="77">
        <f t="shared" si="926"/>
        <v>35137</v>
      </c>
      <c r="O872" s="73">
        <v>2866</v>
      </c>
      <c r="P872" s="74">
        <v>20700</v>
      </c>
      <c r="Q872" s="74">
        <v>35000</v>
      </c>
      <c r="R872" s="75">
        <v>23850</v>
      </c>
      <c r="S872" s="61">
        <v>20700</v>
      </c>
      <c r="T872" s="60">
        <v>1600000</v>
      </c>
      <c r="U872" s="74">
        <v>23804.999999999996</v>
      </c>
      <c r="V872" s="76">
        <f t="shared" ref="V872:V873" si="1038">AVERAGE(P872,Q872,R872,S872,T872,U872)</f>
        <v>287342.5</v>
      </c>
      <c r="W872" s="24">
        <f t="shared" ref="W872:W873" si="1039">V872-O872</f>
        <v>284476.5</v>
      </c>
      <c r="X872" s="25">
        <f t="shared" ref="X872" si="1040">+W872/O872</f>
        <v>99.259071877180745</v>
      </c>
      <c r="Y872" s="77" t="str">
        <f t="shared" ref="Y872:Y873" si="1041">+IF(X872&lt;35%,V872,"REVISAR PRECIO")</f>
        <v>REVISAR PRECIO</v>
      </c>
      <c r="Z872" s="106">
        <f t="shared" ref="Z872:Z873" si="1042">V872</f>
        <v>287342.5</v>
      </c>
      <c r="AA872" s="73">
        <v>2866</v>
      </c>
      <c r="AB872" s="88">
        <v>21000</v>
      </c>
      <c r="AC872" s="116">
        <v>21000</v>
      </c>
      <c r="AD872" s="74">
        <v>19800</v>
      </c>
      <c r="AE872" s="76">
        <f t="shared" ref="AE872:AE873" si="1043">AVERAGE(AB872,AC872,AD872)</f>
        <v>20600</v>
      </c>
      <c r="AF872" s="24">
        <f t="shared" ref="AF872:AF873" si="1044">AE872-AA872</f>
        <v>17734</v>
      </c>
      <c r="AG872" s="25">
        <f t="shared" ref="AG872" si="1045">+AF872/AA872</f>
        <v>6.1877180739706912</v>
      </c>
      <c r="AH872" s="77" t="str">
        <f t="shared" ref="AH872" si="1046">+IF(AG872&lt;35%,AE872,"REVISAR PRECIO")</f>
        <v>REVISAR PRECIO</v>
      </c>
      <c r="AI872" s="77">
        <f t="shared" ref="AI872:AI873" si="1047">AE872</f>
        <v>20600</v>
      </c>
      <c r="AJ872" s="73">
        <v>2866</v>
      </c>
      <c r="AK872" s="79">
        <v>23850</v>
      </c>
      <c r="AL872" s="79">
        <v>18000</v>
      </c>
      <c r="AM872" s="127">
        <v>21600</v>
      </c>
      <c r="AN872" s="142">
        <v>19100</v>
      </c>
      <c r="AO872" s="142">
        <v>18000</v>
      </c>
      <c r="AP872" s="156">
        <f t="shared" ref="AP872:AP873" si="1048">AVERAGE(AK872,AL872,AM872,AN872,AO872)</f>
        <v>20110</v>
      </c>
      <c r="AQ872" s="157">
        <f t="shared" ref="AQ872:AQ873" si="1049">AP872-AJ872</f>
        <v>17244</v>
      </c>
      <c r="AR872" s="158">
        <f t="shared" ref="AR872" si="1050">+AQ872/AJ872</f>
        <v>6.0167480809490579</v>
      </c>
      <c r="AS872" s="146">
        <f>AP872</f>
        <v>20110</v>
      </c>
      <c r="AT872" s="10">
        <v>17800</v>
      </c>
      <c r="AU872" s="10">
        <v>49072</v>
      </c>
      <c r="AV872" s="167">
        <v>98144</v>
      </c>
      <c r="AW872" s="168">
        <v>35600</v>
      </c>
      <c r="AX872" s="29">
        <f t="shared" si="1024"/>
        <v>42336</v>
      </c>
      <c r="AY872" s="24">
        <f t="shared" si="1025"/>
        <v>24536</v>
      </c>
      <c r="AZ872" s="25">
        <f t="shared" si="1026"/>
        <v>1.3784269662921349</v>
      </c>
      <c r="BA872" s="24">
        <f t="shared" si="1027"/>
        <v>80344</v>
      </c>
      <c r="BB872" s="169">
        <f t="shared" si="1028"/>
        <v>4.5137078651685396</v>
      </c>
      <c r="BC872" s="170">
        <f t="shared" si="1029"/>
        <v>42336</v>
      </c>
      <c r="BD872" s="10">
        <v>16023</v>
      </c>
      <c r="BE872" s="10">
        <v>16000000</v>
      </c>
      <c r="BF872" s="10">
        <v>18000000</v>
      </c>
      <c r="BG872" s="268">
        <v>17000000</v>
      </c>
      <c r="BH872" s="10">
        <v>16000000</v>
      </c>
      <c r="BI872" s="76">
        <f t="shared" si="1030"/>
        <v>16750000</v>
      </c>
      <c r="BJ872" s="24">
        <f t="shared" si="1031"/>
        <v>16733977</v>
      </c>
      <c r="BK872" s="25">
        <f t="shared" si="1032"/>
        <v>1044.3722773513075</v>
      </c>
      <c r="BL872" s="259">
        <f t="shared" si="1033"/>
        <v>16750000</v>
      </c>
      <c r="BM872" s="10">
        <v>17798</v>
      </c>
      <c r="BN872" s="45"/>
      <c r="BO872" s="45">
        <v>21000</v>
      </c>
      <c r="BP872" s="45">
        <v>50000</v>
      </c>
      <c r="BQ872" s="29">
        <f t="shared" si="1034"/>
        <v>35500</v>
      </c>
      <c r="BR872" s="24">
        <f t="shared" si="1035"/>
        <v>17702</v>
      </c>
      <c r="BS872" s="25">
        <f t="shared" si="1036"/>
        <v>0.99460613552084509</v>
      </c>
      <c r="BT872" s="308">
        <f t="shared" si="1037"/>
        <v>35500</v>
      </c>
    </row>
    <row r="873" spans="1:72" ht="47.1" customHeight="1">
      <c r="A873" s="91" t="s">
        <v>36</v>
      </c>
      <c r="B873" s="358" t="s">
        <v>3065</v>
      </c>
      <c r="C873" s="50" t="s">
        <v>364</v>
      </c>
      <c r="D873" s="99" t="s">
        <v>718</v>
      </c>
      <c r="E873" s="48" t="s">
        <v>11</v>
      </c>
      <c r="F873" s="10">
        <v>37368</v>
      </c>
      <c r="G873" s="31">
        <v>48600</v>
      </c>
      <c r="H873" s="31">
        <v>63180</v>
      </c>
      <c r="I873" s="36">
        <v>42480</v>
      </c>
      <c r="J873" s="29">
        <f t="shared" si="941"/>
        <v>51420</v>
      </c>
      <c r="K873" s="24">
        <f t="shared" si="942"/>
        <v>14052</v>
      </c>
      <c r="L873" s="25">
        <f t="shared" si="943"/>
        <v>0.37604367373153502</v>
      </c>
      <c r="M873" s="69" t="str">
        <f t="shared" si="944"/>
        <v>REVISAR PRECIO</v>
      </c>
      <c r="N873" s="77">
        <f t="shared" si="926"/>
        <v>51420</v>
      </c>
      <c r="O873" s="73"/>
      <c r="P873" s="74">
        <v>1725</v>
      </c>
      <c r="Q873" s="74">
        <v>4000</v>
      </c>
      <c r="R873" s="75">
        <v>1987.5</v>
      </c>
      <c r="S873" s="61">
        <v>3909.9999999999995</v>
      </c>
      <c r="T873" s="60"/>
      <c r="U873" s="74">
        <v>4496.4999999999991</v>
      </c>
      <c r="V873" s="76">
        <f t="shared" si="1038"/>
        <v>3223.8</v>
      </c>
      <c r="W873" s="24">
        <f t="shared" si="1039"/>
        <v>3223.8</v>
      </c>
      <c r="X873" s="25"/>
      <c r="Y873" s="77">
        <f t="shared" si="1041"/>
        <v>3223.8</v>
      </c>
      <c r="Z873" s="106">
        <f t="shared" si="1042"/>
        <v>3223.8</v>
      </c>
      <c r="AA873" s="73"/>
      <c r="AB873" s="88">
        <v>2000</v>
      </c>
      <c r="AC873" s="116">
        <v>2000</v>
      </c>
      <c r="AD873" s="74">
        <v>1650</v>
      </c>
      <c r="AE873" s="76">
        <f t="shared" si="1043"/>
        <v>1883.3333333333333</v>
      </c>
      <c r="AF873" s="24">
        <f t="shared" si="1044"/>
        <v>1883.3333333333333</v>
      </c>
      <c r="AG873" s="25"/>
      <c r="AH873" s="77"/>
      <c r="AI873" s="77">
        <f t="shared" si="1047"/>
        <v>1883.3333333333333</v>
      </c>
      <c r="AJ873" s="73"/>
      <c r="AK873" s="79">
        <v>1987.5</v>
      </c>
      <c r="AL873" s="79">
        <v>1500</v>
      </c>
      <c r="AM873" s="127">
        <v>1800</v>
      </c>
      <c r="AN873" s="142">
        <v>1600</v>
      </c>
      <c r="AO873" s="142">
        <v>2000</v>
      </c>
      <c r="AP873" s="29">
        <f t="shared" si="1048"/>
        <v>1777.5</v>
      </c>
      <c r="AQ873" s="24">
        <f t="shared" si="1049"/>
        <v>1777.5</v>
      </c>
      <c r="AR873" s="25"/>
      <c r="AS873" s="146">
        <f>AP873</f>
        <v>1777.5</v>
      </c>
      <c r="AT873" s="250"/>
      <c r="AU873" s="250"/>
      <c r="AV873" s="250"/>
      <c r="AW873" s="250"/>
      <c r="AX873" s="250"/>
      <c r="AY873" s="250"/>
      <c r="AZ873" s="250"/>
      <c r="BA873" s="250"/>
      <c r="BB873" s="250"/>
      <c r="BC873" s="251"/>
      <c r="BD873" s="150"/>
      <c r="BE873" s="150"/>
      <c r="BF873" s="150"/>
      <c r="BG873" s="150"/>
      <c r="BH873" s="150"/>
      <c r="BI873" s="150"/>
      <c r="BJ873" s="150"/>
      <c r="BK873" s="150"/>
      <c r="BL873" s="150"/>
      <c r="BM873" s="293"/>
      <c r="BN873" s="293"/>
      <c r="BO873" s="293"/>
      <c r="BP873" s="293"/>
      <c r="BQ873" s="293"/>
      <c r="BR873" s="293"/>
      <c r="BS873" s="293"/>
      <c r="BT873" s="293"/>
    </row>
    <row r="874" spans="1:72" s="68" customFormat="1" ht="49.35" customHeight="1">
      <c r="A874" s="231" t="s">
        <v>36</v>
      </c>
      <c r="B874" s="358" t="s">
        <v>3066</v>
      </c>
      <c r="C874" s="50" t="s">
        <v>365</v>
      </c>
      <c r="D874" s="101" t="s">
        <v>719</v>
      </c>
      <c r="E874" s="65" t="s">
        <v>740</v>
      </c>
      <c r="F874" s="60">
        <v>284204</v>
      </c>
      <c r="G874" s="66">
        <v>369630</v>
      </c>
      <c r="H874" s="92">
        <v>480519</v>
      </c>
      <c r="I874" s="36">
        <v>323084</v>
      </c>
      <c r="J874" s="63">
        <f t="shared" si="941"/>
        <v>391077.66666666669</v>
      </c>
      <c r="K874" s="67">
        <f t="shared" si="942"/>
        <v>106873.66666666669</v>
      </c>
      <c r="L874" s="64">
        <f t="shared" si="943"/>
        <v>0.37604561043006673</v>
      </c>
      <c r="M874" s="78" t="str">
        <f t="shared" si="944"/>
        <v>REVISAR PRECIO</v>
      </c>
      <c r="N874" s="81">
        <f t="shared" si="926"/>
        <v>391077.66666666669</v>
      </c>
      <c r="O874" s="82"/>
      <c r="P874" s="83"/>
      <c r="Q874" s="83"/>
      <c r="R874" s="84"/>
      <c r="S874" s="85"/>
      <c r="T874" s="60"/>
      <c r="U874" s="83"/>
      <c r="V874" s="86"/>
      <c r="W874" s="67"/>
      <c r="X874" s="64"/>
      <c r="Y874" s="81"/>
      <c r="Z874" s="108"/>
      <c r="AA874" s="117"/>
      <c r="AB874" s="117"/>
      <c r="AC874" s="117"/>
      <c r="AD874" s="117"/>
      <c r="AE874" s="117"/>
      <c r="AF874" s="117"/>
      <c r="AG874" s="117"/>
      <c r="AH874" s="117"/>
      <c r="AI874" s="117"/>
      <c r="AJ874" s="250"/>
      <c r="AK874" s="250"/>
      <c r="AL874" s="250"/>
      <c r="AM874" s="250"/>
      <c r="AN874" s="250"/>
      <c r="AO874" s="250"/>
      <c r="AP874" s="250"/>
      <c r="AQ874" s="250"/>
      <c r="AR874" s="250"/>
      <c r="AS874" s="250"/>
      <c r="AT874" s="250"/>
      <c r="AU874" s="250"/>
      <c r="AV874" s="250"/>
      <c r="AW874" s="250"/>
      <c r="AX874" s="250"/>
      <c r="AY874" s="250"/>
      <c r="AZ874" s="250"/>
      <c r="BA874" s="250"/>
      <c r="BB874" s="250"/>
      <c r="BC874" s="251"/>
      <c r="BD874" s="150"/>
      <c r="BE874" s="150"/>
      <c r="BF874" s="150"/>
      <c r="BG874" s="150"/>
      <c r="BH874" s="150"/>
      <c r="BI874" s="150"/>
      <c r="BJ874" s="150"/>
      <c r="BK874" s="150"/>
      <c r="BL874" s="150"/>
      <c r="BM874" s="293"/>
      <c r="BN874" s="293"/>
      <c r="BO874" s="293"/>
      <c r="BP874" s="293"/>
      <c r="BQ874" s="293"/>
      <c r="BR874" s="293"/>
      <c r="BS874" s="293"/>
      <c r="BT874" s="293"/>
    </row>
    <row r="875" spans="1:72" s="1" customFormat="1" ht="23.1" customHeight="1">
      <c r="A875" s="91" t="s">
        <v>36</v>
      </c>
      <c r="B875" s="358" t="s">
        <v>3067</v>
      </c>
      <c r="C875" s="50" t="s">
        <v>366</v>
      </c>
      <c r="D875" s="99" t="s">
        <v>720</v>
      </c>
      <c r="E875" s="48" t="s">
        <v>740</v>
      </c>
      <c r="F875" s="10">
        <v>769957</v>
      </c>
      <c r="G875" s="33">
        <v>1001390</v>
      </c>
      <c r="H875" s="31">
        <v>1001390</v>
      </c>
      <c r="I875" s="36">
        <v>875288.6</v>
      </c>
      <c r="J875" s="29">
        <f t="shared" si="941"/>
        <v>959356.20000000007</v>
      </c>
      <c r="K875" s="24">
        <f t="shared" si="942"/>
        <v>189399.20000000007</v>
      </c>
      <c r="L875" s="25">
        <f t="shared" si="943"/>
        <v>0.24598672393393406</v>
      </c>
      <c r="M875" s="69">
        <f t="shared" si="944"/>
        <v>959356.20000000007</v>
      </c>
      <c r="N875" s="77">
        <f t="shared" si="926"/>
        <v>959356.20000000007</v>
      </c>
      <c r="O875" s="73">
        <v>567835</v>
      </c>
      <c r="P875" s="74">
        <v>228942</v>
      </c>
      <c r="Q875" s="74">
        <v>280000</v>
      </c>
      <c r="R875" s="75">
        <v>263781</v>
      </c>
      <c r="S875" s="61">
        <v>295205</v>
      </c>
      <c r="T875" s="60"/>
      <c r="U875" s="74">
        <v>339485.75</v>
      </c>
      <c r="V875" s="76">
        <f t="shared" ref="V875:V880" si="1051">AVERAGE(P875,Q875,R875,S875,T875,U875)</f>
        <v>281482.75</v>
      </c>
      <c r="W875" s="24">
        <f t="shared" ref="W875:W880" si="1052">V875-O875</f>
        <v>-286352.25</v>
      </c>
      <c r="X875" s="25">
        <f t="shared" ref="X875:X880" si="1053">+W875/O875</f>
        <v>-0.50428777725923901</v>
      </c>
      <c r="Y875" s="77">
        <f t="shared" ref="Y875:Y880" si="1054">+IF(X875&lt;35%,V875,"REVISAR PRECIO")</f>
        <v>281482.75</v>
      </c>
      <c r="Z875" s="106">
        <f t="shared" ref="Z875:Z880" si="1055">V875</f>
        <v>281482.75</v>
      </c>
      <c r="AA875" s="73">
        <v>567835</v>
      </c>
      <c r="AB875" s="88">
        <v>209000</v>
      </c>
      <c r="AC875" s="116">
        <v>215000</v>
      </c>
      <c r="AD875" s="74">
        <v>218988</v>
      </c>
      <c r="AE875" s="76">
        <f t="shared" ref="AE875:AE880" si="1056">AVERAGE(AB875,AC875,AD875)</f>
        <v>214329.33333333334</v>
      </c>
      <c r="AF875" s="24">
        <f t="shared" ref="AF875:AF880" si="1057">AE875-AA875</f>
        <v>-353505.66666666663</v>
      </c>
      <c r="AG875" s="25">
        <f t="shared" ref="AG875:AG880" si="1058">+AF875/AA875</f>
        <v>-0.6225499778398067</v>
      </c>
      <c r="AH875" s="77">
        <f t="shared" ref="AH875:AH880" si="1059">+IF(AG875&lt;35%,AE875,"REVISAR PRECIO")</f>
        <v>214329.33333333334</v>
      </c>
      <c r="AI875" s="77">
        <f t="shared" ref="AI875:AI880" si="1060">AE875</f>
        <v>214329.33333333334</v>
      </c>
      <c r="AJ875" s="73">
        <v>567835</v>
      </c>
      <c r="AK875" s="79">
        <v>263781</v>
      </c>
      <c r="AL875" s="79">
        <f>165900*1.2</f>
        <v>199080</v>
      </c>
      <c r="AM875" s="127">
        <v>238896</v>
      </c>
      <c r="AN875" s="142">
        <v>201000</v>
      </c>
      <c r="AO875" s="142">
        <v>200000</v>
      </c>
      <c r="AP875" s="138">
        <f t="shared" ref="AP875:AP880" si="1061">AVERAGE(AK875,AL875,AM875,AN875,AO875)</f>
        <v>220551.4</v>
      </c>
      <c r="AQ875" s="139">
        <f t="shared" ref="AQ875:AQ880" si="1062">AP875-AJ875</f>
        <v>-347283.6</v>
      </c>
      <c r="AR875" s="140">
        <f t="shared" ref="AR875:AR880" si="1063">+AQ875/AJ875</f>
        <v>-0.61159245203272072</v>
      </c>
      <c r="AS875" s="146">
        <f t="shared" ref="AS875:AS880" si="1064">AP875</f>
        <v>220551.4</v>
      </c>
      <c r="AT875" s="250"/>
      <c r="AU875" s="250"/>
      <c r="AV875" s="250"/>
      <c r="AW875" s="250"/>
      <c r="AX875" s="250"/>
      <c r="AY875" s="250"/>
      <c r="AZ875" s="250"/>
      <c r="BA875" s="250"/>
      <c r="BB875" s="250"/>
      <c r="BC875" s="251"/>
      <c r="BD875" s="150"/>
      <c r="BE875" s="150"/>
      <c r="BF875" s="150"/>
      <c r="BG875" s="150"/>
      <c r="BH875" s="150"/>
      <c r="BI875" s="150"/>
      <c r="BJ875" s="150"/>
      <c r="BK875" s="150"/>
      <c r="BL875" s="150"/>
      <c r="BM875" s="293"/>
      <c r="BN875" s="293"/>
      <c r="BO875" s="293"/>
      <c r="BP875" s="293"/>
      <c r="BQ875" s="293"/>
      <c r="BR875" s="293"/>
      <c r="BS875" s="293"/>
      <c r="BT875" s="293"/>
    </row>
    <row r="876" spans="1:72" ht="30" customHeight="1">
      <c r="A876" s="91" t="s">
        <v>36</v>
      </c>
      <c r="B876" s="358" t="s">
        <v>3068</v>
      </c>
      <c r="C876" s="50" t="s">
        <v>367</v>
      </c>
      <c r="D876" s="99" t="s">
        <v>721</v>
      </c>
      <c r="E876" s="48" t="s">
        <v>740</v>
      </c>
      <c r="F876" s="10">
        <v>448177</v>
      </c>
      <c r="G876" s="33">
        <v>582890</v>
      </c>
      <c r="H876" s="31">
        <v>757756</v>
      </c>
      <c r="I876" s="36">
        <v>509488.6</v>
      </c>
      <c r="J876" s="29">
        <f t="shared" si="941"/>
        <v>616711.53333333333</v>
      </c>
      <c r="K876" s="24">
        <f t="shared" si="942"/>
        <v>168534.53333333333</v>
      </c>
      <c r="L876" s="25">
        <f t="shared" si="943"/>
        <v>0.37604458357598297</v>
      </c>
      <c r="M876" s="69" t="str">
        <f t="shared" si="944"/>
        <v>REVISAR PRECIO</v>
      </c>
      <c r="N876" s="77">
        <f t="shared" si="926"/>
        <v>616711.53333333333</v>
      </c>
      <c r="O876" s="73">
        <v>330525</v>
      </c>
      <c r="P876" s="74">
        <v>241500</v>
      </c>
      <c r="Q876" s="74">
        <v>350000</v>
      </c>
      <c r="R876" s="75">
        <v>278250</v>
      </c>
      <c r="S876" s="61">
        <v>322690</v>
      </c>
      <c r="T876" s="60"/>
      <c r="U876" s="74">
        <v>371093.5</v>
      </c>
      <c r="V876" s="76">
        <f t="shared" si="1051"/>
        <v>312706.7</v>
      </c>
      <c r="W876" s="24">
        <f t="shared" si="1052"/>
        <v>-17818.299999999988</v>
      </c>
      <c r="X876" s="25">
        <f t="shared" si="1053"/>
        <v>-5.3909084032977804E-2</v>
      </c>
      <c r="Y876" s="77">
        <f t="shared" si="1054"/>
        <v>312706.7</v>
      </c>
      <c r="Z876" s="106">
        <f t="shared" si="1055"/>
        <v>312706.7</v>
      </c>
      <c r="AA876" s="73">
        <v>330525</v>
      </c>
      <c r="AB876" s="88">
        <v>220000</v>
      </c>
      <c r="AC876" s="116">
        <v>220000</v>
      </c>
      <c r="AD876" s="74">
        <v>231000</v>
      </c>
      <c r="AE876" s="76">
        <f t="shared" si="1056"/>
        <v>223666.66666666666</v>
      </c>
      <c r="AF876" s="24">
        <f t="shared" si="1057"/>
        <v>-106858.33333333334</v>
      </c>
      <c r="AG876" s="25">
        <f t="shared" si="1058"/>
        <v>-0.32329879232534103</v>
      </c>
      <c r="AH876" s="77">
        <f t="shared" si="1059"/>
        <v>223666.66666666666</v>
      </c>
      <c r="AI876" s="77">
        <f t="shared" si="1060"/>
        <v>223666.66666666666</v>
      </c>
      <c r="AJ876" s="73">
        <v>330525</v>
      </c>
      <c r="AK876" s="79">
        <v>278250</v>
      </c>
      <c r="AL876" s="79">
        <v>210000</v>
      </c>
      <c r="AM876" s="127">
        <v>252000</v>
      </c>
      <c r="AN876" s="142">
        <v>260100</v>
      </c>
      <c r="AO876" s="142">
        <v>230000</v>
      </c>
      <c r="AP876" s="29">
        <f t="shared" si="1061"/>
        <v>246070</v>
      </c>
      <c r="AQ876" s="24">
        <f t="shared" si="1062"/>
        <v>-84455</v>
      </c>
      <c r="AR876" s="25">
        <f t="shared" si="1063"/>
        <v>-0.25551773693366614</v>
      </c>
      <c r="AS876" s="146">
        <f t="shared" si="1064"/>
        <v>246070</v>
      </c>
      <c r="AT876" s="250"/>
      <c r="AU876" s="250"/>
      <c r="AV876" s="250"/>
      <c r="AW876" s="250"/>
      <c r="AX876" s="250"/>
      <c r="AY876" s="250"/>
      <c r="AZ876" s="250"/>
      <c r="BA876" s="250"/>
      <c r="BB876" s="250"/>
      <c r="BC876" s="251"/>
      <c r="BD876" s="150"/>
      <c r="BE876" s="150"/>
      <c r="BF876" s="150"/>
      <c r="BG876" s="150"/>
      <c r="BH876" s="150"/>
      <c r="BI876" s="150"/>
      <c r="BJ876" s="150"/>
      <c r="BK876" s="150"/>
      <c r="BL876" s="150"/>
      <c r="BM876" s="293"/>
      <c r="BN876" s="293"/>
      <c r="BO876" s="293"/>
      <c r="BP876" s="293"/>
      <c r="BQ876" s="293"/>
      <c r="BR876" s="293"/>
      <c r="BS876" s="293"/>
      <c r="BT876" s="293"/>
    </row>
    <row r="877" spans="1:72" ht="30" customHeight="1">
      <c r="A877" s="91" t="s">
        <v>36</v>
      </c>
      <c r="B877" s="358" t="s">
        <v>3069</v>
      </c>
      <c r="C877" s="50" t="s">
        <v>368</v>
      </c>
      <c r="D877" s="99" t="s">
        <v>722</v>
      </c>
      <c r="E877" s="48" t="s">
        <v>11</v>
      </c>
      <c r="F877" s="10">
        <v>11522</v>
      </c>
      <c r="G877" s="31">
        <v>14985</v>
      </c>
      <c r="H877" s="31">
        <v>19481</v>
      </c>
      <c r="I877" s="36">
        <v>13098</v>
      </c>
      <c r="J877" s="29">
        <f t="shared" si="941"/>
        <v>15854.666666666666</v>
      </c>
      <c r="K877" s="24">
        <f t="shared" si="942"/>
        <v>4332.6666666666661</v>
      </c>
      <c r="L877" s="25">
        <f t="shared" si="943"/>
        <v>0.37603425331250356</v>
      </c>
      <c r="M877" s="69" t="str">
        <f t="shared" si="944"/>
        <v>REVISAR PRECIO</v>
      </c>
      <c r="N877" s="77">
        <f t="shared" si="926"/>
        <v>15854.666666666666</v>
      </c>
      <c r="O877" s="73">
        <v>3987</v>
      </c>
      <c r="P877" s="74">
        <v>2185</v>
      </c>
      <c r="Q877" s="74">
        <v>5000</v>
      </c>
      <c r="R877" s="75">
        <v>2517.5</v>
      </c>
      <c r="S877" s="61">
        <v>3219.9999999999995</v>
      </c>
      <c r="T877" s="60"/>
      <c r="U877" s="74">
        <v>3702.9999999999991</v>
      </c>
      <c r="V877" s="76">
        <f t="shared" si="1051"/>
        <v>3325.1</v>
      </c>
      <c r="W877" s="24">
        <f t="shared" si="1052"/>
        <v>-661.90000000000009</v>
      </c>
      <c r="X877" s="25">
        <f t="shared" si="1053"/>
        <v>-0.16601454727865567</v>
      </c>
      <c r="Y877" s="77">
        <f t="shared" si="1054"/>
        <v>3325.1</v>
      </c>
      <c r="Z877" s="106">
        <f t="shared" si="1055"/>
        <v>3325.1</v>
      </c>
      <c r="AA877" s="73">
        <v>3987</v>
      </c>
      <c r="AB877" s="88">
        <v>4000</v>
      </c>
      <c r="AC877" s="116">
        <v>4000</v>
      </c>
      <c r="AD877" s="74">
        <v>2090</v>
      </c>
      <c r="AE877" s="76">
        <f t="shared" si="1056"/>
        <v>3363.3333333333335</v>
      </c>
      <c r="AF877" s="24">
        <f t="shared" si="1057"/>
        <v>-623.66666666666652</v>
      </c>
      <c r="AG877" s="25">
        <f t="shared" si="1058"/>
        <v>-0.15642504807290356</v>
      </c>
      <c r="AH877" s="77">
        <f t="shared" si="1059"/>
        <v>3363.3333333333335</v>
      </c>
      <c r="AI877" s="77">
        <f t="shared" si="1060"/>
        <v>3363.3333333333335</v>
      </c>
      <c r="AJ877" s="73">
        <v>3987</v>
      </c>
      <c r="AK877" s="79">
        <v>2517.5</v>
      </c>
      <c r="AL877" s="79">
        <v>1900</v>
      </c>
      <c r="AM877" s="127">
        <v>2280</v>
      </c>
      <c r="AN877" s="142">
        <v>2100</v>
      </c>
      <c r="AO877" s="142">
        <v>2000</v>
      </c>
      <c r="AP877" s="29">
        <f t="shared" si="1061"/>
        <v>2159.5</v>
      </c>
      <c r="AQ877" s="24">
        <f t="shared" si="1062"/>
        <v>-1827.5</v>
      </c>
      <c r="AR877" s="25">
        <f t="shared" si="1063"/>
        <v>-0.4583646852269877</v>
      </c>
      <c r="AS877" s="146">
        <f t="shared" si="1064"/>
        <v>2159.5</v>
      </c>
      <c r="AT877" s="250"/>
      <c r="AU877" s="250"/>
      <c r="AV877" s="250"/>
      <c r="AW877" s="250"/>
      <c r="AX877" s="250"/>
      <c r="AY877" s="250"/>
      <c r="AZ877" s="250"/>
      <c r="BA877" s="250"/>
      <c r="BB877" s="250"/>
      <c r="BC877" s="251"/>
      <c r="BD877" s="150"/>
      <c r="BE877" s="150"/>
      <c r="BF877" s="150"/>
      <c r="BG877" s="150"/>
      <c r="BH877" s="150"/>
      <c r="BI877" s="150"/>
      <c r="BJ877" s="150"/>
      <c r="BK877" s="150"/>
      <c r="BL877" s="150"/>
      <c r="BM877" s="293"/>
      <c r="BN877" s="293"/>
      <c r="BO877" s="293"/>
      <c r="BP877" s="293"/>
      <c r="BQ877" s="293"/>
      <c r="BR877" s="293"/>
      <c r="BS877" s="293"/>
      <c r="BT877" s="293"/>
    </row>
    <row r="878" spans="1:72" ht="30" customHeight="1">
      <c r="A878" s="91" t="s">
        <v>36</v>
      </c>
      <c r="B878" s="358" t="s">
        <v>3070</v>
      </c>
      <c r="C878" s="50" t="s">
        <v>369</v>
      </c>
      <c r="D878" s="99" t="s">
        <v>723</v>
      </c>
      <c r="E878" s="48" t="s">
        <v>12</v>
      </c>
      <c r="F878" s="10">
        <v>21507</v>
      </c>
      <c r="G878" s="33">
        <v>27972</v>
      </c>
      <c r="H878" s="31">
        <v>36364</v>
      </c>
      <c r="I878" s="36">
        <v>24449.599999999999</v>
      </c>
      <c r="J878" s="29">
        <f t="shared" si="941"/>
        <v>29595.200000000001</v>
      </c>
      <c r="K878" s="24">
        <f t="shared" si="942"/>
        <v>8088.2000000000007</v>
      </c>
      <c r="L878" s="25">
        <f t="shared" si="943"/>
        <v>0.37607290649555963</v>
      </c>
      <c r="M878" s="69" t="str">
        <f t="shared" si="944"/>
        <v>REVISAR PRECIO</v>
      </c>
      <c r="N878" s="77">
        <f t="shared" si="926"/>
        <v>29595.200000000001</v>
      </c>
      <c r="O878" s="73">
        <v>7783</v>
      </c>
      <c r="P878" s="74">
        <v>4025</v>
      </c>
      <c r="Q878" s="74">
        <v>4500</v>
      </c>
      <c r="R878" s="75">
        <v>4637.5</v>
      </c>
      <c r="S878" s="61">
        <v>4024.9999999999995</v>
      </c>
      <c r="T878" s="60"/>
      <c r="U878" s="74">
        <v>4628.7499999999991</v>
      </c>
      <c r="V878" s="76">
        <f t="shared" si="1051"/>
        <v>4363.25</v>
      </c>
      <c r="W878" s="24">
        <f t="shared" si="1052"/>
        <v>-3419.75</v>
      </c>
      <c r="X878" s="25">
        <f t="shared" si="1053"/>
        <v>-0.43938712578697159</v>
      </c>
      <c r="Y878" s="77">
        <f t="shared" si="1054"/>
        <v>4363.25</v>
      </c>
      <c r="Z878" s="106">
        <f t="shared" si="1055"/>
        <v>4363.25</v>
      </c>
      <c r="AA878" s="73">
        <v>7783</v>
      </c>
      <c r="AB878" s="88">
        <v>3600</v>
      </c>
      <c r="AC878" s="116">
        <v>3600</v>
      </c>
      <c r="AD878" s="74">
        <v>3850</v>
      </c>
      <c r="AE878" s="76">
        <f t="shared" si="1056"/>
        <v>3683.3333333333335</v>
      </c>
      <c r="AF878" s="24">
        <f t="shared" si="1057"/>
        <v>-4099.6666666666661</v>
      </c>
      <c r="AG878" s="25">
        <f t="shared" si="1058"/>
        <v>-0.52674632746584427</v>
      </c>
      <c r="AH878" s="77">
        <f t="shared" si="1059"/>
        <v>3683.3333333333335</v>
      </c>
      <c r="AI878" s="77">
        <f t="shared" si="1060"/>
        <v>3683.3333333333335</v>
      </c>
      <c r="AJ878" s="73">
        <v>7783</v>
      </c>
      <c r="AK878" s="79">
        <v>4637.5</v>
      </c>
      <c r="AL878" s="79">
        <v>3500</v>
      </c>
      <c r="AM878" s="127">
        <v>4200</v>
      </c>
      <c r="AN878" s="142">
        <v>3800</v>
      </c>
      <c r="AO878" s="142">
        <v>4000</v>
      </c>
      <c r="AP878" s="143">
        <f t="shared" si="1061"/>
        <v>4027.5</v>
      </c>
      <c r="AQ878" s="144">
        <f t="shared" si="1062"/>
        <v>-3755.5</v>
      </c>
      <c r="AR878" s="145">
        <f t="shared" si="1063"/>
        <v>-0.48252601824489272</v>
      </c>
      <c r="AS878" s="146">
        <f t="shared" si="1064"/>
        <v>4027.5</v>
      </c>
      <c r="AT878" s="250"/>
      <c r="AU878" s="250"/>
      <c r="AV878" s="250"/>
      <c r="AW878" s="250"/>
      <c r="AX878" s="250"/>
      <c r="AY878" s="250"/>
      <c r="AZ878" s="250"/>
      <c r="BA878" s="250"/>
      <c r="BB878" s="250"/>
      <c r="BC878" s="251"/>
      <c r="BD878" s="150"/>
      <c r="BE878" s="150"/>
      <c r="BF878" s="150"/>
      <c r="BG878" s="150"/>
      <c r="BH878" s="150"/>
      <c r="BI878" s="150"/>
      <c r="BJ878" s="150"/>
      <c r="BK878" s="150"/>
      <c r="BL878" s="150"/>
      <c r="BM878" s="293"/>
      <c r="BN878" s="293"/>
      <c r="BO878" s="293"/>
      <c r="BP878" s="293"/>
      <c r="BQ878" s="293"/>
      <c r="BR878" s="293"/>
      <c r="BS878" s="293"/>
      <c r="BT878" s="293"/>
    </row>
    <row r="879" spans="1:72" ht="36" customHeight="1">
      <c r="A879" s="91" t="s">
        <v>36</v>
      </c>
      <c r="B879" s="358" t="s">
        <v>3071</v>
      </c>
      <c r="C879" s="50" t="s">
        <v>370</v>
      </c>
      <c r="D879" s="99" t="s">
        <v>724</v>
      </c>
      <c r="E879" s="48" t="s">
        <v>12</v>
      </c>
      <c r="F879" s="10">
        <v>199088</v>
      </c>
      <c r="G879" s="31">
        <v>258930</v>
      </c>
      <c r="H879" s="31">
        <v>336609</v>
      </c>
      <c r="I879" s="36">
        <v>226324</v>
      </c>
      <c r="J879" s="29">
        <f t="shared" si="941"/>
        <v>273954.33333333331</v>
      </c>
      <c r="K879" s="24">
        <f t="shared" si="942"/>
        <v>74866.333333333314</v>
      </c>
      <c r="L879" s="25">
        <f t="shared" si="943"/>
        <v>0.37604643842588864</v>
      </c>
      <c r="M879" s="69" t="str">
        <f t="shared" si="944"/>
        <v>REVISAR PRECIO</v>
      </c>
      <c r="N879" s="77">
        <f t="shared" si="926"/>
        <v>273954.33333333331</v>
      </c>
      <c r="O879" s="73"/>
      <c r="P879" s="74">
        <v>16524.0625</v>
      </c>
      <c r="Q879" s="74">
        <v>25000</v>
      </c>
      <c r="R879" s="75">
        <v>19038.59375</v>
      </c>
      <c r="S879" s="61">
        <v>21977.003124999999</v>
      </c>
      <c r="T879" s="60"/>
      <c r="U879" s="74">
        <v>25273.553593749999</v>
      </c>
      <c r="V879" s="76">
        <f t="shared" si="1051"/>
        <v>21562.642593749999</v>
      </c>
      <c r="W879" s="24">
        <f t="shared" si="1052"/>
        <v>21562.642593749999</v>
      </c>
      <c r="X879" s="25"/>
      <c r="Y879" s="77">
        <f t="shared" si="1054"/>
        <v>21562.642593749999</v>
      </c>
      <c r="Z879" s="106">
        <f t="shared" si="1055"/>
        <v>21562.642593749999</v>
      </c>
      <c r="AA879" s="73"/>
      <c r="AB879" s="88">
        <v>15000</v>
      </c>
      <c r="AC879" s="116">
        <v>15000</v>
      </c>
      <c r="AD879" s="74">
        <v>15805.625</v>
      </c>
      <c r="AE879" s="76">
        <f t="shared" si="1056"/>
        <v>15268.541666666666</v>
      </c>
      <c r="AF879" s="24">
        <f t="shared" si="1057"/>
        <v>15268.541666666666</v>
      </c>
      <c r="AG879" s="25"/>
      <c r="AH879" s="77"/>
      <c r="AI879" s="77">
        <f t="shared" si="1060"/>
        <v>15268.541666666666</v>
      </c>
      <c r="AJ879" s="73"/>
      <c r="AK879" s="79">
        <v>19038.59375</v>
      </c>
      <c r="AL879" s="79">
        <f>11495*1.25</f>
        <v>14368.75</v>
      </c>
      <c r="AM879" s="127">
        <v>17242.5</v>
      </c>
      <c r="AN879" s="142">
        <v>13900</v>
      </c>
      <c r="AO879" s="142">
        <v>15000</v>
      </c>
      <c r="AP879" s="29">
        <f t="shared" si="1061"/>
        <v>15909.96875</v>
      </c>
      <c r="AQ879" s="24">
        <f t="shared" si="1062"/>
        <v>15909.96875</v>
      </c>
      <c r="AR879" s="25"/>
      <c r="AS879" s="146">
        <f t="shared" si="1064"/>
        <v>15909.96875</v>
      </c>
      <c r="AT879" s="250"/>
      <c r="AU879" s="250"/>
      <c r="AV879" s="250"/>
      <c r="AW879" s="250"/>
      <c r="AX879" s="250"/>
      <c r="AY879" s="250"/>
      <c r="AZ879" s="250"/>
      <c r="BA879" s="250"/>
      <c r="BB879" s="250"/>
      <c r="BC879" s="251"/>
      <c r="BD879" s="150"/>
      <c r="BE879" s="150"/>
      <c r="BF879" s="150"/>
      <c r="BG879" s="150"/>
      <c r="BH879" s="150"/>
      <c r="BI879" s="150"/>
      <c r="BJ879" s="150"/>
      <c r="BK879" s="150"/>
      <c r="BL879" s="150"/>
      <c r="BM879" s="293"/>
      <c r="BN879" s="293"/>
      <c r="BO879" s="293"/>
      <c r="BP879" s="293"/>
      <c r="BQ879" s="293"/>
      <c r="BR879" s="293"/>
      <c r="BS879" s="293"/>
      <c r="BT879" s="293"/>
    </row>
    <row r="880" spans="1:72" ht="23.1" customHeight="1">
      <c r="A880" s="91" t="s">
        <v>36</v>
      </c>
      <c r="B880" s="358" t="s">
        <v>3072</v>
      </c>
      <c r="C880" s="50" t="s">
        <v>371</v>
      </c>
      <c r="D880" s="99" t="s">
        <v>725</v>
      </c>
      <c r="E880" s="48" t="s">
        <v>740</v>
      </c>
      <c r="F880" s="10">
        <v>195248</v>
      </c>
      <c r="G880" s="33">
        <v>253935</v>
      </c>
      <c r="H880" s="33">
        <v>330116</v>
      </c>
      <c r="I880" s="36">
        <v>221958</v>
      </c>
      <c r="J880" s="29">
        <f t="shared" si="941"/>
        <v>268669.66666666669</v>
      </c>
      <c r="K880" s="24">
        <f t="shared" si="942"/>
        <v>73421.666666666686</v>
      </c>
      <c r="L880" s="25">
        <f t="shared" si="943"/>
        <v>0.37604311781255984</v>
      </c>
      <c r="M880" s="69" t="str">
        <f t="shared" si="944"/>
        <v>REVISAR PRECIO</v>
      </c>
      <c r="N880" s="77">
        <f t="shared" si="926"/>
        <v>268669.66666666669</v>
      </c>
      <c r="O880" s="73">
        <v>156625</v>
      </c>
      <c r="P880" s="74">
        <v>228942</v>
      </c>
      <c r="Q880" s="74">
        <v>230000</v>
      </c>
      <c r="R880" s="75">
        <v>263781</v>
      </c>
      <c r="S880" s="61">
        <v>304492.86</v>
      </c>
      <c r="T880" s="60"/>
      <c r="U880" s="74">
        <v>350166.78899999993</v>
      </c>
      <c r="V880" s="76">
        <f t="shared" si="1051"/>
        <v>275476.52980000002</v>
      </c>
      <c r="W880" s="24">
        <f t="shared" si="1052"/>
        <v>118851.52980000002</v>
      </c>
      <c r="X880" s="25">
        <f t="shared" si="1053"/>
        <v>0.75882860207502012</v>
      </c>
      <c r="Y880" s="77" t="str">
        <f t="shared" si="1054"/>
        <v>REVISAR PRECIO</v>
      </c>
      <c r="Z880" s="106">
        <f t="shared" si="1055"/>
        <v>275476.52980000002</v>
      </c>
      <c r="AA880" s="73">
        <v>156625</v>
      </c>
      <c r="AB880" s="88">
        <v>210000</v>
      </c>
      <c r="AC880" s="116">
        <v>210000</v>
      </c>
      <c r="AD880" s="74">
        <v>218988</v>
      </c>
      <c r="AE880" s="76">
        <f t="shared" si="1056"/>
        <v>212996</v>
      </c>
      <c r="AF880" s="24">
        <f t="shared" si="1057"/>
        <v>56371</v>
      </c>
      <c r="AG880" s="25">
        <f t="shared" si="1058"/>
        <v>0.35991061452513967</v>
      </c>
      <c r="AH880" s="77" t="str">
        <f t="shared" si="1059"/>
        <v>REVISAR PRECIO</v>
      </c>
      <c r="AI880" s="77">
        <f t="shared" si="1060"/>
        <v>212996</v>
      </c>
      <c r="AJ880" s="73">
        <v>156625</v>
      </c>
      <c r="AK880" s="79">
        <v>263781</v>
      </c>
      <c r="AL880" s="79">
        <f>165900*1.2</f>
        <v>199080</v>
      </c>
      <c r="AM880" s="127">
        <v>238896</v>
      </c>
      <c r="AN880" s="142">
        <v>245700</v>
      </c>
      <c r="AO880" s="142">
        <v>210000</v>
      </c>
      <c r="AP880" s="138">
        <f t="shared" si="1061"/>
        <v>231491.4</v>
      </c>
      <c r="AQ880" s="139">
        <f t="shared" si="1062"/>
        <v>74866.399999999994</v>
      </c>
      <c r="AR880" s="140">
        <f t="shared" si="1063"/>
        <v>0.47799776536312844</v>
      </c>
      <c r="AS880" s="146">
        <f t="shared" si="1064"/>
        <v>231491.4</v>
      </c>
      <c r="AT880" s="250"/>
      <c r="AU880" s="250"/>
      <c r="AV880" s="250"/>
      <c r="AW880" s="250"/>
      <c r="AX880" s="250"/>
      <c r="AY880" s="250"/>
      <c r="AZ880" s="250"/>
      <c r="BA880" s="250"/>
      <c r="BB880" s="250"/>
      <c r="BC880" s="251"/>
      <c r="BD880" s="150"/>
      <c r="BE880" s="150"/>
      <c r="BF880" s="150"/>
      <c r="BG880" s="150"/>
      <c r="BH880" s="150"/>
      <c r="BI880" s="150"/>
      <c r="BJ880" s="150"/>
      <c r="BK880" s="150"/>
      <c r="BL880" s="150"/>
      <c r="BM880" s="293"/>
      <c r="BN880" s="293"/>
      <c r="BO880" s="293"/>
      <c r="BP880" s="293"/>
      <c r="BQ880" s="293"/>
      <c r="BR880" s="293"/>
      <c r="BS880" s="293"/>
      <c r="BT880" s="293"/>
    </row>
    <row r="881" spans="1:72" s="68" customFormat="1" ht="23.1" customHeight="1">
      <c r="A881" s="231" t="s">
        <v>36</v>
      </c>
      <c r="B881" s="358" t="s">
        <v>3073</v>
      </c>
      <c r="C881" s="50" t="s">
        <v>372</v>
      </c>
      <c r="D881" s="101" t="s">
        <v>726</v>
      </c>
      <c r="E881" s="65" t="s">
        <v>740</v>
      </c>
      <c r="F881" s="60">
        <v>629526</v>
      </c>
      <c r="G881" s="92">
        <v>818748</v>
      </c>
      <c r="H881" s="66">
        <v>1064372</v>
      </c>
      <c r="I881" s="36">
        <v>715646.4</v>
      </c>
      <c r="J881" s="63">
        <f t="shared" si="941"/>
        <v>866255.46666666667</v>
      </c>
      <c r="K881" s="67">
        <f t="shared" si="942"/>
        <v>236729.46666666667</v>
      </c>
      <c r="L881" s="64">
        <f t="shared" si="943"/>
        <v>0.37604398653378363</v>
      </c>
      <c r="M881" s="78" t="str">
        <f t="shared" si="944"/>
        <v>REVISAR PRECIO</v>
      </c>
      <c r="N881" s="81">
        <f t="shared" si="926"/>
        <v>866255.46666666667</v>
      </c>
      <c r="O881" s="95"/>
      <c r="P881" s="95"/>
      <c r="Q881" s="95"/>
      <c r="R881" s="95"/>
      <c r="S881" s="95"/>
      <c r="T881" s="95"/>
      <c r="U881" s="95"/>
      <c r="V881" s="96"/>
      <c r="W881" s="96"/>
      <c r="X881" s="96"/>
      <c r="Y881" s="97"/>
      <c r="Z881" s="110"/>
      <c r="AA881" s="117"/>
      <c r="AB881" s="117"/>
      <c r="AC881" s="117"/>
      <c r="AD881" s="117"/>
      <c r="AE881" s="117"/>
      <c r="AF881" s="117"/>
      <c r="AG881" s="117"/>
      <c r="AH881" s="117"/>
      <c r="AI881" s="117"/>
      <c r="AJ881" s="250"/>
      <c r="AK881" s="250"/>
      <c r="AL881" s="250"/>
      <c r="AM881" s="250"/>
      <c r="AN881" s="250"/>
      <c r="AO881" s="250"/>
      <c r="AP881" s="250"/>
      <c r="AQ881" s="250"/>
      <c r="AR881" s="250"/>
      <c r="AS881" s="250"/>
      <c r="AT881" s="250"/>
      <c r="AU881" s="250"/>
      <c r="AV881" s="250"/>
      <c r="AW881" s="250"/>
      <c r="AX881" s="250"/>
      <c r="AY881" s="250"/>
      <c r="AZ881" s="250"/>
      <c r="BA881" s="250"/>
      <c r="BB881" s="250"/>
      <c r="BC881" s="251"/>
      <c r="BD881" s="150"/>
      <c r="BE881" s="150"/>
      <c r="BF881" s="150"/>
      <c r="BG881" s="150"/>
      <c r="BH881" s="150"/>
      <c r="BI881" s="150"/>
      <c r="BJ881" s="150"/>
      <c r="BK881" s="150"/>
      <c r="BL881" s="150"/>
      <c r="BM881" s="293"/>
      <c r="BN881" s="293"/>
      <c r="BO881" s="293"/>
      <c r="BP881" s="293"/>
      <c r="BQ881" s="293"/>
      <c r="BR881" s="293"/>
      <c r="BS881" s="293"/>
      <c r="BT881" s="293"/>
    </row>
    <row r="882" spans="1:72" ht="38.1" customHeight="1">
      <c r="A882" s="91" t="s">
        <v>36</v>
      </c>
      <c r="B882" s="358" t="s">
        <v>3074</v>
      </c>
      <c r="C882" s="50" t="s">
        <v>373</v>
      </c>
      <c r="D882" s="99" t="s">
        <v>727</v>
      </c>
      <c r="E882" s="48" t="s">
        <v>740</v>
      </c>
      <c r="F882" s="10">
        <v>100582</v>
      </c>
      <c r="G882" s="31">
        <v>130815</v>
      </c>
      <c r="H882" s="31">
        <v>170060</v>
      </c>
      <c r="I882" s="36">
        <v>114342</v>
      </c>
      <c r="J882" s="29">
        <f t="shared" si="941"/>
        <v>138405.66666666666</v>
      </c>
      <c r="K882" s="24">
        <f t="shared" si="942"/>
        <v>37823.666666666657</v>
      </c>
      <c r="L882" s="25">
        <f t="shared" si="943"/>
        <v>0.37604806691720843</v>
      </c>
      <c r="M882" s="69" t="str">
        <f t="shared" si="944"/>
        <v>REVISAR PRECIO</v>
      </c>
      <c r="N882" s="77">
        <f t="shared" si="926"/>
        <v>138405.66666666666</v>
      </c>
      <c r="O882" s="73">
        <v>80685</v>
      </c>
      <c r="P882" s="74">
        <v>17250</v>
      </c>
      <c r="Q882" s="74">
        <v>45000</v>
      </c>
      <c r="R882" s="75">
        <v>19875</v>
      </c>
      <c r="S882" s="61">
        <v>22942.5</v>
      </c>
      <c r="T882" s="60"/>
      <c r="U882" s="74">
        <v>26383.874999999996</v>
      </c>
      <c r="V882" s="76">
        <f t="shared" ref="V882:V885" si="1065">AVERAGE(P882,Q882,R882,S882,T882,U882)</f>
        <v>26290.275000000001</v>
      </c>
      <c r="W882" s="24">
        <f t="shared" ref="W882:W885" si="1066">V882-O882</f>
        <v>-54394.724999999999</v>
      </c>
      <c r="X882" s="25">
        <f t="shared" ref="X882:X885" si="1067">+W882/O882</f>
        <v>-0.67416155419222901</v>
      </c>
      <c r="Y882" s="77">
        <f t="shared" ref="Y882:Y885" si="1068">+IF(X882&lt;35%,V882,"REVISAR PRECIO")</f>
        <v>26290.275000000001</v>
      </c>
      <c r="Z882" s="106">
        <f t="shared" ref="Z882:Z885" si="1069">V882</f>
        <v>26290.275000000001</v>
      </c>
      <c r="AA882" s="73">
        <v>80685</v>
      </c>
      <c r="AB882" s="88">
        <v>15000</v>
      </c>
      <c r="AC882" s="116">
        <v>15000</v>
      </c>
      <c r="AD882" s="74">
        <v>16500</v>
      </c>
      <c r="AE882" s="76">
        <f t="shared" ref="AE882:AE885" si="1070">AVERAGE(AB882,AC882,AD882)</f>
        <v>15500</v>
      </c>
      <c r="AF882" s="24">
        <f t="shared" ref="AF882:AF885" si="1071">AE882-AA882</f>
        <v>-65185</v>
      </c>
      <c r="AG882" s="25">
        <f t="shared" ref="AG882:AG885" si="1072">+AF882/AA882</f>
        <v>-0.80789489991943975</v>
      </c>
      <c r="AH882" s="77">
        <f t="shared" ref="AH882:AH885" si="1073">+IF(AG882&lt;35%,AE882,"REVISAR PRECIO")</f>
        <v>15500</v>
      </c>
      <c r="AI882" s="77">
        <f t="shared" ref="AI882:AI885" si="1074">AE882</f>
        <v>15500</v>
      </c>
      <c r="AJ882" s="73">
        <v>80685</v>
      </c>
      <c r="AK882" s="79">
        <v>19875</v>
      </c>
      <c r="AL882" s="79">
        <v>15000</v>
      </c>
      <c r="AM882" s="127">
        <v>18000</v>
      </c>
      <c r="AN882" s="142">
        <v>17900</v>
      </c>
      <c r="AO882" s="142">
        <v>15000</v>
      </c>
      <c r="AP882" s="29">
        <f t="shared" ref="AP882:AP885" si="1075">AVERAGE(AK882,AL882,AM882,AN882,AO882)</f>
        <v>17155</v>
      </c>
      <c r="AQ882" s="24">
        <f t="shared" ref="AQ882:AQ885" si="1076">AP882-AJ882</f>
        <v>-63530</v>
      </c>
      <c r="AR882" s="25">
        <f t="shared" ref="AR882:AR885" si="1077">+AQ882/AJ882</f>
        <v>-0.78738303278180577</v>
      </c>
      <c r="AS882" s="146">
        <f>AP882</f>
        <v>17155</v>
      </c>
      <c r="AT882" s="250"/>
      <c r="AU882" s="250"/>
      <c r="AV882" s="250"/>
      <c r="AW882" s="250"/>
      <c r="AX882" s="250"/>
      <c r="AY882" s="250"/>
      <c r="AZ882" s="250"/>
      <c r="BA882" s="250"/>
      <c r="BB882" s="250"/>
      <c r="BC882" s="251"/>
      <c r="BD882" s="150"/>
      <c r="BE882" s="150"/>
      <c r="BF882" s="150"/>
      <c r="BG882" s="150"/>
      <c r="BH882" s="150"/>
      <c r="BI882" s="150"/>
      <c r="BJ882" s="150"/>
      <c r="BK882" s="150"/>
      <c r="BL882" s="150"/>
      <c r="BM882" s="293"/>
      <c r="BN882" s="293"/>
      <c r="BO882" s="293"/>
      <c r="BP882" s="293"/>
      <c r="BQ882" s="293"/>
      <c r="BR882" s="293"/>
      <c r="BS882" s="293"/>
      <c r="BT882" s="293"/>
    </row>
    <row r="883" spans="1:72" ht="38.1" customHeight="1">
      <c r="A883" s="91" t="s">
        <v>36</v>
      </c>
      <c r="B883" s="358" t="s">
        <v>3075</v>
      </c>
      <c r="C883" s="50" t="s">
        <v>374</v>
      </c>
      <c r="D883" s="99" t="s">
        <v>728</v>
      </c>
      <c r="E883" s="48" t="s">
        <v>740</v>
      </c>
      <c r="F883" s="10">
        <v>124249</v>
      </c>
      <c r="G883" s="31">
        <v>161595</v>
      </c>
      <c r="H883" s="31">
        <v>210074</v>
      </c>
      <c r="I883" s="36">
        <v>141246</v>
      </c>
      <c r="J883" s="29">
        <f t="shared" si="941"/>
        <v>170971.66666666666</v>
      </c>
      <c r="K883" s="24">
        <f t="shared" si="942"/>
        <v>46722.666666666657</v>
      </c>
      <c r="L883" s="25">
        <f t="shared" si="943"/>
        <v>0.37604058516902877</v>
      </c>
      <c r="M883" s="69" t="str">
        <f t="shared" si="944"/>
        <v>REVISAR PRECIO</v>
      </c>
      <c r="N883" s="77">
        <f t="shared" si="926"/>
        <v>170971.66666666666</v>
      </c>
      <c r="O883" s="73">
        <v>99670</v>
      </c>
      <c r="P883" s="74">
        <v>64400</v>
      </c>
      <c r="Q883" s="74">
        <v>90000</v>
      </c>
      <c r="R883" s="75">
        <v>74200</v>
      </c>
      <c r="S883" s="61">
        <v>85652</v>
      </c>
      <c r="T883" s="60"/>
      <c r="U883" s="74">
        <v>98499.799999999988</v>
      </c>
      <c r="V883" s="76">
        <f t="shared" si="1065"/>
        <v>82550.36</v>
      </c>
      <c r="W883" s="24">
        <f t="shared" si="1066"/>
        <v>-17119.64</v>
      </c>
      <c r="X883" s="25">
        <f t="shared" si="1067"/>
        <v>-0.17176321862145078</v>
      </c>
      <c r="Y883" s="77">
        <f t="shared" si="1068"/>
        <v>82550.36</v>
      </c>
      <c r="Z883" s="106">
        <f t="shared" si="1069"/>
        <v>82550.36</v>
      </c>
      <c r="AA883" s="73">
        <v>99670</v>
      </c>
      <c r="AB883" s="88">
        <v>65000</v>
      </c>
      <c r="AC883" s="116">
        <v>65000</v>
      </c>
      <c r="AD883" s="74">
        <v>61600</v>
      </c>
      <c r="AE883" s="76">
        <f t="shared" si="1070"/>
        <v>63866.666666666664</v>
      </c>
      <c r="AF883" s="24">
        <f t="shared" si="1071"/>
        <v>-35803.333333333336</v>
      </c>
      <c r="AG883" s="25">
        <f t="shared" si="1072"/>
        <v>-0.35921875522557778</v>
      </c>
      <c r="AH883" s="77">
        <f t="shared" si="1073"/>
        <v>63866.666666666664</v>
      </c>
      <c r="AI883" s="77">
        <f t="shared" si="1074"/>
        <v>63866.666666666664</v>
      </c>
      <c r="AJ883" s="73">
        <v>99670</v>
      </c>
      <c r="AK883" s="79">
        <v>74200</v>
      </c>
      <c r="AL883" s="79">
        <v>56000</v>
      </c>
      <c r="AM883" s="127">
        <v>67200</v>
      </c>
      <c r="AN883" s="142">
        <v>65200</v>
      </c>
      <c r="AO883" s="142">
        <v>60000</v>
      </c>
      <c r="AP883" s="29">
        <f t="shared" si="1075"/>
        <v>64520</v>
      </c>
      <c r="AQ883" s="24">
        <f t="shared" si="1076"/>
        <v>-35150</v>
      </c>
      <c r="AR883" s="25">
        <f t="shared" si="1077"/>
        <v>-0.35266379050867863</v>
      </c>
      <c r="AS883" s="146">
        <f>AP883</f>
        <v>64520</v>
      </c>
      <c r="AT883" s="250"/>
      <c r="AU883" s="250"/>
      <c r="AV883" s="250"/>
      <c r="AW883" s="250"/>
      <c r="AX883" s="250"/>
      <c r="AY883" s="250"/>
      <c r="AZ883" s="250"/>
      <c r="BA883" s="250"/>
      <c r="BB883" s="250"/>
      <c r="BC883" s="251"/>
      <c r="BD883" s="150"/>
      <c r="BE883" s="150"/>
      <c r="BF883" s="150"/>
      <c r="BG883" s="150"/>
      <c r="BH883" s="150"/>
      <c r="BI883" s="150"/>
      <c r="BJ883" s="150"/>
      <c r="BK883" s="150"/>
      <c r="BL883" s="150"/>
      <c r="BM883" s="293"/>
      <c r="BN883" s="293"/>
      <c r="BO883" s="293"/>
      <c r="BP883" s="293"/>
      <c r="BQ883" s="293"/>
      <c r="BR883" s="293"/>
      <c r="BS883" s="293"/>
      <c r="BT883" s="293"/>
    </row>
    <row r="884" spans="1:72" ht="38.1" customHeight="1">
      <c r="A884" s="91" t="s">
        <v>36</v>
      </c>
      <c r="B884" s="358" t="s">
        <v>3076</v>
      </c>
      <c r="C884" s="50" t="s">
        <v>375</v>
      </c>
      <c r="D884" s="99" t="s">
        <v>729</v>
      </c>
      <c r="E884" s="48" t="s">
        <v>740</v>
      </c>
      <c r="F884" s="10">
        <v>78981</v>
      </c>
      <c r="G884" s="33">
        <v>102722</v>
      </c>
      <c r="H884" s="33">
        <v>102722</v>
      </c>
      <c r="I884" s="36">
        <v>89786.2</v>
      </c>
      <c r="J884" s="29">
        <f t="shared" si="941"/>
        <v>98410.066666666666</v>
      </c>
      <c r="K884" s="24">
        <f t="shared" si="942"/>
        <v>19429.066666666666</v>
      </c>
      <c r="L884" s="25">
        <f t="shared" si="943"/>
        <v>0.24599671650987789</v>
      </c>
      <c r="M884" s="69">
        <f t="shared" si="944"/>
        <v>98410.066666666666</v>
      </c>
      <c r="N884" s="77">
        <f t="shared" si="926"/>
        <v>98410.066666666666</v>
      </c>
      <c r="O884" s="73">
        <v>63362</v>
      </c>
      <c r="P884" s="74">
        <v>13800</v>
      </c>
      <c r="Q884" s="74">
        <v>50000</v>
      </c>
      <c r="R884" s="75">
        <v>15900</v>
      </c>
      <c r="S884" s="61">
        <v>18354</v>
      </c>
      <c r="T884" s="60"/>
      <c r="U884" s="74">
        <v>21107.1</v>
      </c>
      <c r="V884" s="76">
        <f t="shared" si="1065"/>
        <v>23832.22</v>
      </c>
      <c r="W884" s="24">
        <f t="shared" si="1066"/>
        <v>-39529.78</v>
      </c>
      <c r="X884" s="25">
        <f t="shared" si="1067"/>
        <v>-0.62387203686752313</v>
      </c>
      <c r="Y884" s="77">
        <f t="shared" si="1068"/>
        <v>23832.22</v>
      </c>
      <c r="Z884" s="106">
        <f t="shared" si="1069"/>
        <v>23832.22</v>
      </c>
      <c r="AA884" s="73">
        <v>63362</v>
      </c>
      <c r="AB884" s="88">
        <v>14000</v>
      </c>
      <c r="AC884" s="116">
        <v>14000</v>
      </c>
      <c r="AD884" s="74">
        <v>13200</v>
      </c>
      <c r="AE884" s="76">
        <f t="shared" si="1070"/>
        <v>13733.333333333334</v>
      </c>
      <c r="AF884" s="24">
        <f t="shared" si="1071"/>
        <v>-49628.666666666664</v>
      </c>
      <c r="AG884" s="25">
        <f t="shared" si="1072"/>
        <v>-0.78325599991582751</v>
      </c>
      <c r="AH884" s="77">
        <f t="shared" si="1073"/>
        <v>13733.333333333334</v>
      </c>
      <c r="AI884" s="77">
        <f t="shared" si="1074"/>
        <v>13733.333333333334</v>
      </c>
      <c r="AJ884" s="73">
        <v>63362</v>
      </c>
      <c r="AK884" s="79">
        <v>15900</v>
      </c>
      <c r="AL884" s="79">
        <v>12000</v>
      </c>
      <c r="AM884" s="127">
        <v>14400</v>
      </c>
      <c r="AN884" s="142">
        <v>10200</v>
      </c>
      <c r="AO884" s="142">
        <v>12000</v>
      </c>
      <c r="AP884" s="29">
        <f t="shared" si="1075"/>
        <v>12900</v>
      </c>
      <c r="AQ884" s="24">
        <f t="shared" si="1076"/>
        <v>-50462</v>
      </c>
      <c r="AR884" s="25">
        <f t="shared" si="1077"/>
        <v>-0.79640794166850792</v>
      </c>
      <c r="AS884" s="146">
        <f>AP884</f>
        <v>12900</v>
      </c>
      <c r="AT884" s="250"/>
      <c r="AU884" s="250"/>
      <c r="AV884" s="250"/>
      <c r="AW884" s="250"/>
      <c r="AX884" s="250"/>
      <c r="AY884" s="250"/>
      <c r="AZ884" s="250"/>
      <c r="BA884" s="250"/>
      <c r="BB884" s="250"/>
      <c r="BC884" s="251"/>
      <c r="BD884" s="150"/>
      <c r="BE884" s="150"/>
      <c r="BF884" s="150"/>
      <c r="BG884" s="150"/>
      <c r="BH884" s="150"/>
      <c r="BI884" s="150"/>
      <c r="BJ884" s="150"/>
      <c r="BK884" s="150"/>
      <c r="BL884" s="150"/>
      <c r="BM884" s="293"/>
      <c r="BN884" s="293"/>
      <c r="BO884" s="293"/>
      <c r="BP884" s="293"/>
      <c r="BQ884" s="293"/>
      <c r="BR884" s="293"/>
      <c r="BS884" s="293"/>
      <c r="BT884" s="293"/>
    </row>
    <row r="885" spans="1:72" ht="31.35" customHeight="1">
      <c r="A885" s="91" t="s">
        <v>36</v>
      </c>
      <c r="B885" s="358" t="s">
        <v>3077</v>
      </c>
      <c r="C885" s="50" t="s">
        <v>376</v>
      </c>
      <c r="D885" s="99" t="s">
        <v>730</v>
      </c>
      <c r="E885" s="48" t="s">
        <v>740</v>
      </c>
      <c r="F885" s="10">
        <v>102658</v>
      </c>
      <c r="G885" s="33">
        <v>133515</v>
      </c>
      <c r="H885" s="31">
        <v>173570</v>
      </c>
      <c r="I885" s="36">
        <v>116702</v>
      </c>
      <c r="J885" s="29">
        <f t="shared" si="941"/>
        <v>141262.33333333334</v>
      </c>
      <c r="K885" s="24">
        <f t="shared" si="942"/>
        <v>38604.333333333343</v>
      </c>
      <c r="L885" s="25">
        <f t="shared" si="943"/>
        <v>0.37604797807607143</v>
      </c>
      <c r="M885" s="69" t="str">
        <f t="shared" si="944"/>
        <v>REVISAR PRECIO</v>
      </c>
      <c r="N885" s="77">
        <f t="shared" si="926"/>
        <v>141262.33333333334</v>
      </c>
      <c r="O885" s="73">
        <v>82347</v>
      </c>
      <c r="P885" s="74">
        <v>64400</v>
      </c>
      <c r="Q885" s="74">
        <v>90000</v>
      </c>
      <c r="R885" s="75">
        <v>74200</v>
      </c>
      <c r="S885" s="61">
        <v>85652</v>
      </c>
      <c r="T885" s="60"/>
      <c r="U885" s="74">
        <v>98499.799999999988</v>
      </c>
      <c r="V885" s="76">
        <f t="shared" si="1065"/>
        <v>82550.36</v>
      </c>
      <c r="W885" s="24">
        <f t="shared" si="1066"/>
        <v>203.36000000000058</v>
      </c>
      <c r="X885" s="25">
        <f t="shared" si="1067"/>
        <v>2.4695495889346373E-3</v>
      </c>
      <c r="Y885" s="77">
        <f t="shared" si="1068"/>
        <v>82550.36</v>
      </c>
      <c r="Z885" s="106">
        <f t="shared" si="1069"/>
        <v>82550.36</v>
      </c>
      <c r="AA885" s="73">
        <v>82347</v>
      </c>
      <c r="AB885" s="88">
        <v>62000</v>
      </c>
      <c r="AC885" s="116">
        <v>62000</v>
      </c>
      <c r="AD885" s="74">
        <v>61600</v>
      </c>
      <c r="AE885" s="76">
        <f t="shared" si="1070"/>
        <v>61866.666666666664</v>
      </c>
      <c r="AF885" s="24">
        <f t="shared" si="1071"/>
        <v>-20480.333333333336</v>
      </c>
      <c r="AG885" s="25">
        <f t="shared" si="1072"/>
        <v>-0.24870770438915002</v>
      </c>
      <c r="AH885" s="77">
        <f t="shared" si="1073"/>
        <v>61866.666666666664</v>
      </c>
      <c r="AI885" s="77">
        <f t="shared" si="1074"/>
        <v>61866.666666666664</v>
      </c>
      <c r="AJ885" s="73">
        <v>82347</v>
      </c>
      <c r="AK885" s="79">
        <v>74200</v>
      </c>
      <c r="AL885" s="79">
        <v>56000</v>
      </c>
      <c r="AM885" s="127">
        <v>67200</v>
      </c>
      <c r="AN885" s="142">
        <v>55900</v>
      </c>
      <c r="AO885" s="142">
        <v>60000</v>
      </c>
      <c r="AP885" s="29">
        <f t="shared" si="1075"/>
        <v>62660</v>
      </c>
      <c r="AQ885" s="24">
        <f t="shared" si="1076"/>
        <v>-19687</v>
      </c>
      <c r="AR885" s="25">
        <f t="shared" si="1077"/>
        <v>-0.23907367602948498</v>
      </c>
      <c r="AS885" s="146">
        <f>AP885</f>
        <v>62660</v>
      </c>
      <c r="AT885" s="250"/>
      <c r="AU885" s="250"/>
      <c r="AV885" s="250"/>
      <c r="AW885" s="250"/>
      <c r="AX885" s="250"/>
      <c r="AY885" s="250"/>
      <c r="AZ885" s="250"/>
      <c r="BA885" s="250"/>
      <c r="BB885" s="250"/>
      <c r="BC885" s="251"/>
      <c r="BD885" s="150"/>
      <c r="BE885" s="150"/>
      <c r="BF885" s="150"/>
      <c r="BG885" s="150"/>
      <c r="BH885" s="150"/>
      <c r="BI885" s="150"/>
      <c r="BJ885" s="150"/>
      <c r="BK885" s="150"/>
      <c r="BL885" s="150"/>
      <c r="BM885" s="293"/>
      <c r="BN885" s="293"/>
      <c r="BO885" s="293"/>
      <c r="BP885" s="293"/>
      <c r="BQ885" s="293"/>
      <c r="BR885" s="293"/>
      <c r="BS885" s="293"/>
      <c r="BT885" s="293"/>
    </row>
    <row r="886" spans="1:72" ht="31.35" customHeight="1">
      <c r="A886" s="91" t="s">
        <v>36</v>
      </c>
      <c r="B886" s="358" t="s">
        <v>3078</v>
      </c>
      <c r="C886" s="50" t="s">
        <v>377</v>
      </c>
      <c r="D886" s="99" t="s">
        <v>731</v>
      </c>
      <c r="E886" s="48" t="s">
        <v>740</v>
      </c>
      <c r="F886" s="10">
        <v>112415</v>
      </c>
      <c r="G886" s="33">
        <v>146205</v>
      </c>
      <c r="H886" s="31">
        <v>190067</v>
      </c>
      <c r="I886" s="36">
        <v>127794</v>
      </c>
      <c r="J886" s="29">
        <f t="shared" si="941"/>
        <v>154688.66666666666</v>
      </c>
      <c r="K886" s="24">
        <f t="shared" si="942"/>
        <v>42273.666666666657</v>
      </c>
      <c r="L886" s="25">
        <f t="shared" si="943"/>
        <v>0.37605005263235919</v>
      </c>
      <c r="M886" s="69" t="str">
        <f t="shared" si="944"/>
        <v>REVISAR PRECIO</v>
      </c>
      <c r="N886" s="77">
        <f t="shared" si="926"/>
        <v>154688.66666666666</v>
      </c>
      <c r="O886" s="70"/>
      <c r="P886" s="70"/>
      <c r="Q886" s="70"/>
      <c r="R886" s="70"/>
      <c r="S886" s="70"/>
      <c r="T886" s="70"/>
      <c r="U886" s="70"/>
      <c r="V886" s="71"/>
      <c r="W886" s="71"/>
      <c r="X886" s="71"/>
      <c r="Y886" s="72"/>
      <c r="Z886" s="111"/>
      <c r="AA886" s="120"/>
      <c r="AB886" s="120"/>
      <c r="AC886" s="120"/>
      <c r="AD886" s="120"/>
      <c r="AE886" s="120"/>
      <c r="AF886" s="120"/>
      <c r="AG886" s="120"/>
      <c r="AH886" s="120"/>
      <c r="AI886" s="120"/>
      <c r="AJ886" s="250"/>
      <c r="AK886" s="250"/>
      <c r="AL886" s="250"/>
      <c r="AM886" s="250"/>
      <c r="AN886" s="250"/>
      <c r="AO886" s="250"/>
      <c r="AP886" s="250"/>
      <c r="AQ886" s="250"/>
      <c r="AR886" s="250"/>
      <c r="AS886" s="250"/>
      <c r="AT886" s="250"/>
      <c r="AU886" s="250"/>
      <c r="AV886" s="250"/>
      <c r="AW886" s="250"/>
      <c r="AX886" s="250"/>
      <c r="AY886" s="250"/>
      <c r="AZ886" s="250"/>
      <c r="BA886" s="250"/>
      <c r="BB886" s="250"/>
      <c r="BC886" s="251"/>
      <c r="BD886" s="150"/>
      <c r="BE886" s="150"/>
      <c r="BF886" s="150"/>
      <c r="BG886" s="150"/>
      <c r="BH886" s="150"/>
      <c r="BI886" s="150"/>
      <c r="BJ886" s="150"/>
      <c r="BK886" s="150"/>
      <c r="BL886" s="150"/>
      <c r="BM886" s="293"/>
      <c r="BN886" s="293"/>
      <c r="BO886" s="293"/>
      <c r="BP886" s="293"/>
      <c r="BQ886" s="293"/>
      <c r="BR886" s="293"/>
      <c r="BS886" s="293"/>
      <c r="BT886" s="293"/>
    </row>
    <row r="887" spans="1:72" ht="31.35" customHeight="1">
      <c r="A887" s="91" t="s">
        <v>36</v>
      </c>
      <c r="B887" s="358" t="s">
        <v>3079</v>
      </c>
      <c r="C887" s="50" t="s">
        <v>788</v>
      </c>
      <c r="D887" s="99" t="s">
        <v>732</v>
      </c>
      <c r="E887" s="48" t="s">
        <v>740</v>
      </c>
      <c r="F887" s="10">
        <v>141998</v>
      </c>
      <c r="G887" s="31">
        <v>184680</v>
      </c>
      <c r="H887" s="31">
        <v>240084</v>
      </c>
      <c r="I887" s="36">
        <v>161424</v>
      </c>
      <c r="J887" s="29">
        <f t="shared" si="941"/>
        <v>195396</v>
      </c>
      <c r="K887" s="24">
        <f t="shared" si="942"/>
        <v>53398</v>
      </c>
      <c r="L887" s="25">
        <f t="shared" si="943"/>
        <v>0.37604754996549244</v>
      </c>
      <c r="M887" s="69" t="str">
        <f t="shared" si="944"/>
        <v>REVISAR PRECIO</v>
      </c>
      <c r="N887" s="77">
        <f t="shared" si="926"/>
        <v>195396</v>
      </c>
      <c r="O887" s="70"/>
      <c r="P887" s="70"/>
      <c r="Q887" s="70"/>
      <c r="R887" s="70"/>
      <c r="S887" s="70"/>
      <c r="T887" s="70"/>
      <c r="U887" s="70"/>
      <c r="V887" s="71"/>
      <c r="W887" s="71"/>
      <c r="X887" s="71"/>
      <c r="Y887" s="72"/>
      <c r="Z887" s="111"/>
      <c r="AA887" s="120"/>
      <c r="AB887" s="120"/>
      <c r="AC887" s="120"/>
      <c r="AD887" s="120"/>
      <c r="AE887" s="120"/>
      <c r="AF887" s="120"/>
      <c r="AG887" s="120"/>
      <c r="AH887" s="120"/>
      <c r="AI887" s="120"/>
      <c r="AJ887" s="250"/>
      <c r="AK887" s="250"/>
      <c r="AL887" s="250"/>
      <c r="AM887" s="250"/>
      <c r="AN887" s="250"/>
      <c r="AO887" s="250"/>
      <c r="AP887" s="250"/>
      <c r="AQ887" s="250"/>
      <c r="AR887" s="250"/>
      <c r="AS887" s="250"/>
      <c r="AT887" s="250"/>
      <c r="AU887" s="250"/>
      <c r="AV887" s="250"/>
      <c r="AW887" s="250"/>
      <c r="AX887" s="250"/>
      <c r="AY887" s="250"/>
      <c r="AZ887" s="250"/>
      <c r="BA887" s="250"/>
      <c r="BB887" s="250"/>
      <c r="BC887" s="251"/>
      <c r="BD887" s="150"/>
      <c r="BE887" s="150"/>
      <c r="BF887" s="150"/>
      <c r="BG887" s="150"/>
      <c r="BH887" s="150"/>
      <c r="BI887" s="150"/>
      <c r="BJ887" s="150"/>
      <c r="BK887" s="150"/>
      <c r="BL887" s="150"/>
      <c r="BM887" s="293"/>
      <c r="BN887" s="293"/>
      <c r="BO887" s="293"/>
      <c r="BP887" s="293"/>
      <c r="BQ887" s="293"/>
      <c r="BR887" s="293"/>
      <c r="BS887" s="293"/>
      <c r="BT887" s="293"/>
    </row>
    <row r="888" spans="1:72" ht="31.35" customHeight="1">
      <c r="A888" s="91" t="s">
        <v>36</v>
      </c>
      <c r="B888" s="358" t="s">
        <v>3080</v>
      </c>
      <c r="C888" s="50" t="s">
        <v>789</v>
      </c>
      <c r="D888" s="99" t="s">
        <v>733</v>
      </c>
      <c r="E888" s="48" t="s">
        <v>11</v>
      </c>
      <c r="F888" s="10">
        <v>2958</v>
      </c>
      <c r="G888" s="33">
        <v>3848</v>
      </c>
      <c r="H888" s="31">
        <v>5002</v>
      </c>
      <c r="I888" s="36">
        <v>3363</v>
      </c>
      <c r="J888" s="29">
        <f t="shared" si="941"/>
        <v>4071</v>
      </c>
      <c r="K888" s="24">
        <f t="shared" si="942"/>
        <v>1113</v>
      </c>
      <c r="L888" s="25">
        <f t="shared" si="943"/>
        <v>0.37626774847870181</v>
      </c>
      <c r="M888" s="69" t="str">
        <f t="shared" si="944"/>
        <v>REVISAR PRECIO</v>
      </c>
      <c r="N888" s="77">
        <f t="shared" si="926"/>
        <v>4071</v>
      </c>
      <c r="O888" s="73">
        <v>2374</v>
      </c>
      <c r="P888" s="74">
        <v>6900</v>
      </c>
      <c r="Q888" s="74">
        <v>10000</v>
      </c>
      <c r="R888" s="75">
        <v>7950</v>
      </c>
      <c r="S888" s="61">
        <v>9177</v>
      </c>
      <c r="T888" s="60"/>
      <c r="U888" s="74">
        <v>10553.55</v>
      </c>
      <c r="V888" s="76">
        <f t="shared" ref="V888" si="1078">AVERAGE(P888,Q888,R888,S888,T888,U888)</f>
        <v>8916.11</v>
      </c>
      <c r="W888" s="24">
        <f t="shared" ref="W888" si="1079">V888-O888</f>
        <v>6542.1100000000006</v>
      </c>
      <c r="X888" s="25">
        <f t="shared" ref="X888" si="1080">+W888/O888</f>
        <v>2.7557329401853417</v>
      </c>
      <c r="Y888" s="77" t="str">
        <f t="shared" ref="Y888" si="1081">+IF(X888&lt;35%,V888,"REVISAR PRECIO")</f>
        <v>REVISAR PRECIO</v>
      </c>
      <c r="Z888" s="106">
        <f t="shared" ref="Z888" si="1082">V888</f>
        <v>8916.11</v>
      </c>
      <c r="AA888" s="73">
        <v>2374</v>
      </c>
      <c r="AB888" s="88">
        <v>7500</v>
      </c>
      <c r="AC888" s="116">
        <v>7500</v>
      </c>
      <c r="AD888" s="74">
        <v>6600</v>
      </c>
      <c r="AE888" s="76">
        <f t="shared" ref="AE888" si="1083">AVERAGE(AB888,AC888,AD888)</f>
        <v>7200</v>
      </c>
      <c r="AF888" s="24">
        <f t="shared" ref="AF888" si="1084">AE888-AA888</f>
        <v>4826</v>
      </c>
      <c r="AG888" s="25">
        <f t="shared" ref="AG888" si="1085">+AF888/AA888</f>
        <v>2.0328559393428813</v>
      </c>
      <c r="AH888" s="77" t="str">
        <f t="shared" ref="AH888" si="1086">+IF(AG888&lt;35%,AE888,"REVISAR PRECIO")</f>
        <v>REVISAR PRECIO</v>
      </c>
      <c r="AI888" s="77">
        <f t="shared" ref="AI888" si="1087">AE888</f>
        <v>7200</v>
      </c>
      <c r="AJ888" s="73">
        <v>2374</v>
      </c>
      <c r="AK888" s="79">
        <v>7950</v>
      </c>
      <c r="AL888" s="79">
        <v>6000</v>
      </c>
      <c r="AM888" s="127">
        <v>7200</v>
      </c>
      <c r="AN888" s="142">
        <v>6200</v>
      </c>
      <c r="AO888" s="142">
        <v>6000</v>
      </c>
      <c r="AP888" s="29">
        <f t="shared" ref="AP888" si="1088">AVERAGE(AK888,AL888,AM888,AN888,AO888)</f>
        <v>6670</v>
      </c>
      <c r="AQ888" s="24">
        <f t="shared" ref="AQ888" si="1089">AP888-AJ888</f>
        <v>4296</v>
      </c>
      <c r="AR888" s="25">
        <f t="shared" ref="AR888" si="1090">+AQ888/AJ888</f>
        <v>1.8096040438079191</v>
      </c>
      <c r="AS888" s="146">
        <f>AP888</f>
        <v>6670</v>
      </c>
      <c r="AT888" s="250"/>
      <c r="AU888" s="250"/>
      <c r="AV888" s="250"/>
      <c r="AW888" s="250"/>
      <c r="AX888" s="250"/>
      <c r="AY888" s="250"/>
      <c r="AZ888" s="250"/>
      <c r="BA888" s="250"/>
      <c r="BB888" s="250"/>
      <c r="BC888" s="251"/>
      <c r="BD888" s="150"/>
      <c r="BE888" s="150"/>
      <c r="BF888" s="150"/>
      <c r="BG888" s="150"/>
      <c r="BH888" s="150"/>
      <c r="BI888" s="150"/>
      <c r="BJ888" s="150"/>
      <c r="BK888" s="150"/>
      <c r="BL888" s="150"/>
      <c r="BM888" s="293"/>
      <c r="BN888" s="293"/>
      <c r="BO888" s="293"/>
      <c r="BP888" s="293"/>
      <c r="BQ888" s="293"/>
      <c r="BR888" s="293"/>
      <c r="BS888" s="293"/>
      <c r="BT888" s="293"/>
    </row>
    <row r="889" spans="1:72" ht="31.35" customHeight="1">
      <c r="A889" s="91" t="s">
        <v>36</v>
      </c>
      <c r="B889" s="358" t="s">
        <v>3081</v>
      </c>
      <c r="C889" s="50" t="s">
        <v>790</v>
      </c>
      <c r="D889" s="99" t="s">
        <v>1200</v>
      </c>
      <c r="E889" s="48" t="s">
        <v>740</v>
      </c>
      <c r="F889" s="10">
        <v>66266</v>
      </c>
      <c r="G889" s="33">
        <v>86184</v>
      </c>
      <c r="H889" s="31">
        <v>112039</v>
      </c>
      <c r="I889" s="36">
        <v>75331.199999999997</v>
      </c>
      <c r="J889" s="29">
        <f t="shared" si="941"/>
        <v>91184.733333333337</v>
      </c>
      <c r="K889" s="24">
        <f t="shared" si="942"/>
        <v>24918.733333333337</v>
      </c>
      <c r="L889" s="25">
        <f t="shared" si="943"/>
        <v>0.3760410064487571</v>
      </c>
      <c r="M889" s="69" t="str">
        <f t="shared" si="944"/>
        <v>REVISAR PRECIO</v>
      </c>
      <c r="N889" s="77">
        <f t="shared" si="926"/>
        <v>91184.733333333337</v>
      </c>
      <c r="O889" s="70"/>
      <c r="P889" s="70"/>
      <c r="Q889" s="70"/>
      <c r="R889" s="70"/>
      <c r="S889" s="70"/>
      <c r="T889" s="70"/>
      <c r="U889" s="70"/>
      <c r="V889" s="71"/>
      <c r="W889" s="71"/>
      <c r="X889" s="71"/>
      <c r="Y889" s="72"/>
      <c r="Z889" s="111"/>
      <c r="AA889" s="120"/>
      <c r="AB889" s="120"/>
      <c r="AC889" s="120"/>
      <c r="AD889" s="120"/>
      <c r="AE889" s="120"/>
      <c r="AF889" s="120"/>
      <c r="AG889" s="120"/>
      <c r="AH889" s="120"/>
      <c r="AI889" s="120"/>
      <c r="AJ889" s="250"/>
      <c r="AK889" s="250"/>
      <c r="AL889" s="250"/>
      <c r="AM889" s="250"/>
      <c r="AN889" s="250"/>
      <c r="AO889" s="250"/>
      <c r="AP889" s="250"/>
      <c r="AQ889" s="250"/>
      <c r="AR889" s="250"/>
      <c r="AS889" s="250"/>
      <c r="AT889" s="250"/>
      <c r="AU889" s="250"/>
      <c r="AV889" s="250"/>
      <c r="AW889" s="250"/>
      <c r="AX889" s="250"/>
      <c r="AY889" s="250"/>
      <c r="AZ889" s="250"/>
      <c r="BA889" s="250"/>
      <c r="BB889" s="250"/>
      <c r="BC889" s="251"/>
      <c r="BD889" s="150"/>
      <c r="BE889" s="150"/>
      <c r="BF889" s="150"/>
      <c r="BG889" s="150"/>
      <c r="BH889" s="150"/>
      <c r="BI889" s="150"/>
      <c r="BJ889" s="150"/>
      <c r="BK889" s="150"/>
      <c r="BL889" s="150"/>
      <c r="BM889" s="293"/>
      <c r="BN889" s="293"/>
      <c r="BO889" s="293"/>
      <c r="BP889" s="293"/>
      <c r="BQ889" s="293"/>
      <c r="BR889" s="293"/>
      <c r="BS889" s="293"/>
      <c r="BT889" s="293"/>
    </row>
    <row r="890" spans="1:72" ht="48" customHeight="1">
      <c r="A890" s="91" t="s">
        <v>36</v>
      </c>
      <c r="B890" s="358" t="s">
        <v>3082</v>
      </c>
      <c r="C890" s="50" t="s">
        <v>791</v>
      </c>
      <c r="D890" s="99" t="s">
        <v>734</v>
      </c>
      <c r="E890" s="48" t="s">
        <v>740</v>
      </c>
      <c r="F890" s="10">
        <v>248497</v>
      </c>
      <c r="G890" s="31">
        <v>323190</v>
      </c>
      <c r="H890" s="31">
        <v>420147</v>
      </c>
      <c r="I890" s="36">
        <v>282492</v>
      </c>
      <c r="J890" s="29">
        <f t="shared" si="941"/>
        <v>341943</v>
      </c>
      <c r="K890" s="24">
        <f t="shared" si="942"/>
        <v>93446</v>
      </c>
      <c r="L890" s="25">
        <f t="shared" si="943"/>
        <v>0.37604478122472301</v>
      </c>
      <c r="M890" s="69" t="str">
        <f t="shared" si="944"/>
        <v>REVISAR PRECIO</v>
      </c>
      <c r="N890" s="77">
        <f t="shared" si="926"/>
        <v>341943</v>
      </c>
      <c r="O890" s="70"/>
      <c r="P890" s="70"/>
      <c r="Q890" s="70"/>
      <c r="R890" s="70"/>
      <c r="S890" s="70"/>
      <c r="T890" s="70"/>
      <c r="U890" s="70"/>
      <c r="V890" s="71"/>
      <c r="W890" s="71"/>
      <c r="X890" s="71"/>
      <c r="Y890" s="72"/>
      <c r="Z890" s="111"/>
      <c r="AA890" s="120"/>
      <c r="AB890" s="120"/>
      <c r="AC890" s="120"/>
      <c r="AD890" s="120"/>
      <c r="AE890" s="120"/>
      <c r="AF890" s="120"/>
      <c r="AG890" s="120"/>
      <c r="AH890" s="120"/>
      <c r="AI890" s="120"/>
      <c r="AJ890" s="250"/>
      <c r="AK890" s="250"/>
      <c r="AL890" s="250"/>
      <c r="AM890" s="250"/>
      <c r="AN890" s="250"/>
      <c r="AO890" s="250"/>
      <c r="AP890" s="250"/>
      <c r="AQ890" s="250"/>
      <c r="AR890" s="250"/>
      <c r="AS890" s="250"/>
      <c r="AT890" s="250"/>
      <c r="AU890" s="250"/>
      <c r="AV890" s="250"/>
      <c r="AW890" s="250"/>
      <c r="AX890" s="250"/>
      <c r="AY890" s="250"/>
      <c r="AZ890" s="250"/>
      <c r="BA890" s="250"/>
      <c r="BB890" s="250"/>
      <c r="BC890" s="251"/>
      <c r="BD890" s="150"/>
      <c r="BE890" s="150"/>
      <c r="BF890" s="150"/>
      <c r="BG890" s="150"/>
      <c r="BH890" s="150"/>
      <c r="BI890" s="150"/>
      <c r="BJ890" s="150"/>
      <c r="BK890" s="150"/>
      <c r="BL890" s="150"/>
      <c r="BM890" s="293"/>
      <c r="BN890" s="293"/>
      <c r="BO890" s="293"/>
      <c r="BP890" s="293"/>
      <c r="BQ890" s="293"/>
      <c r="BR890" s="293"/>
      <c r="BS890" s="293"/>
      <c r="BT890" s="293"/>
    </row>
    <row r="891" spans="1:72" ht="31.35" customHeight="1">
      <c r="A891" s="91" t="s">
        <v>36</v>
      </c>
      <c r="B891" s="358" t="s">
        <v>3083</v>
      </c>
      <c r="C891" s="50" t="s">
        <v>792</v>
      </c>
      <c r="D891" s="99" t="s">
        <v>735</v>
      </c>
      <c r="E891" s="48" t="s">
        <v>740</v>
      </c>
      <c r="F891" s="10">
        <v>112415</v>
      </c>
      <c r="G891" s="33">
        <v>146205</v>
      </c>
      <c r="H891" s="31">
        <v>190067</v>
      </c>
      <c r="I891" s="36">
        <v>127794</v>
      </c>
      <c r="J891" s="29">
        <f t="shared" si="941"/>
        <v>154688.66666666666</v>
      </c>
      <c r="K891" s="24">
        <f t="shared" si="942"/>
        <v>42273.666666666657</v>
      </c>
      <c r="L891" s="25">
        <f t="shared" si="943"/>
        <v>0.37605005263235919</v>
      </c>
      <c r="M891" s="69" t="str">
        <f t="shared" si="944"/>
        <v>REVISAR PRECIO</v>
      </c>
      <c r="N891" s="77">
        <f t="shared" si="926"/>
        <v>154688.66666666666</v>
      </c>
      <c r="O891" s="70"/>
      <c r="P891" s="70"/>
      <c r="Q891" s="70"/>
      <c r="R891" s="70"/>
      <c r="S891" s="70"/>
      <c r="T891" s="70"/>
      <c r="U891" s="70"/>
      <c r="V891" s="71"/>
      <c r="W891" s="71"/>
      <c r="X891" s="71"/>
      <c r="Y891" s="72"/>
      <c r="Z891" s="111"/>
      <c r="AA891" s="120"/>
      <c r="AB891" s="120"/>
      <c r="AC891" s="120"/>
      <c r="AD891" s="120"/>
      <c r="AE891" s="120"/>
      <c r="AF891" s="120"/>
      <c r="AG891" s="120"/>
      <c r="AH891" s="120"/>
      <c r="AI891" s="120"/>
      <c r="AJ891" s="250"/>
      <c r="AK891" s="250"/>
      <c r="AL891" s="250"/>
      <c r="AM891" s="250"/>
      <c r="AN891" s="250"/>
      <c r="AO891" s="250"/>
      <c r="AP891" s="250"/>
      <c r="AQ891" s="250"/>
      <c r="AR891" s="250"/>
      <c r="AS891" s="250"/>
      <c r="AT891" s="250"/>
      <c r="AU891" s="250"/>
      <c r="AV891" s="250"/>
      <c r="AW891" s="250"/>
      <c r="AX891" s="250"/>
      <c r="AY891" s="250"/>
      <c r="AZ891" s="250"/>
      <c r="BA891" s="250"/>
      <c r="BB891" s="250"/>
      <c r="BC891" s="251"/>
      <c r="BD891" s="150"/>
      <c r="BE891" s="150"/>
      <c r="BF891" s="150"/>
      <c r="BG891" s="150"/>
      <c r="BH891" s="150"/>
      <c r="BI891" s="150"/>
      <c r="BJ891" s="150"/>
      <c r="BK891" s="150"/>
      <c r="BL891" s="150"/>
      <c r="BM891" s="293"/>
      <c r="BN891" s="293"/>
      <c r="BO891" s="293"/>
      <c r="BP891" s="293"/>
      <c r="BQ891" s="293"/>
      <c r="BR891" s="293"/>
      <c r="BS891" s="293"/>
      <c r="BT891" s="293"/>
    </row>
    <row r="892" spans="1:72" ht="31.35" customHeight="1">
      <c r="A892" s="91" t="s">
        <v>36</v>
      </c>
      <c r="B892" s="358" t="s">
        <v>3084</v>
      </c>
      <c r="C892" s="50" t="s">
        <v>793</v>
      </c>
      <c r="D892" s="99" t="s">
        <v>736</v>
      </c>
      <c r="E892" s="48" t="s">
        <v>740</v>
      </c>
      <c r="F892" s="10">
        <v>53249</v>
      </c>
      <c r="G892" s="33">
        <v>69255</v>
      </c>
      <c r="H892" s="31">
        <v>90032</v>
      </c>
      <c r="I892" s="36">
        <v>60534</v>
      </c>
      <c r="J892" s="29">
        <f t="shared" si="941"/>
        <v>73273.666666666672</v>
      </c>
      <c r="K892" s="24">
        <f t="shared" si="942"/>
        <v>20024.666666666672</v>
      </c>
      <c r="L892" s="25">
        <f t="shared" si="943"/>
        <v>0.37605714035318355</v>
      </c>
      <c r="M892" s="69" t="str">
        <f t="shared" si="944"/>
        <v>REVISAR PRECIO</v>
      </c>
      <c r="N892" s="77">
        <f t="shared" si="926"/>
        <v>73273.666666666672</v>
      </c>
      <c r="O892" s="70"/>
      <c r="P892" s="70"/>
      <c r="Q892" s="70"/>
      <c r="R892" s="70"/>
      <c r="S892" s="70"/>
      <c r="T892" s="70"/>
      <c r="U892" s="70"/>
      <c r="V892" s="71"/>
      <c r="W892" s="71"/>
      <c r="X892" s="71"/>
      <c r="Y892" s="72"/>
      <c r="Z892" s="111"/>
      <c r="AA892" s="120"/>
      <c r="AB892" s="120"/>
      <c r="AC892" s="120"/>
      <c r="AD892" s="120"/>
      <c r="AE892" s="120"/>
      <c r="AF892" s="120"/>
      <c r="AG892" s="120"/>
      <c r="AH892" s="120"/>
      <c r="AI892" s="120"/>
      <c r="AJ892" s="250"/>
      <c r="AK892" s="250"/>
      <c r="AL892" s="250"/>
      <c r="AM892" s="250"/>
      <c r="AN892" s="250"/>
      <c r="AO892" s="250"/>
      <c r="AP892" s="250"/>
      <c r="AQ892" s="250"/>
      <c r="AR892" s="250"/>
      <c r="AS892" s="250"/>
      <c r="AT892" s="250"/>
      <c r="AU892" s="250"/>
      <c r="AV892" s="250"/>
      <c r="AW892" s="250"/>
      <c r="AX892" s="250"/>
      <c r="AY892" s="250"/>
      <c r="AZ892" s="250"/>
      <c r="BA892" s="250"/>
      <c r="BB892" s="250"/>
      <c r="BC892" s="251"/>
      <c r="BD892" s="150"/>
      <c r="BE892" s="150"/>
      <c r="BF892" s="150"/>
      <c r="BG892" s="150"/>
      <c r="BH892" s="150"/>
      <c r="BI892" s="150"/>
      <c r="BJ892" s="150"/>
      <c r="BK892" s="150"/>
      <c r="BL892" s="150"/>
      <c r="BM892" s="293"/>
      <c r="BN892" s="293"/>
      <c r="BO892" s="293"/>
      <c r="BP892" s="293"/>
      <c r="BQ892" s="293"/>
      <c r="BR892" s="293"/>
      <c r="BS892" s="293"/>
      <c r="BT892" s="293"/>
    </row>
    <row r="893" spans="1:72" ht="31.35" customHeight="1">
      <c r="A893" s="91" t="s">
        <v>36</v>
      </c>
      <c r="B893" s="358" t="s">
        <v>3085</v>
      </c>
      <c r="C893" s="50" t="s">
        <v>794</v>
      </c>
      <c r="D893" s="99" t="s">
        <v>737</v>
      </c>
      <c r="E893" s="48" t="s">
        <v>740</v>
      </c>
      <c r="F893" s="10">
        <v>124249</v>
      </c>
      <c r="G893" s="33">
        <v>161595</v>
      </c>
      <c r="H893" s="31">
        <v>161595</v>
      </c>
      <c r="I893" s="36">
        <v>141246</v>
      </c>
      <c r="J893" s="29">
        <f t="shared" si="941"/>
        <v>154812</v>
      </c>
      <c r="K893" s="24">
        <f t="shared" si="942"/>
        <v>30563</v>
      </c>
      <c r="L893" s="25">
        <f t="shared" si="943"/>
        <v>0.24598185900892564</v>
      </c>
      <c r="M893" s="69">
        <f t="shared" si="944"/>
        <v>154812</v>
      </c>
      <c r="N893" s="77">
        <f t="shared" si="926"/>
        <v>154812</v>
      </c>
      <c r="O893" s="70"/>
      <c r="P893" s="70"/>
      <c r="Q893" s="70"/>
      <c r="R893" s="70"/>
      <c r="S893" s="70"/>
      <c r="T893" s="70"/>
      <c r="U893" s="70"/>
      <c r="V893" s="71"/>
      <c r="W893" s="71"/>
      <c r="X893" s="71"/>
      <c r="Y893" s="72"/>
      <c r="Z893" s="111"/>
      <c r="AA893" s="120"/>
      <c r="AB893" s="120"/>
      <c r="AC893" s="120"/>
      <c r="AD893" s="120"/>
      <c r="AE893" s="120"/>
      <c r="AF893" s="120"/>
      <c r="AG893" s="120"/>
      <c r="AH893" s="120"/>
      <c r="AI893" s="120"/>
      <c r="AJ893" s="250"/>
      <c r="AK893" s="250"/>
      <c r="AL893" s="250"/>
      <c r="AM893" s="250"/>
      <c r="AN893" s="250"/>
      <c r="AO893" s="250"/>
      <c r="AP893" s="250"/>
      <c r="AQ893" s="250"/>
      <c r="AR893" s="250"/>
      <c r="AS893" s="250"/>
      <c r="AT893" s="250"/>
      <c r="AU893" s="250"/>
      <c r="AV893" s="250"/>
      <c r="AW893" s="250"/>
      <c r="AX893" s="250"/>
      <c r="AY893" s="250"/>
      <c r="AZ893" s="250"/>
      <c r="BA893" s="250"/>
      <c r="BB893" s="250"/>
      <c r="BC893" s="251"/>
      <c r="BD893" s="150"/>
      <c r="BE893" s="150"/>
      <c r="BF893" s="150"/>
      <c r="BG893" s="150"/>
      <c r="BH893" s="150"/>
      <c r="BI893" s="150"/>
      <c r="BJ893" s="150"/>
      <c r="BK893" s="150"/>
      <c r="BL893" s="150"/>
      <c r="BM893" s="293"/>
      <c r="BN893" s="293"/>
      <c r="BO893" s="293"/>
      <c r="BP893" s="293"/>
      <c r="BQ893" s="293"/>
      <c r="BR893" s="293"/>
      <c r="BS893" s="293"/>
      <c r="BT893" s="293"/>
    </row>
    <row r="894" spans="1:72" ht="31.35" customHeight="1">
      <c r="A894" s="91" t="s">
        <v>36</v>
      </c>
      <c r="B894" s="358" t="s">
        <v>3086</v>
      </c>
      <c r="C894" s="50" t="s">
        <v>795</v>
      </c>
      <c r="D894" s="99" t="s">
        <v>738</v>
      </c>
      <c r="E894" s="48" t="s">
        <v>740</v>
      </c>
      <c r="F894" s="10">
        <v>198798</v>
      </c>
      <c r="G894" s="33">
        <v>258552</v>
      </c>
      <c r="H894" s="33">
        <v>336118</v>
      </c>
      <c r="I894" s="36">
        <v>225993.60000000001</v>
      </c>
      <c r="J894" s="29">
        <f t="shared" si="941"/>
        <v>273554.53333333333</v>
      </c>
      <c r="K894" s="24">
        <f t="shared" si="942"/>
        <v>74756.533333333326</v>
      </c>
      <c r="L894" s="25">
        <f t="shared" si="943"/>
        <v>0.37604268319265449</v>
      </c>
      <c r="M894" s="69" t="str">
        <f t="shared" si="944"/>
        <v>REVISAR PRECIO</v>
      </c>
      <c r="N894" s="77">
        <f t="shared" si="926"/>
        <v>273554.53333333333</v>
      </c>
      <c r="O894" s="73">
        <v>159473</v>
      </c>
      <c r="P894" s="74">
        <v>172500</v>
      </c>
      <c r="Q894" s="74">
        <v>250000</v>
      </c>
      <c r="R894" s="75">
        <v>198750</v>
      </c>
      <c r="S894" s="61">
        <v>229424.99999999997</v>
      </c>
      <c r="T894" s="60"/>
      <c r="U894" s="74">
        <v>263838.74999999994</v>
      </c>
      <c r="V894" s="76">
        <f t="shared" ref="V894:V895" si="1091">AVERAGE(P894,Q894,R894,S894,T894,U894)</f>
        <v>222902.75</v>
      </c>
      <c r="W894" s="24">
        <f t="shared" ref="W894:W895" si="1092">V894-O894</f>
        <v>63429.75</v>
      </c>
      <c r="X894" s="25">
        <f t="shared" ref="X894" si="1093">+W894/O894</f>
        <v>0.39774601343174082</v>
      </c>
      <c r="Y894" s="77" t="str">
        <f t="shared" ref="Y894:Y895" si="1094">+IF(X894&lt;35%,V894,"REVISAR PRECIO")</f>
        <v>REVISAR PRECIO</v>
      </c>
      <c r="Z894" s="106">
        <f t="shared" ref="Z894:Z895" si="1095">V894</f>
        <v>222902.75</v>
      </c>
      <c r="AA894" s="73">
        <v>159473</v>
      </c>
      <c r="AB894" s="88">
        <v>160000</v>
      </c>
      <c r="AC894" s="116">
        <v>160000</v>
      </c>
      <c r="AD894" s="74">
        <v>165000</v>
      </c>
      <c r="AE894" s="76">
        <f t="shared" ref="AE894:AE895" si="1096">AVERAGE(AB894,AC894,AD894)</f>
        <v>161666.66666666666</v>
      </c>
      <c r="AF894" s="24">
        <f t="shared" ref="AF894:AF895" si="1097">AE894-AA894</f>
        <v>2193.666666666657</v>
      </c>
      <c r="AG894" s="25">
        <f t="shared" ref="AG894" si="1098">+AF894/AA894</f>
        <v>1.3755724584516859E-2</v>
      </c>
      <c r="AH894" s="77">
        <f t="shared" ref="AH894" si="1099">+IF(AG894&lt;35%,AE894,"REVISAR PRECIO")</f>
        <v>161666.66666666666</v>
      </c>
      <c r="AI894" s="77">
        <f t="shared" ref="AI894:AI895" si="1100">AE894</f>
        <v>161666.66666666666</v>
      </c>
      <c r="AJ894" s="73">
        <v>159473</v>
      </c>
      <c r="AK894" s="79">
        <v>198750</v>
      </c>
      <c r="AL894" s="79">
        <v>150000</v>
      </c>
      <c r="AM894" s="127">
        <v>165000</v>
      </c>
      <c r="AN894" s="142">
        <v>185000</v>
      </c>
      <c r="AO894" s="142">
        <v>160000</v>
      </c>
      <c r="AP894" s="143">
        <f t="shared" ref="AP894:AP895" si="1101">AVERAGE(AK894,AL894,AM894,AN894,AO894)</f>
        <v>171750</v>
      </c>
      <c r="AQ894" s="144">
        <f t="shared" ref="AQ894:AQ895" si="1102">AP894-AJ894</f>
        <v>12277</v>
      </c>
      <c r="AR894" s="145">
        <f t="shared" ref="AR894" si="1103">+AQ894/AJ894</f>
        <v>7.6984818746747105E-2</v>
      </c>
      <c r="AS894" s="146">
        <f>AP894</f>
        <v>171750</v>
      </c>
      <c r="AT894" s="250"/>
      <c r="AU894" s="250"/>
      <c r="AV894" s="250"/>
      <c r="AW894" s="250"/>
      <c r="AX894" s="250"/>
      <c r="AY894" s="250"/>
      <c r="AZ894" s="250"/>
      <c r="BA894" s="250"/>
      <c r="BB894" s="250"/>
      <c r="BC894" s="251"/>
      <c r="BD894" s="150"/>
      <c r="BE894" s="150"/>
      <c r="BF894" s="150"/>
      <c r="BG894" s="150"/>
      <c r="BH894" s="150"/>
      <c r="BI894" s="150"/>
      <c r="BJ894" s="150"/>
      <c r="BK894" s="150"/>
      <c r="BL894" s="150"/>
      <c r="BM894" s="293"/>
      <c r="BN894" s="293"/>
      <c r="BO894" s="293"/>
      <c r="BP894" s="293"/>
      <c r="BQ894" s="293"/>
      <c r="BR894" s="293"/>
      <c r="BS894" s="293"/>
      <c r="BT894" s="293"/>
    </row>
    <row r="895" spans="1:72" ht="31.35" customHeight="1">
      <c r="A895" s="91" t="s">
        <v>36</v>
      </c>
      <c r="B895" s="358" t="s">
        <v>3087</v>
      </c>
      <c r="C895" s="50" t="s">
        <v>796</v>
      </c>
      <c r="D895" s="99" t="s">
        <v>739</v>
      </c>
      <c r="E895" s="48" t="s">
        <v>12</v>
      </c>
      <c r="F895" s="10">
        <v>84161</v>
      </c>
      <c r="G895" s="33">
        <v>109458</v>
      </c>
      <c r="H895" s="31">
        <v>142295</v>
      </c>
      <c r="I895" s="36">
        <v>95674.4</v>
      </c>
      <c r="J895" s="29">
        <f t="shared" si="941"/>
        <v>115809.13333333335</v>
      </c>
      <c r="K895" s="24">
        <f t="shared" si="942"/>
        <v>31648.133333333346</v>
      </c>
      <c r="L895" s="25">
        <f t="shared" si="943"/>
        <v>0.37604274347183786</v>
      </c>
      <c r="M895" s="69" t="str">
        <f t="shared" si="944"/>
        <v>REVISAR PRECIO</v>
      </c>
      <c r="N895" s="77">
        <f t="shared" si="926"/>
        <v>115809.13333333335</v>
      </c>
      <c r="O895" s="73"/>
      <c r="P895" s="74">
        <v>42550</v>
      </c>
      <c r="Q895" s="74">
        <v>60000</v>
      </c>
      <c r="R895" s="75">
        <v>49025</v>
      </c>
      <c r="S895" s="61">
        <v>64859.999999999993</v>
      </c>
      <c r="T895" s="60"/>
      <c r="U895" s="74">
        <v>74588.999999999985</v>
      </c>
      <c r="V895" s="76">
        <f t="shared" si="1091"/>
        <v>58204.800000000003</v>
      </c>
      <c r="W895" s="24">
        <f t="shared" si="1092"/>
        <v>58204.800000000003</v>
      </c>
      <c r="X895" s="25"/>
      <c r="Y895" s="77">
        <f t="shared" si="1094"/>
        <v>58204.800000000003</v>
      </c>
      <c r="Z895" s="106">
        <f t="shared" si="1095"/>
        <v>58204.800000000003</v>
      </c>
      <c r="AA895" s="73"/>
      <c r="AB895" s="88">
        <v>40000</v>
      </c>
      <c r="AC895" s="116">
        <v>40000</v>
      </c>
      <c r="AD895" s="74">
        <v>40700</v>
      </c>
      <c r="AE895" s="76">
        <f t="shared" si="1096"/>
        <v>40233.333333333336</v>
      </c>
      <c r="AF895" s="24">
        <f t="shared" si="1097"/>
        <v>40233.333333333336</v>
      </c>
      <c r="AG895" s="25"/>
      <c r="AH895" s="77"/>
      <c r="AI895" s="77">
        <f t="shared" si="1100"/>
        <v>40233.333333333336</v>
      </c>
      <c r="AJ895" s="73"/>
      <c r="AK895" s="79">
        <v>49025</v>
      </c>
      <c r="AL895" s="79">
        <v>37000</v>
      </c>
      <c r="AM895" s="127">
        <v>44400</v>
      </c>
      <c r="AN895" s="142">
        <v>38900</v>
      </c>
      <c r="AO895" s="142">
        <v>40000</v>
      </c>
      <c r="AP895" s="29">
        <f t="shared" si="1101"/>
        <v>41865</v>
      </c>
      <c r="AQ895" s="24">
        <f t="shared" si="1102"/>
        <v>41865</v>
      </c>
      <c r="AR895" s="25"/>
      <c r="AS895" s="146">
        <f>AP895</f>
        <v>41865</v>
      </c>
      <c r="AT895" s="250"/>
      <c r="AU895" s="250"/>
      <c r="AV895" s="250"/>
      <c r="AW895" s="250"/>
      <c r="AX895" s="250"/>
      <c r="AY895" s="250"/>
      <c r="AZ895" s="250"/>
      <c r="BA895" s="250"/>
      <c r="BB895" s="250"/>
      <c r="BC895" s="251"/>
      <c r="BD895" s="150"/>
      <c r="BE895" s="150"/>
      <c r="BF895" s="150"/>
      <c r="BG895" s="150"/>
      <c r="BH895" s="150"/>
      <c r="BI895" s="150"/>
      <c r="BJ895" s="150"/>
      <c r="BK895" s="150"/>
      <c r="BL895" s="150"/>
      <c r="BM895" s="293"/>
      <c r="BN895" s="293"/>
      <c r="BO895" s="293"/>
      <c r="BP895" s="293"/>
      <c r="BQ895" s="293"/>
      <c r="BR895" s="293"/>
      <c r="BS895" s="293"/>
      <c r="BT895" s="293"/>
    </row>
    <row r="896" spans="1:72" s="383" customFormat="1" ht="31.35" customHeight="1">
      <c r="A896" s="359" t="s">
        <v>36</v>
      </c>
      <c r="B896" s="360" t="s">
        <v>3088</v>
      </c>
      <c r="C896" s="361" t="s">
        <v>797</v>
      </c>
      <c r="D896" s="362" t="s">
        <v>38</v>
      </c>
      <c r="E896" s="363" t="s">
        <v>740</v>
      </c>
      <c r="F896" s="364">
        <v>145320</v>
      </c>
      <c r="G896" s="365">
        <v>189000</v>
      </c>
      <c r="H896" s="365">
        <v>245700</v>
      </c>
      <c r="I896" s="366">
        <v>165200</v>
      </c>
      <c r="J896" s="367">
        <f t="shared" si="941"/>
        <v>199966.66666666666</v>
      </c>
      <c r="K896" s="368">
        <f t="shared" si="942"/>
        <v>54646.666666666657</v>
      </c>
      <c r="L896" s="369">
        <f t="shared" si="943"/>
        <v>0.37604367373153491</v>
      </c>
      <c r="M896" s="370" t="str">
        <f t="shared" si="944"/>
        <v>REVISAR PRECIO</v>
      </c>
      <c r="N896" s="370">
        <f t="shared" si="926"/>
        <v>199966.66666666666</v>
      </c>
      <c r="O896" s="371"/>
      <c r="P896" s="371"/>
      <c r="Q896" s="371"/>
      <c r="R896" s="371"/>
      <c r="S896" s="371"/>
      <c r="T896" s="371"/>
      <c r="U896" s="371"/>
      <c r="V896" s="372"/>
      <c r="W896" s="372"/>
      <c r="X896" s="372"/>
      <c r="Y896" s="373"/>
      <c r="Z896" s="374"/>
      <c r="AA896" s="375"/>
      <c r="AB896" s="375"/>
      <c r="AC896" s="375"/>
      <c r="AD896" s="375"/>
      <c r="AE896" s="375"/>
      <c r="AF896" s="375"/>
      <c r="AG896" s="375"/>
      <c r="AH896" s="375"/>
      <c r="AI896" s="375"/>
      <c r="AJ896" s="376"/>
      <c r="AK896" s="376"/>
      <c r="AL896" s="376"/>
      <c r="AM896" s="376"/>
      <c r="AN896" s="376"/>
      <c r="AO896" s="376"/>
      <c r="AP896" s="376"/>
      <c r="AQ896" s="376"/>
      <c r="AR896" s="376"/>
      <c r="AS896" s="375"/>
      <c r="AT896" s="377">
        <v>132894</v>
      </c>
      <c r="AU896" s="377">
        <v>800000</v>
      </c>
      <c r="AV896" s="378">
        <v>1600000</v>
      </c>
      <c r="AW896" s="379">
        <v>700000</v>
      </c>
      <c r="AX896" s="380">
        <f t="shared" ref="AX896:AX911" si="1104">AVERAGE(AU896,AW896)</f>
        <v>750000</v>
      </c>
      <c r="AY896" s="368">
        <f t="shared" ref="AY896:AY911" si="1105">AX896-AT896</f>
        <v>617106</v>
      </c>
      <c r="AZ896" s="369">
        <f t="shared" ref="AZ896:AZ911" si="1106">+AY896/AT896</f>
        <v>4.6435956476590361</v>
      </c>
      <c r="BA896" s="368">
        <f t="shared" ref="BA896:BA911" si="1107">AV896-AT896</f>
        <v>1467106</v>
      </c>
      <c r="BB896" s="381">
        <f t="shared" ref="BB896:BB911" si="1108">+BA896/AT896</f>
        <v>11.039670715005945</v>
      </c>
      <c r="BC896" s="382">
        <f t="shared" ref="BC896:BC911" si="1109">AX896</f>
        <v>750000</v>
      </c>
      <c r="BM896" s="375"/>
      <c r="BN896" s="375"/>
      <c r="BO896" s="375"/>
      <c r="BP896" s="375"/>
      <c r="BQ896" s="375"/>
      <c r="BR896" s="375"/>
      <c r="BS896" s="375"/>
      <c r="BT896" s="375"/>
    </row>
    <row r="897" spans="1:72" s="383" customFormat="1" ht="31.35" customHeight="1">
      <c r="A897" s="359" t="s">
        <v>36</v>
      </c>
      <c r="B897" s="360" t="s">
        <v>3089</v>
      </c>
      <c r="C897" s="361" t="s">
        <v>798</v>
      </c>
      <c r="D897" s="362" t="s">
        <v>39</v>
      </c>
      <c r="E897" s="363" t="s">
        <v>740</v>
      </c>
      <c r="F897" s="364">
        <v>166080</v>
      </c>
      <c r="G897" s="365">
        <v>216000</v>
      </c>
      <c r="H897" s="365">
        <v>280800</v>
      </c>
      <c r="I897" s="366">
        <v>188800</v>
      </c>
      <c r="J897" s="367">
        <f t="shared" si="941"/>
        <v>228533.33333333334</v>
      </c>
      <c r="K897" s="368">
        <f t="shared" si="942"/>
        <v>62453.333333333343</v>
      </c>
      <c r="L897" s="369">
        <f t="shared" si="943"/>
        <v>0.37604367373153508</v>
      </c>
      <c r="M897" s="370" t="str">
        <f t="shared" si="944"/>
        <v>REVISAR PRECIO</v>
      </c>
      <c r="N897" s="370">
        <f t="shared" si="926"/>
        <v>228533.33333333334</v>
      </c>
      <c r="O897" s="371"/>
      <c r="P897" s="371"/>
      <c r="Q897" s="371"/>
      <c r="R897" s="371"/>
      <c r="S897" s="371"/>
      <c r="T897" s="371"/>
      <c r="U897" s="371"/>
      <c r="V897" s="372"/>
      <c r="W897" s="372"/>
      <c r="X897" s="372"/>
      <c r="Y897" s="373"/>
      <c r="Z897" s="374"/>
      <c r="AA897" s="375"/>
      <c r="AB897" s="375"/>
      <c r="AC897" s="375"/>
      <c r="AD897" s="375"/>
      <c r="AE897" s="375"/>
      <c r="AF897" s="375"/>
      <c r="AG897" s="375"/>
      <c r="AH897" s="375"/>
      <c r="AI897" s="375"/>
      <c r="AJ897" s="376"/>
      <c r="AK897" s="376"/>
      <c r="AL897" s="376"/>
      <c r="AM897" s="376"/>
      <c r="AN897" s="376"/>
      <c r="AO897" s="376"/>
      <c r="AP897" s="376"/>
      <c r="AQ897" s="376"/>
      <c r="AR897" s="376"/>
      <c r="AS897" s="375"/>
      <c r="AT897" s="377">
        <v>151879</v>
      </c>
      <c r="AU897" s="377">
        <v>900000</v>
      </c>
      <c r="AV897" s="378">
        <v>2700000</v>
      </c>
      <c r="AW897" s="379">
        <v>890000</v>
      </c>
      <c r="AX897" s="380">
        <f t="shared" si="1104"/>
        <v>895000</v>
      </c>
      <c r="AY897" s="368">
        <f t="shared" si="1105"/>
        <v>743121</v>
      </c>
      <c r="AZ897" s="369">
        <f t="shared" si="1106"/>
        <v>4.8928489126212318</v>
      </c>
      <c r="BA897" s="368">
        <f t="shared" si="1107"/>
        <v>2548121</v>
      </c>
      <c r="BB897" s="381">
        <f t="shared" si="1108"/>
        <v>16.777309568801481</v>
      </c>
      <c r="BC897" s="382">
        <f t="shared" si="1109"/>
        <v>895000</v>
      </c>
      <c r="BM897" s="375"/>
      <c r="BN897" s="375"/>
      <c r="BO897" s="375"/>
      <c r="BP897" s="375"/>
      <c r="BQ897" s="375"/>
      <c r="BR897" s="375"/>
      <c r="BS897" s="375"/>
      <c r="BT897" s="375"/>
    </row>
    <row r="898" spans="1:72" s="1" customFormat="1" ht="31.35" customHeight="1">
      <c r="A898" s="91"/>
      <c r="B898" s="358" t="s">
        <v>3090</v>
      </c>
      <c r="C898" s="50" t="s">
        <v>1372</v>
      </c>
      <c r="D898" s="177" t="s">
        <v>1201</v>
      </c>
      <c r="E898" s="141" t="s">
        <v>40</v>
      </c>
      <c r="F898" s="45"/>
      <c r="G898" s="31"/>
      <c r="H898" s="31"/>
      <c r="I898" s="98"/>
      <c r="J898" s="76"/>
      <c r="K898" s="24"/>
      <c r="L898" s="25"/>
      <c r="M898" s="77"/>
      <c r="N898" s="77"/>
      <c r="O898" s="70"/>
      <c r="P898" s="70"/>
      <c r="Q898" s="70"/>
      <c r="R898" s="70"/>
      <c r="S898" s="70"/>
      <c r="T898" s="70"/>
      <c r="U898" s="70"/>
      <c r="V898" s="71"/>
      <c r="W898" s="71"/>
      <c r="X898" s="71"/>
      <c r="Y898" s="72"/>
      <c r="Z898" s="111"/>
      <c r="AA898" s="120"/>
      <c r="AB898" s="120"/>
      <c r="AC898" s="120"/>
      <c r="AD898" s="120"/>
      <c r="AE898" s="120"/>
      <c r="AF898" s="120"/>
      <c r="AG898" s="120"/>
      <c r="AH898" s="120"/>
      <c r="AI898" s="120"/>
      <c r="AJ898" s="250"/>
      <c r="AK898" s="250"/>
      <c r="AL898" s="250"/>
      <c r="AM898" s="250"/>
      <c r="AN898" s="250"/>
      <c r="AO898" s="250"/>
      <c r="AP898" s="250"/>
      <c r="AQ898" s="250"/>
      <c r="AR898" s="250"/>
      <c r="AS898" s="117"/>
      <c r="AT898" s="10">
        <v>12768</v>
      </c>
      <c r="AU898" s="10">
        <v>16646</v>
      </c>
      <c r="AV898" s="167">
        <v>16646</v>
      </c>
      <c r="AW898" s="168">
        <v>15600</v>
      </c>
      <c r="AX898" s="29">
        <f t="shared" si="1104"/>
        <v>16123</v>
      </c>
      <c r="AY898" s="24">
        <f t="shared" si="1105"/>
        <v>3355</v>
      </c>
      <c r="AZ898" s="25">
        <f t="shared" si="1106"/>
        <v>0.26276629072681706</v>
      </c>
      <c r="BA898" s="24">
        <f t="shared" si="1107"/>
        <v>3878</v>
      </c>
      <c r="BB898" s="169">
        <f t="shared" si="1108"/>
        <v>0.30372807017543857</v>
      </c>
      <c r="BC898" s="170">
        <f t="shared" si="1109"/>
        <v>16123</v>
      </c>
      <c r="BD898" s="150"/>
      <c r="BE898" s="150"/>
      <c r="BF898" s="150"/>
      <c r="BG898" s="150"/>
      <c r="BH898" s="150"/>
      <c r="BI898" s="150"/>
      <c r="BJ898" s="150"/>
      <c r="BK898" s="150"/>
      <c r="BL898" s="150"/>
      <c r="BM898" s="10">
        <v>3559</v>
      </c>
      <c r="BN898" s="45">
        <v>15000</v>
      </c>
      <c r="BO898" s="45">
        <v>15060</v>
      </c>
      <c r="BP898" s="45">
        <v>18000</v>
      </c>
      <c r="BQ898" s="29">
        <f t="shared" ref="BQ898:BQ899" si="1110">AVERAGE(BN898,BO898,BP898)</f>
        <v>16020</v>
      </c>
      <c r="BR898" s="24">
        <f t="shared" ref="BR898:BR899" si="1111">BQ898-BM898</f>
        <v>12461</v>
      </c>
      <c r="BS898" s="25">
        <f t="shared" ref="BS898:BS899" si="1112">+BR898/BM898</f>
        <v>3.5012644001123912</v>
      </c>
      <c r="BT898" s="308">
        <f t="shared" ref="BT898" si="1113">BQ898</f>
        <v>16020</v>
      </c>
    </row>
    <row r="899" spans="1:72" s="1" customFormat="1" ht="31.35" customHeight="1">
      <c r="A899" s="91"/>
      <c r="B899" s="358" t="s">
        <v>3091</v>
      </c>
      <c r="C899" s="50" t="s">
        <v>1373</v>
      </c>
      <c r="D899" s="177" t="s">
        <v>1202</v>
      </c>
      <c r="E899" s="141" t="s">
        <v>40</v>
      </c>
      <c r="F899" s="45"/>
      <c r="G899" s="31"/>
      <c r="H899" s="31"/>
      <c r="I899" s="98"/>
      <c r="J899" s="76"/>
      <c r="K899" s="24"/>
      <c r="L899" s="25"/>
      <c r="M899" s="77"/>
      <c r="N899" s="77"/>
      <c r="O899" s="70"/>
      <c r="P899" s="70"/>
      <c r="Q899" s="70"/>
      <c r="R899" s="70"/>
      <c r="S899" s="70"/>
      <c r="T899" s="70"/>
      <c r="U899" s="70"/>
      <c r="V899" s="71"/>
      <c r="W899" s="71"/>
      <c r="X899" s="71"/>
      <c r="Y899" s="72"/>
      <c r="Z899" s="111"/>
      <c r="AA899" s="120"/>
      <c r="AB899" s="120"/>
      <c r="AC899" s="120"/>
      <c r="AD899" s="120"/>
      <c r="AE899" s="120"/>
      <c r="AF899" s="120"/>
      <c r="AG899" s="120"/>
      <c r="AH899" s="120"/>
      <c r="AI899" s="120"/>
      <c r="AJ899" s="250"/>
      <c r="AK899" s="250"/>
      <c r="AL899" s="250"/>
      <c r="AM899" s="250"/>
      <c r="AN899" s="250"/>
      <c r="AO899" s="250"/>
      <c r="AP899" s="250"/>
      <c r="AQ899" s="250"/>
      <c r="AR899" s="250"/>
      <c r="AS899" s="117"/>
      <c r="AT899" s="10">
        <v>14543</v>
      </c>
      <c r="AU899" s="10">
        <v>27427</v>
      </c>
      <c r="AV899" s="167">
        <v>27427</v>
      </c>
      <c r="AW899" s="168">
        <v>22340</v>
      </c>
      <c r="AX899" s="29">
        <f t="shared" si="1104"/>
        <v>24883.5</v>
      </c>
      <c r="AY899" s="24">
        <f t="shared" si="1105"/>
        <v>10340.5</v>
      </c>
      <c r="AZ899" s="25">
        <f t="shared" si="1106"/>
        <v>0.71102936120470328</v>
      </c>
      <c r="BA899" s="24">
        <f t="shared" si="1107"/>
        <v>12884</v>
      </c>
      <c r="BB899" s="169">
        <f t="shared" si="1108"/>
        <v>0.88592449975933441</v>
      </c>
      <c r="BC899" s="170">
        <f t="shared" si="1109"/>
        <v>24883.5</v>
      </c>
      <c r="BD899" s="150"/>
      <c r="BE899" s="150"/>
      <c r="BF899" s="150"/>
      <c r="BG899" s="150"/>
      <c r="BH899" s="150"/>
      <c r="BI899" s="150"/>
      <c r="BJ899" s="150"/>
      <c r="BK899" s="150"/>
      <c r="BL899" s="150"/>
      <c r="BM899" s="10">
        <v>14542</v>
      </c>
      <c r="BN899" s="45"/>
      <c r="BO899" s="45">
        <v>17160</v>
      </c>
      <c r="BP899" s="45">
        <v>60000</v>
      </c>
      <c r="BQ899" s="29">
        <f t="shared" si="1110"/>
        <v>38580</v>
      </c>
      <c r="BR899" s="24">
        <f t="shared" si="1111"/>
        <v>24038</v>
      </c>
      <c r="BS899" s="25">
        <f t="shared" si="1112"/>
        <v>1.6530050887085683</v>
      </c>
      <c r="BT899" s="308">
        <v>60000</v>
      </c>
    </row>
    <row r="900" spans="1:72" s="1" customFormat="1" ht="31.35" customHeight="1">
      <c r="A900" s="91"/>
      <c r="B900" s="358" t="s">
        <v>3092</v>
      </c>
      <c r="C900" s="50" t="s">
        <v>1374</v>
      </c>
      <c r="D900" s="177" t="s">
        <v>1203</v>
      </c>
      <c r="E900" s="141" t="s">
        <v>10</v>
      </c>
      <c r="F900" s="45"/>
      <c r="G900" s="31"/>
      <c r="H900" s="31"/>
      <c r="I900" s="98"/>
      <c r="J900" s="76"/>
      <c r="K900" s="24"/>
      <c r="L900" s="25"/>
      <c r="M900" s="77"/>
      <c r="N900" s="77"/>
      <c r="O900" s="70"/>
      <c r="P900" s="70"/>
      <c r="Q900" s="70"/>
      <c r="R900" s="70"/>
      <c r="S900" s="70"/>
      <c r="T900" s="70"/>
      <c r="U900" s="70"/>
      <c r="V900" s="71"/>
      <c r="W900" s="71"/>
      <c r="X900" s="71"/>
      <c r="Y900" s="72"/>
      <c r="Z900" s="111"/>
      <c r="AA900" s="120"/>
      <c r="AB900" s="120"/>
      <c r="AC900" s="120"/>
      <c r="AD900" s="120"/>
      <c r="AE900" s="120"/>
      <c r="AF900" s="120"/>
      <c r="AG900" s="120"/>
      <c r="AH900" s="120"/>
      <c r="AI900" s="120"/>
      <c r="AJ900" s="250"/>
      <c r="AK900" s="250"/>
      <c r="AL900" s="250"/>
      <c r="AM900" s="250"/>
      <c r="AN900" s="250"/>
      <c r="AO900" s="250"/>
      <c r="AP900" s="250"/>
      <c r="AQ900" s="250"/>
      <c r="AR900" s="250"/>
      <c r="AS900" s="117"/>
      <c r="AT900" s="10">
        <v>12046</v>
      </c>
      <c r="AU900" s="10"/>
      <c r="AV900" s="167">
        <v>45000</v>
      </c>
      <c r="AW900" s="168">
        <v>21000</v>
      </c>
      <c r="AX900" s="29">
        <f t="shared" si="1104"/>
        <v>21000</v>
      </c>
      <c r="AY900" s="24">
        <f t="shared" si="1105"/>
        <v>8954</v>
      </c>
      <c r="AZ900" s="25">
        <f t="shared" si="1106"/>
        <v>0.74331728374564165</v>
      </c>
      <c r="BA900" s="24">
        <f t="shared" si="1107"/>
        <v>32954</v>
      </c>
      <c r="BB900" s="169">
        <f t="shared" si="1108"/>
        <v>2.7356798937406608</v>
      </c>
      <c r="BC900" s="170">
        <f t="shared" si="1109"/>
        <v>21000</v>
      </c>
      <c r="BD900" s="150"/>
      <c r="BE900" s="150"/>
      <c r="BF900" s="150"/>
      <c r="BG900" s="150"/>
      <c r="BH900" s="150"/>
      <c r="BI900" s="150"/>
      <c r="BJ900" s="150"/>
      <c r="BK900" s="150"/>
      <c r="BL900" s="150"/>
      <c r="BM900" s="293"/>
      <c r="BN900" s="293"/>
      <c r="BO900" s="293"/>
      <c r="BP900" s="293"/>
      <c r="BQ900" s="293"/>
      <c r="BR900" s="293"/>
      <c r="BS900" s="293"/>
      <c r="BT900" s="293"/>
    </row>
    <row r="901" spans="1:72" s="1" customFormat="1" ht="31.35" customHeight="1">
      <c r="A901" s="91"/>
      <c r="B901" s="358" t="s">
        <v>3093</v>
      </c>
      <c r="C901" s="50" t="s">
        <v>1375</v>
      </c>
      <c r="D901" s="177" t="s">
        <v>1204</v>
      </c>
      <c r="E901" s="141" t="s">
        <v>905</v>
      </c>
      <c r="F901" s="45"/>
      <c r="G901" s="31"/>
      <c r="H901" s="31"/>
      <c r="I901" s="98"/>
      <c r="J901" s="76"/>
      <c r="K901" s="24"/>
      <c r="L901" s="25"/>
      <c r="M901" s="77"/>
      <c r="N901" s="77"/>
      <c r="O901" s="70"/>
      <c r="P901" s="70"/>
      <c r="Q901" s="70"/>
      <c r="R901" s="70"/>
      <c r="S901" s="70"/>
      <c r="T901" s="70"/>
      <c r="U901" s="70"/>
      <c r="V901" s="71"/>
      <c r="W901" s="71"/>
      <c r="X901" s="71"/>
      <c r="Y901" s="72"/>
      <c r="Z901" s="111"/>
      <c r="AA901" s="120"/>
      <c r="AB901" s="120"/>
      <c r="AC901" s="120"/>
      <c r="AD901" s="120"/>
      <c r="AE901" s="120"/>
      <c r="AF901" s="120"/>
      <c r="AG901" s="120"/>
      <c r="AH901" s="120"/>
      <c r="AI901" s="120"/>
      <c r="AJ901" s="250"/>
      <c r="AK901" s="250"/>
      <c r="AL901" s="250"/>
      <c r="AM901" s="250"/>
      <c r="AN901" s="250"/>
      <c r="AO901" s="250"/>
      <c r="AP901" s="250"/>
      <c r="AQ901" s="250"/>
      <c r="AR901" s="250"/>
      <c r="AS901" s="117"/>
      <c r="AT901" s="10">
        <v>455437</v>
      </c>
      <c r="AU901" s="10"/>
      <c r="AV901" s="167">
        <v>30000</v>
      </c>
      <c r="AW901" s="168">
        <v>350000</v>
      </c>
      <c r="AX901" s="29">
        <f t="shared" si="1104"/>
        <v>350000</v>
      </c>
      <c r="AY901" s="24">
        <f t="shared" si="1105"/>
        <v>-105437</v>
      </c>
      <c r="AZ901" s="25">
        <f t="shared" si="1106"/>
        <v>-0.23150732153953235</v>
      </c>
      <c r="BA901" s="24">
        <f t="shared" si="1107"/>
        <v>-425437</v>
      </c>
      <c r="BB901" s="169">
        <f t="shared" si="1108"/>
        <v>-0.93412919898910274</v>
      </c>
      <c r="BC901" s="170" t="s">
        <v>807</v>
      </c>
      <c r="BD901" s="150"/>
      <c r="BE901" s="150"/>
      <c r="BF901" s="150"/>
      <c r="BG901" s="150"/>
      <c r="BH901" s="150"/>
      <c r="BI901" s="150"/>
      <c r="BJ901" s="150"/>
      <c r="BK901" s="150"/>
      <c r="BL901" s="150"/>
      <c r="BM901" s="293"/>
      <c r="BN901" s="293"/>
      <c r="BO901" s="293"/>
      <c r="BP901" s="293"/>
      <c r="BQ901" s="293"/>
      <c r="BR901" s="293"/>
      <c r="BS901" s="293"/>
      <c r="BT901" s="293"/>
    </row>
    <row r="902" spans="1:72" s="1" customFormat="1" ht="31.35" customHeight="1">
      <c r="A902" s="91"/>
      <c r="B902" s="358" t="s">
        <v>3094</v>
      </c>
      <c r="C902" s="50" t="s">
        <v>1376</v>
      </c>
      <c r="D902" s="177" t="s">
        <v>1205</v>
      </c>
      <c r="E902" s="141" t="s">
        <v>10</v>
      </c>
      <c r="F902" s="45"/>
      <c r="G902" s="31"/>
      <c r="H902" s="31"/>
      <c r="I902" s="98"/>
      <c r="J902" s="76"/>
      <c r="K902" s="24"/>
      <c r="L902" s="25"/>
      <c r="M902" s="77"/>
      <c r="N902" s="77"/>
      <c r="O902" s="70"/>
      <c r="P902" s="70"/>
      <c r="Q902" s="70"/>
      <c r="R902" s="70"/>
      <c r="S902" s="70"/>
      <c r="T902" s="70"/>
      <c r="U902" s="70"/>
      <c r="V902" s="71"/>
      <c r="W902" s="71"/>
      <c r="X902" s="71"/>
      <c r="Y902" s="72"/>
      <c r="Z902" s="111"/>
      <c r="AA902" s="120"/>
      <c r="AB902" s="120"/>
      <c r="AC902" s="120"/>
      <c r="AD902" s="120"/>
      <c r="AE902" s="120"/>
      <c r="AF902" s="120"/>
      <c r="AG902" s="120"/>
      <c r="AH902" s="120"/>
      <c r="AI902" s="120"/>
      <c r="AJ902" s="250"/>
      <c r="AK902" s="250"/>
      <c r="AL902" s="250"/>
      <c r="AM902" s="250"/>
      <c r="AN902" s="250"/>
      <c r="AO902" s="250"/>
      <c r="AP902" s="250"/>
      <c r="AQ902" s="250"/>
      <c r="AR902" s="250"/>
      <c r="AS902" s="117"/>
      <c r="AT902" s="10">
        <v>88147</v>
      </c>
      <c r="AU902" s="10">
        <v>49072</v>
      </c>
      <c r="AV902" s="167">
        <v>98144</v>
      </c>
      <c r="AW902" s="168">
        <v>30000</v>
      </c>
      <c r="AX902" s="29">
        <f t="shared" si="1104"/>
        <v>39536</v>
      </c>
      <c r="AY902" s="24">
        <f t="shared" si="1105"/>
        <v>-48611</v>
      </c>
      <c r="AZ902" s="25">
        <f t="shared" si="1106"/>
        <v>-0.55147651082850235</v>
      </c>
      <c r="BA902" s="24">
        <f t="shared" si="1107"/>
        <v>9997</v>
      </c>
      <c r="BB902" s="169">
        <f t="shared" si="1108"/>
        <v>0.11341282176364482</v>
      </c>
      <c r="BC902" s="170">
        <f t="shared" si="1109"/>
        <v>39536</v>
      </c>
      <c r="BD902" s="150"/>
      <c r="BE902" s="150"/>
      <c r="BF902" s="150"/>
      <c r="BG902" s="150"/>
      <c r="BH902" s="150"/>
      <c r="BI902" s="150"/>
      <c r="BJ902" s="150"/>
      <c r="BK902" s="150"/>
      <c r="BL902" s="150"/>
      <c r="BM902" s="293"/>
      <c r="BN902" s="293"/>
      <c r="BO902" s="293"/>
      <c r="BP902" s="293"/>
      <c r="BQ902" s="293"/>
      <c r="BR902" s="293"/>
      <c r="BS902" s="293"/>
      <c r="BT902" s="293"/>
    </row>
    <row r="903" spans="1:72" s="1" customFormat="1" ht="31.35" customHeight="1">
      <c r="A903" s="91"/>
      <c r="B903" s="358" t="s">
        <v>3095</v>
      </c>
      <c r="C903" s="50" t="s">
        <v>1377</v>
      </c>
      <c r="D903" s="177" t="s">
        <v>1206</v>
      </c>
      <c r="E903" s="141" t="s">
        <v>1207</v>
      </c>
      <c r="F903" s="45"/>
      <c r="G903" s="31"/>
      <c r="H903" s="31"/>
      <c r="I903" s="98"/>
      <c r="J903" s="76"/>
      <c r="K903" s="24"/>
      <c r="L903" s="25"/>
      <c r="M903" s="77"/>
      <c r="N903" s="77"/>
      <c r="O903" s="70"/>
      <c r="P903" s="70"/>
      <c r="Q903" s="70"/>
      <c r="R903" s="70"/>
      <c r="S903" s="70"/>
      <c r="T903" s="70"/>
      <c r="U903" s="70"/>
      <c r="V903" s="71"/>
      <c r="W903" s="71"/>
      <c r="X903" s="71"/>
      <c r="Y903" s="72"/>
      <c r="Z903" s="111"/>
      <c r="AA903" s="120"/>
      <c r="AB903" s="120"/>
      <c r="AC903" s="120"/>
      <c r="AD903" s="120"/>
      <c r="AE903" s="120"/>
      <c r="AF903" s="120"/>
      <c r="AG903" s="120"/>
      <c r="AH903" s="120"/>
      <c r="AI903" s="120"/>
      <c r="AJ903" s="250"/>
      <c r="AK903" s="250"/>
      <c r="AL903" s="250"/>
      <c r="AM903" s="250"/>
      <c r="AN903" s="250"/>
      <c r="AO903" s="250"/>
      <c r="AP903" s="250"/>
      <c r="AQ903" s="250"/>
      <c r="AR903" s="250"/>
      <c r="AS903" s="117"/>
      <c r="AT903" s="10">
        <v>571985</v>
      </c>
      <c r="AU903" s="10"/>
      <c r="AV903" s="167">
        <v>8000000</v>
      </c>
      <c r="AW903" s="168">
        <v>1600000</v>
      </c>
      <c r="AX903" s="29">
        <f t="shared" si="1104"/>
        <v>1600000</v>
      </c>
      <c r="AY903" s="24">
        <f t="shared" si="1105"/>
        <v>1028015</v>
      </c>
      <c r="AZ903" s="25">
        <f t="shared" si="1106"/>
        <v>1.7972761523466525</v>
      </c>
      <c r="BA903" s="24">
        <f t="shared" si="1107"/>
        <v>7428015</v>
      </c>
      <c r="BB903" s="169">
        <f t="shared" si="1108"/>
        <v>12.986380761733262</v>
      </c>
      <c r="BC903" s="170">
        <f t="shared" si="1109"/>
        <v>1600000</v>
      </c>
      <c r="BD903" s="150"/>
      <c r="BE903" s="150"/>
      <c r="BF903" s="150"/>
      <c r="BG903" s="150"/>
      <c r="BH903" s="150"/>
      <c r="BI903" s="150"/>
      <c r="BJ903" s="150"/>
      <c r="BK903" s="150"/>
      <c r="BL903" s="150"/>
      <c r="BM903" s="293"/>
      <c r="BN903" s="293"/>
      <c r="BO903" s="293"/>
      <c r="BP903" s="293"/>
      <c r="BQ903" s="293"/>
      <c r="BR903" s="293"/>
      <c r="BS903" s="293"/>
      <c r="BT903" s="293"/>
    </row>
    <row r="904" spans="1:72" s="1" customFormat="1" ht="31.35" customHeight="1">
      <c r="A904" s="91"/>
      <c r="B904" s="358" t="s">
        <v>3096</v>
      </c>
      <c r="C904" s="50" t="s">
        <v>1378</v>
      </c>
      <c r="D904" s="177" t="s">
        <v>1208</v>
      </c>
      <c r="E904" s="141" t="s">
        <v>10</v>
      </c>
      <c r="F904" s="45"/>
      <c r="G904" s="31"/>
      <c r="H904" s="31"/>
      <c r="I904" s="98"/>
      <c r="J904" s="76"/>
      <c r="K904" s="24"/>
      <c r="L904" s="25"/>
      <c r="M904" s="77"/>
      <c r="N904" s="77"/>
      <c r="O904" s="70"/>
      <c r="P904" s="70"/>
      <c r="Q904" s="70"/>
      <c r="R904" s="70"/>
      <c r="S904" s="70"/>
      <c r="T904" s="70"/>
      <c r="U904" s="70"/>
      <c r="V904" s="71"/>
      <c r="W904" s="71"/>
      <c r="X904" s="71"/>
      <c r="Y904" s="72"/>
      <c r="Z904" s="111"/>
      <c r="AA904" s="120"/>
      <c r="AB904" s="120"/>
      <c r="AC904" s="120"/>
      <c r="AD904" s="120"/>
      <c r="AE904" s="120"/>
      <c r="AF904" s="120"/>
      <c r="AG904" s="120"/>
      <c r="AH904" s="120"/>
      <c r="AI904" s="120"/>
      <c r="AJ904" s="250"/>
      <c r="AK904" s="250"/>
      <c r="AL904" s="250"/>
      <c r="AM904" s="250"/>
      <c r="AN904" s="250"/>
      <c r="AO904" s="250"/>
      <c r="AP904" s="250"/>
      <c r="AQ904" s="250"/>
      <c r="AR904" s="250"/>
      <c r="AS904" s="117"/>
      <c r="AT904" s="10">
        <v>31345</v>
      </c>
      <c r="AU904" s="10">
        <v>32132.05</v>
      </c>
      <c r="AV904" s="167">
        <v>96396.15</v>
      </c>
      <c r="AW904" s="168">
        <v>30400</v>
      </c>
      <c r="AX904" s="29">
        <f t="shared" si="1104"/>
        <v>31266.025000000001</v>
      </c>
      <c r="AY904" s="24">
        <f t="shared" si="1105"/>
        <v>-78.974999999998545</v>
      </c>
      <c r="AZ904" s="25">
        <f t="shared" si="1106"/>
        <v>-2.5195405965863309E-3</v>
      </c>
      <c r="BA904" s="24">
        <f t="shared" si="1107"/>
        <v>65051.149999999994</v>
      </c>
      <c r="BB904" s="169">
        <f t="shared" si="1108"/>
        <v>2.0753278034774283</v>
      </c>
      <c r="BC904" s="170">
        <f t="shared" si="1109"/>
        <v>31266.025000000001</v>
      </c>
      <c r="BD904" s="150"/>
      <c r="BE904" s="150"/>
      <c r="BF904" s="150"/>
      <c r="BG904" s="150"/>
      <c r="BH904" s="150"/>
      <c r="BI904" s="150"/>
      <c r="BJ904" s="150"/>
      <c r="BK904" s="150"/>
      <c r="BL904" s="150"/>
      <c r="BM904" s="293"/>
      <c r="BN904" s="293"/>
      <c r="BO904" s="293"/>
      <c r="BP904" s="293"/>
      <c r="BQ904" s="293"/>
      <c r="BR904" s="293"/>
      <c r="BS904" s="293"/>
      <c r="BT904" s="293"/>
    </row>
    <row r="905" spans="1:72" s="1" customFormat="1" ht="31.35" customHeight="1">
      <c r="A905" s="91"/>
      <c r="B905" s="358" t="s">
        <v>3097</v>
      </c>
      <c r="C905" s="50" t="s">
        <v>1379</v>
      </c>
      <c r="D905" s="177" t="s">
        <v>1209</v>
      </c>
      <c r="E905" s="141" t="s">
        <v>13</v>
      </c>
      <c r="F905" s="45"/>
      <c r="G905" s="31"/>
      <c r="H905" s="31"/>
      <c r="I905" s="98"/>
      <c r="J905" s="76"/>
      <c r="K905" s="24"/>
      <c r="L905" s="25"/>
      <c r="M905" s="77"/>
      <c r="N905" s="77"/>
      <c r="O905" s="70"/>
      <c r="P905" s="70"/>
      <c r="Q905" s="70"/>
      <c r="R905" s="70"/>
      <c r="S905" s="70"/>
      <c r="T905" s="70"/>
      <c r="U905" s="70"/>
      <c r="V905" s="71"/>
      <c r="W905" s="71"/>
      <c r="X905" s="71"/>
      <c r="Y905" s="72"/>
      <c r="Z905" s="111"/>
      <c r="AA905" s="120"/>
      <c r="AB905" s="120"/>
      <c r="AC905" s="120"/>
      <c r="AD905" s="120"/>
      <c r="AE905" s="120"/>
      <c r="AF905" s="120"/>
      <c r="AG905" s="120"/>
      <c r="AH905" s="120"/>
      <c r="AI905" s="120"/>
      <c r="AJ905" s="250"/>
      <c r="AK905" s="250"/>
      <c r="AL905" s="250"/>
      <c r="AM905" s="250"/>
      <c r="AN905" s="250"/>
      <c r="AO905" s="250"/>
      <c r="AP905" s="250"/>
      <c r="AQ905" s="250"/>
      <c r="AR905" s="250"/>
      <c r="AS905" s="117"/>
      <c r="AT905" s="10">
        <v>2448567</v>
      </c>
      <c r="AU905" s="10">
        <v>55000</v>
      </c>
      <c r="AV905" s="167">
        <v>165000</v>
      </c>
      <c r="AW905" s="168">
        <v>79000</v>
      </c>
      <c r="AX905" s="29">
        <f t="shared" si="1104"/>
        <v>67000</v>
      </c>
      <c r="AY905" s="24">
        <f t="shared" si="1105"/>
        <v>-2381567</v>
      </c>
      <c r="AZ905" s="25">
        <f t="shared" si="1106"/>
        <v>-0.97263705669479328</v>
      </c>
      <c r="BA905" s="24">
        <f t="shared" si="1107"/>
        <v>-2283567</v>
      </c>
      <c r="BB905" s="169">
        <f t="shared" si="1108"/>
        <v>-0.93261364708419248</v>
      </c>
      <c r="BC905" s="170">
        <f t="shared" si="1109"/>
        <v>67000</v>
      </c>
      <c r="BD905" s="150"/>
      <c r="BE905" s="150"/>
      <c r="BF905" s="150"/>
      <c r="BG905" s="150"/>
      <c r="BH905" s="150"/>
      <c r="BI905" s="150"/>
      <c r="BJ905" s="150"/>
      <c r="BK905" s="150"/>
      <c r="BL905" s="150"/>
      <c r="BM905" s="293"/>
      <c r="BN905" s="293"/>
      <c r="BO905" s="293"/>
      <c r="BP905" s="293"/>
      <c r="BQ905" s="293"/>
      <c r="BR905" s="293"/>
      <c r="BS905" s="293"/>
      <c r="BT905" s="293"/>
    </row>
    <row r="906" spans="1:72" s="1" customFormat="1" ht="51" customHeight="1">
      <c r="A906" s="91"/>
      <c r="B906" s="358" t="s">
        <v>3098</v>
      </c>
      <c r="C906" s="50" t="s">
        <v>1380</v>
      </c>
      <c r="D906" s="177" t="s">
        <v>1210</v>
      </c>
      <c r="E906" s="141" t="s">
        <v>905</v>
      </c>
      <c r="F906" s="45"/>
      <c r="G906" s="31"/>
      <c r="H906" s="31"/>
      <c r="I906" s="98"/>
      <c r="J906" s="76"/>
      <c r="K906" s="24"/>
      <c r="L906" s="25"/>
      <c r="M906" s="77"/>
      <c r="N906" s="77"/>
      <c r="O906" s="70"/>
      <c r="P906" s="70"/>
      <c r="Q906" s="70"/>
      <c r="R906" s="70"/>
      <c r="S906" s="70"/>
      <c r="T906" s="70"/>
      <c r="U906" s="70"/>
      <c r="V906" s="71"/>
      <c r="W906" s="71"/>
      <c r="X906" s="71"/>
      <c r="Y906" s="72"/>
      <c r="Z906" s="111"/>
      <c r="AA906" s="120"/>
      <c r="AB906" s="120"/>
      <c r="AC906" s="120"/>
      <c r="AD906" s="120"/>
      <c r="AE906" s="120"/>
      <c r="AF906" s="120"/>
      <c r="AG906" s="120"/>
      <c r="AH906" s="120"/>
      <c r="AI906" s="120"/>
      <c r="AJ906" s="250"/>
      <c r="AK906" s="250"/>
      <c r="AL906" s="250"/>
      <c r="AM906" s="250"/>
      <c r="AN906" s="250"/>
      <c r="AO906" s="250"/>
      <c r="AP906" s="250"/>
      <c r="AQ906" s="250"/>
      <c r="AR906" s="250"/>
      <c r="AS906" s="117"/>
      <c r="AT906" s="10">
        <v>24384768</v>
      </c>
      <c r="AU906" s="10"/>
      <c r="AV906" s="167">
        <v>300000</v>
      </c>
      <c r="AW906" s="168">
        <v>20000000</v>
      </c>
      <c r="AX906" s="29">
        <f t="shared" si="1104"/>
        <v>20000000</v>
      </c>
      <c r="AY906" s="24">
        <f t="shared" si="1105"/>
        <v>-4384768</v>
      </c>
      <c r="AZ906" s="25">
        <f t="shared" si="1106"/>
        <v>-0.17981585881809498</v>
      </c>
      <c r="BA906" s="24">
        <f t="shared" si="1107"/>
        <v>-24084768</v>
      </c>
      <c r="BB906" s="169">
        <f t="shared" si="1108"/>
        <v>-0.98769723788227137</v>
      </c>
      <c r="BC906" s="170">
        <f t="shared" si="1109"/>
        <v>20000000</v>
      </c>
      <c r="BD906" s="150"/>
      <c r="BE906" s="150"/>
      <c r="BF906" s="150"/>
      <c r="BG906" s="150"/>
      <c r="BH906" s="150"/>
      <c r="BI906" s="150"/>
      <c r="BJ906" s="150"/>
      <c r="BK906" s="150"/>
      <c r="BL906" s="150"/>
      <c r="BM906" s="293"/>
      <c r="BN906" s="293"/>
      <c r="BO906" s="293"/>
      <c r="BP906" s="293"/>
      <c r="BQ906" s="293"/>
      <c r="BR906" s="293"/>
      <c r="BS906" s="293"/>
      <c r="BT906" s="293"/>
    </row>
    <row r="907" spans="1:72" s="1" customFormat="1" ht="31.35" customHeight="1">
      <c r="A907" s="91"/>
      <c r="B907" s="358" t="s">
        <v>3099</v>
      </c>
      <c r="C907" s="50" t="s">
        <v>1381</v>
      </c>
      <c r="D907" s="177" t="s">
        <v>1211</v>
      </c>
      <c r="E907" s="141" t="s">
        <v>905</v>
      </c>
      <c r="F907" s="45"/>
      <c r="G907" s="31"/>
      <c r="H907" s="31"/>
      <c r="I907" s="98"/>
      <c r="J907" s="76"/>
      <c r="K907" s="24"/>
      <c r="L907" s="25"/>
      <c r="M907" s="77"/>
      <c r="N907" s="77"/>
      <c r="O907" s="70"/>
      <c r="P907" s="70"/>
      <c r="Q907" s="70"/>
      <c r="R907" s="70"/>
      <c r="S907" s="70"/>
      <c r="T907" s="70"/>
      <c r="U907" s="70"/>
      <c r="V907" s="71"/>
      <c r="W907" s="71"/>
      <c r="X907" s="71"/>
      <c r="Y907" s="72"/>
      <c r="Z907" s="111"/>
      <c r="AA907" s="120"/>
      <c r="AB907" s="120"/>
      <c r="AC907" s="120"/>
      <c r="AD907" s="120"/>
      <c r="AE907" s="120"/>
      <c r="AF907" s="120"/>
      <c r="AG907" s="120"/>
      <c r="AH907" s="120"/>
      <c r="AI907" s="120"/>
      <c r="AJ907" s="250"/>
      <c r="AK907" s="250"/>
      <c r="AL907" s="250"/>
      <c r="AM907" s="250"/>
      <c r="AN907" s="250"/>
      <c r="AO907" s="250"/>
      <c r="AP907" s="250"/>
      <c r="AQ907" s="250"/>
      <c r="AR907" s="250"/>
      <c r="AS907" s="117"/>
      <c r="AT907" s="10">
        <v>489714</v>
      </c>
      <c r="AU907" s="10"/>
      <c r="AV907" s="167">
        <v>230000</v>
      </c>
      <c r="AW907" s="168">
        <v>1000000</v>
      </c>
      <c r="AX907" s="29">
        <f t="shared" si="1104"/>
        <v>1000000</v>
      </c>
      <c r="AY907" s="24">
        <f t="shared" si="1105"/>
        <v>510286</v>
      </c>
      <c r="AZ907" s="25">
        <f t="shared" si="1106"/>
        <v>1.0420081925368685</v>
      </c>
      <c r="BA907" s="24">
        <f t="shared" si="1107"/>
        <v>-259714</v>
      </c>
      <c r="BB907" s="169">
        <f t="shared" si="1108"/>
        <v>-0.53033811571652023</v>
      </c>
      <c r="BC907" s="170" t="s">
        <v>807</v>
      </c>
      <c r="BD907" s="150"/>
      <c r="BE907" s="150"/>
      <c r="BF907" s="150"/>
      <c r="BG907" s="150"/>
      <c r="BH907" s="150"/>
      <c r="BI907" s="150"/>
      <c r="BJ907" s="150"/>
      <c r="BK907" s="150"/>
      <c r="BL907" s="150"/>
      <c r="BM907" s="293"/>
      <c r="BN907" s="293"/>
      <c r="BO907" s="293"/>
      <c r="BP907" s="293"/>
      <c r="BQ907" s="293"/>
      <c r="BR907" s="293"/>
      <c r="BS907" s="293"/>
      <c r="BT907" s="293"/>
    </row>
    <row r="908" spans="1:72" s="1" customFormat="1" ht="31.35" customHeight="1">
      <c r="A908" s="91"/>
      <c r="B908" s="358" t="s">
        <v>3100</v>
      </c>
      <c r="C908" s="50" t="s">
        <v>1382</v>
      </c>
      <c r="D908" s="177" t="s">
        <v>1212</v>
      </c>
      <c r="E908" s="141" t="s">
        <v>14</v>
      </c>
      <c r="F908" s="45"/>
      <c r="G908" s="31"/>
      <c r="H908" s="31"/>
      <c r="I908" s="98"/>
      <c r="J908" s="76"/>
      <c r="K908" s="24"/>
      <c r="L908" s="25"/>
      <c r="M908" s="77"/>
      <c r="N908" s="77"/>
      <c r="O908" s="70"/>
      <c r="P908" s="70"/>
      <c r="Q908" s="70"/>
      <c r="R908" s="70"/>
      <c r="S908" s="70"/>
      <c r="T908" s="70"/>
      <c r="U908" s="70"/>
      <c r="V908" s="71"/>
      <c r="W908" s="71"/>
      <c r="X908" s="71"/>
      <c r="Y908" s="72"/>
      <c r="Z908" s="111"/>
      <c r="AA908" s="120"/>
      <c r="AB908" s="120"/>
      <c r="AC908" s="120"/>
      <c r="AD908" s="120"/>
      <c r="AE908" s="120"/>
      <c r="AF908" s="120"/>
      <c r="AG908" s="120"/>
      <c r="AH908" s="120"/>
      <c r="AI908" s="120"/>
      <c r="AJ908" s="250"/>
      <c r="AK908" s="250"/>
      <c r="AL908" s="250"/>
      <c r="AM908" s="250"/>
      <c r="AN908" s="250"/>
      <c r="AO908" s="250"/>
      <c r="AP908" s="250"/>
      <c r="AQ908" s="250"/>
      <c r="AR908" s="250"/>
      <c r="AS908" s="117"/>
      <c r="AT908" s="10">
        <v>110188</v>
      </c>
      <c r="AU908" s="10">
        <v>805300</v>
      </c>
      <c r="AV908" s="167">
        <v>805300</v>
      </c>
      <c r="AW908" s="168">
        <v>600780</v>
      </c>
      <c r="AX908" s="29">
        <f t="shared" si="1104"/>
        <v>703040</v>
      </c>
      <c r="AY908" s="24">
        <f t="shared" si="1105"/>
        <v>592852</v>
      </c>
      <c r="AZ908" s="25">
        <f t="shared" si="1106"/>
        <v>5.3803680981595088</v>
      </c>
      <c r="BA908" s="24">
        <f t="shared" si="1107"/>
        <v>695112</v>
      </c>
      <c r="BB908" s="169">
        <f t="shared" si="1108"/>
        <v>6.3084183395651072</v>
      </c>
      <c r="BC908" s="170">
        <f t="shared" si="1109"/>
        <v>703040</v>
      </c>
      <c r="BD908" s="150"/>
      <c r="BE908" s="150"/>
      <c r="BF908" s="150"/>
      <c r="BG908" s="150"/>
      <c r="BH908" s="150"/>
      <c r="BI908" s="150"/>
      <c r="BJ908" s="150"/>
      <c r="BK908" s="150"/>
      <c r="BL908" s="150"/>
      <c r="BM908" s="293"/>
      <c r="BN908" s="293"/>
      <c r="BO908" s="293"/>
      <c r="BP908" s="293"/>
      <c r="BQ908" s="293"/>
      <c r="BR908" s="293"/>
      <c r="BS908" s="293"/>
      <c r="BT908" s="293"/>
    </row>
    <row r="909" spans="1:72" s="1" customFormat="1" ht="31.35" customHeight="1">
      <c r="A909" s="91"/>
      <c r="B909" s="358" t="s">
        <v>3101</v>
      </c>
      <c r="C909" s="50" t="s">
        <v>1383</v>
      </c>
      <c r="D909" s="177" t="s">
        <v>1213</v>
      </c>
      <c r="E909" s="141" t="s">
        <v>14</v>
      </c>
      <c r="F909" s="45"/>
      <c r="G909" s="31"/>
      <c r="H909" s="31"/>
      <c r="I909" s="98"/>
      <c r="J909" s="76"/>
      <c r="K909" s="24"/>
      <c r="L909" s="25"/>
      <c r="M909" s="77"/>
      <c r="N909" s="77"/>
      <c r="O909" s="70"/>
      <c r="P909" s="70"/>
      <c r="Q909" s="70"/>
      <c r="R909" s="70"/>
      <c r="S909" s="70"/>
      <c r="T909" s="70"/>
      <c r="U909" s="70"/>
      <c r="V909" s="71"/>
      <c r="W909" s="71"/>
      <c r="X909" s="71"/>
      <c r="Y909" s="72"/>
      <c r="Z909" s="111"/>
      <c r="AA909" s="120"/>
      <c r="AB909" s="120"/>
      <c r="AC909" s="120"/>
      <c r="AD909" s="120"/>
      <c r="AE909" s="120"/>
      <c r="AF909" s="120"/>
      <c r="AG909" s="120"/>
      <c r="AH909" s="120"/>
      <c r="AI909" s="120"/>
      <c r="AJ909" s="250"/>
      <c r="AK909" s="250"/>
      <c r="AL909" s="250"/>
      <c r="AM909" s="250"/>
      <c r="AN909" s="250"/>
      <c r="AO909" s="250"/>
      <c r="AP909" s="250"/>
      <c r="AQ909" s="250"/>
      <c r="AR909" s="250"/>
      <c r="AS909" s="117"/>
      <c r="AT909" s="10">
        <v>18559</v>
      </c>
      <c r="AU909" s="10">
        <v>167747</v>
      </c>
      <c r="AV909" s="167">
        <v>167747</v>
      </c>
      <c r="AW909" s="168">
        <v>286000</v>
      </c>
      <c r="AX909" s="29">
        <f t="shared" si="1104"/>
        <v>226873.5</v>
      </c>
      <c r="AY909" s="24">
        <f t="shared" si="1105"/>
        <v>208314.5</v>
      </c>
      <c r="AZ909" s="25">
        <f t="shared" si="1106"/>
        <v>11.224446360256479</v>
      </c>
      <c r="BA909" s="24">
        <f t="shared" si="1107"/>
        <v>149188</v>
      </c>
      <c r="BB909" s="169">
        <f t="shared" si="1108"/>
        <v>8.038579664852632</v>
      </c>
      <c r="BC909" s="170">
        <f t="shared" si="1109"/>
        <v>226873.5</v>
      </c>
      <c r="BD909" s="150"/>
      <c r="BE909" s="150"/>
      <c r="BF909" s="150"/>
      <c r="BG909" s="150"/>
      <c r="BH909" s="150"/>
      <c r="BI909" s="150"/>
      <c r="BJ909" s="150"/>
      <c r="BK909" s="150"/>
      <c r="BL909" s="150"/>
      <c r="BM909" s="293"/>
      <c r="BN909" s="293"/>
      <c r="BO909" s="293"/>
      <c r="BP909" s="293"/>
      <c r="BQ909" s="293"/>
      <c r="BR909" s="293"/>
      <c r="BS909" s="293"/>
      <c r="BT909" s="293"/>
    </row>
    <row r="910" spans="1:72" s="1" customFormat="1" ht="31.35" customHeight="1">
      <c r="A910" s="91"/>
      <c r="B910" s="358" t="s">
        <v>3102</v>
      </c>
      <c r="C910" s="50" t="s">
        <v>1384</v>
      </c>
      <c r="D910" s="177" t="s">
        <v>1214</v>
      </c>
      <c r="E910" s="141" t="s">
        <v>10</v>
      </c>
      <c r="F910" s="45"/>
      <c r="G910" s="31"/>
      <c r="H910" s="31"/>
      <c r="I910" s="98"/>
      <c r="J910" s="76"/>
      <c r="K910" s="24"/>
      <c r="L910" s="25"/>
      <c r="M910" s="77"/>
      <c r="N910" s="77"/>
      <c r="O910" s="70"/>
      <c r="P910" s="70"/>
      <c r="Q910" s="70"/>
      <c r="R910" s="70"/>
      <c r="S910" s="70"/>
      <c r="T910" s="70"/>
      <c r="U910" s="70"/>
      <c r="V910" s="71"/>
      <c r="W910" s="71"/>
      <c r="X910" s="71"/>
      <c r="Y910" s="72"/>
      <c r="Z910" s="111"/>
      <c r="AA910" s="120"/>
      <c r="AB910" s="120"/>
      <c r="AC910" s="120"/>
      <c r="AD910" s="120"/>
      <c r="AE910" s="120"/>
      <c r="AF910" s="120"/>
      <c r="AG910" s="120"/>
      <c r="AH910" s="120"/>
      <c r="AI910" s="120"/>
      <c r="AJ910" s="250"/>
      <c r="AK910" s="250"/>
      <c r="AL910" s="250"/>
      <c r="AM910" s="250"/>
      <c r="AN910" s="250"/>
      <c r="AO910" s="250"/>
      <c r="AP910" s="250"/>
      <c r="AQ910" s="250"/>
      <c r="AR910" s="250"/>
      <c r="AS910" s="117"/>
      <c r="AT910" s="10">
        <v>25668</v>
      </c>
      <c r="AU910" s="10">
        <v>32132.04</v>
      </c>
      <c r="AV910" s="167">
        <v>64264.08</v>
      </c>
      <c r="AW910" s="168">
        <v>20000</v>
      </c>
      <c r="AX910" s="29">
        <f t="shared" si="1104"/>
        <v>26066.02</v>
      </c>
      <c r="AY910" s="24">
        <f t="shared" si="1105"/>
        <v>398.02000000000044</v>
      </c>
      <c r="AZ910" s="25">
        <f t="shared" si="1106"/>
        <v>1.5506467196509289E-2</v>
      </c>
      <c r="BA910" s="24">
        <f t="shared" si="1107"/>
        <v>38596.080000000002</v>
      </c>
      <c r="BB910" s="169">
        <f t="shared" si="1108"/>
        <v>1.5036652641421226</v>
      </c>
      <c r="BC910" s="170">
        <f t="shared" si="1109"/>
        <v>26066.02</v>
      </c>
      <c r="BD910" s="150"/>
      <c r="BE910" s="150"/>
      <c r="BF910" s="150"/>
      <c r="BG910" s="150"/>
      <c r="BH910" s="150"/>
      <c r="BI910" s="150"/>
      <c r="BJ910" s="150"/>
      <c r="BK910" s="150"/>
      <c r="BL910" s="150"/>
      <c r="BM910" s="293"/>
      <c r="BN910" s="293"/>
      <c r="BO910" s="293"/>
      <c r="BP910" s="293"/>
      <c r="BQ910" s="293"/>
      <c r="BR910" s="293"/>
      <c r="BS910" s="293"/>
      <c r="BT910" s="293"/>
    </row>
    <row r="911" spans="1:72" s="1" customFormat="1" ht="31.35" customHeight="1">
      <c r="A911" s="91"/>
      <c r="B911" s="358" t="s">
        <v>3103</v>
      </c>
      <c r="C911" s="50" t="s">
        <v>1385</v>
      </c>
      <c r="D911" s="177" t="s">
        <v>1215</v>
      </c>
      <c r="E911" s="141" t="s">
        <v>13</v>
      </c>
      <c r="F911" s="45"/>
      <c r="G911" s="31"/>
      <c r="H911" s="31"/>
      <c r="I911" s="98"/>
      <c r="J911" s="76"/>
      <c r="K911" s="24"/>
      <c r="L911" s="25"/>
      <c r="M911" s="77"/>
      <c r="N911" s="77"/>
      <c r="O911" s="70"/>
      <c r="P911" s="70"/>
      <c r="Q911" s="70"/>
      <c r="R911" s="70"/>
      <c r="S911" s="70"/>
      <c r="T911" s="70"/>
      <c r="U911" s="70"/>
      <c r="V911" s="71"/>
      <c r="W911" s="71"/>
      <c r="X911" s="71"/>
      <c r="Y911" s="72"/>
      <c r="Z911" s="111"/>
      <c r="AA911" s="120"/>
      <c r="AB911" s="120"/>
      <c r="AC911" s="120"/>
      <c r="AD911" s="120"/>
      <c r="AE911" s="120"/>
      <c r="AF911" s="120"/>
      <c r="AG911" s="120"/>
      <c r="AH911" s="120"/>
      <c r="AI911" s="120"/>
      <c r="AJ911" s="250"/>
      <c r="AK911" s="250"/>
      <c r="AL911" s="250"/>
      <c r="AM911" s="250"/>
      <c r="AN911" s="250"/>
      <c r="AO911" s="250"/>
      <c r="AP911" s="250"/>
      <c r="AQ911" s="250"/>
      <c r="AR911" s="250"/>
      <c r="AS911" s="117"/>
      <c r="AT911" s="10">
        <v>3238</v>
      </c>
      <c r="AU911" s="10">
        <v>25000</v>
      </c>
      <c r="AV911" s="167">
        <v>50000</v>
      </c>
      <c r="AW911" s="168">
        <v>15000</v>
      </c>
      <c r="AX911" s="29">
        <f t="shared" si="1104"/>
        <v>20000</v>
      </c>
      <c r="AY911" s="24">
        <f t="shared" si="1105"/>
        <v>16762</v>
      </c>
      <c r="AZ911" s="25">
        <f t="shared" si="1106"/>
        <v>5.1766522544780731</v>
      </c>
      <c r="BA911" s="24">
        <f t="shared" si="1107"/>
        <v>46762</v>
      </c>
      <c r="BB911" s="169">
        <f t="shared" si="1108"/>
        <v>14.441630636195182</v>
      </c>
      <c r="BC911" s="170">
        <f t="shared" si="1109"/>
        <v>20000</v>
      </c>
      <c r="BD911" s="150"/>
      <c r="BE911" s="150"/>
      <c r="BF911" s="150"/>
      <c r="BG911" s="150"/>
      <c r="BH911" s="150"/>
      <c r="BI911" s="150"/>
      <c r="BJ911" s="150"/>
      <c r="BK911" s="150"/>
      <c r="BL911" s="150"/>
      <c r="BM911" s="293"/>
      <c r="BN911" s="293"/>
      <c r="BO911" s="293"/>
      <c r="BP911" s="293"/>
      <c r="BQ911" s="293"/>
      <c r="BR911" s="293"/>
      <c r="BS911" s="293"/>
      <c r="BT911" s="293"/>
    </row>
    <row r="912" spans="1:72" s="1" customFormat="1" ht="31.35" customHeight="1">
      <c r="A912" s="91"/>
      <c r="B912" s="358" t="s">
        <v>3104</v>
      </c>
      <c r="C912" s="50" t="s">
        <v>2099</v>
      </c>
      <c r="D912" s="264" t="s">
        <v>1202</v>
      </c>
      <c r="E912" s="262" t="s">
        <v>1399</v>
      </c>
      <c r="F912" s="45"/>
      <c r="G912" s="31"/>
      <c r="H912" s="31"/>
      <c r="I912" s="98"/>
      <c r="J912" s="76"/>
      <c r="K912" s="24"/>
      <c r="L912" s="25"/>
      <c r="M912" s="77"/>
      <c r="N912" s="77"/>
      <c r="O912" s="70"/>
      <c r="P912" s="70"/>
      <c r="Q912" s="70"/>
      <c r="R912" s="70"/>
      <c r="S912" s="70"/>
      <c r="T912" s="70"/>
      <c r="U912" s="70"/>
      <c r="V912" s="71"/>
      <c r="W912" s="71"/>
      <c r="X912" s="71"/>
      <c r="Y912" s="72"/>
      <c r="Z912" s="111"/>
      <c r="AA912" s="120"/>
      <c r="AB912" s="120"/>
      <c r="AC912" s="120"/>
      <c r="AD912" s="120"/>
      <c r="AE912" s="120"/>
      <c r="AF912" s="120"/>
      <c r="AG912" s="120"/>
      <c r="AH912" s="120"/>
      <c r="AI912" s="120"/>
      <c r="AJ912" s="250"/>
      <c r="AK912" s="250"/>
      <c r="AL912" s="250"/>
      <c r="AM912" s="250"/>
      <c r="AN912" s="250"/>
      <c r="AO912" s="250"/>
      <c r="AP912" s="250"/>
      <c r="AQ912" s="250"/>
      <c r="AR912" s="250"/>
      <c r="AS912" s="117"/>
      <c r="AT912" s="10"/>
      <c r="AU912" s="10"/>
      <c r="AV912" s="167"/>
      <c r="AW912" s="168"/>
      <c r="AX912" s="29"/>
      <c r="AY912" s="24"/>
      <c r="AZ912" s="25"/>
      <c r="BA912" s="24"/>
      <c r="BB912" s="169"/>
      <c r="BC912" s="170"/>
      <c r="BD912" s="10">
        <v>13090</v>
      </c>
      <c r="BE912" s="10">
        <v>90000</v>
      </c>
      <c r="BF912" s="10">
        <v>95000</v>
      </c>
      <c r="BG912" s="268">
        <v>95000</v>
      </c>
      <c r="BH912" s="10">
        <v>120000</v>
      </c>
      <c r="BI912" s="76">
        <f t="shared" ref="BI912:BI926" si="1114">AVERAGE(BE912,BF912,BG912,BH912)</f>
        <v>100000</v>
      </c>
      <c r="BJ912" s="24">
        <f t="shared" ref="BJ912:BJ923" si="1115">BI912-BD912</f>
        <v>86910</v>
      </c>
      <c r="BK912" s="25">
        <f t="shared" ref="BK912:BK923" si="1116">+BJ912/BD912</f>
        <v>6.6394194041252863</v>
      </c>
      <c r="BL912" s="309">
        <f t="shared" ref="BL912:BL926" si="1117">BI912</f>
        <v>100000</v>
      </c>
      <c r="BM912" s="293"/>
      <c r="BN912" s="293"/>
      <c r="BO912" s="293"/>
      <c r="BP912" s="293"/>
      <c r="BQ912" s="293"/>
      <c r="BR912" s="293"/>
      <c r="BS912" s="293"/>
      <c r="BT912" s="293"/>
    </row>
    <row r="913" spans="1:72" s="1" customFormat="1" ht="31.35" customHeight="1">
      <c r="A913" s="91"/>
      <c r="B913" s="358" t="s">
        <v>3105</v>
      </c>
      <c r="C913" s="50" t="s">
        <v>2100</v>
      </c>
      <c r="D913" s="264" t="s">
        <v>2079</v>
      </c>
      <c r="E913" s="262" t="s">
        <v>1399</v>
      </c>
      <c r="F913" s="45"/>
      <c r="G913" s="31"/>
      <c r="H913" s="31"/>
      <c r="I913" s="98"/>
      <c r="J913" s="76"/>
      <c r="K913" s="24"/>
      <c r="L913" s="25"/>
      <c r="M913" s="77"/>
      <c r="N913" s="77"/>
      <c r="O913" s="70"/>
      <c r="P913" s="70"/>
      <c r="Q913" s="70"/>
      <c r="R913" s="70"/>
      <c r="S913" s="70"/>
      <c r="T913" s="70"/>
      <c r="U913" s="70"/>
      <c r="V913" s="71"/>
      <c r="W913" s="71"/>
      <c r="X913" s="71"/>
      <c r="Y913" s="72"/>
      <c r="Z913" s="111"/>
      <c r="AA913" s="120"/>
      <c r="AB913" s="120"/>
      <c r="AC913" s="120"/>
      <c r="AD913" s="120"/>
      <c r="AE913" s="120"/>
      <c r="AF913" s="120"/>
      <c r="AG913" s="120"/>
      <c r="AH913" s="120"/>
      <c r="AI913" s="120"/>
      <c r="AJ913" s="250"/>
      <c r="AK913" s="250"/>
      <c r="AL913" s="250"/>
      <c r="AM913" s="250"/>
      <c r="AN913" s="250"/>
      <c r="AO913" s="250"/>
      <c r="AP913" s="250"/>
      <c r="AQ913" s="250"/>
      <c r="AR913" s="250"/>
      <c r="AS913" s="117"/>
      <c r="AT913" s="10"/>
      <c r="AU913" s="10"/>
      <c r="AV913" s="167"/>
      <c r="AW913" s="168"/>
      <c r="AX913" s="29"/>
      <c r="AY913" s="24"/>
      <c r="AZ913" s="25"/>
      <c r="BA913" s="24"/>
      <c r="BB913" s="169"/>
      <c r="BC913" s="170"/>
      <c r="BD913" s="10">
        <v>3559</v>
      </c>
      <c r="BE913" s="10">
        <v>8500</v>
      </c>
      <c r="BF913" s="10">
        <v>10500</v>
      </c>
      <c r="BG913" s="268">
        <v>10500</v>
      </c>
      <c r="BH913" s="10">
        <v>8000</v>
      </c>
      <c r="BI913" s="76">
        <f t="shared" si="1114"/>
        <v>9375</v>
      </c>
      <c r="BJ913" s="24">
        <f t="shared" si="1115"/>
        <v>5816</v>
      </c>
      <c r="BK913" s="25">
        <f t="shared" si="1116"/>
        <v>1.6341669008148356</v>
      </c>
      <c r="BL913" s="309">
        <f t="shared" si="1117"/>
        <v>9375</v>
      </c>
      <c r="BM913" s="293"/>
      <c r="BN913" s="293"/>
      <c r="BO913" s="293"/>
      <c r="BP913" s="293"/>
      <c r="BQ913" s="293"/>
      <c r="BR913" s="293"/>
      <c r="BS913" s="293"/>
      <c r="BT913" s="293"/>
    </row>
    <row r="914" spans="1:72" s="1" customFormat="1" ht="31.35" customHeight="1">
      <c r="A914" s="91"/>
      <c r="B914" s="358" t="s">
        <v>3106</v>
      </c>
      <c r="C914" s="50" t="s">
        <v>2101</v>
      </c>
      <c r="D914" s="264" t="s">
        <v>2080</v>
      </c>
      <c r="E914" s="262" t="s">
        <v>1399</v>
      </c>
      <c r="F914" s="45"/>
      <c r="G914" s="31"/>
      <c r="H914" s="31"/>
      <c r="I914" s="98"/>
      <c r="J914" s="76"/>
      <c r="K914" s="24"/>
      <c r="L914" s="25"/>
      <c r="M914" s="77"/>
      <c r="N914" s="77"/>
      <c r="O914" s="70"/>
      <c r="P914" s="70"/>
      <c r="Q914" s="70"/>
      <c r="R914" s="70"/>
      <c r="S914" s="70"/>
      <c r="T914" s="70"/>
      <c r="U914" s="70"/>
      <c r="V914" s="71"/>
      <c r="W914" s="71"/>
      <c r="X914" s="71"/>
      <c r="Y914" s="72"/>
      <c r="Z914" s="111"/>
      <c r="AA914" s="120"/>
      <c r="AB914" s="120"/>
      <c r="AC914" s="120"/>
      <c r="AD914" s="120"/>
      <c r="AE914" s="120"/>
      <c r="AF914" s="120"/>
      <c r="AG914" s="120"/>
      <c r="AH914" s="120"/>
      <c r="AI914" s="120"/>
      <c r="AJ914" s="250"/>
      <c r="AK914" s="250"/>
      <c r="AL914" s="250"/>
      <c r="AM914" s="250"/>
      <c r="AN914" s="250"/>
      <c r="AO914" s="250"/>
      <c r="AP914" s="250"/>
      <c r="AQ914" s="250"/>
      <c r="AR914" s="250"/>
      <c r="AS914" s="117"/>
      <c r="AT914" s="10"/>
      <c r="AU914" s="10"/>
      <c r="AV914" s="167"/>
      <c r="AW914" s="168"/>
      <c r="AX914" s="29"/>
      <c r="AY914" s="24"/>
      <c r="AZ914" s="25"/>
      <c r="BA914" s="24"/>
      <c r="BB914" s="169"/>
      <c r="BC914" s="170"/>
      <c r="BD914" s="10">
        <v>2857</v>
      </c>
      <c r="BE914" s="10">
        <v>15000</v>
      </c>
      <c r="BF914" s="10">
        <v>17000</v>
      </c>
      <c r="BG914" s="268">
        <v>17000</v>
      </c>
      <c r="BH914" s="10">
        <v>35000</v>
      </c>
      <c r="BI914" s="76">
        <f t="shared" si="1114"/>
        <v>21000</v>
      </c>
      <c r="BJ914" s="24">
        <f t="shared" si="1115"/>
        <v>18143</v>
      </c>
      <c r="BK914" s="25">
        <f t="shared" si="1116"/>
        <v>6.3503675183759185</v>
      </c>
      <c r="BL914" s="309">
        <f t="shared" si="1117"/>
        <v>21000</v>
      </c>
      <c r="BM914" s="293"/>
      <c r="BN914" s="293"/>
      <c r="BO914" s="293"/>
      <c r="BP914" s="293"/>
      <c r="BQ914" s="293"/>
      <c r="BR914" s="293"/>
      <c r="BS914" s="293"/>
      <c r="BT914" s="293"/>
    </row>
    <row r="915" spans="1:72" s="1" customFormat="1" ht="31.35" customHeight="1">
      <c r="A915" s="91"/>
      <c r="B915" s="358" t="s">
        <v>3107</v>
      </c>
      <c r="C915" s="50" t="s">
        <v>2102</v>
      </c>
      <c r="D915" s="264" t="s">
        <v>2081</v>
      </c>
      <c r="E915" s="262" t="s">
        <v>1399</v>
      </c>
      <c r="F915" s="45"/>
      <c r="G915" s="31"/>
      <c r="H915" s="31"/>
      <c r="I915" s="98"/>
      <c r="J915" s="76"/>
      <c r="K915" s="24"/>
      <c r="L915" s="25"/>
      <c r="M915" s="77"/>
      <c r="N915" s="77"/>
      <c r="O915" s="70"/>
      <c r="P915" s="70"/>
      <c r="Q915" s="70"/>
      <c r="R915" s="70"/>
      <c r="S915" s="70"/>
      <c r="T915" s="70"/>
      <c r="U915" s="70"/>
      <c r="V915" s="71"/>
      <c r="W915" s="71"/>
      <c r="X915" s="71"/>
      <c r="Y915" s="72"/>
      <c r="Z915" s="111"/>
      <c r="AA915" s="120"/>
      <c r="AB915" s="120"/>
      <c r="AC915" s="120"/>
      <c r="AD915" s="120"/>
      <c r="AE915" s="120"/>
      <c r="AF915" s="120"/>
      <c r="AG915" s="120"/>
      <c r="AH915" s="120"/>
      <c r="AI915" s="120"/>
      <c r="AJ915" s="250"/>
      <c r="AK915" s="250"/>
      <c r="AL915" s="250"/>
      <c r="AM915" s="250"/>
      <c r="AN915" s="250"/>
      <c r="AO915" s="250"/>
      <c r="AP915" s="250"/>
      <c r="AQ915" s="250"/>
      <c r="AR915" s="250"/>
      <c r="AS915" s="117"/>
      <c r="AT915" s="10"/>
      <c r="AU915" s="10"/>
      <c r="AV915" s="167"/>
      <c r="AW915" s="168"/>
      <c r="AX915" s="29"/>
      <c r="AY915" s="24"/>
      <c r="AZ915" s="25"/>
      <c r="BA915" s="24"/>
      <c r="BB915" s="169"/>
      <c r="BC915" s="170"/>
      <c r="BD915" s="10">
        <v>6901</v>
      </c>
      <c r="BE915" s="10">
        <v>4500</v>
      </c>
      <c r="BF915" s="10">
        <v>4500</v>
      </c>
      <c r="BG915" s="268">
        <v>4500</v>
      </c>
      <c r="BH915" s="10">
        <v>8000</v>
      </c>
      <c r="BI915" s="76">
        <f t="shared" si="1114"/>
        <v>5375</v>
      </c>
      <c r="BJ915" s="24">
        <f t="shared" si="1115"/>
        <v>-1526</v>
      </c>
      <c r="BK915" s="25">
        <f t="shared" si="1116"/>
        <v>-0.22112737284451528</v>
      </c>
      <c r="BL915" s="309">
        <f t="shared" si="1117"/>
        <v>5375</v>
      </c>
      <c r="BM915" s="293"/>
      <c r="BN915" s="293"/>
      <c r="BO915" s="293"/>
      <c r="BP915" s="293"/>
      <c r="BQ915" s="293"/>
      <c r="BR915" s="293"/>
      <c r="BS915" s="293"/>
      <c r="BT915" s="293"/>
    </row>
    <row r="916" spans="1:72" s="1" customFormat="1" ht="31.35" customHeight="1">
      <c r="A916" s="91"/>
      <c r="B916" s="358" t="s">
        <v>3108</v>
      </c>
      <c r="C916" s="50" t="s">
        <v>2103</v>
      </c>
      <c r="D916" s="264" t="s">
        <v>2082</v>
      </c>
      <c r="E916" s="262" t="s">
        <v>827</v>
      </c>
      <c r="F916" s="45"/>
      <c r="G916" s="31"/>
      <c r="H916" s="31"/>
      <c r="I916" s="98"/>
      <c r="J916" s="76"/>
      <c r="K916" s="24"/>
      <c r="L916" s="25"/>
      <c r="M916" s="77"/>
      <c r="N916" s="77"/>
      <c r="O916" s="70"/>
      <c r="P916" s="70"/>
      <c r="Q916" s="70"/>
      <c r="R916" s="70"/>
      <c r="S916" s="70"/>
      <c r="T916" s="70"/>
      <c r="U916" s="70"/>
      <c r="V916" s="71"/>
      <c r="W916" s="71"/>
      <c r="X916" s="71"/>
      <c r="Y916" s="72"/>
      <c r="Z916" s="111"/>
      <c r="AA916" s="120"/>
      <c r="AB916" s="120"/>
      <c r="AC916" s="120"/>
      <c r="AD916" s="120"/>
      <c r="AE916" s="120"/>
      <c r="AF916" s="120"/>
      <c r="AG916" s="120"/>
      <c r="AH916" s="120"/>
      <c r="AI916" s="120"/>
      <c r="AJ916" s="250"/>
      <c r="AK916" s="250"/>
      <c r="AL916" s="250"/>
      <c r="AM916" s="250"/>
      <c r="AN916" s="250"/>
      <c r="AO916" s="250"/>
      <c r="AP916" s="250"/>
      <c r="AQ916" s="250"/>
      <c r="AR916" s="250"/>
      <c r="AS916" s="117"/>
      <c r="AT916" s="10"/>
      <c r="AU916" s="10"/>
      <c r="AV916" s="167"/>
      <c r="AW916" s="168"/>
      <c r="AX916" s="29"/>
      <c r="AY916" s="24"/>
      <c r="AZ916" s="25"/>
      <c r="BA916" s="24"/>
      <c r="BB916" s="169"/>
      <c r="BC916" s="170"/>
      <c r="BD916" s="10">
        <v>15843</v>
      </c>
      <c r="BE916" s="10">
        <v>15000</v>
      </c>
      <c r="BF916" s="10">
        <v>18000</v>
      </c>
      <c r="BG916" s="268">
        <v>18000</v>
      </c>
      <c r="BH916" s="10">
        <v>35000</v>
      </c>
      <c r="BI916" s="76">
        <f t="shared" si="1114"/>
        <v>21500</v>
      </c>
      <c r="BJ916" s="24">
        <f t="shared" si="1115"/>
        <v>5657</v>
      </c>
      <c r="BK916" s="25">
        <f t="shared" si="1116"/>
        <v>0.35706621220728396</v>
      </c>
      <c r="BL916" s="309">
        <f t="shared" si="1117"/>
        <v>21500</v>
      </c>
      <c r="BM916" s="293"/>
      <c r="BN916" s="293"/>
      <c r="BO916" s="293"/>
      <c r="BP916" s="293"/>
      <c r="BQ916" s="293"/>
      <c r="BR916" s="293"/>
      <c r="BS916" s="293"/>
      <c r="BT916" s="293"/>
    </row>
    <row r="917" spans="1:72" s="1" customFormat="1" ht="31.35" customHeight="1">
      <c r="A917" s="91"/>
      <c r="B917" s="358" t="s">
        <v>3109</v>
      </c>
      <c r="C917" s="50" t="s">
        <v>2104</v>
      </c>
      <c r="D917" s="264" t="s">
        <v>2083</v>
      </c>
      <c r="E917" s="262" t="s">
        <v>1399</v>
      </c>
      <c r="F917" s="45"/>
      <c r="G917" s="31"/>
      <c r="H917" s="31"/>
      <c r="I917" s="98"/>
      <c r="J917" s="76"/>
      <c r="K917" s="24"/>
      <c r="L917" s="25"/>
      <c r="M917" s="77"/>
      <c r="N917" s="77"/>
      <c r="O917" s="70"/>
      <c r="P917" s="70"/>
      <c r="Q917" s="70"/>
      <c r="R917" s="70"/>
      <c r="S917" s="70"/>
      <c r="T917" s="70"/>
      <c r="U917" s="70"/>
      <c r="V917" s="71"/>
      <c r="W917" s="71"/>
      <c r="X917" s="71"/>
      <c r="Y917" s="72"/>
      <c r="Z917" s="111"/>
      <c r="AA917" s="120"/>
      <c r="AB917" s="120"/>
      <c r="AC917" s="120"/>
      <c r="AD917" s="120"/>
      <c r="AE917" s="120"/>
      <c r="AF917" s="120"/>
      <c r="AG917" s="120"/>
      <c r="AH917" s="120"/>
      <c r="AI917" s="120"/>
      <c r="AJ917" s="250"/>
      <c r="AK917" s="250"/>
      <c r="AL917" s="250"/>
      <c r="AM917" s="250"/>
      <c r="AN917" s="250"/>
      <c r="AO917" s="250"/>
      <c r="AP917" s="250"/>
      <c r="AQ917" s="250"/>
      <c r="AR917" s="250"/>
      <c r="AS917" s="117"/>
      <c r="AT917" s="10"/>
      <c r="AU917" s="10"/>
      <c r="AV917" s="167"/>
      <c r="AW917" s="168"/>
      <c r="AX917" s="29"/>
      <c r="AY917" s="24"/>
      <c r="AZ917" s="25"/>
      <c r="BA917" s="24"/>
      <c r="BB917" s="169"/>
      <c r="BC917" s="170"/>
      <c r="BD917" s="10">
        <v>12862</v>
      </c>
      <c r="BE917" s="10">
        <v>28000</v>
      </c>
      <c r="BF917" s="10">
        <v>31000</v>
      </c>
      <c r="BG917" s="268">
        <v>31000</v>
      </c>
      <c r="BH917" s="10">
        <v>35000</v>
      </c>
      <c r="BI917" s="76">
        <f t="shared" si="1114"/>
        <v>31250</v>
      </c>
      <c r="BJ917" s="24">
        <f t="shared" si="1115"/>
        <v>18388</v>
      </c>
      <c r="BK917" s="25">
        <f t="shared" si="1116"/>
        <v>1.4296376924273053</v>
      </c>
      <c r="BL917" s="309">
        <f t="shared" si="1117"/>
        <v>31250</v>
      </c>
      <c r="BM917" s="293"/>
      <c r="BN917" s="293"/>
      <c r="BO917" s="293"/>
      <c r="BP917" s="293"/>
      <c r="BQ917" s="293"/>
      <c r="BR917" s="293"/>
      <c r="BS917" s="293"/>
      <c r="BT917" s="293"/>
    </row>
    <row r="918" spans="1:72" s="1" customFormat="1" ht="31.35" customHeight="1">
      <c r="A918" s="91"/>
      <c r="B918" s="358" t="s">
        <v>3110</v>
      </c>
      <c r="C918" s="50" t="s">
        <v>2105</v>
      </c>
      <c r="D918" s="264" t="s">
        <v>2084</v>
      </c>
      <c r="E918" s="262" t="s">
        <v>1399</v>
      </c>
      <c r="F918" s="45"/>
      <c r="G918" s="31"/>
      <c r="H918" s="31"/>
      <c r="I918" s="98"/>
      <c r="J918" s="76"/>
      <c r="K918" s="24"/>
      <c r="L918" s="25"/>
      <c r="M918" s="77"/>
      <c r="N918" s="77"/>
      <c r="O918" s="70"/>
      <c r="P918" s="70"/>
      <c r="Q918" s="70"/>
      <c r="R918" s="70"/>
      <c r="S918" s="70"/>
      <c r="T918" s="70"/>
      <c r="U918" s="70"/>
      <c r="V918" s="71"/>
      <c r="W918" s="71"/>
      <c r="X918" s="71"/>
      <c r="Y918" s="72"/>
      <c r="Z918" s="111"/>
      <c r="AA918" s="120"/>
      <c r="AB918" s="120"/>
      <c r="AC918" s="120"/>
      <c r="AD918" s="120"/>
      <c r="AE918" s="120"/>
      <c r="AF918" s="120"/>
      <c r="AG918" s="120"/>
      <c r="AH918" s="120"/>
      <c r="AI918" s="120"/>
      <c r="AJ918" s="250"/>
      <c r="AK918" s="250"/>
      <c r="AL918" s="250"/>
      <c r="AM918" s="250"/>
      <c r="AN918" s="250"/>
      <c r="AO918" s="250"/>
      <c r="AP918" s="250"/>
      <c r="AQ918" s="250"/>
      <c r="AR918" s="250"/>
      <c r="AS918" s="117"/>
      <c r="AT918" s="10"/>
      <c r="AU918" s="10"/>
      <c r="AV918" s="167"/>
      <c r="AW918" s="168"/>
      <c r="AX918" s="29"/>
      <c r="AY918" s="24"/>
      <c r="AZ918" s="25"/>
      <c r="BA918" s="24"/>
      <c r="BB918" s="169"/>
      <c r="BC918" s="170"/>
      <c r="BD918" s="10">
        <v>8865</v>
      </c>
      <c r="BE918" s="10">
        <v>18000</v>
      </c>
      <c r="BF918" s="10">
        <v>18000</v>
      </c>
      <c r="BG918" s="268">
        <v>20000</v>
      </c>
      <c r="BH918" s="10">
        <v>20000</v>
      </c>
      <c r="BI918" s="76">
        <f t="shared" si="1114"/>
        <v>19000</v>
      </c>
      <c r="BJ918" s="24">
        <f t="shared" si="1115"/>
        <v>10135</v>
      </c>
      <c r="BK918" s="25">
        <f t="shared" si="1116"/>
        <v>1.143260011280316</v>
      </c>
      <c r="BL918" s="309">
        <f t="shared" si="1117"/>
        <v>19000</v>
      </c>
      <c r="BM918" s="293"/>
      <c r="BN918" s="293"/>
      <c r="BO918" s="293"/>
      <c r="BP918" s="293"/>
      <c r="BQ918" s="293"/>
      <c r="BR918" s="293"/>
      <c r="BS918" s="293"/>
      <c r="BT918" s="293"/>
    </row>
    <row r="919" spans="1:72" s="1" customFormat="1" ht="31.35" customHeight="1">
      <c r="A919" s="91"/>
      <c r="B919" s="358" t="s">
        <v>3111</v>
      </c>
      <c r="C919" s="50" t="s">
        <v>2106</v>
      </c>
      <c r="D919" s="264" t="s">
        <v>2085</v>
      </c>
      <c r="E919" s="262" t="s">
        <v>999</v>
      </c>
      <c r="F919" s="45"/>
      <c r="G919" s="31"/>
      <c r="H919" s="31"/>
      <c r="I919" s="98"/>
      <c r="J919" s="76"/>
      <c r="K919" s="24"/>
      <c r="L919" s="25"/>
      <c r="M919" s="77"/>
      <c r="N919" s="77"/>
      <c r="O919" s="70"/>
      <c r="P919" s="70"/>
      <c r="Q919" s="70"/>
      <c r="R919" s="70"/>
      <c r="S919" s="70"/>
      <c r="T919" s="70"/>
      <c r="U919" s="70"/>
      <c r="V919" s="71"/>
      <c r="W919" s="71"/>
      <c r="X919" s="71"/>
      <c r="Y919" s="72"/>
      <c r="Z919" s="111"/>
      <c r="AA919" s="120"/>
      <c r="AB919" s="120"/>
      <c r="AC919" s="120"/>
      <c r="AD919" s="120"/>
      <c r="AE919" s="120"/>
      <c r="AF919" s="120"/>
      <c r="AG919" s="120"/>
      <c r="AH919" s="120"/>
      <c r="AI919" s="120"/>
      <c r="AJ919" s="250"/>
      <c r="AK919" s="250"/>
      <c r="AL919" s="250"/>
      <c r="AM919" s="250"/>
      <c r="AN919" s="250"/>
      <c r="AO919" s="250"/>
      <c r="AP919" s="250"/>
      <c r="AQ919" s="250"/>
      <c r="AR919" s="250"/>
      <c r="AS919" s="117"/>
      <c r="AT919" s="10"/>
      <c r="AU919" s="10"/>
      <c r="AV919" s="167"/>
      <c r="AW919" s="168"/>
      <c r="AX919" s="29"/>
      <c r="AY919" s="24"/>
      <c r="AZ919" s="25"/>
      <c r="BA919" s="24"/>
      <c r="BB919" s="169"/>
      <c r="BC919" s="170"/>
      <c r="BD919" s="10">
        <v>61919</v>
      </c>
      <c r="BE919" s="10">
        <v>110000</v>
      </c>
      <c r="BF919" s="10">
        <v>75000</v>
      </c>
      <c r="BG919" s="268">
        <v>120000</v>
      </c>
      <c r="BH919" s="10">
        <v>120000</v>
      </c>
      <c r="BI919" s="76">
        <f t="shared" si="1114"/>
        <v>106250</v>
      </c>
      <c r="BJ919" s="24">
        <f t="shared" si="1115"/>
        <v>44331</v>
      </c>
      <c r="BK919" s="25">
        <f t="shared" si="1116"/>
        <v>0.71595148500460282</v>
      </c>
      <c r="BL919" s="309">
        <f t="shared" si="1117"/>
        <v>106250</v>
      </c>
      <c r="BM919" s="293"/>
      <c r="BN919" s="293"/>
      <c r="BO919" s="293"/>
      <c r="BP919" s="293"/>
      <c r="BQ919" s="293"/>
      <c r="BR919" s="293"/>
      <c r="BS919" s="293"/>
      <c r="BT919" s="293"/>
    </row>
    <row r="920" spans="1:72" s="1" customFormat="1" ht="31.35" customHeight="1">
      <c r="A920" s="91"/>
      <c r="B920" s="358" t="s">
        <v>3112</v>
      </c>
      <c r="C920" s="50" t="s">
        <v>2107</v>
      </c>
      <c r="D920" s="264" t="s">
        <v>2086</v>
      </c>
      <c r="E920" s="262" t="s">
        <v>15</v>
      </c>
      <c r="F920" s="45"/>
      <c r="G920" s="31"/>
      <c r="H920" s="31"/>
      <c r="I920" s="98"/>
      <c r="J920" s="76"/>
      <c r="K920" s="24"/>
      <c r="L920" s="25"/>
      <c r="M920" s="77"/>
      <c r="N920" s="77"/>
      <c r="O920" s="70"/>
      <c r="P920" s="70"/>
      <c r="Q920" s="70"/>
      <c r="R920" s="70"/>
      <c r="S920" s="70"/>
      <c r="T920" s="70"/>
      <c r="U920" s="70"/>
      <c r="V920" s="71"/>
      <c r="W920" s="71"/>
      <c r="X920" s="71"/>
      <c r="Y920" s="72"/>
      <c r="Z920" s="111"/>
      <c r="AA920" s="120"/>
      <c r="AB920" s="120"/>
      <c r="AC920" s="120"/>
      <c r="AD920" s="120"/>
      <c r="AE920" s="120"/>
      <c r="AF920" s="120"/>
      <c r="AG920" s="120"/>
      <c r="AH920" s="120"/>
      <c r="AI920" s="120"/>
      <c r="AJ920" s="250"/>
      <c r="AK920" s="250"/>
      <c r="AL920" s="250"/>
      <c r="AM920" s="250"/>
      <c r="AN920" s="250"/>
      <c r="AO920" s="250"/>
      <c r="AP920" s="250"/>
      <c r="AQ920" s="250"/>
      <c r="AR920" s="250"/>
      <c r="AS920" s="117"/>
      <c r="AT920" s="10"/>
      <c r="AU920" s="10"/>
      <c r="AV920" s="167"/>
      <c r="AW920" s="168"/>
      <c r="AX920" s="29"/>
      <c r="AY920" s="24"/>
      <c r="AZ920" s="25"/>
      <c r="BA920" s="24"/>
      <c r="BB920" s="169"/>
      <c r="BC920" s="170"/>
      <c r="BD920" s="10">
        <v>126875</v>
      </c>
      <c r="BE920" s="10">
        <v>500000</v>
      </c>
      <c r="BF920" s="10">
        <v>550000</v>
      </c>
      <c r="BG920" s="268">
        <v>550000</v>
      </c>
      <c r="BH920" s="10">
        <v>500000</v>
      </c>
      <c r="BI920" s="76">
        <f t="shared" si="1114"/>
        <v>525000</v>
      </c>
      <c r="BJ920" s="24">
        <f t="shared" si="1115"/>
        <v>398125</v>
      </c>
      <c r="BK920" s="25">
        <f t="shared" si="1116"/>
        <v>3.1379310344827585</v>
      </c>
      <c r="BL920" s="309">
        <f t="shared" si="1117"/>
        <v>525000</v>
      </c>
      <c r="BM920" s="293"/>
      <c r="BN920" s="293"/>
      <c r="BO920" s="293"/>
      <c r="BP920" s="293"/>
      <c r="BQ920" s="293"/>
      <c r="BR920" s="293"/>
      <c r="BS920" s="293"/>
      <c r="BT920" s="293"/>
    </row>
    <row r="921" spans="1:72" s="1" customFormat="1" ht="31.35" customHeight="1">
      <c r="A921" s="91"/>
      <c r="B921" s="358" t="s">
        <v>3113</v>
      </c>
      <c r="C921" s="50" t="s">
        <v>2108</v>
      </c>
      <c r="D921" s="264" t="s">
        <v>9</v>
      </c>
      <c r="E921" s="262" t="s">
        <v>16</v>
      </c>
      <c r="F921" s="45"/>
      <c r="G921" s="31"/>
      <c r="H921" s="31"/>
      <c r="I921" s="98"/>
      <c r="J921" s="76"/>
      <c r="K921" s="24"/>
      <c r="L921" s="25"/>
      <c r="M921" s="77"/>
      <c r="N921" s="77"/>
      <c r="O921" s="70"/>
      <c r="P921" s="70"/>
      <c r="Q921" s="70"/>
      <c r="R921" s="70"/>
      <c r="S921" s="70"/>
      <c r="T921" s="70"/>
      <c r="U921" s="70"/>
      <c r="V921" s="71"/>
      <c r="W921" s="71"/>
      <c r="X921" s="71"/>
      <c r="Y921" s="72"/>
      <c r="Z921" s="111"/>
      <c r="AA921" s="120"/>
      <c r="AB921" s="120"/>
      <c r="AC921" s="120"/>
      <c r="AD921" s="120"/>
      <c r="AE921" s="120"/>
      <c r="AF921" s="120"/>
      <c r="AG921" s="120"/>
      <c r="AH921" s="120"/>
      <c r="AI921" s="120"/>
      <c r="AJ921" s="250"/>
      <c r="AK921" s="250"/>
      <c r="AL921" s="250"/>
      <c r="AM921" s="250"/>
      <c r="AN921" s="250"/>
      <c r="AO921" s="250"/>
      <c r="AP921" s="250"/>
      <c r="AQ921" s="250"/>
      <c r="AR921" s="250"/>
      <c r="AS921" s="117"/>
      <c r="AT921" s="10"/>
      <c r="AU921" s="10"/>
      <c r="AV921" s="167"/>
      <c r="AW921" s="168"/>
      <c r="AX921" s="29"/>
      <c r="AY921" s="24"/>
      <c r="AZ921" s="25"/>
      <c r="BA921" s="24"/>
      <c r="BB921" s="169"/>
      <c r="BC921" s="170"/>
      <c r="BD921" s="10">
        <v>1614</v>
      </c>
      <c r="BE921" s="10">
        <v>3000</v>
      </c>
      <c r="BF921" s="10"/>
      <c r="BG921" s="10">
        <v>500000</v>
      </c>
      <c r="BH921" s="10"/>
      <c r="BI921" s="76">
        <f t="shared" si="1114"/>
        <v>251500</v>
      </c>
      <c r="BJ921" s="24">
        <f t="shared" si="1115"/>
        <v>249886</v>
      </c>
      <c r="BK921" s="25">
        <f t="shared" si="1116"/>
        <v>154.82403965303592</v>
      </c>
      <c r="BL921" s="309">
        <f t="shared" si="1117"/>
        <v>251500</v>
      </c>
      <c r="BM921" s="293"/>
      <c r="BN921" s="293"/>
      <c r="BO921" s="293"/>
      <c r="BP921" s="293"/>
      <c r="BQ921" s="293"/>
      <c r="BR921" s="293"/>
      <c r="BS921" s="293"/>
      <c r="BT921" s="293"/>
    </row>
    <row r="922" spans="1:72" s="1" customFormat="1" ht="31.35" customHeight="1">
      <c r="A922" s="91"/>
      <c r="B922" s="358" t="s">
        <v>3114</v>
      </c>
      <c r="C922" s="50" t="s">
        <v>2109</v>
      </c>
      <c r="D922" s="264" t="s">
        <v>2087</v>
      </c>
      <c r="E922" s="262" t="s">
        <v>14</v>
      </c>
      <c r="F922" s="45"/>
      <c r="G922" s="31"/>
      <c r="H922" s="31"/>
      <c r="I922" s="98"/>
      <c r="J922" s="76"/>
      <c r="K922" s="24"/>
      <c r="L922" s="25"/>
      <c r="M922" s="77"/>
      <c r="N922" s="77"/>
      <c r="O922" s="70"/>
      <c r="P922" s="70"/>
      <c r="Q922" s="70"/>
      <c r="R922" s="70"/>
      <c r="S922" s="70"/>
      <c r="T922" s="70"/>
      <c r="U922" s="70"/>
      <c r="V922" s="71"/>
      <c r="W922" s="71"/>
      <c r="X922" s="71"/>
      <c r="Y922" s="72"/>
      <c r="Z922" s="111"/>
      <c r="AA922" s="120"/>
      <c r="AB922" s="120"/>
      <c r="AC922" s="120"/>
      <c r="AD922" s="120"/>
      <c r="AE922" s="120"/>
      <c r="AF922" s="120"/>
      <c r="AG922" s="120"/>
      <c r="AH922" s="120"/>
      <c r="AI922" s="120"/>
      <c r="AJ922" s="250"/>
      <c r="AK922" s="250"/>
      <c r="AL922" s="250"/>
      <c r="AM922" s="250"/>
      <c r="AN922" s="250"/>
      <c r="AO922" s="250"/>
      <c r="AP922" s="250"/>
      <c r="AQ922" s="250"/>
      <c r="AR922" s="250"/>
      <c r="AS922" s="117"/>
      <c r="AT922" s="10"/>
      <c r="AU922" s="10"/>
      <c r="AV922" s="167"/>
      <c r="AW922" s="168"/>
      <c r="AX922" s="29"/>
      <c r="AY922" s="24"/>
      <c r="AZ922" s="25"/>
      <c r="BA922" s="24"/>
      <c r="BB922" s="169"/>
      <c r="BC922" s="170"/>
      <c r="BD922" s="10">
        <v>132894</v>
      </c>
      <c r="BE922" s="300"/>
      <c r="BF922" s="300"/>
      <c r="BG922" s="300"/>
      <c r="BH922" s="10">
        <v>5000000</v>
      </c>
      <c r="BI922" s="76">
        <f t="shared" si="1114"/>
        <v>5000000</v>
      </c>
      <c r="BJ922" s="24">
        <f t="shared" si="1115"/>
        <v>4867106</v>
      </c>
      <c r="BK922" s="25">
        <f t="shared" si="1116"/>
        <v>36.62397098439358</v>
      </c>
      <c r="BL922" s="309">
        <f t="shared" si="1117"/>
        <v>5000000</v>
      </c>
      <c r="BM922" s="293"/>
      <c r="BN922" s="293"/>
      <c r="BO922" s="293"/>
      <c r="BP922" s="293"/>
      <c r="BQ922" s="293"/>
      <c r="BR922" s="293"/>
      <c r="BS922" s="293"/>
      <c r="BT922" s="293"/>
    </row>
    <row r="923" spans="1:72" s="1" customFormat="1" ht="31.35" customHeight="1">
      <c r="A923" s="91"/>
      <c r="B923" s="358" t="s">
        <v>3115</v>
      </c>
      <c r="C923" s="50" t="s">
        <v>2110</v>
      </c>
      <c r="D923" s="264" t="s">
        <v>2088</v>
      </c>
      <c r="E923" s="262" t="s">
        <v>14</v>
      </c>
      <c r="F923" s="45"/>
      <c r="G923" s="31"/>
      <c r="H923" s="31"/>
      <c r="I923" s="98"/>
      <c r="J923" s="76"/>
      <c r="K923" s="24"/>
      <c r="L923" s="25"/>
      <c r="M923" s="77"/>
      <c r="N923" s="77"/>
      <c r="O923" s="70"/>
      <c r="P923" s="70"/>
      <c r="Q923" s="70"/>
      <c r="R923" s="70"/>
      <c r="S923" s="70"/>
      <c r="T923" s="70"/>
      <c r="U923" s="70"/>
      <c r="V923" s="71"/>
      <c r="W923" s="71"/>
      <c r="X923" s="71"/>
      <c r="Y923" s="72"/>
      <c r="Z923" s="111"/>
      <c r="AA923" s="120"/>
      <c r="AB923" s="120"/>
      <c r="AC923" s="120"/>
      <c r="AD923" s="120"/>
      <c r="AE923" s="120"/>
      <c r="AF923" s="120"/>
      <c r="AG923" s="120"/>
      <c r="AH923" s="120"/>
      <c r="AI923" s="120"/>
      <c r="AJ923" s="250"/>
      <c r="AK923" s="250"/>
      <c r="AL923" s="250"/>
      <c r="AM923" s="250"/>
      <c r="AN923" s="250"/>
      <c r="AO923" s="250"/>
      <c r="AP923" s="250"/>
      <c r="AQ923" s="250"/>
      <c r="AR923" s="250"/>
      <c r="AS923" s="117"/>
      <c r="AT923" s="10"/>
      <c r="AU923" s="10"/>
      <c r="AV923" s="167"/>
      <c r="AW923" s="168"/>
      <c r="AX923" s="29"/>
      <c r="AY923" s="24"/>
      <c r="AZ923" s="25"/>
      <c r="BA923" s="24"/>
      <c r="BB923" s="169"/>
      <c r="BC923" s="170"/>
      <c r="BD923" s="10">
        <v>151878</v>
      </c>
      <c r="BE923" s="300"/>
      <c r="BF923" s="300"/>
      <c r="BG923" s="300"/>
      <c r="BH923" s="10">
        <v>6000000</v>
      </c>
      <c r="BI923" s="76">
        <f t="shared" si="1114"/>
        <v>6000000</v>
      </c>
      <c r="BJ923" s="24">
        <f t="shared" si="1115"/>
        <v>5848122</v>
      </c>
      <c r="BK923" s="25">
        <f t="shared" si="1116"/>
        <v>38.505392486074349</v>
      </c>
      <c r="BL923" s="309">
        <f t="shared" si="1117"/>
        <v>6000000</v>
      </c>
      <c r="BM923" s="293"/>
      <c r="BN923" s="293"/>
      <c r="BO923" s="293"/>
      <c r="BP923" s="293"/>
      <c r="BQ923" s="293"/>
      <c r="BR923" s="293"/>
      <c r="BS923" s="293"/>
      <c r="BT923" s="293"/>
    </row>
    <row r="924" spans="1:72" s="1" customFormat="1" ht="31.35" customHeight="1">
      <c r="A924" s="91"/>
      <c r="B924" s="358" t="s">
        <v>3116</v>
      </c>
      <c r="C924" s="50" t="s">
        <v>2111</v>
      </c>
      <c r="D924" s="264" t="s">
        <v>2089</v>
      </c>
      <c r="E924" s="262" t="s">
        <v>2090</v>
      </c>
      <c r="F924" s="45"/>
      <c r="G924" s="31"/>
      <c r="H924" s="31"/>
      <c r="I924" s="98"/>
      <c r="J924" s="76"/>
      <c r="K924" s="24"/>
      <c r="L924" s="25"/>
      <c r="M924" s="77"/>
      <c r="N924" s="77"/>
      <c r="O924" s="70"/>
      <c r="P924" s="70"/>
      <c r="Q924" s="70"/>
      <c r="R924" s="70"/>
      <c r="S924" s="70"/>
      <c r="T924" s="70"/>
      <c r="U924" s="70"/>
      <c r="V924" s="71"/>
      <c r="W924" s="71"/>
      <c r="X924" s="71"/>
      <c r="Y924" s="72"/>
      <c r="Z924" s="111"/>
      <c r="AA924" s="120"/>
      <c r="AB924" s="120"/>
      <c r="AC924" s="120"/>
      <c r="AD924" s="120"/>
      <c r="AE924" s="120"/>
      <c r="AF924" s="120"/>
      <c r="AG924" s="120"/>
      <c r="AH924" s="120"/>
      <c r="AI924" s="120"/>
      <c r="AJ924" s="250"/>
      <c r="AK924" s="250"/>
      <c r="AL924" s="250"/>
      <c r="AM924" s="250"/>
      <c r="AN924" s="250"/>
      <c r="AO924" s="250"/>
      <c r="AP924" s="250"/>
      <c r="AQ924" s="250"/>
      <c r="AR924" s="250"/>
      <c r="AS924" s="117"/>
      <c r="AT924" s="10"/>
      <c r="AU924" s="10"/>
      <c r="AV924" s="167"/>
      <c r="AW924" s="168"/>
      <c r="AX924" s="29"/>
      <c r="AY924" s="24"/>
      <c r="AZ924" s="25"/>
      <c r="BA924" s="24"/>
      <c r="BB924" s="169"/>
      <c r="BC924" s="170"/>
      <c r="BD924" s="10">
        <v>37453</v>
      </c>
      <c r="BE924" s="300"/>
      <c r="BF924" s="300"/>
      <c r="BG924" s="300"/>
      <c r="BH924" s="10" t="s">
        <v>1421</v>
      </c>
      <c r="BI924" s="76"/>
      <c r="BJ924" s="24"/>
      <c r="BK924" s="25"/>
      <c r="BL924" s="309" t="s">
        <v>894</v>
      </c>
      <c r="BM924" s="293"/>
      <c r="BN924" s="293"/>
      <c r="BO924" s="293"/>
      <c r="BP924" s="293"/>
      <c r="BQ924" s="293"/>
      <c r="BR924" s="293"/>
      <c r="BS924" s="293"/>
      <c r="BT924" s="293"/>
    </row>
    <row r="925" spans="1:72" s="1" customFormat="1" ht="31.35" customHeight="1">
      <c r="A925" s="91"/>
      <c r="B925" s="358" t="s">
        <v>3117</v>
      </c>
      <c r="C925" s="50" t="s">
        <v>2112</v>
      </c>
      <c r="D925" s="264" t="s">
        <v>2091</v>
      </c>
      <c r="E925" s="262" t="s">
        <v>1466</v>
      </c>
      <c r="F925" s="45"/>
      <c r="G925" s="31"/>
      <c r="H925" s="31"/>
      <c r="I925" s="98"/>
      <c r="J925" s="76"/>
      <c r="K925" s="24"/>
      <c r="L925" s="25"/>
      <c r="M925" s="77"/>
      <c r="N925" s="77"/>
      <c r="O925" s="70"/>
      <c r="P925" s="70"/>
      <c r="Q925" s="70"/>
      <c r="R925" s="70"/>
      <c r="S925" s="70"/>
      <c r="T925" s="70"/>
      <c r="U925" s="70"/>
      <c r="V925" s="71"/>
      <c r="W925" s="71"/>
      <c r="X925" s="71"/>
      <c r="Y925" s="72"/>
      <c r="Z925" s="111"/>
      <c r="AA925" s="120"/>
      <c r="AB925" s="120"/>
      <c r="AC925" s="120"/>
      <c r="AD925" s="120"/>
      <c r="AE925" s="120"/>
      <c r="AF925" s="120"/>
      <c r="AG925" s="120"/>
      <c r="AH925" s="120"/>
      <c r="AI925" s="120"/>
      <c r="AJ925" s="250"/>
      <c r="AK925" s="250"/>
      <c r="AL925" s="250"/>
      <c r="AM925" s="250"/>
      <c r="AN925" s="250"/>
      <c r="AO925" s="250"/>
      <c r="AP925" s="250"/>
      <c r="AQ925" s="250"/>
      <c r="AR925" s="250"/>
      <c r="AS925" s="117"/>
      <c r="AT925" s="10"/>
      <c r="AU925" s="10"/>
      <c r="AV925" s="167"/>
      <c r="AW925" s="168"/>
      <c r="AX925" s="29"/>
      <c r="AY925" s="24"/>
      <c r="AZ925" s="25"/>
      <c r="BA925" s="24"/>
      <c r="BB925" s="169"/>
      <c r="BC925" s="170"/>
      <c r="BD925" s="10">
        <v>24017</v>
      </c>
      <c r="BE925" s="300"/>
      <c r="BF925" s="300"/>
      <c r="BG925" s="300"/>
      <c r="BH925" s="10">
        <v>50000</v>
      </c>
      <c r="BI925" s="76">
        <f t="shared" si="1114"/>
        <v>50000</v>
      </c>
      <c r="BJ925" s="24">
        <f t="shared" ref="BJ925:BJ928" si="1118">BI925-BD925</f>
        <v>25983</v>
      </c>
      <c r="BK925" s="25">
        <f t="shared" ref="BK925:BK928" si="1119">+BJ925/BD925</f>
        <v>1.0818586834325685</v>
      </c>
      <c r="BL925" s="309">
        <f t="shared" si="1117"/>
        <v>50000</v>
      </c>
      <c r="BM925" s="293"/>
      <c r="BN925" s="293"/>
      <c r="BO925" s="293"/>
      <c r="BP925" s="293"/>
      <c r="BQ925" s="293"/>
      <c r="BR925" s="293"/>
      <c r="BS925" s="293"/>
      <c r="BT925" s="293"/>
    </row>
    <row r="926" spans="1:72" s="1" customFormat="1" ht="31.35" customHeight="1">
      <c r="A926" s="91"/>
      <c r="B926" s="358" t="s">
        <v>3118</v>
      </c>
      <c r="C926" s="50" t="s">
        <v>2113</v>
      </c>
      <c r="D926" s="264" t="s">
        <v>2092</v>
      </c>
      <c r="E926" s="262" t="s">
        <v>1466</v>
      </c>
      <c r="F926" s="45"/>
      <c r="G926" s="31"/>
      <c r="H926" s="31"/>
      <c r="I926" s="98"/>
      <c r="J926" s="76"/>
      <c r="K926" s="24"/>
      <c r="L926" s="25"/>
      <c r="M926" s="77"/>
      <c r="N926" s="77"/>
      <c r="O926" s="70"/>
      <c r="P926" s="70"/>
      <c r="Q926" s="70"/>
      <c r="R926" s="70"/>
      <c r="S926" s="70"/>
      <c r="T926" s="70"/>
      <c r="U926" s="70"/>
      <c r="V926" s="71"/>
      <c r="W926" s="71"/>
      <c r="X926" s="71"/>
      <c r="Y926" s="72"/>
      <c r="Z926" s="111"/>
      <c r="AA926" s="120"/>
      <c r="AB926" s="120"/>
      <c r="AC926" s="120"/>
      <c r="AD926" s="120"/>
      <c r="AE926" s="120"/>
      <c r="AF926" s="120"/>
      <c r="AG926" s="120"/>
      <c r="AH926" s="120"/>
      <c r="AI926" s="120"/>
      <c r="AJ926" s="250"/>
      <c r="AK926" s="250"/>
      <c r="AL926" s="250"/>
      <c r="AM926" s="250"/>
      <c r="AN926" s="250"/>
      <c r="AO926" s="250"/>
      <c r="AP926" s="250"/>
      <c r="AQ926" s="250"/>
      <c r="AR926" s="250"/>
      <c r="AS926" s="117"/>
      <c r="AT926" s="10"/>
      <c r="AU926" s="10"/>
      <c r="AV926" s="167"/>
      <c r="AW926" s="168"/>
      <c r="AX926" s="29"/>
      <c r="AY926" s="24"/>
      <c r="AZ926" s="25"/>
      <c r="BA926" s="24"/>
      <c r="BB926" s="169"/>
      <c r="BC926" s="170"/>
      <c r="BD926" s="10">
        <v>76001</v>
      </c>
      <c r="BE926" s="300"/>
      <c r="BF926" s="300"/>
      <c r="BG926" s="300"/>
      <c r="BH926" s="10">
        <v>50000</v>
      </c>
      <c r="BI926" s="76">
        <f t="shared" si="1114"/>
        <v>50000</v>
      </c>
      <c r="BJ926" s="24">
        <f t="shared" si="1118"/>
        <v>-26001</v>
      </c>
      <c r="BK926" s="25">
        <f t="shared" si="1119"/>
        <v>-0.34211391955369008</v>
      </c>
      <c r="BL926" s="309">
        <f t="shared" si="1117"/>
        <v>50000</v>
      </c>
      <c r="BM926" s="293"/>
      <c r="BN926" s="293"/>
      <c r="BO926" s="293"/>
      <c r="BP926" s="293"/>
      <c r="BQ926" s="293"/>
      <c r="BR926" s="293"/>
      <c r="BS926" s="293"/>
      <c r="BT926" s="293"/>
    </row>
    <row r="927" spans="1:72" s="1" customFormat="1" ht="31.35" customHeight="1">
      <c r="A927" s="91"/>
      <c r="B927" s="358" t="s">
        <v>3119</v>
      </c>
      <c r="C927" s="50" t="s">
        <v>2114</v>
      </c>
      <c r="D927" s="264" t="s">
        <v>2093</v>
      </c>
      <c r="E927" s="262" t="s">
        <v>1466</v>
      </c>
      <c r="F927" s="45"/>
      <c r="G927" s="31"/>
      <c r="H927" s="31"/>
      <c r="I927" s="98"/>
      <c r="J927" s="76"/>
      <c r="K927" s="24"/>
      <c r="L927" s="25"/>
      <c r="M927" s="77"/>
      <c r="N927" s="77"/>
      <c r="O927" s="70"/>
      <c r="P927" s="70"/>
      <c r="Q927" s="70"/>
      <c r="R927" s="70"/>
      <c r="S927" s="70"/>
      <c r="T927" s="70"/>
      <c r="U927" s="70"/>
      <c r="V927" s="71"/>
      <c r="W927" s="71"/>
      <c r="X927" s="71"/>
      <c r="Y927" s="72"/>
      <c r="Z927" s="111"/>
      <c r="AA927" s="120"/>
      <c r="AB927" s="120"/>
      <c r="AC927" s="120"/>
      <c r="AD927" s="120"/>
      <c r="AE927" s="120"/>
      <c r="AF927" s="120"/>
      <c r="AG927" s="120"/>
      <c r="AH927" s="120"/>
      <c r="AI927" s="120"/>
      <c r="AJ927" s="250"/>
      <c r="AK927" s="250"/>
      <c r="AL927" s="250"/>
      <c r="AM927" s="250"/>
      <c r="AN927" s="250"/>
      <c r="AO927" s="250"/>
      <c r="AP927" s="250"/>
      <c r="AQ927" s="250"/>
      <c r="AR927" s="250"/>
      <c r="AS927" s="117"/>
      <c r="AT927" s="10"/>
      <c r="AU927" s="10"/>
      <c r="AV927" s="167"/>
      <c r="AW927" s="168"/>
      <c r="AX927" s="29"/>
      <c r="AY927" s="24"/>
      <c r="AZ927" s="25"/>
      <c r="BA927" s="24"/>
      <c r="BB927" s="169"/>
      <c r="BC927" s="170"/>
      <c r="BD927" s="10">
        <v>5273</v>
      </c>
      <c r="BE927" s="300"/>
      <c r="BF927" s="300"/>
      <c r="BG927" s="300"/>
      <c r="BH927" s="10"/>
      <c r="BI927" s="76"/>
      <c r="BJ927" s="24"/>
      <c r="BK927" s="25"/>
      <c r="BL927" s="310" t="s">
        <v>807</v>
      </c>
      <c r="BM927" s="293"/>
      <c r="BN927" s="293"/>
      <c r="BO927" s="293"/>
      <c r="BP927" s="293"/>
      <c r="BQ927" s="293"/>
      <c r="BR927" s="293"/>
      <c r="BS927" s="293"/>
      <c r="BT927" s="293"/>
    </row>
    <row r="928" spans="1:72" s="1" customFormat="1" ht="31.35" customHeight="1">
      <c r="A928" s="91"/>
      <c r="B928" s="358" t="s">
        <v>3120</v>
      </c>
      <c r="C928" s="50" t="s">
        <v>2115</v>
      </c>
      <c r="D928" s="264" t="s">
        <v>2094</v>
      </c>
      <c r="E928" s="262" t="s">
        <v>1466</v>
      </c>
      <c r="F928" s="45"/>
      <c r="G928" s="31"/>
      <c r="H928" s="31"/>
      <c r="I928" s="98"/>
      <c r="J928" s="76"/>
      <c r="K928" s="24"/>
      <c r="L928" s="25"/>
      <c r="M928" s="77"/>
      <c r="N928" s="77"/>
      <c r="O928" s="70"/>
      <c r="P928" s="70"/>
      <c r="Q928" s="70"/>
      <c r="R928" s="70"/>
      <c r="S928" s="70"/>
      <c r="T928" s="70"/>
      <c r="U928" s="70"/>
      <c r="V928" s="71"/>
      <c r="W928" s="71"/>
      <c r="X928" s="71"/>
      <c r="Y928" s="72"/>
      <c r="Z928" s="111"/>
      <c r="AA928" s="120"/>
      <c r="AB928" s="120"/>
      <c r="AC928" s="120"/>
      <c r="AD928" s="120"/>
      <c r="AE928" s="120"/>
      <c r="AF928" s="120"/>
      <c r="AG928" s="120"/>
      <c r="AH928" s="120"/>
      <c r="AI928" s="120"/>
      <c r="AJ928" s="250"/>
      <c r="AK928" s="250"/>
      <c r="AL928" s="250"/>
      <c r="AM928" s="250"/>
      <c r="AN928" s="250"/>
      <c r="AO928" s="250"/>
      <c r="AP928" s="250"/>
      <c r="AQ928" s="250"/>
      <c r="AR928" s="250"/>
      <c r="AS928" s="117"/>
      <c r="AT928" s="10"/>
      <c r="AU928" s="10"/>
      <c r="AV928" s="167"/>
      <c r="AW928" s="168"/>
      <c r="AX928" s="29"/>
      <c r="AY928" s="24"/>
      <c r="AZ928" s="25"/>
      <c r="BA928" s="24"/>
      <c r="BB928" s="169"/>
      <c r="BC928" s="170"/>
      <c r="BD928" s="10">
        <v>7064</v>
      </c>
      <c r="BE928" s="300"/>
      <c r="BF928" s="300"/>
      <c r="BG928" s="300"/>
      <c r="BH928" s="10">
        <v>50000</v>
      </c>
      <c r="BI928" s="76">
        <f t="shared" ref="BI928" si="1120">AVERAGE(BE928,BF928,BG928,BH928)</f>
        <v>50000</v>
      </c>
      <c r="BJ928" s="24">
        <f t="shared" si="1118"/>
        <v>42936</v>
      </c>
      <c r="BK928" s="25">
        <f t="shared" si="1119"/>
        <v>6.0781426953567381</v>
      </c>
      <c r="BL928" s="309">
        <f t="shared" ref="BL928" si="1121">BI928</f>
        <v>50000</v>
      </c>
      <c r="BM928" s="293"/>
      <c r="BN928" s="293"/>
      <c r="BO928" s="293"/>
      <c r="BP928" s="293"/>
      <c r="BQ928" s="293"/>
      <c r="BR928" s="293"/>
      <c r="BS928" s="293"/>
      <c r="BT928" s="293"/>
    </row>
    <row r="929" spans="1:72" s="1" customFormat="1" ht="31.35" customHeight="1">
      <c r="A929" s="91"/>
      <c r="B929" s="358" t="s">
        <v>3121</v>
      </c>
      <c r="C929" s="50" t="s">
        <v>2116</v>
      </c>
      <c r="D929" s="264" t="s">
        <v>2095</v>
      </c>
      <c r="E929" s="262" t="s">
        <v>2096</v>
      </c>
      <c r="F929" s="45"/>
      <c r="G929" s="31"/>
      <c r="H929" s="31"/>
      <c r="I929" s="98"/>
      <c r="J929" s="76"/>
      <c r="K929" s="24"/>
      <c r="L929" s="25"/>
      <c r="M929" s="77"/>
      <c r="N929" s="77"/>
      <c r="O929" s="70"/>
      <c r="P929" s="70"/>
      <c r="Q929" s="70"/>
      <c r="R929" s="70"/>
      <c r="S929" s="70"/>
      <c r="T929" s="70"/>
      <c r="U929" s="70"/>
      <c r="V929" s="71"/>
      <c r="W929" s="71"/>
      <c r="X929" s="71"/>
      <c r="Y929" s="72"/>
      <c r="Z929" s="111"/>
      <c r="AA929" s="120"/>
      <c r="AB929" s="120"/>
      <c r="AC929" s="120"/>
      <c r="AD929" s="120"/>
      <c r="AE929" s="120"/>
      <c r="AF929" s="120"/>
      <c r="AG929" s="120"/>
      <c r="AH929" s="120"/>
      <c r="AI929" s="120"/>
      <c r="AJ929" s="250"/>
      <c r="AK929" s="250"/>
      <c r="AL929" s="250"/>
      <c r="AM929" s="250"/>
      <c r="AN929" s="250"/>
      <c r="AO929" s="250"/>
      <c r="AP929" s="250"/>
      <c r="AQ929" s="250"/>
      <c r="AR929" s="250"/>
      <c r="AS929" s="117"/>
      <c r="AT929" s="10"/>
      <c r="AU929" s="10"/>
      <c r="AV929" s="167"/>
      <c r="AW929" s="168"/>
      <c r="AX929" s="29"/>
      <c r="AY929" s="24"/>
      <c r="AZ929" s="25"/>
      <c r="BA929" s="24"/>
      <c r="BB929" s="169"/>
      <c r="BC929" s="170"/>
      <c r="BD929" s="10">
        <v>126290</v>
      </c>
      <c r="BE929" s="300"/>
      <c r="BF929" s="300"/>
      <c r="BG929" s="300"/>
      <c r="BH929" s="10" t="s">
        <v>1421</v>
      </c>
      <c r="BI929" s="76"/>
      <c r="BJ929" s="24"/>
      <c r="BK929" s="25"/>
      <c r="BL929" s="309" t="s">
        <v>894</v>
      </c>
      <c r="BM929" s="293"/>
      <c r="BN929" s="293"/>
      <c r="BO929" s="293"/>
      <c r="BP929" s="293"/>
      <c r="BQ929" s="293"/>
      <c r="BR929" s="293"/>
      <c r="BS929" s="293"/>
      <c r="BT929" s="293"/>
    </row>
    <row r="930" spans="1:72" s="1" customFormat="1" ht="31.35" customHeight="1">
      <c r="A930" s="91"/>
      <c r="B930" s="358" t="s">
        <v>3122</v>
      </c>
      <c r="C930" s="50" t="s">
        <v>2117</v>
      </c>
      <c r="D930" s="264" t="s">
        <v>2097</v>
      </c>
      <c r="E930" s="262" t="s">
        <v>1466</v>
      </c>
      <c r="F930" s="45"/>
      <c r="G930" s="31"/>
      <c r="H930" s="31"/>
      <c r="I930" s="98"/>
      <c r="J930" s="76"/>
      <c r="K930" s="24"/>
      <c r="L930" s="25"/>
      <c r="M930" s="77"/>
      <c r="N930" s="77"/>
      <c r="O930" s="70"/>
      <c r="P930" s="70"/>
      <c r="Q930" s="70"/>
      <c r="R930" s="70"/>
      <c r="S930" s="70"/>
      <c r="T930" s="70"/>
      <c r="U930" s="70"/>
      <c r="V930" s="71"/>
      <c r="W930" s="71"/>
      <c r="X930" s="71"/>
      <c r="Y930" s="72"/>
      <c r="Z930" s="111"/>
      <c r="AA930" s="120"/>
      <c r="AB930" s="120"/>
      <c r="AC930" s="120"/>
      <c r="AD930" s="120"/>
      <c r="AE930" s="120"/>
      <c r="AF930" s="120"/>
      <c r="AG930" s="120"/>
      <c r="AH930" s="120"/>
      <c r="AI930" s="120"/>
      <c r="AJ930" s="250"/>
      <c r="AK930" s="250"/>
      <c r="AL930" s="250"/>
      <c r="AM930" s="250"/>
      <c r="AN930" s="250"/>
      <c r="AO930" s="250"/>
      <c r="AP930" s="250"/>
      <c r="AQ930" s="250"/>
      <c r="AR930" s="250"/>
      <c r="AS930" s="117"/>
      <c r="AT930" s="10"/>
      <c r="AU930" s="10"/>
      <c r="AV930" s="167"/>
      <c r="AW930" s="168"/>
      <c r="AX930" s="29"/>
      <c r="AY930" s="24"/>
      <c r="AZ930" s="25"/>
      <c r="BA930" s="24"/>
      <c r="BB930" s="169"/>
      <c r="BC930" s="170"/>
      <c r="BD930" s="10">
        <v>4361</v>
      </c>
      <c r="BE930" s="300"/>
      <c r="BF930" s="300"/>
      <c r="BG930" s="300"/>
      <c r="BH930" s="10"/>
      <c r="BI930" s="76"/>
      <c r="BJ930" s="24"/>
      <c r="BK930" s="25"/>
      <c r="BL930" s="309" t="s">
        <v>894</v>
      </c>
      <c r="BM930" s="293"/>
      <c r="BN930" s="293"/>
      <c r="BO930" s="293"/>
      <c r="BP930" s="293"/>
      <c r="BQ930" s="293"/>
      <c r="BR930" s="293"/>
      <c r="BS930" s="293"/>
      <c r="BT930" s="293"/>
    </row>
    <row r="931" spans="1:72" s="1" customFormat="1" ht="31.35" customHeight="1">
      <c r="A931" s="91"/>
      <c r="B931" s="358" t="s">
        <v>3123</v>
      </c>
      <c r="C931" s="50" t="s">
        <v>2118</v>
      </c>
      <c r="D931" s="264" t="s">
        <v>2098</v>
      </c>
      <c r="E931" s="262" t="s">
        <v>2096</v>
      </c>
      <c r="F931" s="45"/>
      <c r="G931" s="31"/>
      <c r="H931" s="31"/>
      <c r="I931" s="98"/>
      <c r="J931" s="76"/>
      <c r="K931" s="24"/>
      <c r="L931" s="25"/>
      <c r="M931" s="77"/>
      <c r="N931" s="77"/>
      <c r="O931" s="70"/>
      <c r="P931" s="70"/>
      <c r="Q931" s="70"/>
      <c r="R931" s="70"/>
      <c r="S931" s="70"/>
      <c r="T931" s="70"/>
      <c r="U931" s="70"/>
      <c r="V931" s="71"/>
      <c r="W931" s="71"/>
      <c r="X931" s="71"/>
      <c r="Y931" s="72"/>
      <c r="Z931" s="111"/>
      <c r="AA931" s="120"/>
      <c r="AB931" s="120"/>
      <c r="AC931" s="120"/>
      <c r="AD931" s="120"/>
      <c r="AE931" s="120"/>
      <c r="AF931" s="120"/>
      <c r="AG931" s="120"/>
      <c r="AH931" s="120"/>
      <c r="AI931" s="120"/>
      <c r="AJ931" s="250"/>
      <c r="AK931" s="250"/>
      <c r="AL931" s="250"/>
      <c r="AM931" s="250"/>
      <c r="AN931" s="250"/>
      <c r="AO931" s="250"/>
      <c r="AP931" s="250"/>
      <c r="AQ931" s="250"/>
      <c r="AR931" s="250"/>
      <c r="AS931" s="117"/>
      <c r="AT931" s="10"/>
      <c r="AU931" s="10"/>
      <c r="AV931" s="167"/>
      <c r="AW931" s="168"/>
      <c r="AX931" s="29"/>
      <c r="AY931" s="24"/>
      <c r="AZ931" s="25"/>
      <c r="BA931" s="24"/>
      <c r="BB931" s="169"/>
      <c r="BC931" s="170"/>
      <c r="BD931" s="10">
        <v>302396</v>
      </c>
      <c r="BE931" s="300"/>
      <c r="BF931" s="300"/>
      <c r="BG931" s="300"/>
      <c r="BH931" s="10" t="s">
        <v>1421</v>
      </c>
      <c r="BI931" s="76"/>
      <c r="BJ931" s="24"/>
      <c r="BK931" s="25"/>
      <c r="BL931" s="309" t="s">
        <v>894</v>
      </c>
      <c r="BM931" s="293"/>
      <c r="BN931" s="293"/>
      <c r="BO931" s="293"/>
      <c r="BP931" s="293"/>
      <c r="BQ931" s="293"/>
      <c r="BR931" s="293"/>
      <c r="BS931" s="293"/>
      <c r="BT931" s="293"/>
    </row>
    <row r="932" spans="1:72" s="1" customFormat="1" ht="31.35" customHeight="1">
      <c r="A932" s="91"/>
      <c r="B932" s="358" t="s">
        <v>3124</v>
      </c>
      <c r="C932" s="221">
        <v>16</v>
      </c>
      <c r="D932" s="299" t="s">
        <v>41</v>
      </c>
      <c r="E932" s="222"/>
      <c r="F932" s="45"/>
      <c r="G932" s="31"/>
      <c r="H932" s="31"/>
      <c r="I932" s="98"/>
      <c r="J932" s="76"/>
      <c r="K932" s="24"/>
      <c r="L932" s="25"/>
      <c r="M932" s="77"/>
      <c r="N932" s="77"/>
      <c r="O932" s="70"/>
      <c r="P932" s="70"/>
      <c r="Q932" s="70"/>
      <c r="R932" s="70"/>
      <c r="S932" s="70"/>
      <c r="T932" s="70"/>
      <c r="U932" s="70"/>
      <c r="V932" s="71"/>
      <c r="W932" s="71"/>
      <c r="X932" s="71"/>
      <c r="Y932" s="72"/>
      <c r="Z932" s="111"/>
      <c r="AA932" s="120"/>
      <c r="AB932" s="120"/>
      <c r="AC932" s="120"/>
      <c r="AD932" s="120"/>
      <c r="AE932" s="120"/>
      <c r="AF932" s="120"/>
      <c r="AG932" s="120"/>
      <c r="AH932" s="120"/>
      <c r="AI932" s="120"/>
      <c r="AJ932" s="250"/>
      <c r="AK932" s="250"/>
      <c r="AL932" s="250"/>
      <c r="AM932" s="250"/>
      <c r="AN932" s="250"/>
      <c r="AO932" s="250"/>
      <c r="AP932" s="250"/>
      <c r="AQ932" s="250"/>
      <c r="AR932" s="250"/>
      <c r="AS932" s="117"/>
      <c r="AT932" s="173"/>
      <c r="AU932" s="173"/>
      <c r="AV932" s="174"/>
      <c r="AW932" s="175"/>
      <c r="AX932" s="29"/>
      <c r="AY932" s="24"/>
      <c r="AZ932" s="25"/>
      <c r="BA932" s="24"/>
      <c r="BB932" s="169"/>
      <c r="BC932" s="305"/>
      <c r="BD932" s="293"/>
      <c r="BE932" s="293"/>
      <c r="BF932" s="293"/>
      <c r="BG932" s="293"/>
      <c r="BH932" s="293"/>
      <c r="BI932" s="293"/>
      <c r="BJ932" s="293"/>
      <c r="BK932" s="293"/>
      <c r="BL932" s="327"/>
      <c r="BM932" s="293"/>
      <c r="BN932" s="293"/>
      <c r="BO932" s="293"/>
      <c r="BP932" s="293"/>
      <c r="BQ932" s="293"/>
      <c r="BR932" s="293"/>
      <c r="BS932" s="293"/>
      <c r="BT932" s="293"/>
    </row>
    <row r="933" spans="1:72" s="1" customFormat="1" ht="31.35" customHeight="1">
      <c r="A933" s="91"/>
      <c r="B933" s="358" t="s">
        <v>3125</v>
      </c>
      <c r="C933" s="15" t="s">
        <v>1216</v>
      </c>
      <c r="D933" s="177" t="s">
        <v>1217</v>
      </c>
      <c r="E933" s="141" t="s">
        <v>14</v>
      </c>
      <c r="F933" s="45"/>
      <c r="G933" s="31"/>
      <c r="H933" s="31"/>
      <c r="I933" s="98"/>
      <c r="J933" s="76"/>
      <c r="K933" s="24"/>
      <c r="L933" s="25"/>
      <c r="M933" s="77"/>
      <c r="N933" s="77"/>
      <c r="O933" s="70"/>
      <c r="P933" s="70"/>
      <c r="Q933" s="70"/>
      <c r="R933" s="70"/>
      <c r="S933" s="70"/>
      <c r="T933" s="70"/>
      <c r="U933" s="70"/>
      <c r="V933" s="71"/>
      <c r="W933" s="71"/>
      <c r="X933" s="71"/>
      <c r="Y933" s="72"/>
      <c r="Z933" s="111"/>
      <c r="AA933" s="120"/>
      <c r="AB933" s="120"/>
      <c r="AC933" s="120"/>
      <c r="AD933" s="120"/>
      <c r="AE933" s="120"/>
      <c r="AF933" s="120"/>
      <c r="AG933" s="120"/>
      <c r="AH933" s="120"/>
      <c r="AI933" s="120"/>
      <c r="AJ933" s="250"/>
      <c r="AK933" s="250"/>
      <c r="AL933" s="250"/>
      <c r="AM933" s="250"/>
      <c r="AN933" s="250"/>
      <c r="AO933" s="250"/>
      <c r="AP933" s="250"/>
      <c r="AQ933" s="250"/>
      <c r="AR933" s="250"/>
      <c r="AS933" s="117"/>
      <c r="AT933" s="10">
        <v>779849</v>
      </c>
      <c r="AU933" s="10">
        <v>752900</v>
      </c>
      <c r="AV933" s="167">
        <v>2258700</v>
      </c>
      <c r="AW933" s="168">
        <v>890000</v>
      </c>
      <c r="AX933" s="29">
        <f t="shared" ref="AX933:AX996" si="1122">AVERAGE(AU933,AW933)</f>
        <v>821450</v>
      </c>
      <c r="AY933" s="24">
        <f t="shared" ref="AY933:AY996" si="1123">AX933-AT933</f>
        <v>41601</v>
      </c>
      <c r="AZ933" s="25">
        <f t="shared" ref="AZ933:AZ996" si="1124">+AY933/AT933</f>
        <v>5.3344942418339959E-2</v>
      </c>
      <c r="BA933" s="24">
        <f t="shared" ref="BA933:BA996" si="1125">AV933-AT933</f>
        <v>1478851</v>
      </c>
      <c r="BB933" s="169">
        <f t="shared" ref="BB933:BB996" si="1126">+BA933/AT933</f>
        <v>1.8963299305378349</v>
      </c>
      <c r="BC933" s="305">
        <f t="shared" ref="BC933:BC996" si="1127">AX933</f>
        <v>821450</v>
      </c>
      <c r="BD933" s="293"/>
      <c r="BE933" s="293"/>
      <c r="BF933" s="293"/>
      <c r="BG933" s="293"/>
      <c r="BH933" s="293"/>
      <c r="BI933" s="293"/>
      <c r="BJ933" s="293"/>
      <c r="BK933" s="293"/>
      <c r="BL933" s="327"/>
      <c r="BM933" s="293"/>
      <c r="BN933" s="293"/>
      <c r="BO933" s="293"/>
      <c r="BP933" s="293"/>
      <c r="BQ933" s="293"/>
      <c r="BR933" s="293"/>
      <c r="BS933" s="293"/>
      <c r="BT933" s="293"/>
    </row>
    <row r="934" spans="1:72" s="1" customFormat="1" ht="31.35" customHeight="1">
      <c r="A934" s="91"/>
      <c r="B934" s="358" t="s">
        <v>3126</v>
      </c>
      <c r="C934" s="15" t="s">
        <v>1218</v>
      </c>
      <c r="D934" s="177" t="s">
        <v>1219</v>
      </c>
      <c r="E934" s="141" t="s">
        <v>14</v>
      </c>
      <c r="F934" s="45"/>
      <c r="G934" s="31"/>
      <c r="H934" s="31"/>
      <c r="I934" s="98"/>
      <c r="J934" s="76"/>
      <c r="K934" s="24"/>
      <c r="L934" s="25"/>
      <c r="M934" s="77"/>
      <c r="N934" s="77"/>
      <c r="O934" s="70"/>
      <c r="P934" s="70"/>
      <c r="Q934" s="70"/>
      <c r="R934" s="70"/>
      <c r="S934" s="70"/>
      <c r="T934" s="70"/>
      <c r="U934" s="70"/>
      <c r="V934" s="71"/>
      <c r="W934" s="71"/>
      <c r="X934" s="71"/>
      <c r="Y934" s="72"/>
      <c r="Z934" s="111"/>
      <c r="AA934" s="120"/>
      <c r="AB934" s="120"/>
      <c r="AC934" s="120"/>
      <c r="AD934" s="120"/>
      <c r="AE934" s="120"/>
      <c r="AF934" s="120"/>
      <c r="AG934" s="120"/>
      <c r="AH934" s="120"/>
      <c r="AI934" s="120"/>
      <c r="AJ934" s="250"/>
      <c r="AK934" s="250"/>
      <c r="AL934" s="250"/>
      <c r="AM934" s="250"/>
      <c r="AN934" s="250"/>
      <c r="AO934" s="250"/>
      <c r="AP934" s="250"/>
      <c r="AQ934" s="250"/>
      <c r="AR934" s="250"/>
      <c r="AS934" s="117"/>
      <c r="AT934" s="10">
        <v>714717</v>
      </c>
      <c r="AU934" s="10">
        <v>840900</v>
      </c>
      <c r="AV934" s="167">
        <v>1681800</v>
      </c>
      <c r="AW934" s="168">
        <v>900000</v>
      </c>
      <c r="AX934" s="29">
        <f t="shared" si="1122"/>
        <v>870450</v>
      </c>
      <c r="AY934" s="24">
        <f t="shared" si="1123"/>
        <v>155733</v>
      </c>
      <c r="AZ934" s="25">
        <f t="shared" si="1124"/>
        <v>0.21789463521925462</v>
      </c>
      <c r="BA934" s="24">
        <f t="shared" si="1125"/>
        <v>967083</v>
      </c>
      <c r="BB934" s="169">
        <f t="shared" si="1126"/>
        <v>1.3530991987038226</v>
      </c>
      <c r="BC934" s="305">
        <f t="shared" si="1127"/>
        <v>870450</v>
      </c>
      <c r="BD934" s="293"/>
      <c r="BE934" s="293"/>
      <c r="BF934" s="293"/>
      <c r="BG934" s="293"/>
      <c r="BH934" s="293"/>
      <c r="BI934" s="293"/>
      <c r="BJ934" s="293"/>
      <c r="BK934" s="293"/>
      <c r="BL934" s="327"/>
      <c r="BM934" s="293"/>
      <c r="BN934" s="293"/>
      <c r="BO934" s="293"/>
      <c r="BP934" s="293"/>
      <c r="BQ934" s="293"/>
      <c r="BR934" s="293"/>
      <c r="BS934" s="293"/>
      <c r="BT934" s="293"/>
    </row>
    <row r="935" spans="1:72" s="1" customFormat="1" ht="31.35" customHeight="1">
      <c r="A935" s="91"/>
      <c r="B935" s="358" t="s">
        <v>3127</v>
      </c>
      <c r="C935" s="15" t="s">
        <v>1220</v>
      </c>
      <c r="D935" s="177" t="s">
        <v>1221</v>
      </c>
      <c r="E935" s="141" t="s">
        <v>14</v>
      </c>
      <c r="F935" s="45"/>
      <c r="G935" s="31"/>
      <c r="H935" s="31"/>
      <c r="I935" s="98"/>
      <c r="J935" s="76"/>
      <c r="K935" s="24"/>
      <c r="L935" s="25"/>
      <c r="M935" s="77"/>
      <c r="N935" s="77"/>
      <c r="O935" s="70"/>
      <c r="P935" s="70"/>
      <c r="Q935" s="70"/>
      <c r="R935" s="70"/>
      <c r="S935" s="70"/>
      <c r="T935" s="70"/>
      <c r="U935" s="70"/>
      <c r="V935" s="71"/>
      <c r="W935" s="71"/>
      <c r="X935" s="71"/>
      <c r="Y935" s="72"/>
      <c r="Z935" s="111"/>
      <c r="AA935" s="120"/>
      <c r="AB935" s="120"/>
      <c r="AC935" s="120"/>
      <c r="AD935" s="120"/>
      <c r="AE935" s="120"/>
      <c r="AF935" s="120"/>
      <c r="AG935" s="120"/>
      <c r="AH935" s="120"/>
      <c r="AI935" s="120"/>
      <c r="AJ935" s="250"/>
      <c r="AK935" s="250"/>
      <c r="AL935" s="250"/>
      <c r="AM935" s="250"/>
      <c r="AN935" s="250"/>
      <c r="AO935" s="250"/>
      <c r="AP935" s="250"/>
      <c r="AQ935" s="250"/>
      <c r="AR935" s="250"/>
      <c r="AS935" s="117"/>
      <c r="AT935" s="10">
        <v>1139447</v>
      </c>
      <c r="AU935" s="10">
        <v>704900</v>
      </c>
      <c r="AV935" s="167">
        <v>1409800</v>
      </c>
      <c r="AW935" s="168">
        <v>678000</v>
      </c>
      <c r="AX935" s="29">
        <f t="shared" si="1122"/>
        <v>691450</v>
      </c>
      <c r="AY935" s="24">
        <f t="shared" si="1123"/>
        <v>-447997</v>
      </c>
      <c r="AZ935" s="25">
        <f t="shared" si="1124"/>
        <v>-0.39317054676522911</v>
      </c>
      <c r="BA935" s="24">
        <f t="shared" si="1125"/>
        <v>270353</v>
      </c>
      <c r="BB935" s="169">
        <f t="shared" si="1126"/>
        <v>0.2372668496209126</v>
      </c>
      <c r="BC935" s="305">
        <f t="shared" si="1127"/>
        <v>691450</v>
      </c>
      <c r="BD935" s="293"/>
      <c r="BE935" s="293"/>
      <c r="BF935" s="293"/>
      <c r="BG935" s="293"/>
      <c r="BH935" s="293"/>
      <c r="BI935" s="293"/>
      <c r="BJ935" s="293"/>
      <c r="BK935" s="293"/>
      <c r="BL935" s="327"/>
      <c r="BM935" s="293"/>
      <c r="BN935" s="293"/>
      <c r="BO935" s="293"/>
      <c r="BP935" s="293"/>
      <c r="BQ935" s="293"/>
      <c r="BR935" s="293"/>
      <c r="BS935" s="293"/>
      <c r="BT935" s="293"/>
    </row>
    <row r="936" spans="1:72" s="1" customFormat="1" ht="31.35" customHeight="1">
      <c r="A936" s="91"/>
      <c r="B936" s="358" t="s">
        <v>3128</v>
      </c>
      <c r="C936" s="15" t="s">
        <v>1222</v>
      </c>
      <c r="D936" s="177" t="s">
        <v>1223</v>
      </c>
      <c r="E936" s="141" t="s">
        <v>13</v>
      </c>
      <c r="F936" s="45"/>
      <c r="G936" s="31"/>
      <c r="H936" s="31"/>
      <c r="I936" s="98"/>
      <c r="J936" s="76"/>
      <c r="K936" s="24"/>
      <c r="L936" s="25"/>
      <c r="M936" s="77"/>
      <c r="N936" s="77"/>
      <c r="O936" s="70"/>
      <c r="P936" s="70"/>
      <c r="Q936" s="70"/>
      <c r="R936" s="70"/>
      <c r="S936" s="70"/>
      <c r="T936" s="70"/>
      <c r="U936" s="70"/>
      <c r="V936" s="71"/>
      <c r="W936" s="71"/>
      <c r="X936" s="71"/>
      <c r="Y936" s="72"/>
      <c r="Z936" s="111"/>
      <c r="AA936" s="120"/>
      <c r="AB936" s="120"/>
      <c r="AC936" s="120"/>
      <c r="AD936" s="120"/>
      <c r="AE936" s="120"/>
      <c r="AF936" s="120"/>
      <c r="AG936" s="120"/>
      <c r="AH936" s="120"/>
      <c r="AI936" s="120"/>
      <c r="AJ936" s="250"/>
      <c r="AK936" s="250"/>
      <c r="AL936" s="250"/>
      <c r="AM936" s="250"/>
      <c r="AN936" s="250"/>
      <c r="AO936" s="250"/>
      <c r="AP936" s="250"/>
      <c r="AQ936" s="250"/>
      <c r="AR936" s="250"/>
      <c r="AS936" s="117"/>
      <c r="AT936" s="10">
        <v>19410</v>
      </c>
      <c r="AU936" s="10">
        <v>35000</v>
      </c>
      <c r="AV936" s="167">
        <v>70000</v>
      </c>
      <c r="AW936" s="168">
        <v>34000</v>
      </c>
      <c r="AX936" s="29">
        <f t="shared" si="1122"/>
        <v>34500</v>
      </c>
      <c r="AY936" s="24">
        <f t="shared" si="1123"/>
        <v>15090</v>
      </c>
      <c r="AZ936" s="25">
        <f t="shared" si="1124"/>
        <v>0.77743431221020087</v>
      </c>
      <c r="BA936" s="24">
        <f t="shared" si="1125"/>
        <v>50590</v>
      </c>
      <c r="BB936" s="169">
        <f t="shared" si="1126"/>
        <v>2.6063884595569293</v>
      </c>
      <c r="BC936" s="305">
        <f t="shared" si="1127"/>
        <v>34500</v>
      </c>
      <c r="BD936" s="293"/>
      <c r="BE936" s="293"/>
      <c r="BF936" s="293"/>
      <c r="BG936" s="293"/>
      <c r="BH936" s="293"/>
      <c r="BI936" s="293"/>
      <c r="BJ936" s="293"/>
      <c r="BK936" s="293"/>
      <c r="BL936" s="327"/>
      <c r="BM936" s="293"/>
      <c r="BN936" s="293"/>
      <c r="BO936" s="293"/>
      <c r="BP936" s="293"/>
      <c r="BQ936" s="293"/>
      <c r="BR936" s="293"/>
      <c r="BS936" s="293"/>
      <c r="BT936" s="293"/>
    </row>
    <row r="937" spans="1:72" s="1" customFormat="1" ht="31.35" customHeight="1">
      <c r="A937" s="91"/>
      <c r="B937" s="358" t="s">
        <v>3129</v>
      </c>
      <c r="C937" s="15" t="s">
        <v>1224</v>
      </c>
      <c r="D937" s="177" t="s">
        <v>1225</v>
      </c>
      <c r="E937" s="141" t="s">
        <v>905</v>
      </c>
      <c r="F937" s="45"/>
      <c r="G937" s="31"/>
      <c r="H937" s="31"/>
      <c r="I937" s="98"/>
      <c r="J937" s="76"/>
      <c r="K937" s="24"/>
      <c r="L937" s="25"/>
      <c r="M937" s="77"/>
      <c r="N937" s="77"/>
      <c r="O937" s="70"/>
      <c r="P937" s="70"/>
      <c r="Q937" s="70"/>
      <c r="R937" s="70"/>
      <c r="S937" s="70"/>
      <c r="T937" s="70"/>
      <c r="U937" s="70"/>
      <c r="V937" s="71"/>
      <c r="W937" s="71"/>
      <c r="X937" s="71"/>
      <c r="Y937" s="72"/>
      <c r="Z937" s="111"/>
      <c r="AA937" s="120"/>
      <c r="AB937" s="120"/>
      <c r="AC937" s="120"/>
      <c r="AD937" s="120"/>
      <c r="AE937" s="120"/>
      <c r="AF937" s="120"/>
      <c r="AG937" s="120"/>
      <c r="AH937" s="120"/>
      <c r="AI937" s="120"/>
      <c r="AJ937" s="250"/>
      <c r="AK937" s="250"/>
      <c r="AL937" s="250"/>
      <c r="AM937" s="250"/>
      <c r="AN937" s="250"/>
      <c r="AO937" s="250"/>
      <c r="AP937" s="250"/>
      <c r="AQ937" s="250"/>
      <c r="AR937" s="250"/>
      <c r="AS937" s="117"/>
      <c r="AT937" s="10">
        <v>203220</v>
      </c>
      <c r="AU937" s="10">
        <v>150000</v>
      </c>
      <c r="AV937" s="167">
        <v>600000</v>
      </c>
      <c r="AW937" s="168">
        <v>250000</v>
      </c>
      <c r="AX937" s="29">
        <f t="shared" si="1122"/>
        <v>200000</v>
      </c>
      <c r="AY937" s="24">
        <f t="shared" si="1123"/>
        <v>-3220</v>
      </c>
      <c r="AZ937" s="25">
        <f t="shared" si="1124"/>
        <v>-1.5844897155791751E-2</v>
      </c>
      <c r="BA937" s="24">
        <f t="shared" si="1125"/>
        <v>396780</v>
      </c>
      <c r="BB937" s="169">
        <f t="shared" si="1126"/>
        <v>1.9524653085326247</v>
      </c>
      <c r="BC937" s="305">
        <f t="shared" si="1127"/>
        <v>200000</v>
      </c>
      <c r="BD937" s="293"/>
      <c r="BE937" s="293"/>
      <c r="BF937" s="293"/>
      <c r="BG937" s="293"/>
      <c r="BH937" s="293"/>
      <c r="BI937" s="293"/>
      <c r="BJ937" s="293"/>
      <c r="BK937" s="293"/>
      <c r="BL937" s="327"/>
      <c r="BM937" s="293"/>
      <c r="BN937" s="293"/>
      <c r="BO937" s="293"/>
      <c r="BP937" s="293"/>
      <c r="BQ937" s="293"/>
      <c r="BR937" s="293"/>
      <c r="BS937" s="293"/>
      <c r="BT937" s="293"/>
    </row>
    <row r="938" spans="1:72" s="1" customFormat="1" ht="31.35" customHeight="1">
      <c r="A938" s="91"/>
      <c r="B938" s="358" t="s">
        <v>3130</v>
      </c>
      <c r="C938" s="15" t="s">
        <v>1226</v>
      </c>
      <c r="D938" s="177" t="s">
        <v>1227</v>
      </c>
      <c r="E938" s="141" t="s">
        <v>905</v>
      </c>
      <c r="F938" s="45"/>
      <c r="G938" s="31"/>
      <c r="H938" s="31"/>
      <c r="I938" s="98"/>
      <c r="J938" s="76"/>
      <c r="K938" s="24"/>
      <c r="L938" s="25"/>
      <c r="M938" s="77"/>
      <c r="N938" s="77"/>
      <c r="O938" s="70"/>
      <c r="P938" s="70"/>
      <c r="Q938" s="70"/>
      <c r="R938" s="70"/>
      <c r="S938" s="70"/>
      <c r="T938" s="70"/>
      <c r="U938" s="70"/>
      <c r="V938" s="71"/>
      <c r="W938" s="71"/>
      <c r="X938" s="71"/>
      <c r="Y938" s="72"/>
      <c r="Z938" s="111"/>
      <c r="AA938" s="120"/>
      <c r="AB938" s="120"/>
      <c r="AC938" s="120"/>
      <c r="AD938" s="120"/>
      <c r="AE938" s="120"/>
      <c r="AF938" s="120"/>
      <c r="AG938" s="120"/>
      <c r="AH938" s="120"/>
      <c r="AI938" s="120"/>
      <c r="AJ938" s="250"/>
      <c r="AK938" s="250"/>
      <c r="AL938" s="250"/>
      <c r="AM938" s="250"/>
      <c r="AN938" s="250"/>
      <c r="AO938" s="250"/>
      <c r="AP938" s="250"/>
      <c r="AQ938" s="250"/>
      <c r="AR938" s="250"/>
      <c r="AS938" s="117"/>
      <c r="AT938" s="10">
        <v>203220</v>
      </c>
      <c r="AU938" s="10"/>
      <c r="AV938" s="167">
        <v>600000</v>
      </c>
      <c r="AW938" s="168">
        <v>1000000</v>
      </c>
      <c r="AX938" s="29">
        <f t="shared" si="1122"/>
        <v>1000000</v>
      </c>
      <c r="AY938" s="24">
        <f t="shared" si="1123"/>
        <v>796780</v>
      </c>
      <c r="AZ938" s="25">
        <f t="shared" si="1124"/>
        <v>3.9207755142210412</v>
      </c>
      <c r="BA938" s="24">
        <f t="shared" si="1125"/>
        <v>396780</v>
      </c>
      <c r="BB938" s="169">
        <f t="shared" si="1126"/>
        <v>1.9524653085326247</v>
      </c>
      <c r="BC938" s="305" t="s">
        <v>807</v>
      </c>
      <c r="BD938" s="293"/>
      <c r="BE938" s="293"/>
      <c r="BF938" s="293"/>
      <c r="BG938" s="293"/>
      <c r="BH938" s="293"/>
      <c r="BI938" s="293"/>
      <c r="BJ938" s="293"/>
      <c r="BK938" s="293"/>
      <c r="BL938" s="327"/>
      <c r="BM938" s="293"/>
      <c r="BN938" s="293"/>
      <c r="BO938" s="293"/>
      <c r="BP938" s="293"/>
      <c r="BQ938" s="293"/>
      <c r="BR938" s="293"/>
      <c r="BS938" s="293"/>
      <c r="BT938" s="293"/>
    </row>
    <row r="939" spans="1:72" s="1" customFormat="1" ht="51" customHeight="1">
      <c r="A939" s="91"/>
      <c r="B939" s="358" t="s">
        <v>3131</v>
      </c>
      <c r="C939" s="15" t="s">
        <v>1228</v>
      </c>
      <c r="D939" s="177" t="s">
        <v>1229</v>
      </c>
      <c r="E939" s="141" t="s">
        <v>14</v>
      </c>
      <c r="F939" s="45"/>
      <c r="G939" s="31"/>
      <c r="H939" s="31"/>
      <c r="I939" s="98"/>
      <c r="J939" s="76"/>
      <c r="K939" s="24"/>
      <c r="L939" s="25"/>
      <c r="M939" s="77"/>
      <c r="N939" s="77"/>
      <c r="O939" s="70"/>
      <c r="P939" s="70"/>
      <c r="Q939" s="70"/>
      <c r="R939" s="70"/>
      <c r="S939" s="70"/>
      <c r="T939" s="70"/>
      <c r="U939" s="70"/>
      <c r="V939" s="71"/>
      <c r="W939" s="71"/>
      <c r="X939" s="71"/>
      <c r="Y939" s="72"/>
      <c r="Z939" s="111"/>
      <c r="AA939" s="120"/>
      <c r="AB939" s="120"/>
      <c r="AC939" s="120"/>
      <c r="AD939" s="120"/>
      <c r="AE939" s="120"/>
      <c r="AF939" s="120"/>
      <c r="AG939" s="120"/>
      <c r="AH939" s="120"/>
      <c r="AI939" s="120"/>
      <c r="AJ939" s="250"/>
      <c r="AK939" s="250"/>
      <c r="AL939" s="250"/>
      <c r="AM939" s="250"/>
      <c r="AN939" s="250"/>
      <c r="AO939" s="250"/>
      <c r="AP939" s="250"/>
      <c r="AQ939" s="250"/>
      <c r="AR939" s="250"/>
      <c r="AS939" s="117"/>
      <c r="AT939" s="10">
        <v>863685</v>
      </c>
      <c r="AU939" s="10">
        <v>475506</v>
      </c>
      <c r="AV939" s="167">
        <v>1902024</v>
      </c>
      <c r="AW939" s="168">
        <v>650000</v>
      </c>
      <c r="AX939" s="29">
        <f t="shared" si="1122"/>
        <v>562753</v>
      </c>
      <c r="AY939" s="24">
        <f t="shared" si="1123"/>
        <v>-300932</v>
      </c>
      <c r="AZ939" s="25">
        <f t="shared" si="1124"/>
        <v>-0.34842795695189799</v>
      </c>
      <c r="BA939" s="24">
        <f t="shared" si="1125"/>
        <v>1038339</v>
      </c>
      <c r="BB939" s="169">
        <f t="shared" si="1126"/>
        <v>1.2022195592142968</v>
      </c>
      <c r="BC939" s="305">
        <f t="shared" si="1127"/>
        <v>562753</v>
      </c>
      <c r="BD939" s="293"/>
      <c r="BE939" s="293"/>
      <c r="BF939" s="293"/>
      <c r="BG939" s="293"/>
      <c r="BH939" s="293"/>
      <c r="BI939" s="293"/>
      <c r="BJ939" s="293"/>
      <c r="BK939" s="293"/>
      <c r="BL939" s="327"/>
      <c r="BM939" s="293"/>
      <c r="BN939" s="293"/>
      <c r="BO939" s="293"/>
      <c r="BP939" s="293"/>
      <c r="BQ939" s="293"/>
      <c r="BR939" s="293"/>
      <c r="BS939" s="293"/>
      <c r="BT939" s="293"/>
    </row>
    <row r="940" spans="1:72" s="1" customFormat="1" ht="45.95" customHeight="1">
      <c r="A940" s="91"/>
      <c r="B940" s="358" t="s">
        <v>3132</v>
      </c>
      <c r="C940" s="15" t="s">
        <v>1230</v>
      </c>
      <c r="D940" s="177" t="s">
        <v>1231</v>
      </c>
      <c r="E940" s="141" t="s">
        <v>827</v>
      </c>
      <c r="F940" s="45"/>
      <c r="G940" s="31"/>
      <c r="H940" s="31"/>
      <c r="I940" s="98"/>
      <c r="J940" s="76"/>
      <c r="K940" s="24"/>
      <c r="L940" s="25"/>
      <c r="M940" s="77"/>
      <c r="N940" s="77"/>
      <c r="O940" s="70"/>
      <c r="P940" s="70"/>
      <c r="Q940" s="70"/>
      <c r="R940" s="70"/>
      <c r="S940" s="70"/>
      <c r="T940" s="70"/>
      <c r="U940" s="70"/>
      <c r="V940" s="71"/>
      <c r="W940" s="71"/>
      <c r="X940" s="71"/>
      <c r="Y940" s="72"/>
      <c r="Z940" s="111"/>
      <c r="AA940" s="120"/>
      <c r="AB940" s="120"/>
      <c r="AC940" s="120"/>
      <c r="AD940" s="120"/>
      <c r="AE940" s="120"/>
      <c r="AF940" s="120"/>
      <c r="AG940" s="120"/>
      <c r="AH940" s="120"/>
      <c r="AI940" s="120"/>
      <c r="AJ940" s="250"/>
      <c r="AK940" s="250"/>
      <c r="AL940" s="250"/>
      <c r="AM940" s="250"/>
      <c r="AN940" s="250"/>
      <c r="AO940" s="250"/>
      <c r="AP940" s="250"/>
      <c r="AQ940" s="250"/>
      <c r="AR940" s="250"/>
      <c r="AS940" s="117"/>
      <c r="AT940" s="10">
        <v>10670</v>
      </c>
      <c r="AU940" s="10">
        <v>16000</v>
      </c>
      <c r="AV940" s="167">
        <v>64000</v>
      </c>
      <c r="AW940" s="168">
        <v>15700</v>
      </c>
      <c r="AX940" s="29">
        <f t="shared" si="1122"/>
        <v>15850</v>
      </c>
      <c r="AY940" s="24">
        <f t="shared" si="1123"/>
        <v>5180</v>
      </c>
      <c r="AZ940" s="25">
        <f t="shared" si="1124"/>
        <v>0.48547328959700092</v>
      </c>
      <c r="BA940" s="24">
        <f t="shared" si="1125"/>
        <v>53330</v>
      </c>
      <c r="BB940" s="169">
        <f t="shared" si="1126"/>
        <v>4.998125585754452</v>
      </c>
      <c r="BC940" s="305">
        <f t="shared" si="1127"/>
        <v>15850</v>
      </c>
      <c r="BD940" s="293"/>
      <c r="BE940" s="293"/>
      <c r="BF940" s="293"/>
      <c r="BG940" s="293"/>
      <c r="BH940" s="293"/>
      <c r="BI940" s="293"/>
      <c r="BJ940" s="293"/>
      <c r="BK940" s="293"/>
      <c r="BL940" s="327"/>
      <c r="BM940" s="293"/>
      <c r="BN940" s="293"/>
      <c r="BO940" s="293"/>
      <c r="BP940" s="293"/>
      <c r="BQ940" s="293"/>
      <c r="BR940" s="293"/>
      <c r="BS940" s="293"/>
      <c r="BT940" s="293"/>
    </row>
    <row r="941" spans="1:72" ht="42" customHeight="1">
      <c r="B941" s="358" t="s">
        <v>3133</v>
      </c>
      <c r="C941" s="15" t="s">
        <v>1232</v>
      </c>
      <c r="D941" s="177" t="s">
        <v>1233</v>
      </c>
      <c r="E941" s="141" t="s">
        <v>827</v>
      </c>
      <c r="F941" s="11"/>
      <c r="G941" s="7"/>
      <c r="H941" s="7"/>
      <c r="I941" s="7"/>
      <c r="J941" s="3"/>
      <c r="K941" s="3"/>
      <c r="L941" s="3"/>
      <c r="M941" s="254"/>
      <c r="N941" s="77"/>
      <c r="O941" s="70"/>
      <c r="P941" s="70"/>
      <c r="Q941" s="70"/>
      <c r="R941" s="70"/>
      <c r="S941" s="70"/>
      <c r="T941" s="70"/>
      <c r="U941" s="70"/>
      <c r="V941" s="71"/>
      <c r="W941" s="71"/>
      <c r="X941" s="71"/>
      <c r="Y941" s="72"/>
      <c r="Z941" s="111"/>
      <c r="AA941" s="120"/>
      <c r="AB941" s="120"/>
      <c r="AC941" s="120"/>
      <c r="AD941" s="120"/>
      <c r="AE941" s="120"/>
      <c r="AF941" s="120"/>
      <c r="AG941" s="120"/>
      <c r="AH941" s="120"/>
      <c r="AI941" s="120"/>
      <c r="AJ941" s="250"/>
      <c r="AK941" s="250"/>
      <c r="AL941" s="250"/>
      <c r="AM941" s="250"/>
      <c r="AN941" s="250"/>
      <c r="AO941" s="250"/>
      <c r="AP941" s="250"/>
      <c r="AQ941" s="250"/>
      <c r="AR941" s="250"/>
      <c r="AS941" s="117"/>
      <c r="AT941" s="10">
        <v>10670</v>
      </c>
      <c r="AU941" s="10">
        <v>20000</v>
      </c>
      <c r="AV941" s="167">
        <v>80000</v>
      </c>
      <c r="AW941" s="168">
        <v>19800</v>
      </c>
      <c r="AX941" s="29">
        <f t="shared" si="1122"/>
        <v>19900</v>
      </c>
      <c r="AY941" s="24">
        <f t="shared" si="1123"/>
        <v>9230</v>
      </c>
      <c r="AZ941" s="25">
        <f t="shared" si="1124"/>
        <v>0.86504217432052488</v>
      </c>
      <c r="BA941" s="24">
        <f t="shared" si="1125"/>
        <v>69330</v>
      </c>
      <c r="BB941" s="169">
        <f t="shared" si="1126"/>
        <v>6.4976569821930648</v>
      </c>
      <c r="BC941" s="305">
        <f t="shared" si="1127"/>
        <v>19900</v>
      </c>
      <c r="BD941" s="293"/>
      <c r="BE941" s="293"/>
      <c r="BF941" s="293"/>
      <c r="BG941" s="293"/>
      <c r="BH941" s="293"/>
      <c r="BI941" s="293"/>
      <c r="BJ941" s="293"/>
      <c r="BK941" s="293"/>
      <c r="BL941" s="327"/>
      <c r="BM941" s="293"/>
      <c r="BN941" s="293"/>
      <c r="BO941" s="293"/>
      <c r="BP941" s="293"/>
      <c r="BQ941" s="293"/>
      <c r="BR941" s="293"/>
      <c r="BS941" s="293"/>
      <c r="BT941" s="293"/>
    </row>
    <row r="942" spans="1:72" ht="32.1" customHeight="1">
      <c r="B942" s="358" t="s">
        <v>3134</v>
      </c>
      <c r="C942" s="15" t="s">
        <v>1234</v>
      </c>
      <c r="D942" s="177" t="s">
        <v>1235</v>
      </c>
      <c r="E942" s="141" t="s">
        <v>14</v>
      </c>
      <c r="F942" s="11"/>
      <c r="G942" s="7"/>
      <c r="H942" s="7"/>
      <c r="I942" s="7"/>
      <c r="J942" s="3"/>
      <c r="K942" s="3"/>
      <c r="L942" s="3"/>
      <c r="M942" s="254"/>
      <c r="N942" s="77"/>
      <c r="O942" s="70"/>
      <c r="P942" s="70"/>
      <c r="Q942" s="70"/>
      <c r="R942" s="70"/>
      <c r="S942" s="70"/>
      <c r="T942" s="70"/>
      <c r="U942" s="70"/>
      <c r="V942" s="71"/>
      <c r="W942" s="71"/>
      <c r="X942" s="71"/>
      <c r="Y942" s="72"/>
      <c r="Z942" s="111"/>
      <c r="AA942" s="120"/>
      <c r="AB942" s="120"/>
      <c r="AC942" s="120"/>
      <c r="AD942" s="120"/>
      <c r="AE942" s="120"/>
      <c r="AF942" s="120"/>
      <c r="AG942" s="120"/>
      <c r="AH942" s="120"/>
      <c r="AI942" s="120"/>
      <c r="AJ942" s="250"/>
      <c r="AK942" s="250"/>
      <c r="AL942" s="250"/>
      <c r="AM942" s="250"/>
      <c r="AN942" s="250"/>
      <c r="AO942" s="250"/>
      <c r="AP942" s="250"/>
      <c r="AQ942" s="250"/>
      <c r="AR942" s="250"/>
      <c r="AS942" s="117"/>
      <c r="AT942" s="10">
        <v>113285</v>
      </c>
      <c r="AU942" s="10"/>
      <c r="AV942" s="167">
        <v>32000</v>
      </c>
      <c r="AW942" s="168">
        <v>56000</v>
      </c>
      <c r="AX942" s="29">
        <f t="shared" si="1122"/>
        <v>56000</v>
      </c>
      <c r="AY942" s="24">
        <f t="shared" si="1123"/>
        <v>-57285</v>
      </c>
      <c r="AZ942" s="25">
        <f t="shared" si="1124"/>
        <v>-0.50567153639051954</v>
      </c>
      <c r="BA942" s="24">
        <f t="shared" si="1125"/>
        <v>-81285</v>
      </c>
      <c r="BB942" s="169">
        <f t="shared" si="1126"/>
        <v>-0.71752659222315396</v>
      </c>
      <c r="BC942" s="305">
        <f t="shared" si="1127"/>
        <v>56000</v>
      </c>
      <c r="BD942" s="293"/>
      <c r="BE942" s="293"/>
      <c r="BF942" s="293"/>
      <c r="BG942" s="293"/>
      <c r="BH942" s="293"/>
      <c r="BI942" s="293"/>
      <c r="BJ942" s="293"/>
      <c r="BK942" s="293"/>
      <c r="BL942" s="327"/>
      <c r="BM942" s="293"/>
      <c r="BN942" s="293"/>
      <c r="BO942" s="293"/>
      <c r="BP942" s="293"/>
      <c r="BQ942" s="293"/>
      <c r="BR942" s="293"/>
      <c r="BS942" s="293"/>
      <c r="BT942" s="293"/>
    </row>
    <row r="943" spans="1:72" ht="32.1" customHeight="1">
      <c r="B943" s="358" t="s">
        <v>3135</v>
      </c>
      <c r="C943" s="15" t="s">
        <v>1236</v>
      </c>
      <c r="D943" s="177" t="s">
        <v>1237</v>
      </c>
      <c r="E943" s="141" t="s">
        <v>14</v>
      </c>
      <c r="F943" s="11"/>
      <c r="G943" s="7"/>
      <c r="H943" s="7"/>
      <c r="I943" s="7"/>
      <c r="J943" s="3"/>
      <c r="K943" s="3"/>
      <c r="L943" s="3"/>
      <c r="M943" s="254"/>
      <c r="N943" s="77"/>
      <c r="O943" s="70"/>
      <c r="P943" s="70"/>
      <c r="Q943" s="70"/>
      <c r="R943" s="70"/>
      <c r="S943" s="70"/>
      <c r="T943" s="70"/>
      <c r="U943" s="70"/>
      <c r="V943" s="71"/>
      <c r="W943" s="71"/>
      <c r="X943" s="71"/>
      <c r="Y943" s="72"/>
      <c r="Z943" s="111"/>
      <c r="AA943" s="120"/>
      <c r="AB943" s="120"/>
      <c r="AC943" s="120"/>
      <c r="AD943" s="120"/>
      <c r="AE943" s="120"/>
      <c r="AF943" s="120"/>
      <c r="AG943" s="120"/>
      <c r="AH943" s="120"/>
      <c r="AI943" s="120"/>
      <c r="AJ943" s="250"/>
      <c r="AK943" s="250"/>
      <c r="AL943" s="250"/>
      <c r="AM943" s="250"/>
      <c r="AN943" s="250"/>
      <c r="AO943" s="250"/>
      <c r="AP943" s="250"/>
      <c r="AQ943" s="250"/>
      <c r="AR943" s="250"/>
      <c r="AS943" s="117"/>
      <c r="AT943" s="10">
        <v>1422540</v>
      </c>
      <c r="AU943" s="10">
        <v>650000</v>
      </c>
      <c r="AV943" s="167">
        <v>1950000</v>
      </c>
      <c r="AW943" s="168">
        <v>600000</v>
      </c>
      <c r="AX943" s="29">
        <f t="shared" si="1122"/>
        <v>625000</v>
      </c>
      <c r="AY943" s="24">
        <f t="shared" si="1123"/>
        <v>-797540</v>
      </c>
      <c r="AZ943" s="25">
        <f t="shared" si="1124"/>
        <v>-0.56064504337312127</v>
      </c>
      <c r="BA943" s="24">
        <f t="shared" si="1125"/>
        <v>527460</v>
      </c>
      <c r="BB943" s="169">
        <f t="shared" si="1126"/>
        <v>0.37078746467586149</v>
      </c>
      <c r="BC943" s="305">
        <f t="shared" si="1127"/>
        <v>625000</v>
      </c>
      <c r="BD943" s="293"/>
      <c r="BE943" s="293"/>
      <c r="BF943" s="293"/>
      <c r="BG943" s="293"/>
      <c r="BH943" s="293"/>
      <c r="BI943" s="293"/>
      <c r="BJ943" s="293"/>
      <c r="BK943" s="293"/>
      <c r="BL943" s="327"/>
      <c r="BM943" s="293"/>
      <c r="BN943" s="293"/>
      <c r="BO943" s="293"/>
      <c r="BP943" s="293"/>
      <c r="BQ943" s="293"/>
      <c r="BR943" s="293"/>
      <c r="BS943" s="293"/>
      <c r="BT943" s="293"/>
    </row>
    <row r="944" spans="1:72" ht="32.1" customHeight="1">
      <c r="B944" s="358" t="s">
        <v>3136</v>
      </c>
      <c r="C944" s="15" t="s">
        <v>1238</v>
      </c>
      <c r="D944" s="177" t="s">
        <v>1239</v>
      </c>
      <c r="E944" s="141" t="s">
        <v>14</v>
      </c>
      <c r="F944" s="11"/>
      <c r="G944" s="7"/>
      <c r="H944" s="7"/>
      <c r="I944" s="7"/>
      <c r="J944" s="3"/>
      <c r="K944" s="3"/>
      <c r="L944" s="3"/>
      <c r="M944" s="254"/>
      <c r="N944" s="77"/>
      <c r="O944" s="70"/>
      <c r="P944" s="70"/>
      <c r="Q944" s="70"/>
      <c r="R944" s="70"/>
      <c r="S944" s="70"/>
      <c r="T944" s="70"/>
      <c r="U944" s="70"/>
      <c r="V944" s="71"/>
      <c r="W944" s="71"/>
      <c r="X944" s="71"/>
      <c r="Y944" s="72"/>
      <c r="Z944" s="111"/>
      <c r="AA944" s="120"/>
      <c r="AB944" s="120"/>
      <c r="AC944" s="120"/>
      <c r="AD944" s="120"/>
      <c r="AE944" s="120"/>
      <c r="AF944" s="120"/>
      <c r="AG944" s="120"/>
      <c r="AH944" s="120"/>
      <c r="AI944" s="120"/>
      <c r="AJ944" s="250"/>
      <c r="AK944" s="250"/>
      <c r="AL944" s="250"/>
      <c r="AM944" s="250"/>
      <c r="AN944" s="250"/>
      <c r="AO944" s="250"/>
      <c r="AP944" s="250"/>
      <c r="AQ944" s="250"/>
      <c r="AR944" s="250"/>
      <c r="AS944" s="117"/>
      <c r="AT944" s="10">
        <v>365796</v>
      </c>
      <c r="AU944" s="10">
        <v>450000</v>
      </c>
      <c r="AV944" s="167">
        <v>1350000</v>
      </c>
      <c r="AW944" s="168">
        <v>400000</v>
      </c>
      <c r="AX944" s="29">
        <f t="shared" si="1122"/>
        <v>425000</v>
      </c>
      <c r="AY944" s="24">
        <f t="shared" si="1123"/>
        <v>59204</v>
      </c>
      <c r="AZ944" s="25">
        <f t="shared" si="1124"/>
        <v>0.16184977419107918</v>
      </c>
      <c r="BA944" s="24">
        <f t="shared" si="1125"/>
        <v>984204</v>
      </c>
      <c r="BB944" s="169">
        <f t="shared" si="1126"/>
        <v>2.6905816356657808</v>
      </c>
      <c r="BC944" s="305">
        <f t="shared" si="1127"/>
        <v>425000</v>
      </c>
      <c r="BD944" s="293"/>
      <c r="BE944" s="293"/>
      <c r="BF944" s="293"/>
      <c r="BG944" s="293"/>
      <c r="BH944" s="293"/>
      <c r="BI944" s="293"/>
      <c r="BJ944" s="293"/>
      <c r="BK944" s="293"/>
      <c r="BL944" s="327"/>
      <c r="BM944" s="293"/>
      <c r="BN944" s="293"/>
      <c r="BO944" s="293"/>
      <c r="BP944" s="293"/>
      <c r="BQ944" s="293"/>
      <c r="BR944" s="293"/>
      <c r="BS944" s="293"/>
      <c r="BT944" s="293"/>
    </row>
    <row r="945" spans="2:72" ht="32.1" customHeight="1">
      <c r="B945" s="358" t="s">
        <v>3137</v>
      </c>
      <c r="C945" s="15" t="s">
        <v>1240</v>
      </c>
      <c r="D945" s="177" t="s">
        <v>1241</v>
      </c>
      <c r="E945" s="141" t="s">
        <v>14</v>
      </c>
      <c r="F945" s="11"/>
      <c r="G945" s="7"/>
      <c r="H945" s="7"/>
      <c r="I945" s="7"/>
      <c r="J945" s="3"/>
      <c r="K945" s="3"/>
      <c r="L945" s="3"/>
      <c r="M945" s="254"/>
      <c r="N945" s="77"/>
      <c r="O945" s="70"/>
      <c r="P945" s="70"/>
      <c r="Q945" s="70"/>
      <c r="R945" s="70"/>
      <c r="S945" s="70"/>
      <c r="T945" s="70"/>
      <c r="U945" s="70"/>
      <c r="V945" s="71"/>
      <c r="W945" s="71"/>
      <c r="X945" s="71"/>
      <c r="Y945" s="72"/>
      <c r="Z945" s="111"/>
      <c r="AA945" s="120"/>
      <c r="AB945" s="120"/>
      <c r="AC945" s="120"/>
      <c r="AD945" s="120"/>
      <c r="AE945" s="120"/>
      <c r="AF945" s="120"/>
      <c r="AG945" s="120"/>
      <c r="AH945" s="120"/>
      <c r="AI945" s="120"/>
      <c r="AJ945" s="250"/>
      <c r="AK945" s="250"/>
      <c r="AL945" s="250"/>
      <c r="AM945" s="250"/>
      <c r="AN945" s="250"/>
      <c r="AO945" s="250"/>
      <c r="AP945" s="250"/>
      <c r="AQ945" s="250"/>
      <c r="AR945" s="250"/>
      <c r="AS945" s="117"/>
      <c r="AT945" s="10">
        <v>457245</v>
      </c>
      <c r="AU945" s="10">
        <v>650000</v>
      </c>
      <c r="AV945" s="167">
        <v>1950000</v>
      </c>
      <c r="AW945" s="168">
        <v>567000</v>
      </c>
      <c r="AX945" s="29">
        <f t="shared" si="1122"/>
        <v>608500</v>
      </c>
      <c r="AY945" s="24">
        <f t="shared" si="1123"/>
        <v>151255</v>
      </c>
      <c r="AZ945" s="25">
        <f t="shared" si="1124"/>
        <v>0.33079640017933493</v>
      </c>
      <c r="BA945" s="24">
        <f t="shared" si="1125"/>
        <v>1492755</v>
      </c>
      <c r="BB945" s="169">
        <f t="shared" si="1126"/>
        <v>3.2646721123249023</v>
      </c>
      <c r="BC945" s="305">
        <f t="shared" si="1127"/>
        <v>608500</v>
      </c>
      <c r="BD945" s="293"/>
      <c r="BE945" s="293"/>
      <c r="BF945" s="293"/>
      <c r="BG945" s="293"/>
      <c r="BH945" s="293"/>
      <c r="BI945" s="293"/>
      <c r="BJ945" s="293"/>
      <c r="BK945" s="293"/>
      <c r="BL945" s="327"/>
      <c r="BM945" s="293"/>
      <c r="BN945" s="293"/>
      <c r="BO945" s="293"/>
      <c r="BP945" s="293"/>
      <c r="BQ945" s="293"/>
      <c r="BR945" s="293"/>
      <c r="BS945" s="293"/>
      <c r="BT945" s="293"/>
    </row>
    <row r="946" spans="2:72" ht="32.1" customHeight="1">
      <c r="B946" s="358" t="s">
        <v>3138</v>
      </c>
      <c r="C946" s="15" t="s">
        <v>1242</v>
      </c>
      <c r="D946" s="177" t="s">
        <v>1243</v>
      </c>
      <c r="E946" s="141" t="s">
        <v>14</v>
      </c>
      <c r="F946" s="11"/>
      <c r="G946" s="7"/>
      <c r="H946" s="7"/>
      <c r="I946" s="7"/>
      <c r="J946" s="3"/>
      <c r="K946" s="3"/>
      <c r="L946" s="3"/>
      <c r="M946" s="254"/>
      <c r="N946" s="77"/>
      <c r="O946" s="70"/>
      <c r="P946" s="70"/>
      <c r="Q946" s="70"/>
      <c r="R946" s="70"/>
      <c r="S946" s="70"/>
      <c r="T946" s="70"/>
      <c r="U946" s="70"/>
      <c r="V946" s="71"/>
      <c r="W946" s="71"/>
      <c r="X946" s="71"/>
      <c r="Y946" s="72"/>
      <c r="Z946" s="111"/>
      <c r="AA946" s="120"/>
      <c r="AB946" s="120"/>
      <c r="AC946" s="120"/>
      <c r="AD946" s="120"/>
      <c r="AE946" s="120"/>
      <c r="AF946" s="120"/>
      <c r="AG946" s="120"/>
      <c r="AH946" s="120"/>
      <c r="AI946" s="120"/>
      <c r="AJ946" s="250"/>
      <c r="AK946" s="250"/>
      <c r="AL946" s="250"/>
      <c r="AM946" s="250"/>
      <c r="AN946" s="250"/>
      <c r="AO946" s="250"/>
      <c r="AP946" s="250"/>
      <c r="AQ946" s="250"/>
      <c r="AR946" s="250"/>
      <c r="AS946" s="117"/>
      <c r="AT946" s="10">
        <v>1524150</v>
      </c>
      <c r="AU946" s="10">
        <v>281145</v>
      </c>
      <c r="AV946" s="167">
        <v>843435</v>
      </c>
      <c r="AW946" s="168">
        <v>345000</v>
      </c>
      <c r="AX946" s="29">
        <f t="shared" si="1122"/>
        <v>313072.5</v>
      </c>
      <c r="AY946" s="24">
        <f t="shared" si="1123"/>
        <v>-1211077.5</v>
      </c>
      <c r="AZ946" s="25">
        <f t="shared" si="1124"/>
        <v>-0.79459206770987112</v>
      </c>
      <c r="BA946" s="24">
        <f t="shared" si="1125"/>
        <v>-680715</v>
      </c>
      <c r="BB946" s="169">
        <f t="shared" si="1126"/>
        <v>-0.44661942722173015</v>
      </c>
      <c r="BC946" s="305">
        <f t="shared" si="1127"/>
        <v>313072.5</v>
      </c>
      <c r="BD946" s="293"/>
      <c r="BE946" s="293"/>
      <c r="BF946" s="293"/>
      <c r="BG946" s="293"/>
      <c r="BH946" s="293"/>
      <c r="BI946" s="293"/>
      <c r="BJ946" s="293"/>
      <c r="BK946" s="293"/>
      <c r="BL946" s="327"/>
      <c r="BM946" s="293"/>
      <c r="BN946" s="293"/>
      <c r="BO946" s="293"/>
      <c r="BP946" s="293"/>
      <c r="BQ946" s="293"/>
      <c r="BR946" s="293"/>
      <c r="BS946" s="293"/>
      <c r="BT946" s="293"/>
    </row>
    <row r="947" spans="2:72" ht="32.1" customHeight="1">
      <c r="B947" s="358" t="s">
        <v>3139</v>
      </c>
      <c r="C947" s="15" t="s">
        <v>1244</v>
      </c>
      <c r="D947" s="177" t="s">
        <v>1245</v>
      </c>
      <c r="E947" s="141" t="s">
        <v>14</v>
      </c>
      <c r="F947" s="11"/>
      <c r="G947" s="7"/>
      <c r="H947" s="7"/>
      <c r="I947" s="7"/>
      <c r="J947" s="3"/>
      <c r="K947" s="3"/>
      <c r="L947" s="3"/>
      <c r="M947" s="254"/>
      <c r="N947" s="77"/>
      <c r="O947" s="70"/>
      <c r="P947" s="70"/>
      <c r="Q947" s="70"/>
      <c r="R947" s="70"/>
      <c r="S947" s="70"/>
      <c r="T947" s="70"/>
      <c r="U947" s="70"/>
      <c r="V947" s="71"/>
      <c r="W947" s="71"/>
      <c r="X947" s="71"/>
      <c r="Y947" s="72"/>
      <c r="Z947" s="111"/>
      <c r="AA947" s="120"/>
      <c r="AB947" s="120"/>
      <c r="AC947" s="120"/>
      <c r="AD947" s="120"/>
      <c r="AE947" s="120"/>
      <c r="AF947" s="120"/>
      <c r="AG947" s="120"/>
      <c r="AH947" s="120"/>
      <c r="AI947" s="120"/>
      <c r="AJ947" s="250"/>
      <c r="AK947" s="250"/>
      <c r="AL947" s="250"/>
      <c r="AM947" s="250"/>
      <c r="AN947" s="250"/>
      <c r="AO947" s="250"/>
      <c r="AP947" s="250"/>
      <c r="AQ947" s="250"/>
      <c r="AR947" s="250"/>
      <c r="AS947" s="117"/>
      <c r="AT947" s="10">
        <v>1219320</v>
      </c>
      <c r="AU947" s="10">
        <v>281145</v>
      </c>
      <c r="AV947" s="167">
        <v>562290</v>
      </c>
      <c r="AW947" s="168">
        <v>345000</v>
      </c>
      <c r="AX947" s="29">
        <f t="shared" si="1122"/>
        <v>313072.5</v>
      </c>
      <c r="AY947" s="24">
        <f t="shared" si="1123"/>
        <v>-906247.5</v>
      </c>
      <c r="AZ947" s="25">
        <f t="shared" si="1124"/>
        <v>-0.74324008463733882</v>
      </c>
      <c r="BA947" s="24">
        <f t="shared" si="1125"/>
        <v>-657030</v>
      </c>
      <c r="BB947" s="169">
        <f t="shared" si="1126"/>
        <v>-0.53884952268477515</v>
      </c>
      <c r="BC947" s="305">
        <f t="shared" si="1127"/>
        <v>313072.5</v>
      </c>
      <c r="BD947" s="293"/>
      <c r="BE947" s="293"/>
      <c r="BF947" s="293"/>
      <c r="BG947" s="293"/>
      <c r="BH947" s="293"/>
      <c r="BI947" s="293"/>
      <c r="BJ947" s="293"/>
      <c r="BK947" s="293"/>
      <c r="BL947" s="327"/>
      <c r="BM947" s="293"/>
      <c r="BN947" s="293"/>
      <c r="BO947" s="293"/>
      <c r="BP947" s="293"/>
      <c r="BQ947" s="293"/>
      <c r="BR947" s="293"/>
      <c r="BS947" s="293"/>
      <c r="BT947" s="293"/>
    </row>
    <row r="948" spans="2:72" ht="71.099999999999994" customHeight="1">
      <c r="B948" s="358" t="s">
        <v>3140</v>
      </c>
      <c r="C948" s="15" t="s">
        <v>1246</v>
      </c>
      <c r="D948" s="177" t="s">
        <v>1247</v>
      </c>
      <c r="E948" s="141" t="s">
        <v>14</v>
      </c>
      <c r="F948" s="11"/>
      <c r="G948" s="7"/>
      <c r="H948" s="7"/>
      <c r="I948" s="7"/>
      <c r="J948" s="3"/>
      <c r="K948" s="3"/>
      <c r="L948" s="3"/>
      <c r="M948" s="254"/>
      <c r="N948" s="77"/>
      <c r="O948" s="70"/>
      <c r="P948" s="70"/>
      <c r="Q948" s="70"/>
      <c r="R948" s="70"/>
      <c r="S948" s="70"/>
      <c r="T948" s="70"/>
      <c r="U948" s="70"/>
      <c r="V948" s="71"/>
      <c r="W948" s="71"/>
      <c r="X948" s="71"/>
      <c r="Y948" s="72"/>
      <c r="Z948" s="111"/>
      <c r="AA948" s="120"/>
      <c r="AB948" s="120"/>
      <c r="AC948" s="120"/>
      <c r="AD948" s="120"/>
      <c r="AE948" s="120"/>
      <c r="AF948" s="120"/>
      <c r="AG948" s="120"/>
      <c r="AH948" s="120"/>
      <c r="AI948" s="120"/>
      <c r="AJ948" s="250"/>
      <c r="AK948" s="250"/>
      <c r="AL948" s="250"/>
      <c r="AM948" s="250"/>
      <c r="AN948" s="250"/>
      <c r="AO948" s="250"/>
      <c r="AP948" s="250"/>
      <c r="AQ948" s="250"/>
      <c r="AR948" s="250"/>
      <c r="AS948" s="117"/>
      <c r="AT948" s="10">
        <v>159891</v>
      </c>
      <c r="AU948" s="10"/>
      <c r="AV948" s="167">
        <v>350000</v>
      </c>
      <c r="AW948" s="168">
        <v>125000</v>
      </c>
      <c r="AX948" s="29">
        <f t="shared" si="1122"/>
        <v>125000</v>
      </c>
      <c r="AY948" s="24">
        <f t="shared" si="1123"/>
        <v>-34891</v>
      </c>
      <c r="AZ948" s="25">
        <f t="shared" si="1124"/>
        <v>-0.21821741061097874</v>
      </c>
      <c r="BA948" s="24">
        <f t="shared" si="1125"/>
        <v>190109</v>
      </c>
      <c r="BB948" s="169">
        <f t="shared" si="1126"/>
        <v>1.1889912502892594</v>
      </c>
      <c r="BC948" s="305">
        <f t="shared" si="1127"/>
        <v>125000</v>
      </c>
      <c r="BD948" s="293"/>
      <c r="BE948" s="293"/>
      <c r="BF948" s="293"/>
      <c r="BG948" s="293"/>
      <c r="BH948" s="293"/>
      <c r="BI948" s="293"/>
      <c r="BJ948" s="293"/>
      <c r="BK948" s="293"/>
      <c r="BL948" s="327"/>
      <c r="BM948" s="293"/>
      <c r="BN948" s="293"/>
      <c r="BO948" s="293"/>
      <c r="BP948" s="293"/>
      <c r="BQ948" s="293"/>
      <c r="BR948" s="293"/>
      <c r="BS948" s="293"/>
      <c r="BT948" s="293"/>
    </row>
    <row r="949" spans="2:72" ht="62.1" customHeight="1">
      <c r="B949" s="358" t="s">
        <v>3141</v>
      </c>
      <c r="C949" s="15" t="s">
        <v>1248</v>
      </c>
      <c r="D949" s="177" t="s">
        <v>1249</v>
      </c>
      <c r="E949" s="141" t="s">
        <v>14</v>
      </c>
      <c r="F949" s="11"/>
      <c r="G949" s="7"/>
      <c r="H949" s="7"/>
      <c r="I949" s="7"/>
      <c r="J949" s="3"/>
      <c r="K949" s="3"/>
      <c r="L949" s="3"/>
      <c r="M949" s="254"/>
      <c r="N949" s="77"/>
      <c r="O949" s="70"/>
      <c r="P949" s="70"/>
      <c r="Q949" s="70"/>
      <c r="R949" s="70"/>
      <c r="S949" s="70"/>
      <c r="T949" s="70"/>
      <c r="U949" s="70"/>
      <c r="V949" s="71"/>
      <c r="W949" s="71"/>
      <c r="X949" s="71"/>
      <c r="Y949" s="72"/>
      <c r="Z949" s="111"/>
      <c r="AA949" s="120"/>
      <c r="AB949" s="120"/>
      <c r="AC949" s="120"/>
      <c r="AD949" s="120"/>
      <c r="AE949" s="120"/>
      <c r="AF949" s="120"/>
      <c r="AG949" s="120"/>
      <c r="AH949" s="120"/>
      <c r="AI949" s="120"/>
      <c r="AJ949" s="250"/>
      <c r="AK949" s="250"/>
      <c r="AL949" s="250"/>
      <c r="AM949" s="250"/>
      <c r="AN949" s="250"/>
      <c r="AO949" s="250"/>
      <c r="AP949" s="250"/>
      <c r="AQ949" s="250"/>
      <c r="AR949" s="250"/>
      <c r="AS949" s="117"/>
      <c r="AT949" s="10">
        <v>107322</v>
      </c>
      <c r="AU949" s="10"/>
      <c r="AV949" s="167">
        <v>35000</v>
      </c>
      <c r="AW949" s="168">
        <v>125000</v>
      </c>
      <c r="AX949" s="29">
        <f t="shared" si="1122"/>
        <v>125000</v>
      </c>
      <c r="AY949" s="24">
        <f t="shared" si="1123"/>
        <v>17678</v>
      </c>
      <c r="AZ949" s="25">
        <f t="shared" si="1124"/>
        <v>0.16471925607051677</v>
      </c>
      <c r="BA949" s="24">
        <f t="shared" si="1125"/>
        <v>-72322</v>
      </c>
      <c r="BB949" s="169">
        <f t="shared" si="1126"/>
        <v>-0.67387860830025526</v>
      </c>
      <c r="BC949" s="305">
        <f t="shared" si="1127"/>
        <v>125000</v>
      </c>
      <c r="BD949" s="293"/>
      <c r="BE949" s="293"/>
      <c r="BF949" s="293"/>
      <c r="BG949" s="293"/>
      <c r="BH949" s="293"/>
      <c r="BI949" s="293"/>
      <c r="BJ949" s="293"/>
      <c r="BK949" s="293"/>
      <c r="BL949" s="327"/>
      <c r="BM949" s="293"/>
      <c r="BN949" s="293"/>
      <c r="BO949" s="293"/>
      <c r="BP949" s="293"/>
      <c r="BQ949" s="293"/>
      <c r="BR949" s="293"/>
      <c r="BS949" s="293"/>
      <c r="BT949" s="293"/>
    </row>
    <row r="950" spans="2:72" ht="48" customHeight="1">
      <c r="B950" s="358" t="s">
        <v>3142</v>
      </c>
      <c r="C950" s="15" t="s">
        <v>1250</v>
      </c>
      <c r="D950" s="177" t="s">
        <v>1251</v>
      </c>
      <c r="E950" s="141" t="s">
        <v>10</v>
      </c>
      <c r="F950" s="11"/>
      <c r="G950" s="7"/>
      <c r="H950" s="7"/>
      <c r="I950" s="7"/>
      <c r="J950" s="3"/>
      <c r="K950" s="3"/>
      <c r="L950" s="3"/>
      <c r="M950" s="254"/>
      <c r="N950" s="77"/>
      <c r="O950" s="70"/>
      <c r="P950" s="70"/>
      <c r="Q950" s="70"/>
      <c r="R950" s="70"/>
      <c r="S950" s="70"/>
      <c r="T950" s="70"/>
      <c r="U950" s="70"/>
      <c r="V950" s="71"/>
      <c r="W950" s="71"/>
      <c r="X950" s="71"/>
      <c r="Y950" s="72"/>
      <c r="Z950" s="111"/>
      <c r="AA950" s="120"/>
      <c r="AB950" s="120"/>
      <c r="AC950" s="120"/>
      <c r="AD950" s="120"/>
      <c r="AE950" s="120"/>
      <c r="AF950" s="120"/>
      <c r="AG950" s="120"/>
      <c r="AH950" s="120"/>
      <c r="AI950" s="120"/>
      <c r="AJ950" s="250"/>
      <c r="AK950" s="250"/>
      <c r="AL950" s="250"/>
      <c r="AM950" s="250"/>
      <c r="AN950" s="250"/>
      <c r="AO950" s="250"/>
      <c r="AP950" s="250"/>
      <c r="AQ950" s="250"/>
      <c r="AR950" s="250"/>
      <c r="AS950" s="117"/>
      <c r="AT950" s="10">
        <v>55895</v>
      </c>
      <c r="AU950" s="10">
        <v>93077.64</v>
      </c>
      <c r="AV950" s="167">
        <v>186155.28</v>
      </c>
      <c r="AW950" s="168">
        <v>90500</v>
      </c>
      <c r="AX950" s="29">
        <f t="shared" si="1122"/>
        <v>91788.82</v>
      </c>
      <c r="AY950" s="24">
        <f t="shared" si="1123"/>
        <v>35893.820000000007</v>
      </c>
      <c r="AZ950" s="25">
        <f t="shared" si="1124"/>
        <v>0.64216513104928896</v>
      </c>
      <c r="BA950" s="24">
        <f t="shared" si="1125"/>
        <v>130260.28</v>
      </c>
      <c r="BB950" s="169">
        <f t="shared" si="1126"/>
        <v>2.3304460148492709</v>
      </c>
      <c r="BC950" s="305">
        <f t="shared" si="1127"/>
        <v>91788.82</v>
      </c>
      <c r="BD950" s="293"/>
      <c r="BE950" s="293"/>
      <c r="BF950" s="293"/>
      <c r="BG950" s="293"/>
      <c r="BH950" s="293"/>
      <c r="BI950" s="293"/>
      <c r="BJ950" s="293"/>
      <c r="BK950" s="293"/>
      <c r="BL950" s="327"/>
      <c r="BM950" s="293"/>
      <c r="BN950" s="293"/>
      <c r="BO950" s="293"/>
      <c r="BP950" s="293"/>
      <c r="BQ950" s="293"/>
      <c r="BR950" s="293"/>
      <c r="BS950" s="293"/>
      <c r="BT950" s="293"/>
    </row>
    <row r="951" spans="2:72" ht="47.1" customHeight="1">
      <c r="B951" s="358" t="s">
        <v>3143</v>
      </c>
      <c r="C951" s="15" t="s">
        <v>1252</v>
      </c>
      <c r="D951" s="177" t="s">
        <v>1253</v>
      </c>
      <c r="E951" s="141" t="s">
        <v>13</v>
      </c>
      <c r="F951" s="11"/>
      <c r="G951" s="7"/>
      <c r="H951" s="7"/>
      <c r="I951" s="7"/>
      <c r="J951" s="3"/>
      <c r="K951" s="3"/>
      <c r="L951" s="3"/>
      <c r="M951" s="254"/>
      <c r="N951" s="77"/>
      <c r="O951" s="70"/>
      <c r="P951" s="70"/>
      <c r="Q951" s="70"/>
      <c r="R951" s="70"/>
      <c r="S951" s="70"/>
      <c r="T951" s="70"/>
      <c r="U951" s="70"/>
      <c r="V951" s="71"/>
      <c r="W951" s="71"/>
      <c r="X951" s="71"/>
      <c r="Y951" s="72"/>
      <c r="Z951" s="111"/>
      <c r="AA951" s="120"/>
      <c r="AB951" s="120"/>
      <c r="AC951" s="120"/>
      <c r="AD951" s="120"/>
      <c r="AE951" s="120"/>
      <c r="AF951" s="120"/>
      <c r="AG951" s="120"/>
      <c r="AH951" s="120"/>
      <c r="AI951" s="120"/>
      <c r="AJ951" s="250"/>
      <c r="AK951" s="250"/>
      <c r="AL951" s="250"/>
      <c r="AM951" s="250"/>
      <c r="AN951" s="250"/>
      <c r="AO951" s="250"/>
      <c r="AP951" s="250"/>
      <c r="AQ951" s="250"/>
      <c r="AR951" s="250"/>
      <c r="AS951" s="117"/>
      <c r="AT951" s="10">
        <v>38324</v>
      </c>
      <c r="AU951" s="10">
        <v>36818.54</v>
      </c>
      <c r="AV951" s="167">
        <v>73637.08</v>
      </c>
      <c r="AW951" s="168">
        <v>35000</v>
      </c>
      <c r="AX951" s="29">
        <f t="shared" si="1122"/>
        <v>35909.270000000004</v>
      </c>
      <c r="AY951" s="24">
        <f t="shared" si="1123"/>
        <v>-2414.7299999999959</v>
      </c>
      <c r="AZ951" s="25">
        <f t="shared" si="1124"/>
        <v>-6.3008297672476676E-2</v>
      </c>
      <c r="BA951" s="24">
        <f t="shared" si="1125"/>
        <v>35313.08</v>
      </c>
      <c r="BB951" s="169">
        <f t="shared" si="1126"/>
        <v>0.921435132032147</v>
      </c>
      <c r="BC951" s="305">
        <f t="shared" si="1127"/>
        <v>35909.270000000004</v>
      </c>
      <c r="BD951" s="293"/>
      <c r="BE951" s="293"/>
      <c r="BF951" s="293"/>
      <c r="BG951" s="293"/>
      <c r="BH951" s="293"/>
      <c r="BI951" s="293"/>
      <c r="BJ951" s="293"/>
      <c r="BK951" s="293"/>
      <c r="BL951" s="327"/>
      <c r="BM951" s="293"/>
      <c r="BN951" s="293"/>
      <c r="BO951" s="293"/>
      <c r="BP951" s="293"/>
      <c r="BQ951" s="293"/>
      <c r="BR951" s="293"/>
      <c r="BS951" s="293"/>
      <c r="BT951" s="293"/>
    </row>
    <row r="952" spans="2:72" ht="47.1" customHeight="1">
      <c r="B952" s="358" t="s">
        <v>3144</v>
      </c>
      <c r="C952" s="15" t="s">
        <v>1254</v>
      </c>
      <c r="D952" s="177" t="s">
        <v>1255</v>
      </c>
      <c r="E952" s="141" t="s">
        <v>14</v>
      </c>
      <c r="F952" s="11"/>
      <c r="G952" s="7"/>
      <c r="H952" s="7"/>
      <c r="I952" s="7"/>
      <c r="J952" s="3"/>
      <c r="K952" s="3"/>
      <c r="L952" s="3"/>
      <c r="M952" s="254"/>
      <c r="N952" s="77"/>
      <c r="O952" s="70"/>
      <c r="P952" s="70"/>
      <c r="Q952" s="70"/>
      <c r="R952" s="70"/>
      <c r="S952" s="70"/>
      <c r="T952" s="70"/>
      <c r="U952" s="70"/>
      <c r="V952" s="71"/>
      <c r="W952" s="71"/>
      <c r="X952" s="71"/>
      <c r="Y952" s="72"/>
      <c r="Z952" s="111"/>
      <c r="AA952" s="120"/>
      <c r="AB952" s="120"/>
      <c r="AC952" s="120"/>
      <c r="AD952" s="120"/>
      <c r="AE952" s="120"/>
      <c r="AF952" s="120"/>
      <c r="AG952" s="120"/>
      <c r="AH952" s="120"/>
      <c r="AI952" s="120"/>
      <c r="AJ952" s="250"/>
      <c r="AK952" s="250"/>
      <c r="AL952" s="250"/>
      <c r="AM952" s="250"/>
      <c r="AN952" s="250"/>
      <c r="AO952" s="250"/>
      <c r="AP952" s="250"/>
      <c r="AQ952" s="250"/>
      <c r="AR952" s="250"/>
      <c r="AS952" s="117"/>
      <c r="AT952" s="10">
        <v>96492</v>
      </c>
      <c r="AU952" s="10">
        <v>53112</v>
      </c>
      <c r="AV952" s="167">
        <v>106224</v>
      </c>
      <c r="AW952" s="168">
        <v>80000</v>
      </c>
      <c r="AX952" s="29">
        <f t="shared" si="1122"/>
        <v>66556</v>
      </c>
      <c r="AY952" s="24">
        <f t="shared" si="1123"/>
        <v>-29936</v>
      </c>
      <c r="AZ952" s="25">
        <f t="shared" si="1124"/>
        <v>-0.31024333623512829</v>
      </c>
      <c r="BA952" s="24">
        <f t="shared" si="1125"/>
        <v>9732</v>
      </c>
      <c r="BB952" s="169">
        <f t="shared" si="1126"/>
        <v>0.10085810222609128</v>
      </c>
      <c r="BC952" s="305">
        <f t="shared" si="1127"/>
        <v>66556</v>
      </c>
      <c r="BD952" s="293"/>
      <c r="BE952" s="293"/>
      <c r="BF952" s="293"/>
      <c r="BG952" s="293"/>
      <c r="BH952" s="293"/>
      <c r="BI952" s="293"/>
      <c r="BJ952" s="293"/>
      <c r="BK952" s="293"/>
      <c r="BL952" s="327"/>
      <c r="BM952" s="293"/>
      <c r="BN952" s="293"/>
      <c r="BO952" s="293"/>
      <c r="BP952" s="293"/>
      <c r="BQ952" s="293"/>
      <c r="BR952" s="293"/>
      <c r="BS952" s="293"/>
      <c r="BT952" s="293"/>
    </row>
    <row r="953" spans="2:72" ht="48" customHeight="1">
      <c r="B953" s="358" t="s">
        <v>3145</v>
      </c>
      <c r="C953" s="15" t="s">
        <v>1256</v>
      </c>
      <c r="D953" s="177" t="s">
        <v>1257</v>
      </c>
      <c r="E953" s="141" t="s">
        <v>10</v>
      </c>
      <c r="F953" s="11"/>
      <c r="G953" s="7"/>
      <c r="H953" s="7"/>
      <c r="I953" s="7"/>
      <c r="J953" s="3"/>
      <c r="K953" s="3"/>
      <c r="L953" s="3"/>
      <c r="M953" s="254"/>
      <c r="N953" s="77"/>
      <c r="O953" s="70"/>
      <c r="P953" s="70"/>
      <c r="Q953" s="70"/>
      <c r="R953" s="70"/>
      <c r="S953" s="70"/>
      <c r="T953" s="70"/>
      <c r="U953" s="70"/>
      <c r="V953" s="71"/>
      <c r="W953" s="71"/>
      <c r="X953" s="71"/>
      <c r="Y953" s="72"/>
      <c r="Z953" s="111"/>
      <c r="AA953" s="120"/>
      <c r="AB953" s="120"/>
      <c r="AC953" s="120"/>
      <c r="AD953" s="120"/>
      <c r="AE953" s="120"/>
      <c r="AF953" s="120"/>
      <c r="AG953" s="120"/>
      <c r="AH953" s="120"/>
      <c r="AI953" s="120"/>
      <c r="AJ953" s="250"/>
      <c r="AK953" s="250"/>
      <c r="AL953" s="250"/>
      <c r="AM953" s="250"/>
      <c r="AN953" s="250"/>
      <c r="AO953" s="250"/>
      <c r="AP953" s="250"/>
      <c r="AQ953" s="250"/>
      <c r="AR953" s="250"/>
      <c r="AS953" s="117"/>
      <c r="AT953" s="10">
        <v>11956</v>
      </c>
      <c r="AU953" s="10"/>
      <c r="AV953" s="167">
        <v>45000</v>
      </c>
      <c r="AW953" s="168">
        <v>90000</v>
      </c>
      <c r="AX953" s="29">
        <f t="shared" si="1122"/>
        <v>90000</v>
      </c>
      <c r="AY953" s="24">
        <f t="shared" si="1123"/>
        <v>78044</v>
      </c>
      <c r="AZ953" s="25">
        <f t="shared" si="1124"/>
        <v>6.5276012044161931</v>
      </c>
      <c r="BA953" s="24">
        <f t="shared" si="1125"/>
        <v>33044</v>
      </c>
      <c r="BB953" s="169">
        <f t="shared" si="1126"/>
        <v>2.7638006022080965</v>
      </c>
      <c r="BC953" s="305">
        <f t="shared" si="1127"/>
        <v>90000</v>
      </c>
      <c r="BD953" s="293"/>
      <c r="BE953" s="293"/>
      <c r="BF953" s="293"/>
      <c r="BG953" s="293"/>
      <c r="BH953" s="293"/>
      <c r="BI953" s="293"/>
      <c r="BJ953" s="293"/>
      <c r="BK953" s="293"/>
      <c r="BL953" s="327"/>
      <c r="BM953" s="293"/>
      <c r="BN953" s="293"/>
      <c r="BO953" s="293"/>
      <c r="BP953" s="293"/>
      <c r="BQ953" s="293"/>
      <c r="BR953" s="293"/>
      <c r="BS953" s="293"/>
      <c r="BT953" s="293"/>
    </row>
    <row r="954" spans="2:72" ht="32.1" customHeight="1">
      <c r="B954" s="358" t="s">
        <v>3146</v>
      </c>
      <c r="C954" s="15" t="s">
        <v>1258</v>
      </c>
      <c r="D954" s="177" t="s">
        <v>1259</v>
      </c>
      <c r="E954" s="141" t="s">
        <v>14</v>
      </c>
      <c r="F954" s="11"/>
      <c r="G954" s="7"/>
      <c r="H954" s="7"/>
      <c r="I954" s="7"/>
      <c r="J954" s="3"/>
      <c r="K954" s="3"/>
      <c r="L954" s="3"/>
      <c r="M954" s="254"/>
      <c r="N954" s="77"/>
      <c r="O954" s="70"/>
      <c r="P954" s="70"/>
      <c r="Q954" s="70"/>
      <c r="R954" s="70"/>
      <c r="S954" s="70"/>
      <c r="T954" s="70"/>
      <c r="U954" s="70"/>
      <c r="V954" s="71"/>
      <c r="W954" s="71"/>
      <c r="X954" s="71"/>
      <c r="Y954" s="72"/>
      <c r="Z954" s="111"/>
      <c r="AA954" s="120"/>
      <c r="AB954" s="120"/>
      <c r="AC954" s="120"/>
      <c r="AD954" s="120"/>
      <c r="AE954" s="120"/>
      <c r="AF954" s="120"/>
      <c r="AG954" s="120"/>
      <c r="AH954" s="120"/>
      <c r="AI954" s="120"/>
      <c r="AJ954" s="250"/>
      <c r="AK954" s="250"/>
      <c r="AL954" s="250"/>
      <c r="AM954" s="250"/>
      <c r="AN954" s="250"/>
      <c r="AO954" s="250"/>
      <c r="AP954" s="250"/>
      <c r="AQ954" s="250"/>
      <c r="AR954" s="250"/>
      <c r="AS954" s="117"/>
      <c r="AT954" s="10">
        <v>81998</v>
      </c>
      <c r="AU954" s="10">
        <v>344624.2</v>
      </c>
      <c r="AV954" s="167">
        <v>1378496.8</v>
      </c>
      <c r="AW954" s="168">
        <v>65000</v>
      </c>
      <c r="AX954" s="29">
        <f t="shared" si="1122"/>
        <v>204812.1</v>
      </c>
      <c r="AY954" s="24">
        <f t="shared" si="1123"/>
        <v>122814.1</v>
      </c>
      <c r="AZ954" s="25">
        <f t="shared" si="1124"/>
        <v>1.4977694577916536</v>
      </c>
      <c r="BA954" s="24">
        <f t="shared" si="1125"/>
        <v>1296498.8</v>
      </c>
      <c r="BB954" s="169">
        <f t="shared" si="1126"/>
        <v>15.811346618210202</v>
      </c>
      <c r="BC954" s="305">
        <f t="shared" si="1127"/>
        <v>204812.1</v>
      </c>
      <c r="BD954" s="293"/>
      <c r="BE954" s="293"/>
      <c r="BF954" s="293"/>
      <c r="BG954" s="293"/>
      <c r="BH954" s="293"/>
      <c r="BI954" s="293"/>
      <c r="BJ954" s="293"/>
      <c r="BK954" s="293"/>
      <c r="BL954" s="327"/>
      <c r="BM954" s="293"/>
      <c r="BN954" s="293"/>
      <c r="BO954" s="293"/>
      <c r="BP954" s="293"/>
      <c r="BQ954" s="293"/>
      <c r="BR954" s="293"/>
      <c r="BS954" s="293"/>
      <c r="BT954" s="293"/>
    </row>
    <row r="955" spans="2:72" ht="45" customHeight="1">
      <c r="B955" s="358" t="s">
        <v>3147</v>
      </c>
      <c r="C955" s="15" t="s">
        <v>1260</v>
      </c>
      <c r="D955" s="177" t="s">
        <v>1261</v>
      </c>
      <c r="E955" s="141" t="s">
        <v>14</v>
      </c>
      <c r="F955" s="8"/>
      <c r="G955" s="5"/>
      <c r="H955" s="8"/>
      <c r="I955" s="8"/>
      <c r="J955" s="3"/>
      <c r="K955" s="3"/>
      <c r="L955" s="3"/>
      <c r="M955" s="254"/>
      <c r="N955" s="77"/>
      <c r="O955" s="70"/>
      <c r="P955" s="70"/>
      <c r="Q955" s="70"/>
      <c r="R955" s="70"/>
      <c r="S955" s="70"/>
      <c r="T955" s="70"/>
      <c r="U955" s="70"/>
      <c r="V955" s="71"/>
      <c r="W955" s="71"/>
      <c r="X955" s="71"/>
      <c r="Y955" s="72"/>
      <c r="Z955" s="111"/>
      <c r="AA955" s="120"/>
      <c r="AB955" s="120"/>
      <c r="AC955" s="120"/>
      <c r="AD955" s="120"/>
      <c r="AE955" s="120"/>
      <c r="AF955" s="120"/>
      <c r="AG955" s="120"/>
      <c r="AH955" s="120"/>
      <c r="AI955" s="120"/>
      <c r="AJ955" s="250"/>
      <c r="AK955" s="250"/>
      <c r="AL955" s="250"/>
      <c r="AM955" s="250"/>
      <c r="AN955" s="250"/>
      <c r="AO955" s="250"/>
      <c r="AP955" s="250"/>
      <c r="AQ955" s="250"/>
      <c r="AR955" s="250"/>
      <c r="AS955" s="117"/>
      <c r="AT955" s="10">
        <v>65435</v>
      </c>
      <c r="AU955" s="10"/>
      <c r="AV955" s="167">
        <v>400000</v>
      </c>
      <c r="AW955" s="168">
        <v>190000</v>
      </c>
      <c r="AX955" s="29">
        <f t="shared" si="1122"/>
        <v>190000</v>
      </c>
      <c r="AY955" s="24">
        <f t="shared" si="1123"/>
        <v>124565</v>
      </c>
      <c r="AZ955" s="25">
        <f t="shared" si="1124"/>
        <v>1.9036448383892413</v>
      </c>
      <c r="BA955" s="24">
        <f t="shared" si="1125"/>
        <v>334565</v>
      </c>
      <c r="BB955" s="169">
        <f t="shared" si="1126"/>
        <v>5.1129365018720865</v>
      </c>
      <c r="BC955" s="305">
        <f t="shared" si="1127"/>
        <v>190000</v>
      </c>
      <c r="BD955" s="293"/>
      <c r="BE955" s="293"/>
      <c r="BF955" s="293"/>
      <c r="BG955" s="293"/>
      <c r="BH955" s="293"/>
      <c r="BI955" s="293"/>
      <c r="BJ955" s="293"/>
      <c r="BK955" s="293"/>
      <c r="BL955" s="327"/>
      <c r="BM955" s="293"/>
      <c r="BN955" s="293"/>
      <c r="BO955" s="293"/>
      <c r="BP955" s="293"/>
      <c r="BQ955" s="293"/>
      <c r="BR955" s="293"/>
      <c r="BS955" s="293"/>
      <c r="BT955" s="293"/>
    </row>
    <row r="956" spans="2:72" ht="32.1" customHeight="1">
      <c r="B956" s="358" t="s">
        <v>3148</v>
      </c>
      <c r="C956" s="15" t="s">
        <v>1262</v>
      </c>
      <c r="D956" s="177" t="s">
        <v>1263</v>
      </c>
      <c r="E956" s="141" t="s">
        <v>10</v>
      </c>
      <c r="F956" s="8"/>
      <c r="G956" s="5"/>
      <c r="H956" s="8"/>
      <c r="I956" s="8"/>
      <c r="J956" s="3"/>
      <c r="K956" s="3"/>
      <c r="L956" s="3"/>
      <c r="M956" s="254"/>
      <c r="N956" s="77"/>
      <c r="O956" s="70"/>
      <c r="P956" s="70"/>
      <c r="Q956" s="70"/>
      <c r="R956" s="70"/>
      <c r="S956" s="70"/>
      <c r="T956" s="70"/>
      <c r="U956" s="70"/>
      <c r="V956" s="71"/>
      <c r="W956" s="71"/>
      <c r="X956" s="71"/>
      <c r="Y956" s="72"/>
      <c r="Z956" s="111"/>
      <c r="AA956" s="120"/>
      <c r="AB956" s="120"/>
      <c r="AC956" s="120"/>
      <c r="AD956" s="120"/>
      <c r="AE956" s="120"/>
      <c r="AF956" s="120"/>
      <c r="AG956" s="120"/>
      <c r="AH956" s="120"/>
      <c r="AI956" s="120"/>
      <c r="AJ956" s="250"/>
      <c r="AK956" s="250"/>
      <c r="AL956" s="250"/>
      <c r="AM956" s="250"/>
      <c r="AN956" s="250"/>
      <c r="AO956" s="250"/>
      <c r="AP956" s="250"/>
      <c r="AQ956" s="250"/>
      <c r="AR956" s="250"/>
      <c r="AS956" s="117"/>
      <c r="AT956" s="10">
        <v>12227</v>
      </c>
      <c r="AU956" s="10">
        <v>12483.25</v>
      </c>
      <c r="AV956" s="167">
        <v>24966.5</v>
      </c>
      <c r="AW956" s="168">
        <v>8900</v>
      </c>
      <c r="AX956" s="29">
        <f t="shared" si="1122"/>
        <v>10691.625</v>
      </c>
      <c r="AY956" s="24">
        <f t="shared" si="1123"/>
        <v>-1535.375</v>
      </c>
      <c r="AZ956" s="25">
        <f t="shared" si="1124"/>
        <v>-0.12557250347591395</v>
      </c>
      <c r="BA956" s="24">
        <f t="shared" si="1125"/>
        <v>12739.5</v>
      </c>
      <c r="BB956" s="169">
        <f t="shared" si="1126"/>
        <v>1.0419154330579865</v>
      </c>
      <c r="BC956" s="305">
        <f t="shared" si="1127"/>
        <v>10691.625</v>
      </c>
      <c r="BD956" s="293"/>
      <c r="BE956" s="293"/>
      <c r="BF956" s="293"/>
      <c r="BG956" s="293"/>
      <c r="BH956" s="293"/>
      <c r="BI956" s="293"/>
      <c r="BJ956" s="293"/>
      <c r="BK956" s="293"/>
      <c r="BL956" s="327"/>
      <c r="BM956" s="293"/>
      <c r="BN956" s="293"/>
      <c r="BO956" s="293"/>
      <c r="BP956" s="293"/>
      <c r="BQ956" s="293"/>
      <c r="BR956" s="293"/>
      <c r="BS956" s="293"/>
      <c r="BT956" s="293"/>
    </row>
    <row r="957" spans="2:72" ht="50.1" customHeight="1">
      <c r="B957" s="358" t="s">
        <v>3149</v>
      </c>
      <c r="C957" s="15" t="s">
        <v>1264</v>
      </c>
      <c r="D957" s="177" t="s">
        <v>1265</v>
      </c>
      <c r="E957" s="141" t="s">
        <v>827</v>
      </c>
      <c r="F957" s="8"/>
      <c r="G957" s="5"/>
      <c r="H957" s="8"/>
      <c r="I957" s="8"/>
      <c r="J957" s="3"/>
      <c r="K957" s="3"/>
      <c r="L957" s="3"/>
      <c r="M957" s="254"/>
      <c r="N957" s="77"/>
      <c r="O957" s="70"/>
      <c r="P957" s="70"/>
      <c r="Q957" s="70"/>
      <c r="R957" s="70"/>
      <c r="S957" s="70"/>
      <c r="T957" s="70"/>
      <c r="U957" s="70"/>
      <c r="V957" s="71"/>
      <c r="W957" s="71"/>
      <c r="X957" s="71"/>
      <c r="Y957" s="72"/>
      <c r="Z957" s="111"/>
      <c r="AA957" s="120"/>
      <c r="AB957" s="120"/>
      <c r="AC957" s="120"/>
      <c r="AD957" s="120"/>
      <c r="AE957" s="120"/>
      <c r="AF957" s="120"/>
      <c r="AG957" s="120"/>
      <c r="AH957" s="120"/>
      <c r="AI957" s="120"/>
      <c r="AJ957" s="250"/>
      <c r="AK957" s="250"/>
      <c r="AL957" s="250"/>
      <c r="AM957" s="250"/>
      <c r="AN957" s="250"/>
      <c r="AO957" s="250"/>
      <c r="AP957" s="250"/>
      <c r="AQ957" s="250"/>
      <c r="AR957" s="250"/>
      <c r="AS957" s="117"/>
      <c r="AT957" s="10">
        <v>68546</v>
      </c>
      <c r="AU957" s="10"/>
      <c r="AV957" s="167">
        <v>350000</v>
      </c>
      <c r="AW957" s="168">
        <v>134000</v>
      </c>
      <c r="AX957" s="29">
        <f t="shared" si="1122"/>
        <v>134000</v>
      </c>
      <c r="AY957" s="24">
        <f t="shared" si="1123"/>
        <v>65454</v>
      </c>
      <c r="AZ957" s="25">
        <f t="shared" si="1124"/>
        <v>0.95489160563709041</v>
      </c>
      <c r="BA957" s="24">
        <f t="shared" si="1125"/>
        <v>281454</v>
      </c>
      <c r="BB957" s="169">
        <f t="shared" si="1126"/>
        <v>4.1060601639774754</v>
      </c>
      <c r="BC957" s="305">
        <f t="shared" si="1127"/>
        <v>134000</v>
      </c>
      <c r="BD957" s="293"/>
      <c r="BE957" s="293"/>
      <c r="BF957" s="293"/>
      <c r="BG957" s="293"/>
      <c r="BH957" s="293"/>
      <c r="BI957" s="293"/>
      <c r="BJ957" s="293"/>
      <c r="BK957" s="293"/>
      <c r="BL957" s="327"/>
      <c r="BM957" s="293"/>
      <c r="BN957" s="293"/>
      <c r="BO957" s="293"/>
      <c r="BP957" s="293"/>
      <c r="BQ957" s="293"/>
      <c r="BR957" s="293"/>
      <c r="BS957" s="293"/>
      <c r="BT957" s="293"/>
    </row>
    <row r="958" spans="2:72" ht="32.1" customHeight="1">
      <c r="B958" s="358" t="s">
        <v>3150</v>
      </c>
      <c r="C958" s="15" t="s">
        <v>1266</v>
      </c>
      <c r="D958" s="177" t="s">
        <v>1267</v>
      </c>
      <c r="E958" s="141" t="s">
        <v>1386</v>
      </c>
      <c r="F958" s="8"/>
      <c r="G958" s="5"/>
      <c r="H958" s="8"/>
      <c r="I958" s="8"/>
      <c r="J958" s="3"/>
      <c r="K958" s="3"/>
      <c r="L958" s="3"/>
      <c r="M958" s="254"/>
      <c r="N958" s="77"/>
      <c r="O958" s="70"/>
      <c r="P958" s="70"/>
      <c r="Q958" s="70"/>
      <c r="R958" s="70"/>
      <c r="S958" s="70"/>
      <c r="T958" s="70"/>
      <c r="U958" s="70"/>
      <c r="V958" s="71"/>
      <c r="W958" s="71"/>
      <c r="X958" s="71"/>
      <c r="Y958" s="72"/>
      <c r="Z958" s="111"/>
      <c r="AA958" s="120"/>
      <c r="AB958" s="120"/>
      <c r="AC958" s="120"/>
      <c r="AD958" s="120"/>
      <c r="AE958" s="120"/>
      <c r="AF958" s="120"/>
      <c r="AG958" s="120"/>
      <c r="AH958" s="120"/>
      <c r="AI958" s="120"/>
      <c r="AJ958" s="250"/>
      <c r="AK958" s="250"/>
      <c r="AL958" s="250"/>
      <c r="AM958" s="250"/>
      <c r="AN958" s="250"/>
      <c r="AO958" s="250"/>
      <c r="AP958" s="250"/>
      <c r="AQ958" s="250"/>
      <c r="AR958" s="250"/>
      <c r="AS958" s="117"/>
      <c r="AT958" s="10">
        <v>7633</v>
      </c>
      <c r="AU958" s="10"/>
      <c r="AV958" s="167">
        <v>36000</v>
      </c>
      <c r="AW958" s="168">
        <v>15600</v>
      </c>
      <c r="AX958" s="29">
        <f t="shared" si="1122"/>
        <v>15600</v>
      </c>
      <c r="AY958" s="24">
        <f t="shared" si="1123"/>
        <v>7967</v>
      </c>
      <c r="AZ958" s="25">
        <f t="shared" si="1124"/>
        <v>1.0437573693174373</v>
      </c>
      <c r="BA958" s="24">
        <f t="shared" si="1125"/>
        <v>28367</v>
      </c>
      <c r="BB958" s="169">
        <f t="shared" si="1126"/>
        <v>3.7163631599633171</v>
      </c>
      <c r="BC958" s="305">
        <f t="shared" si="1127"/>
        <v>15600</v>
      </c>
      <c r="BD958" s="293"/>
      <c r="BE958" s="293"/>
      <c r="BF958" s="293"/>
      <c r="BG958" s="293"/>
      <c r="BH958" s="293"/>
      <c r="BI958" s="293"/>
      <c r="BJ958" s="293"/>
      <c r="BK958" s="293"/>
      <c r="BL958" s="327"/>
      <c r="BM958" s="293"/>
      <c r="BN958" s="293"/>
      <c r="BO958" s="293"/>
      <c r="BP958" s="293"/>
      <c r="BQ958" s="293"/>
      <c r="BR958" s="293"/>
      <c r="BS958" s="293"/>
      <c r="BT958" s="293"/>
    </row>
    <row r="959" spans="2:72" ht="32.1" customHeight="1">
      <c r="B959" s="358" t="s">
        <v>3151</v>
      </c>
      <c r="C959" s="15" t="s">
        <v>1268</v>
      </c>
      <c r="D959" s="177" t="s">
        <v>1269</v>
      </c>
      <c r="E959" s="141" t="s">
        <v>14</v>
      </c>
      <c r="F959" s="8"/>
      <c r="G959" s="5"/>
      <c r="H959" s="8"/>
      <c r="I959" s="8"/>
      <c r="J959" s="3"/>
      <c r="K959" s="3"/>
      <c r="L959" s="3"/>
      <c r="M959" s="254"/>
      <c r="N959" s="77"/>
      <c r="O959" s="70"/>
      <c r="P959" s="70"/>
      <c r="Q959" s="70"/>
      <c r="R959" s="70"/>
      <c r="S959" s="70"/>
      <c r="T959" s="70"/>
      <c r="U959" s="70"/>
      <c r="V959" s="71"/>
      <c r="W959" s="71"/>
      <c r="X959" s="71"/>
      <c r="Y959" s="72"/>
      <c r="Z959" s="111"/>
      <c r="AA959" s="120"/>
      <c r="AB959" s="120"/>
      <c r="AC959" s="120"/>
      <c r="AD959" s="120"/>
      <c r="AE959" s="120"/>
      <c r="AF959" s="120"/>
      <c r="AG959" s="120"/>
      <c r="AH959" s="120"/>
      <c r="AI959" s="120"/>
      <c r="AJ959" s="250"/>
      <c r="AK959" s="250"/>
      <c r="AL959" s="250"/>
      <c r="AM959" s="250"/>
      <c r="AN959" s="250"/>
      <c r="AO959" s="250"/>
      <c r="AP959" s="250"/>
      <c r="AQ959" s="250"/>
      <c r="AR959" s="250"/>
      <c r="AS959" s="117"/>
      <c r="AT959" s="10">
        <v>7318</v>
      </c>
      <c r="AU959" s="10"/>
      <c r="AV959" s="167">
        <v>47000</v>
      </c>
      <c r="AW959" s="168">
        <v>15000</v>
      </c>
      <c r="AX959" s="29">
        <f t="shared" si="1122"/>
        <v>15000</v>
      </c>
      <c r="AY959" s="24">
        <f t="shared" si="1123"/>
        <v>7682</v>
      </c>
      <c r="AZ959" s="25">
        <f t="shared" si="1124"/>
        <v>1.0497403662202787</v>
      </c>
      <c r="BA959" s="24">
        <f t="shared" si="1125"/>
        <v>39682</v>
      </c>
      <c r="BB959" s="169">
        <f t="shared" si="1126"/>
        <v>5.4225198141568738</v>
      </c>
      <c r="BC959" s="305">
        <f t="shared" si="1127"/>
        <v>15000</v>
      </c>
      <c r="BD959" s="293"/>
      <c r="BE959" s="293"/>
      <c r="BF959" s="293"/>
      <c r="BG959" s="293"/>
      <c r="BH959" s="293"/>
      <c r="BI959" s="293"/>
      <c r="BJ959" s="293"/>
      <c r="BK959" s="293"/>
      <c r="BL959" s="327"/>
      <c r="BM959" s="293"/>
      <c r="BN959" s="293"/>
      <c r="BO959" s="293"/>
      <c r="BP959" s="293"/>
      <c r="BQ959" s="293"/>
      <c r="BR959" s="293"/>
      <c r="BS959" s="293"/>
      <c r="BT959" s="293"/>
    </row>
    <row r="960" spans="2:72" ht="32.1" customHeight="1">
      <c r="B960" s="358" t="s">
        <v>3152</v>
      </c>
      <c r="C960" s="15" t="s">
        <v>1270</v>
      </c>
      <c r="D960" s="177" t="s">
        <v>1271</v>
      </c>
      <c r="E960" s="141" t="s">
        <v>905</v>
      </c>
      <c r="F960" s="8"/>
      <c r="G960" s="5"/>
      <c r="H960" s="8"/>
      <c r="I960" s="8"/>
      <c r="J960" s="3"/>
      <c r="K960" s="3"/>
      <c r="L960" s="3"/>
      <c r="M960" s="254"/>
      <c r="N960" s="77"/>
      <c r="O960" s="70"/>
      <c r="P960" s="70"/>
      <c r="Q960" s="70"/>
      <c r="R960" s="70"/>
      <c r="S960" s="70"/>
      <c r="T960" s="70"/>
      <c r="U960" s="70"/>
      <c r="V960" s="71"/>
      <c r="W960" s="71"/>
      <c r="X960" s="71"/>
      <c r="Y960" s="72"/>
      <c r="Z960" s="111"/>
      <c r="AA960" s="120"/>
      <c r="AB960" s="120"/>
      <c r="AC960" s="120"/>
      <c r="AD960" s="120"/>
      <c r="AE960" s="120"/>
      <c r="AF960" s="120"/>
      <c r="AG960" s="120"/>
      <c r="AH960" s="120"/>
      <c r="AI960" s="120"/>
      <c r="AJ960" s="250"/>
      <c r="AK960" s="250"/>
      <c r="AL960" s="250"/>
      <c r="AM960" s="250"/>
      <c r="AN960" s="250"/>
      <c r="AO960" s="250"/>
      <c r="AP960" s="250"/>
      <c r="AQ960" s="250"/>
      <c r="AR960" s="250"/>
      <c r="AS960" s="117"/>
      <c r="AT960" s="10">
        <v>792558</v>
      </c>
      <c r="AU960" s="10"/>
      <c r="AV960" s="167">
        <v>470000</v>
      </c>
      <c r="AW960" s="168">
        <v>300000</v>
      </c>
      <c r="AX960" s="29">
        <f t="shared" si="1122"/>
        <v>300000</v>
      </c>
      <c r="AY960" s="24">
        <f t="shared" si="1123"/>
        <v>-492558</v>
      </c>
      <c r="AZ960" s="25">
        <f t="shared" si="1124"/>
        <v>-0.62147880659838139</v>
      </c>
      <c r="BA960" s="24">
        <f t="shared" si="1125"/>
        <v>-322558</v>
      </c>
      <c r="BB960" s="169">
        <f t="shared" si="1126"/>
        <v>-0.40698346367079757</v>
      </c>
      <c r="BC960" s="305" t="s">
        <v>807</v>
      </c>
      <c r="BD960" s="293"/>
      <c r="BE960" s="293"/>
      <c r="BF960" s="293"/>
      <c r="BG960" s="293"/>
      <c r="BH960" s="293"/>
      <c r="BI960" s="293"/>
      <c r="BJ960" s="293"/>
      <c r="BK960" s="293"/>
      <c r="BL960" s="327"/>
      <c r="BM960" s="293"/>
      <c r="BN960" s="293"/>
      <c r="BO960" s="293"/>
      <c r="BP960" s="293"/>
      <c r="BQ960" s="293"/>
      <c r="BR960" s="293"/>
      <c r="BS960" s="293"/>
      <c r="BT960" s="293"/>
    </row>
    <row r="961" spans="2:72" ht="32.1" customHeight="1">
      <c r="B961" s="358" t="s">
        <v>3153</v>
      </c>
      <c r="C961" s="15" t="s">
        <v>1272</v>
      </c>
      <c r="D961" s="177" t="s">
        <v>1273</v>
      </c>
      <c r="E961" s="141" t="s">
        <v>10</v>
      </c>
      <c r="F961" s="8"/>
      <c r="G961" s="5"/>
      <c r="H961" s="8"/>
      <c r="I961" s="8"/>
      <c r="J961" s="3"/>
      <c r="K961" s="3"/>
      <c r="L961" s="3"/>
      <c r="M961" s="254"/>
      <c r="N961" s="77"/>
      <c r="O961" s="70"/>
      <c r="P961" s="70"/>
      <c r="Q961" s="70"/>
      <c r="R961" s="70"/>
      <c r="S961" s="70"/>
      <c r="T961" s="70"/>
      <c r="U961" s="70"/>
      <c r="V961" s="71"/>
      <c r="W961" s="71"/>
      <c r="X961" s="71"/>
      <c r="Y961" s="72"/>
      <c r="Z961" s="111"/>
      <c r="AA961" s="120"/>
      <c r="AB961" s="120"/>
      <c r="AC961" s="120"/>
      <c r="AD961" s="120"/>
      <c r="AE961" s="120"/>
      <c r="AF961" s="120"/>
      <c r="AG961" s="120"/>
      <c r="AH961" s="120"/>
      <c r="AI961" s="120"/>
      <c r="AJ961" s="250"/>
      <c r="AK961" s="250"/>
      <c r="AL961" s="250"/>
      <c r="AM961" s="250"/>
      <c r="AN961" s="250"/>
      <c r="AO961" s="250"/>
      <c r="AP961" s="250"/>
      <c r="AQ961" s="250"/>
      <c r="AR961" s="250"/>
      <c r="AS961" s="117"/>
      <c r="AT961" s="10">
        <v>14962</v>
      </c>
      <c r="AU961" s="10">
        <v>43000</v>
      </c>
      <c r="AV961" s="167">
        <v>129000</v>
      </c>
      <c r="AW961" s="168">
        <v>38900</v>
      </c>
      <c r="AX961" s="29">
        <f t="shared" si="1122"/>
        <v>40950</v>
      </c>
      <c r="AY961" s="24">
        <f t="shared" si="1123"/>
        <v>25988</v>
      </c>
      <c r="AZ961" s="25">
        <f t="shared" si="1124"/>
        <v>1.7369335650314128</v>
      </c>
      <c r="BA961" s="24">
        <f t="shared" si="1125"/>
        <v>114038</v>
      </c>
      <c r="BB961" s="169">
        <f t="shared" si="1126"/>
        <v>7.6218419997326556</v>
      </c>
      <c r="BC961" s="305">
        <f t="shared" si="1127"/>
        <v>40950</v>
      </c>
      <c r="BD961" s="293"/>
      <c r="BE961" s="293"/>
      <c r="BF961" s="293"/>
      <c r="BG961" s="293"/>
      <c r="BH961" s="293"/>
      <c r="BI961" s="293"/>
      <c r="BJ961" s="293"/>
      <c r="BK961" s="293"/>
      <c r="BL961" s="327"/>
      <c r="BM961" s="293"/>
      <c r="BN961" s="293"/>
      <c r="BO961" s="293"/>
      <c r="BP961" s="293"/>
      <c r="BQ961" s="293"/>
      <c r="BR961" s="293"/>
      <c r="BS961" s="293"/>
      <c r="BT961" s="293"/>
    </row>
    <row r="962" spans="2:72" ht="32.1" customHeight="1">
      <c r="B962" s="358" t="s">
        <v>3154</v>
      </c>
      <c r="C962" s="15" t="s">
        <v>1274</v>
      </c>
      <c r="D962" s="177" t="s">
        <v>1275</v>
      </c>
      <c r="E962" s="141" t="s">
        <v>905</v>
      </c>
      <c r="F962" s="8"/>
      <c r="G962" s="5"/>
      <c r="H962" s="8"/>
      <c r="I962" s="8"/>
      <c r="J962" s="3"/>
      <c r="K962" s="3"/>
      <c r="L962" s="3"/>
      <c r="M962" s="254"/>
      <c r="N962" s="77"/>
      <c r="O962" s="70"/>
      <c r="P962" s="70"/>
      <c r="Q962" s="70"/>
      <c r="R962" s="70"/>
      <c r="S962" s="70"/>
      <c r="T962" s="70"/>
      <c r="U962" s="70"/>
      <c r="V962" s="71"/>
      <c r="W962" s="71"/>
      <c r="X962" s="71"/>
      <c r="Y962" s="72"/>
      <c r="Z962" s="111"/>
      <c r="AA962" s="120"/>
      <c r="AB962" s="120"/>
      <c r="AC962" s="120"/>
      <c r="AD962" s="120"/>
      <c r="AE962" s="120"/>
      <c r="AF962" s="120"/>
      <c r="AG962" s="120"/>
      <c r="AH962" s="120"/>
      <c r="AI962" s="120"/>
      <c r="AJ962" s="250"/>
      <c r="AK962" s="250"/>
      <c r="AL962" s="250"/>
      <c r="AM962" s="250"/>
      <c r="AN962" s="250"/>
      <c r="AO962" s="250"/>
      <c r="AP962" s="250"/>
      <c r="AQ962" s="250"/>
      <c r="AR962" s="250"/>
      <c r="AS962" s="117"/>
      <c r="AT962" s="10">
        <v>4292939</v>
      </c>
      <c r="AU962" s="10"/>
      <c r="AV962" s="167">
        <v>250000</v>
      </c>
      <c r="AW962" s="168">
        <v>1000000</v>
      </c>
      <c r="AX962" s="29">
        <f t="shared" si="1122"/>
        <v>1000000</v>
      </c>
      <c r="AY962" s="24">
        <f t="shared" si="1123"/>
        <v>-3292939</v>
      </c>
      <c r="AZ962" s="25">
        <f t="shared" si="1124"/>
        <v>-0.76705935024932803</v>
      </c>
      <c r="BA962" s="24">
        <f t="shared" si="1125"/>
        <v>-4042939</v>
      </c>
      <c r="BB962" s="169">
        <f t="shared" si="1126"/>
        <v>-0.94176483756233198</v>
      </c>
      <c r="BC962" s="305" t="s">
        <v>807</v>
      </c>
      <c r="BD962" s="293"/>
      <c r="BE962" s="293"/>
      <c r="BF962" s="293"/>
      <c r="BG962" s="293"/>
      <c r="BH962" s="293"/>
      <c r="BI962" s="293"/>
      <c r="BJ962" s="293"/>
      <c r="BK962" s="293"/>
      <c r="BL962" s="327"/>
      <c r="BM962" s="293"/>
      <c r="BN962" s="293"/>
      <c r="BO962" s="293"/>
      <c r="BP962" s="293"/>
      <c r="BQ962" s="293"/>
      <c r="BR962" s="293"/>
      <c r="BS962" s="293"/>
      <c r="BT962" s="293"/>
    </row>
    <row r="963" spans="2:72" ht="32.1" customHeight="1">
      <c r="B963" s="358" t="s">
        <v>3155</v>
      </c>
      <c r="C963" s="15" t="s">
        <v>1276</v>
      </c>
      <c r="D963" s="177" t="s">
        <v>1277</v>
      </c>
      <c r="E963" s="141" t="s">
        <v>14</v>
      </c>
      <c r="F963" s="8"/>
      <c r="G963" s="5"/>
      <c r="H963" s="8"/>
      <c r="I963" s="8"/>
      <c r="J963" s="3"/>
      <c r="K963" s="3"/>
      <c r="L963" s="3"/>
      <c r="M963" s="254"/>
      <c r="N963" s="77"/>
      <c r="O963" s="70"/>
      <c r="P963" s="70"/>
      <c r="Q963" s="70"/>
      <c r="R963" s="70"/>
      <c r="S963" s="70"/>
      <c r="T963" s="70"/>
      <c r="U963" s="70"/>
      <c r="V963" s="71"/>
      <c r="W963" s="71"/>
      <c r="X963" s="71"/>
      <c r="Y963" s="72"/>
      <c r="Z963" s="111"/>
      <c r="AA963" s="120"/>
      <c r="AB963" s="120"/>
      <c r="AC963" s="120"/>
      <c r="AD963" s="120"/>
      <c r="AE963" s="120"/>
      <c r="AF963" s="120"/>
      <c r="AG963" s="120"/>
      <c r="AH963" s="120"/>
      <c r="AI963" s="120"/>
      <c r="AJ963" s="250"/>
      <c r="AK963" s="250"/>
      <c r="AL963" s="250"/>
      <c r="AM963" s="250"/>
      <c r="AN963" s="250"/>
      <c r="AO963" s="250"/>
      <c r="AP963" s="250"/>
      <c r="AQ963" s="250"/>
      <c r="AR963" s="250"/>
      <c r="AS963" s="117"/>
      <c r="AT963" s="10">
        <v>52141</v>
      </c>
      <c r="AU963" s="10">
        <v>56111</v>
      </c>
      <c r="AV963" s="167">
        <v>224444</v>
      </c>
      <c r="AW963" s="168">
        <v>56000</v>
      </c>
      <c r="AX963" s="29">
        <f t="shared" si="1122"/>
        <v>56055.5</v>
      </c>
      <c r="AY963" s="24">
        <f t="shared" si="1123"/>
        <v>3914.5</v>
      </c>
      <c r="AZ963" s="25">
        <f t="shared" si="1124"/>
        <v>7.507527665368903E-2</v>
      </c>
      <c r="BA963" s="24">
        <f t="shared" si="1125"/>
        <v>172303</v>
      </c>
      <c r="BB963" s="169">
        <f t="shared" si="1126"/>
        <v>3.3045587925049387</v>
      </c>
      <c r="BC963" s="305">
        <f t="shared" si="1127"/>
        <v>56055.5</v>
      </c>
      <c r="BD963" s="293"/>
      <c r="BE963" s="293"/>
      <c r="BF963" s="293"/>
      <c r="BG963" s="293"/>
      <c r="BH963" s="293"/>
      <c r="BI963" s="293"/>
      <c r="BJ963" s="293"/>
      <c r="BK963" s="293"/>
      <c r="BL963" s="327"/>
      <c r="BM963" s="293"/>
      <c r="BN963" s="293"/>
      <c r="BO963" s="293"/>
      <c r="BP963" s="293"/>
      <c r="BQ963" s="293"/>
      <c r="BR963" s="293"/>
      <c r="BS963" s="293"/>
      <c r="BT963" s="293"/>
    </row>
    <row r="964" spans="2:72" ht="32.1" customHeight="1">
      <c r="B964" s="358" t="s">
        <v>3156</v>
      </c>
      <c r="C964" s="15" t="s">
        <v>1278</v>
      </c>
      <c r="D964" s="177" t="s">
        <v>1279</v>
      </c>
      <c r="E964" s="141" t="s">
        <v>10</v>
      </c>
      <c r="F964" s="8"/>
      <c r="G964" s="5"/>
      <c r="H964" s="8"/>
      <c r="I964" s="8"/>
      <c r="J964" s="3"/>
      <c r="K964" s="3"/>
      <c r="L964" s="3"/>
      <c r="M964" s="254"/>
      <c r="N964" s="77"/>
      <c r="O964" s="70"/>
      <c r="P964" s="70"/>
      <c r="Q964" s="70"/>
      <c r="R964" s="70"/>
      <c r="S964" s="70"/>
      <c r="T964" s="70"/>
      <c r="U964" s="70"/>
      <c r="V964" s="71"/>
      <c r="W964" s="71"/>
      <c r="X964" s="71"/>
      <c r="Y964" s="72"/>
      <c r="Z964" s="111"/>
      <c r="AA964" s="120"/>
      <c r="AB964" s="120"/>
      <c r="AC964" s="120"/>
      <c r="AD964" s="120"/>
      <c r="AE964" s="120"/>
      <c r="AF964" s="120"/>
      <c r="AG964" s="120"/>
      <c r="AH964" s="120"/>
      <c r="AI964" s="120"/>
      <c r="AJ964" s="250"/>
      <c r="AK964" s="250"/>
      <c r="AL964" s="250"/>
      <c r="AM964" s="250"/>
      <c r="AN964" s="250"/>
      <c r="AO964" s="250"/>
      <c r="AP964" s="250"/>
      <c r="AQ964" s="250"/>
      <c r="AR964" s="250"/>
      <c r="AS964" s="117"/>
      <c r="AT964" s="10">
        <v>16934</v>
      </c>
      <c r="AU964" s="10">
        <v>256953.7</v>
      </c>
      <c r="AV964" s="167">
        <v>1027814.8</v>
      </c>
      <c r="AW964" s="168">
        <v>160000</v>
      </c>
      <c r="AX964" s="29">
        <f t="shared" si="1122"/>
        <v>208476.85</v>
      </c>
      <c r="AY964" s="24">
        <f t="shared" si="1123"/>
        <v>191542.85</v>
      </c>
      <c r="AZ964" s="25">
        <f t="shared" si="1124"/>
        <v>11.311140309436636</v>
      </c>
      <c r="BA964" s="24">
        <f t="shared" si="1125"/>
        <v>1010880.8</v>
      </c>
      <c r="BB964" s="169">
        <f t="shared" si="1126"/>
        <v>59.695334829337433</v>
      </c>
      <c r="BC964" s="305">
        <f t="shared" si="1127"/>
        <v>208476.85</v>
      </c>
      <c r="BD964" s="293"/>
      <c r="BE964" s="293"/>
      <c r="BF964" s="293"/>
      <c r="BG964" s="293"/>
      <c r="BH964" s="293"/>
      <c r="BI964" s="293"/>
      <c r="BJ964" s="293"/>
      <c r="BK964" s="293"/>
      <c r="BL964" s="327"/>
      <c r="BM964" s="293"/>
      <c r="BN964" s="293"/>
      <c r="BO964" s="293"/>
      <c r="BP964" s="293"/>
      <c r="BQ964" s="293"/>
      <c r="BR964" s="293"/>
      <c r="BS964" s="293"/>
      <c r="BT964" s="293"/>
    </row>
    <row r="965" spans="2:72" ht="32.1" customHeight="1">
      <c r="B965" s="358" t="s">
        <v>3157</v>
      </c>
      <c r="C965" s="15" t="s">
        <v>1280</v>
      </c>
      <c r="D965" s="177" t="s">
        <v>1281</v>
      </c>
      <c r="E965" s="141" t="s">
        <v>14</v>
      </c>
      <c r="F965" s="8"/>
      <c r="G965" s="5"/>
      <c r="H965" s="8"/>
      <c r="I965" s="8"/>
      <c r="J965" s="3"/>
      <c r="K965" s="3"/>
      <c r="L965" s="3"/>
      <c r="M965" s="254"/>
      <c r="N965" s="77"/>
      <c r="O965" s="70"/>
      <c r="P965" s="70"/>
      <c r="Q965" s="70"/>
      <c r="R965" s="70"/>
      <c r="S965" s="70"/>
      <c r="T965" s="70"/>
      <c r="U965" s="70"/>
      <c r="V965" s="71"/>
      <c r="W965" s="71"/>
      <c r="X965" s="71"/>
      <c r="Y965" s="72"/>
      <c r="Z965" s="111"/>
      <c r="AA965" s="120"/>
      <c r="AB965" s="120"/>
      <c r="AC965" s="120"/>
      <c r="AD965" s="120"/>
      <c r="AE965" s="120"/>
      <c r="AF965" s="120"/>
      <c r="AG965" s="120"/>
      <c r="AH965" s="120"/>
      <c r="AI965" s="120"/>
      <c r="AJ965" s="250"/>
      <c r="AK965" s="250"/>
      <c r="AL965" s="250"/>
      <c r="AM965" s="250"/>
      <c r="AN965" s="250"/>
      <c r="AO965" s="250"/>
      <c r="AP965" s="250"/>
      <c r="AQ965" s="250"/>
      <c r="AR965" s="250"/>
      <c r="AS965" s="117"/>
      <c r="AT965" s="10">
        <v>41856</v>
      </c>
      <c r="AU965" s="10">
        <v>256953.7</v>
      </c>
      <c r="AV965" s="167">
        <v>1027814.8</v>
      </c>
      <c r="AW965" s="168">
        <v>120000</v>
      </c>
      <c r="AX965" s="29">
        <f t="shared" si="1122"/>
        <v>188476.85</v>
      </c>
      <c r="AY965" s="24">
        <f t="shared" si="1123"/>
        <v>146620.85</v>
      </c>
      <c r="AZ965" s="25">
        <f t="shared" si="1124"/>
        <v>3.5029828459480123</v>
      </c>
      <c r="BA965" s="24">
        <f t="shared" si="1125"/>
        <v>985958.8</v>
      </c>
      <c r="BB965" s="169">
        <f t="shared" si="1126"/>
        <v>23.55597285932722</v>
      </c>
      <c r="BC965" s="305">
        <f t="shared" si="1127"/>
        <v>188476.85</v>
      </c>
      <c r="BD965" s="293"/>
      <c r="BE965" s="293"/>
      <c r="BF965" s="293"/>
      <c r="BG965" s="293"/>
      <c r="BH965" s="293"/>
      <c r="BI965" s="293"/>
      <c r="BJ965" s="293"/>
      <c r="BK965" s="293"/>
      <c r="BL965" s="327"/>
      <c r="BM965" s="293"/>
      <c r="BN965" s="293"/>
      <c r="BO965" s="293"/>
      <c r="BP965" s="293"/>
      <c r="BQ965" s="293"/>
      <c r="BR965" s="293"/>
      <c r="BS965" s="293"/>
      <c r="BT965" s="293"/>
    </row>
    <row r="966" spans="2:72" ht="45.95" customHeight="1">
      <c r="B966" s="358" t="s">
        <v>3158</v>
      </c>
      <c r="C966" s="15" t="s">
        <v>1282</v>
      </c>
      <c r="D966" s="177" t="s">
        <v>1283</v>
      </c>
      <c r="E966" s="141" t="s">
        <v>14</v>
      </c>
      <c r="F966" s="8"/>
      <c r="G966" s="5"/>
      <c r="H966" s="8"/>
      <c r="I966" s="8"/>
      <c r="J966" s="3"/>
      <c r="K966" s="3"/>
      <c r="L966" s="3"/>
      <c r="M966" s="254"/>
      <c r="N966" s="77"/>
      <c r="O966" s="70"/>
      <c r="P966" s="70"/>
      <c r="Q966" s="70"/>
      <c r="R966" s="70"/>
      <c r="S966" s="70"/>
      <c r="T966" s="70"/>
      <c r="U966" s="70"/>
      <c r="V966" s="71"/>
      <c r="W966" s="71"/>
      <c r="X966" s="71"/>
      <c r="Y966" s="72"/>
      <c r="Z966" s="111"/>
      <c r="AA966" s="120"/>
      <c r="AB966" s="120"/>
      <c r="AC966" s="120"/>
      <c r="AD966" s="120"/>
      <c r="AE966" s="120"/>
      <c r="AF966" s="120"/>
      <c r="AG966" s="120"/>
      <c r="AH966" s="120"/>
      <c r="AI966" s="120"/>
      <c r="AJ966" s="250"/>
      <c r="AK966" s="250"/>
      <c r="AL966" s="250"/>
      <c r="AM966" s="250"/>
      <c r="AN966" s="250"/>
      <c r="AO966" s="250"/>
      <c r="AP966" s="250"/>
      <c r="AQ966" s="250"/>
      <c r="AR966" s="250"/>
      <c r="AS966" s="117"/>
      <c r="AT966" s="10">
        <v>91498</v>
      </c>
      <c r="AU966" s="10">
        <v>792453</v>
      </c>
      <c r="AV966" s="167">
        <v>1584906</v>
      </c>
      <c r="AW966" s="168">
        <v>325000</v>
      </c>
      <c r="AX966" s="29">
        <f t="shared" si="1122"/>
        <v>558726.5</v>
      </c>
      <c r="AY966" s="24">
        <f t="shared" si="1123"/>
        <v>467228.5</v>
      </c>
      <c r="AZ966" s="25">
        <f t="shared" si="1124"/>
        <v>5.1064340204157466</v>
      </c>
      <c r="BA966" s="24">
        <f t="shared" si="1125"/>
        <v>1493408</v>
      </c>
      <c r="BB966" s="169">
        <f t="shared" si="1126"/>
        <v>16.32175566679053</v>
      </c>
      <c r="BC966" s="305">
        <f t="shared" si="1127"/>
        <v>558726.5</v>
      </c>
      <c r="BD966" s="293"/>
      <c r="BE966" s="293"/>
      <c r="BF966" s="293"/>
      <c r="BG966" s="293"/>
      <c r="BH966" s="293"/>
      <c r="BI966" s="293"/>
      <c r="BJ966" s="293"/>
      <c r="BK966" s="293"/>
      <c r="BL966" s="327"/>
      <c r="BM966" s="293"/>
      <c r="BN966" s="293"/>
      <c r="BO966" s="293"/>
      <c r="BP966" s="293"/>
      <c r="BQ966" s="293"/>
      <c r="BR966" s="293"/>
      <c r="BS966" s="293"/>
      <c r="BT966" s="293"/>
    </row>
    <row r="967" spans="2:72" ht="47.1" customHeight="1">
      <c r="B967" s="358" t="s">
        <v>3159</v>
      </c>
      <c r="C967" s="15" t="s">
        <v>1284</v>
      </c>
      <c r="D967" s="177" t="s">
        <v>1285</v>
      </c>
      <c r="E967" s="141" t="s">
        <v>10</v>
      </c>
      <c r="F967" s="8"/>
      <c r="G967" s="5"/>
      <c r="H967" s="8"/>
      <c r="I967" s="8"/>
      <c r="J967" s="3"/>
      <c r="K967" s="3"/>
      <c r="L967" s="3"/>
      <c r="M967" s="254"/>
      <c r="N967" s="77"/>
      <c r="O967" s="70"/>
      <c r="P967" s="70"/>
      <c r="Q967" s="70"/>
      <c r="R967" s="70"/>
      <c r="S967" s="70"/>
      <c r="T967" s="70"/>
      <c r="U967" s="70"/>
      <c r="V967" s="71"/>
      <c r="W967" s="71"/>
      <c r="X967" s="71"/>
      <c r="Y967" s="72"/>
      <c r="Z967" s="111"/>
      <c r="AA967" s="120"/>
      <c r="AB967" s="120"/>
      <c r="AC967" s="120"/>
      <c r="AD967" s="120"/>
      <c r="AE967" s="120"/>
      <c r="AF967" s="120"/>
      <c r="AG967" s="120"/>
      <c r="AH967" s="120"/>
      <c r="AI967" s="120"/>
      <c r="AJ967" s="250"/>
      <c r="AK967" s="250"/>
      <c r="AL967" s="250"/>
      <c r="AM967" s="250"/>
      <c r="AN967" s="250"/>
      <c r="AO967" s="250"/>
      <c r="AP967" s="250"/>
      <c r="AQ967" s="250"/>
      <c r="AR967" s="250"/>
      <c r="AS967" s="117"/>
      <c r="AT967" s="10">
        <v>134829</v>
      </c>
      <c r="AU967" s="10">
        <v>887094.23</v>
      </c>
      <c r="AV967" s="167">
        <v>1774188.46</v>
      </c>
      <c r="AW967" s="168">
        <v>205000</v>
      </c>
      <c r="AX967" s="29">
        <f t="shared" si="1122"/>
        <v>546047.11499999999</v>
      </c>
      <c r="AY967" s="24">
        <f t="shared" si="1123"/>
        <v>411218.11499999999</v>
      </c>
      <c r="AZ967" s="25">
        <f t="shared" si="1124"/>
        <v>3.0499233473510889</v>
      </c>
      <c r="BA967" s="24">
        <f t="shared" si="1125"/>
        <v>1639359.46</v>
      </c>
      <c r="BB967" s="169">
        <f t="shared" si="1126"/>
        <v>12.158804559849884</v>
      </c>
      <c r="BC967" s="305">
        <f t="shared" si="1127"/>
        <v>546047.11499999999</v>
      </c>
      <c r="BD967" s="293"/>
      <c r="BE967" s="293"/>
      <c r="BF967" s="293"/>
      <c r="BG967" s="293"/>
      <c r="BH967" s="293"/>
      <c r="BI967" s="293"/>
      <c r="BJ967" s="293"/>
      <c r="BK967" s="293"/>
      <c r="BL967" s="327"/>
      <c r="BM967" s="293"/>
      <c r="BN967" s="293"/>
      <c r="BO967" s="293"/>
      <c r="BP967" s="293"/>
      <c r="BQ967" s="293"/>
      <c r="BR967" s="293"/>
      <c r="BS967" s="293"/>
      <c r="BT967" s="293"/>
    </row>
    <row r="968" spans="2:72" ht="47.1" customHeight="1">
      <c r="B968" s="358" t="s">
        <v>3160</v>
      </c>
      <c r="C968" s="15" t="s">
        <v>1286</v>
      </c>
      <c r="D968" s="177" t="s">
        <v>1287</v>
      </c>
      <c r="E968" s="141" t="s">
        <v>10</v>
      </c>
      <c r="F968" s="8"/>
      <c r="G968" s="5"/>
      <c r="H968" s="8"/>
      <c r="I968" s="8"/>
      <c r="J968" s="3"/>
      <c r="K968" s="3"/>
      <c r="L968" s="3"/>
      <c r="M968" s="254"/>
      <c r="N968" s="77"/>
      <c r="O968" s="70"/>
      <c r="P968" s="70"/>
      <c r="Q968" s="70"/>
      <c r="R968" s="70"/>
      <c r="S968" s="70"/>
      <c r="T968" s="70"/>
      <c r="U968" s="70"/>
      <c r="V968" s="71"/>
      <c r="W968" s="71"/>
      <c r="X968" s="71"/>
      <c r="Y968" s="72"/>
      <c r="Z968" s="111"/>
      <c r="AA968" s="120"/>
      <c r="AB968" s="120"/>
      <c r="AC968" s="120"/>
      <c r="AD968" s="120"/>
      <c r="AE968" s="120"/>
      <c r="AF968" s="120"/>
      <c r="AG968" s="120"/>
      <c r="AH968" s="120"/>
      <c r="AI968" s="120"/>
      <c r="AJ968" s="250"/>
      <c r="AK968" s="250"/>
      <c r="AL968" s="250"/>
      <c r="AM968" s="250"/>
      <c r="AN968" s="250"/>
      <c r="AO968" s="250"/>
      <c r="AP968" s="250"/>
      <c r="AQ968" s="250"/>
      <c r="AR968" s="250"/>
      <c r="AS968" s="117"/>
      <c r="AT968" s="10">
        <v>8214</v>
      </c>
      <c r="AU968" s="10">
        <v>21779</v>
      </c>
      <c r="AV968" s="167">
        <v>43558</v>
      </c>
      <c r="AW968" s="168">
        <v>20000</v>
      </c>
      <c r="AX968" s="29">
        <f t="shared" si="1122"/>
        <v>20889.5</v>
      </c>
      <c r="AY968" s="24">
        <f t="shared" si="1123"/>
        <v>12675.5</v>
      </c>
      <c r="AZ968" s="25">
        <f t="shared" si="1124"/>
        <v>1.5431580228877526</v>
      </c>
      <c r="BA968" s="24">
        <f t="shared" si="1125"/>
        <v>35344</v>
      </c>
      <c r="BB968" s="169">
        <f t="shared" si="1126"/>
        <v>4.3028974920866814</v>
      </c>
      <c r="BC968" s="305">
        <f t="shared" si="1127"/>
        <v>20889.5</v>
      </c>
      <c r="BD968" s="293"/>
      <c r="BE968" s="293"/>
      <c r="BF968" s="293"/>
      <c r="BG968" s="293"/>
      <c r="BH968" s="293"/>
      <c r="BI968" s="293"/>
      <c r="BJ968" s="293"/>
      <c r="BK968" s="293"/>
      <c r="BL968" s="327"/>
      <c r="BM968" s="293"/>
      <c r="BN968" s="293"/>
      <c r="BO968" s="293"/>
      <c r="BP968" s="293"/>
      <c r="BQ968" s="293"/>
      <c r="BR968" s="293"/>
      <c r="BS968" s="293"/>
      <c r="BT968" s="293"/>
    </row>
    <row r="969" spans="2:72" ht="32.1" customHeight="1">
      <c r="B969" s="358" t="s">
        <v>3161</v>
      </c>
      <c r="C969" s="15" t="s">
        <v>1288</v>
      </c>
      <c r="D969" s="177" t="s">
        <v>1289</v>
      </c>
      <c r="E969" s="141" t="s">
        <v>10</v>
      </c>
      <c r="F969" s="8"/>
      <c r="G969" s="5"/>
      <c r="H969" s="8"/>
      <c r="I969" s="8"/>
      <c r="J969" s="3"/>
      <c r="K969" s="3"/>
      <c r="L969" s="3"/>
      <c r="M969" s="254"/>
      <c r="N969" s="77"/>
      <c r="O969" s="70"/>
      <c r="P969" s="70"/>
      <c r="Q969" s="70"/>
      <c r="R969" s="70"/>
      <c r="S969" s="70"/>
      <c r="T969" s="70"/>
      <c r="U969" s="70"/>
      <c r="V969" s="71"/>
      <c r="W969" s="71"/>
      <c r="X969" s="71"/>
      <c r="Y969" s="72"/>
      <c r="Z969" s="111"/>
      <c r="AA969" s="120"/>
      <c r="AB969" s="120"/>
      <c r="AC969" s="120"/>
      <c r="AD969" s="120"/>
      <c r="AE969" s="120"/>
      <c r="AF969" s="120"/>
      <c r="AG969" s="120"/>
      <c r="AH969" s="120"/>
      <c r="AI969" s="120"/>
      <c r="AJ969" s="250"/>
      <c r="AK969" s="250"/>
      <c r="AL969" s="250"/>
      <c r="AM969" s="250"/>
      <c r="AN969" s="250"/>
      <c r="AO969" s="250"/>
      <c r="AP969" s="250"/>
      <c r="AQ969" s="250"/>
      <c r="AR969" s="250"/>
      <c r="AS969" s="117"/>
      <c r="AT969" s="10">
        <v>6722</v>
      </c>
      <c r="AU969" s="10">
        <v>12503.27</v>
      </c>
      <c r="AV969" s="167">
        <v>25006.54</v>
      </c>
      <c r="AW969" s="168">
        <v>12000</v>
      </c>
      <c r="AX969" s="29">
        <f t="shared" si="1122"/>
        <v>12251.635</v>
      </c>
      <c r="AY969" s="24">
        <f t="shared" si="1123"/>
        <v>5529.6350000000002</v>
      </c>
      <c r="AZ969" s="25">
        <f t="shared" si="1124"/>
        <v>0.82261752454626602</v>
      </c>
      <c r="BA969" s="24">
        <f t="shared" si="1125"/>
        <v>18284.54</v>
      </c>
      <c r="BB969" s="169">
        <f t="shared" si="1126"/>
        <v>2.7201041356739069</v>
      </c>
      <c r="BC969" s="305">
        <f t="shared" si="1127"/>
        <v>12251.635</v>
      </c>
      <c r="BD969" s="293"/>
      <c r="BE969" s="293"/>
      <c r="BF969" s="293"/>
      <c r="BG969" s="293"/>
      <c r="BH969" s="293"/>
      <c r="BI969" s="293"/>
      <c r="BJ969" s="293"/>
      <c r="BK969" s="293"/>
      <c r="BL969" s="327"/>
      <c r="BM969" s="293"/>
      <c r="BN969" s="293"/>
      <c r="BO969" s="293"/>
      <c r="BP969" s="293"/>
      <c r="BQ969" s="293"/>
      <c r="BR969" s="293"/>
      <c r="BS969" s="293"/>
      <c r="BT969" s="293"/>
    </row>
    <row r="970" spans="2:72" ht="48" customHeight="1">
      <c r="B970" s="358" t="s">
        <v>3162</v>
      </c>
      <c r="C970" s="15" t="s">
        <v>1290</v>
      </c>
      <c r="D970" s="177" t="s">
        <v>1291</v>
      </c>
      <c r="E970" s="141" t="s">
        <v>13</v>
      </c>
      <c r="F970" s="8"/>
      <c r="G970" s="5"/>
      <c r="H970" s="8"/>
      <c r="I970" s="8"/>
      <c r="J970" s="3"/>
      <c r="K970" s="3"/>
      <c r="L970" s="3"/>
      <c r="M970" s="254"/>
      <c r="N970" s="77"/>
      <c r="O970" s="70"/>
      <c r="P970" s="70"/>
      <c r="Q970" s="70"/>
      <c r="R970" s="70"/>
      <c r="S970" s="70"/>
      <c r="T970" s="70"/>
      <c r="U970" s="70"/>
      <c r="V970" s="71"/>
      <c r="W970" s="71"/>
      <c r="X970" s="71"/>
      <c r="Y970" s="72"/>
      <c r="Z970" s="111"/>
      <c r="AA970" s="120"/>
      <c r="AB970" s="120"/>
      <c r="AC970" s="120"/>
      <c r="AD970" s="120"/>
      <c r="AE970" s="120"/>
      <c r="AF970" s="120"/>
      <c r="AG970" s="120"/>
      <c r="AH970" s="120"/>
      <c r="AI970" s="120"/>
      <c r="AJ970" s="250"/>
      <c r="AK970" s="250"/>
      <c r="AL970" s="250"/>
      <c r="AM970" s="250"/>
      <c r="AN970" s="250"/>
      <c r="AO970" s="250"/>
      <c r="AP970" s="250"/>
      <c r="AQ970" s="250"/>
      <c r="AR970" s="250"/>
      <c r="AS970" s="117"/>
      <c r="AT970" s="10">
        <v>91445</v>
      </c>
      <c r="AU970" s="10">
        <v>59953</v>
      </c>
      <c r="AV970" s="167">
        <v>179859</v>
      </c>
      <c r="AW970" s="168">
        <v>78000</v>
      </c>
      <c r="AX970" s="29">
        <f t="shared" si="1122"/>
        <v>68976.5</v>
      </c>
      <c r="AY970" s="24">
        <f t="shared" si="1123"/>
        <v>-22468.5</v>
      </c>
      <c r="AZ970" s="25">
        <f t="shared" si="1124"/>
        <v>-0.24570506862048225</v>
      </c>
      <c r="BA970" s="24">
        <f t="shared" si="1125"/>
        <v>88414</v>
      </c>
      <c r="BB970" s="169">
        <f t="shared" si="1126"/>
        <v>0.96685439335119472</v>
      </c>
      <c r="BC970" s="305">
        <f t="shared" si="1127"/>
        <v>68976.5</v>
      </c>
      <c r="BD970" s="293"/>
      <c r="BE970" s="293"/>
      <c r="BF970" s="293"/>
      <c r="BG970" s="293"/>
      <c r="BH970" s="293"/>
      <c r="BI970" s="293"/>
      <c r="BJ970" s="293"/>
      <c r="BK970" s="293"/>
      <c r="BL970" s="327"/>
      <c r="BM970" s="293"/>
      <c r="BN970" s="293"/>
      <c r="BO970" s="293"/>
      <c r="BP970" s="293"/>
      <c r="BQ970" s="293"/>
      <c r="BR970" s="293"/>
      <c r="BS970" s="293"/>
      <c r="BT970" s="293"/>
    </row>
    <row r="971" spans="2:72" ht="32.1" customHeight="1">
      <c r="B971" s="358" t="s">
        <v>3163</v>
      </c>
      <c r="C971" s="15" t="s">
        <v>1292</v>
      </c>
      <c r="D971" s="177" t="s">
        <v>1293</v>
      </c>
      <c r="E971" s="141" t="s">
        <v>13</v>
      </c>
      <c r="F971" s="8"/>
      <c r="G971" s="5"/>
      <c r="H971" s="8"/>
      <c r="I971" s="8"/>
      <c r="J971" s="3"/>
      <c r="K971" s="3"/>
      <c r="L971" s="3"/>
      <c r="M971" s="254"/>
      <c r="N971" s="77"/>
      <c r="O971" s="70"/>
      <c r="P971" s="70"/>
      <c r="Q971" s="70"/>
      <c r="R971" s="70"/>
      <c r="S971" s="70"/>
      <c r="T971" s="70"/>
      <c r="U971" s="70"/>
      <c r="V971" s="71"/>
      <c r="W971" s="71"/>
      <c r="X971" s="71"/>
      <c r="Y971" s="72"/>
      <c r="Z971" s="111"/>
      <c r="AA971" s="120"/>
      <c r="AB971" s="120"/>
      <c r="AC971" s="120"/>
      <c r="AD971" s="120"/>
      <c r="AE971" s="120"/>
      <c r="AF971" s="120"/>
      <c r="AG971" s="120"/>
      <c r="AH971" s="120"/>
      <c r="AI971" s="120"/>
      <c r="AJ971" s="250"/>
      <c r="AK971" s="250"/>
      <c r="AL971" s="250"/>
      <c r="AM971" s="250"/>
      <c r="AN971" s="250"/>
      <c r="AO971" s="250"/>
      <c r="AP971" s="250"/>
      <c r="AQ971" s="250"/>
      <c r="AR971" s="250"/>
      <c r="AS971" s="117"/>
      <c r="AT971" s="10">
        <v>201102</v>
      </c>
      <c r="AU971" s="10">
        <v>157733</v>
      </c>
      <c r="AV971" s="167">
        <v>473199</v>
      </c>
      <c r="AW971" s="168">
        <v>145900</v>
      </c>
      <c r="AX971" s="29">
        <f t="shared" si="1122"/>
        <v>151816.5</v>
      </c>
      <c r="AY971" s="24">
        <f t="shared" si="1123"/>
        <v>-49285.5</v>
      </c>
      <c r="AZ971" s="25">
        <f t="shared" si="1124"/>
        <v>-0.24507712504102397</v>
      </c>
      <c r="BA971" s="24">
        <f t="shared" si="1125"/>
        <v>272097</v>
      </c>
      <c r="BB971" s="169">
        <f t="shared" si="1126"/>
        <v>1.3530298057702062</v>
      </c>
      <c r="BC971" s="305">
        <f t="shared" si="1127"/>
        <v>151816.5</v>
      </c>
      <c r="BD971" s="293"/>
      <c r="BE971" s="293"/>
      <c r="BF971" s="293"/>
      <c r="BG971" s="293"/>
      <c r="BH971" s="293"/>
      <c r="BI971" s="293"/>
      <c r="BJ971" s="293"/>
      <c r="BK971" s="293"/>
      <c r="BL971" s="327"/>
      <c r="BM971" s="293"/>
      <c r="BN971" s="293"/>
      <c r="BO971" s="293"/>
      <c r="BP971" s="293"/>
      <c r="BQ971" s="293"/>
      <c r="BR971" s="293"/>
      <c r="BS971" s="293"/>
      <c r="BT971" s="293"/>
    </row>
    <row r="972" spans="2:72" ht="45" customHeight="1">
      <c r="B972" s="358" t="s">
        <v>3164</v>
      </c>
      <c r="C972" s="15" t="s">
        <v>1294</v>
      </c>
      <c r="D972" s="177" t="s">
        <v>1295</v>
      </c>
      <c r="E972" s="141" t="s">
        <v>13</v>
      </c>
      <c r="F972" s="8"/>
      <c r="G972" s="5"/>
      <c r="H972" s="8"/>
      <c r="I972" s="8"/>
      <c r="J972" s="3"/>
      <c r="K972" s="3"/>
      <c r="L972" s="3"/>
      <c r="M972" s="254"/>
      <c r="N972" s="77"/>
      <c r="O972" s="70"/>
      <c r="P972" s="70"/>
      <c r="Q972" s="70"/>
      <c r="R972" s="70"/>
      <c r="S972" s="70"/>
      <c r="T972" s="70"/>
      <c r="U972" s="70"/>
      <c r="V972" s="71"/>
      <c r="W972" s="71"/>
      <c r="X972" s="71"/>
      <c r="Y972" s="72"/>
      <c r="Z972" s="111"/>
      <c r="AA972" s="120"/>
      <c r="AB972" s="120"/>
      <c r="AC972" s="120"/>
      <c r="AD972" s="120"/>
      <c r="AE972" s="120"/>
      <c r="AF972" s="120"/>
      <c r="AG972" s="120"/>
      <c r="AH972" s="120"/>
      <c r="AI972" s="120"/>
      <c r="AJ972" s="250"/>
      <c r="AK972" s="250"/>
      <c r="AL972" s="250"/>
      <c r="AM972" s="250"/>
      <c r="AN972" s="250"/>
      <c r="AO972" s="250"/>
      <c r="AP972" s="250"/>
      <c r="AQ972" s="250"/>
      <c r="AR972" s="250"/>
      <c r="AS972" s="117"/>
      <c r="AT972" s="10">
        <v>62008</v>
      </c>
      <c r="AU972" s="10">
        <v>311516</v>
      </c>
      <c r="AV972" s="167">
        <v>934548</v>
      </c>
      <c r="AW972" s="168">
        <v>245000</v>
      </c>
      <c r="AX972" s="29">
        <f t="shared" si="1122"/>
        <v>278258</v>
      </c>
      <c r="AY972" s="24">
        <f t="shared" si="1123"/>
        <v>216250</v>
      </c>
      <c r="AZ972" s="25">
        <f t="shared" si="1124"/>
        <v>3.4874532318410529</v>
      </c>
      <c r="BA972" s="24">
        <f t="shared" si="1125"/>
        <v>872540</v>
      </c>
      <c r="BB972" s="169">
        <f t="shared" si="1126"/>
        <v>14.071410140627016</v>
      </c>
      <c r="BC972" s="305">
        <f t="shared" si="1127"/>
        <v>278258</v>
      </c>
      <c r="BD972" s="293"/>
      <c r="BE972" s="293"/>
      <c r="BF972" s="293"/>
      <c r="BG972" s="293"/>
      <c r="BH972" s="293"/>
      <c r="BI972" s="293"/>
      <c r="BJ972" s="293"/>
      <c r="BK972" s="293"/>
      <c r="BL972" s="327"/>
      <c r="BM972" s="293"/>
      <c r="BN972" s="293"/>
      <c r="BO972" s="293"/>
      <c r="BP972" s="293"/>
      <c r="BQ972" s="293"/>
      <c r="BR972" s="293"/>
      <c r="BS972" s="293"/>
      <c r="BT972" s="293"/>
    </row>
    <row r="973" spans="2:72" ht="32.1" customHeight="1">
      <c r="B973" s="358" t="s">
        <v>3165</v>
      </c>
      <c r="C973" s="15" t="s">
        <v>1296</v>
      </c>
      <c r="D973" s="177" t="s">
        <v>1297</v>
      </c>
      <c r="E973" s="141" t="s">
        <v>10</v>
      </c>
      <c r="F973" s="8"/>
      <c r="G973" s="5"/>
      <c r="H973" s="8"/>
      <c r="I973" s="8"/>
      <c r="J973" s="3"/>
      <c r="K973" s="3"/>
      <c r="L973" s="3"/>
      <c r="M973" s="254"/>
      <c r="N973" s="77"/>
      <c r="O973" s="70"/>
      <c r="P973" s="70"/>
      <c r="Q973" s="70"/>
      <c r="R973" s="70"/>
      <c r="S973" s="70"/>
      <c r="T973" s="70"/>
      <c r="U973" s="70"/>
      <c r="V973" s="71"/>
      <c r="W973" s="71"/>
      <c r="X973" s="71"/>
      <c r="Y973" s="72"/>
      <c r="Z973" s="111"/>
      <c r="AA973" s="120"/>
      <c r="AB973" s="120"/>
      <c r="AC973" s="120"/>
      <c r="AD973" s="120"/>
      <c r="AE973" s="120"/>
      <c r="AF973" s="120"/>
      <c r="AG973" s="120"/>
      <c r="AH973" s="120"/>
      <c r="AI973" s="120"/>
      <c r="AJ973" s="250"/>
      <c r="AK973" s="250"/>
      <c r="AL973" s="250"/>
      <c r="AM973" s="250"/>
      <c r="AN973" s="250"/>
      <c r="AO973" s="250"/>
      <c r="AP973" s="250"/>
      <c r="AQ973" s="250"/>
      <c r="AR973" s="250"/>
      <c r="AS973" s="117"/>
      <c r="AT973" s="10">
        <v>14962</v>
      </c>
      <c r="AU973" s="10">
        <v>43000</v>
      </c>
      <c r="AV973" s="167">
        <v>129000</v>
      </c>
      <c r="AW973" s="168">
        <v>34000</v>
      </c>
      <c r="AX973" s="29">
        <f t="shared" si="1122"/>
        <v>38500</v>
      </c>
      <c r="AY973" s="24">
        <f t="shared" si="1123"/>
        <v>23538</v>
      </c>
      <c r="AZ973" s="25">
        <f t="shared" si="1124"/>
        <v>1.5731854030209864</v>
      </c>
      <c r="BA973" s="24">
        <f t="shared" si="1125"/>
        <v>114038</v>
      </c>
      <c r="BB973" s="169">
        <f t="shared" si="1126"/>
        <v>7.6218419997326556</v>
      </c>
      <c r="BC973" s="305">
        <f t="shared" si="1127"/>
        <v>38500</v>
      </c>
      <c r="BD973" s="293"/>
      <c r="BE973" s="293"/>
      <c r="BF973" s="293"/>
      <c r="BG973" s="293"/>
      <c r="BH973" s="293"/>
      <c r="BI973" s="293"/>
      <c r="BJ973" s="293"/>
      <c r="BK973" s="293"/>
      <c r="BL973" s="327"/>
      <c r="BM973" s="293"/>
      <c r="BN973" s="293"/>
      <c r="BO973" s="293"/>
      <c r="BP973" s="293"/>
      <c r="BQ973" s="293"/>
      <c r="BR973" s="293"/>
      <c r="BS973" s="293"/>
      <c r="BT973" s="293"/>
    </row>
    <row r="974" spans="2:72" ht="56.1" customHeight="1">
      <c r="B974" s="358" t="s">
        <v>3166</v>
      </c>
      <c r="C974" s="15" t="s">
        <v>1298</v>
      </c>
      <c r="D974" s="177" t="s">
        <v>1299</v>
      </c>
      <c r="E974" s="141" t="s">
        <v>905</v>
      </c>
      <c r="F974" s="8"/>
      <c r="G974" s="5"/>
      <c r="H974" s="8"/>
      <c r="I974" s="8"/>
      <c r="J974" s="3"/>
      <c r="K974" s="3"/>
      <c r="L974" s="3"/>
      <c r="M974" s="254"/>
      <c r="N974" s="77"/>
      <c r="O974" s="70"/>
      <c r="P974" s="70"/>
      <c r="Q974" s="70"/>
      <c r="R974" s="70"/>
      <c r="S974" s="70"/>
      <c r="T974" s="70"/>
      <c r="U974" s="70"/>
      <c r="V974" s="71"/>
      <c r="W974" s="71"/>
      <c r="X974" s="71"/>
      <c r="Y974" s="72"/>
      <c r="Z974" s="111"/>
      <c r="AA974" s="120"/>
      <c r="AB974" s="120"/>
      <c r="AC974" s="120"/>
      <c r="AD974" s="120"/>
      <c r="AE974" s="120"/>
      <c r="AF974" s="120"/>
      <c r="AG974" s="120"/>
      <c r="AH974" s="120"/>
      <c r="AI974" s="120"/>
      <c r="AJ974" s="250"/>
      <c r="AK974" s="250"/>
      <c r="AL974" s="250"/>
      <c r="AM974" s="250"/>
      <c r="AN974" s="250"/>
      <c r="AO974" s="250"/>
      <c r="AP974" s="250"/>
      <c r="AQ974" s="250"/>
      <c r="AR974" s="250"/>
      <c r="AS974" s="117"/>
      <c r="AT974" s="10">
        <v>1813739</v>
      </c>
      <c r="AU974" s="10"/>
      <c r="AV974" s="167">
        <v>250000</v>
      </c>
      <c r="AW974" s="168">
        <v>1200000</v>
      </c>
      <c r="AX974" s="29">
        <f t="shared" si="1122"/>
        <v>1200000</v>
      </c>
      <c r="AY974" s="24">
        <f t="shared" si="1123"/>
        <v>-613739</v>
      </c>
      <c r="AZ974" s="25">
        <f t="shared" si="1124"/>
        <v>-0.3383833065286681</v>
      </c>
      <c r="BA974" s="24">
        <f t="shared" si="1125"/>
        <v>-1563739</v>
      </c>
      <c r="BB974" s="169">
        <f t="shared" si="1126"/>
        <v>-0.86216318886013921</v>
      </c>
      <c r="BC974" s="305" t="s">
        <v>807</v>
      </c>
      <c r="BD974" s="293"/>
      <c r="BE974" s="293"/>
      <c r="BF974" s="293"/>
      <c r="BG974" s="293"/>
      <c r="BH974" s="293"/>
      <c r="BI974" s="293"/>
      <c r="BJ974" s="293"/>
      <c r="BK974" s="293"/>
      <c r="BL974" s="327"/>
      <c r="BM974" s="293"/>
      <c r="BN974" s="293"/>
      <c r="BO974" s="293"/>
      <c r="BP974" s="293"/>
      <c r="BQ974" s="293"/>
      <c r="BR974" s="293"/>
      <c r="BS974" s="293"/>
      <c r="BT974" s="293"/>
    </row>
    <row r="975" spans="2:72" ht="32.1" customHeight="1">
      <c r="B975" s="358" t="s">
        <v>3167</v>
      </c>
      <c r="C975" s="15" t="s">
        <v>1300</v>
      </c>
      <c r="D975" s="177" t="s">
        <v>1301</v>
      </c>
      <c r="E975" s="141" t="s">
        <v>14</v>
      </c>
      <c r="F975" s="8"/>
      <c r="G975" s="5"/>
      <c r="H975" s="8"/>
      <c r="I975" s="8"/>
      <c r="J975" s="3"/>
      <c r="K975" s="3"/>
      <c r="L975" s="3"/>
      <c r="M975" s="254"/>
      <c r="N975" s="77"/>
      <c r="O975" s="70"/>
      <c r="P975" s="70"/>
      <c r="Q975" s="70"/>
      <c r="R975" s="70"/>
      <c r="S975" s="70"/>
      <c r="T975" s="70"/>
      <c r="U975" s="70"/>
      <c r="V975" s="71"/>
      <c r="W975" s="71"/>
      <c r="X975" s="71"/>
      <c r="Y975" s="72"/>
      <c r="Z975" s="111"/>
      <c r="AA975" s="120"/>
      <c r="AB975" s="120"/>
      <c r="AC975" s="120"/>
      <c r="AD975" s="120"/>
      <c r="AE975" s="120"/>
      <c r="AF975" s="120"/>
      <c r="AG975" s="120"/>
      <c r="AH975" s="120"/>
      <c r="AI975" s="120"/>
      <c r="AJ975" s="250"/>
      <c r="AK975" s="250"/>
      <c r="AL975" s="250"/>
      <c r="AM975" s="250"/>
      <c r="AN975" s="250"/>
      <c r="AO975" s="250"/>
      <c r="AP975" s="250"/>
      <c r="AQ975" s="250"/>
      <c r="AR975" s="250"/>
      <c r="AS975" s="117"/>
      <c r="AT975" s="10">
        <v>116092</v>
      </c>
      <c r="AU975" s="10">
        <v>35000</v>
      </c>
      <c r="AV975" s="167">
        <v>70000</v>
      </c>
      <c r="AW975" s="168">
        <v>45600</v>
      </c>
      <c r="AX975" s="29">
        <f t="shared" si="1122"/>
        <v>40300</v>
      </c>
      <c r="AY975" s="24">
        <f t="shared" si="1123"/>
        <v>-75792</v>
      </c>
      <c r="AZ975" s="25">
        <f t="shared" si="1124"/>
        <v>-0.65286152361919858</v>
      </c>
      <c r="BA975" s="24">
        <f t="shared" si="1125"/>
        <v>-46092</v>
      </c>
      <c r="BB975" s="169">
        <f t="shared" si="1126"/>
        <v>-0.39702994177032008</v>
      </c>
      <c r="BC975" s="305">
        <f t="shared" si="1127"/>
        <v>40300</v>
      </c>
      <c r="BD975" s="293"/>
      <c r="BE975" s="293"/>
      <c r="BF975" s="293"/>
      <c r="BG975" s="293"/>
      <c r="BH975" s="293"/>
      <c r="BI975" s="293"/>
      <c r="BJ975" s="293"/>
      <c r="BK975" s="293"/>
      <c r="BL975" s="327"/>
      <c r="BM975" s="293"/>
      <c r="BN975" s="293"/>
      <c r="BO975" s="293"/>
      <c r="BP975" s="293"/>
      <c r="BQ975" s="293"/>
      <c r="BR975" s="293"/>
      <c r="BS975" s="293"/>
      <c r="BT975" s="293"/>
    </row>
    <row r="976" spans="2:72" ht="32.1" customHeight="1">
      <c r="B976" s="358" t="s">
        <v>3168</v>
      </c>
      <c r="C976" s="15" t="s">
        <v>1302</v>
      </c>
      <c r="D976" s="177" t="s">
        <v>1303</v>
      </c>
      <c r="E976" s="141" t="s">
        <v>14</v>
      </c>
      <c r="F976" s="8"/>
      <c r="G976" s="5"/>
      <c r="H976" s="8"/>
      <c r="I976" s="8"/>
      <c r="J976" s="3"/>
      <c r="K976" s="3"/>
      <c r="L976" s="3"/>
      <c r="M976" s="254"/>
      <c r="N976" s="77"/>
      <c r="O976" s="70"/>
      <c r="P976" s="70"/>
      <c r="Q976" s="70"/>
      <c r="R976" s="70"/>
      <c r="S976" s="70"/>
      <c r="T976" s="70"/>
      <c r="U976" s="70"/>
      <c r="V976" s="71"/>
      <c r="W976" s="71"/>
      <c r="X976" s="71"/>
      <c r="Y976" s="72"/>
      <c r="Z976" s="111"/>
      <c r="AA976" s="120"/>
      <c r="AB976" s="120"/>
      <c r="AC976" s="120"/>
      <c r="AD976" s="120"/>
      <c r="AE976" s="120"/>
      <c r="AF976" s="120"/>
      <c r="AG976" s="120"/>
      <c r="AH976" s="120"/>
      <c r="AI976" s="120"/>
      <c r="AJ976" s="250"/>
      <c r="AK976" s="250"/>
      <c r="AL976" s="250"/>
      <c r="AM976" s="250"/>
      <c r="AN976" s="250"/>
      <c r="AO976" s="250"/>
      <c r="AP976" s="250"/>
      <c r="AQ976" s="250"/>
      <c r="AR976" s="250"/>
      <c r="AS976" s="117"/>
      <c r="AT976" s="10">
        <v>15134</v>
      </c>
      <c r="AU976" s="10">
        <v>21972</v>
      </c>
      <c r="AV976" s="167">
        <v>65916</v>
      </c>
      <c r="AW976" s="168">
        <v>16700</v>
      </c>
      <c r="AX976" s="29">
        <f t="shared" si="1122"/>
        <v>19336</v>
      </c>
      <c r="AY976" s="24">
        <f t="shared" si="1123"/>
        <v>4202</v>
      </c>
      <c r="AZ976" s="25">
        <f t="shared" si="1124"/>
        <v>0.27765296682965507</v>
      </c>
      <c r="BA976" s="24">
        <f t="shared" si="1125"/>
        <v>50782</v>
      </c>
      <c r="BB976" s="169">
        <f t="shared" si="1126"/>
        <v>3.3554909475353507</v>
      </c>
      <c r="BC976" s="305">
        <f t="shared" si="1127"/>
        <v>19336</v>
      </c>
      <c r="BD976" s="293"/>
      <c r="BE976" s="293"/>
      <c r="BF976" s="293"/>
      <c r="BG976" s="293"/>
      <c r="BH976" s="293"/>
      <c r="BI976" s="293"/>
      <c r="BJ976" s="293"/>
      <c r="BK976" s="293"/>
      <c r="BL976" s="327"/>
      <c r="BM976" s="293"/>
      <c r="BN976" s="293"/>
      <c r="BO976" s="293"/>
      <c r="BP976" s="293"/>
      <c r="BQ976" s="293"/>
      <c r="BR976" s="293"/>
      <c r="BS976" s="293"/>
      <c r="BT976" s="293"/>
    </row>
    <row r="977" spans="2:72" ht="32.1" customHeight="1">
      <c r="B977" s="358" t="s">
        <v>3169</v>
      </c>
      <c r="C977" s="15" t="s">
        <v>1304</v>
      </c>
      <c r="D977" s="177" t="s">
        <v>1305</v>
      </c>
      <c r="E977" s="141" t="s">
        <v>1387</v>
      </c>
      <c r="F977" s="8"/>
      <c r="G977" s="5"/>
      <c r="H977" s="8"/>
      <c r="I977" s="8"/>
      <c r="J977" s="3"/>
      <c r="K977" s="3"/>
      <c r="L977" s="3"/>
      <c r="M977" s="254"/>
      <c r="N977" s="77"/>
      <c r="O977" s="70"/>
      <c r="P977" s="70"/>
      <c r="Q977" s="70"/>
      <c r="R977" s="70"/>
      <c r="S977" s="70"/>
      <c r="T977" s="70"/>
      <c r="U977" s="70"/>
      <c r="V977" s="71"/>
      <c r="W977" s="71"/>
      <c r="X977" s="71"/>
      <c r="Y977" s="72"/>
      <c r="Z977" s="111"/>
      <c r="AA977" s="120"/>
      <c r="AB977" s="120"/>
      <c r="AC977" s="120"/>
      <c r="AD977" s="120"/>
      <c r="AE977" s="120"/>
      <c r="AF977" s="120"/>
      <c r="AG977" s="120"/>
      <c r="AH977" s="120"/>
      <c r="AI977" s="120"/>
      <c r="AJ977" s="250"/>
      <c r="AK977" s="250"/>
      <c r="AL977" s="250"/>
      <c r="AM977" s="250"/>
      <c r="AN977" s="250"/>
      <c r="AO977" s="250"/>
      <c r="AP977" s="250"/>
      <c r="AQ977" s="250"/>
      <c r="AR977" s="250"/>
      <c r="AS977" s="117"/>
      <c r="AT977" s="10">
        <v>5547</v>
      </c>
      <c r="AU977" s="10">
        <v>150000</v>
      </c>
      <c r="AV977" s="167">
        <v>450000</v>
      </c>
      <c r="AW977" s="168">
        <v>13000</v>
      </c>
      <c r="AX977" s="29">
        <f t="shared" si="1122"/>
        <v>81500</v>
      </c>
      <c r="AY977" s="24">
        <f t="shared" si="1123"/>
        <v>75953</v>
      </c>
      <c r="AZ977" s="25">
        <f t="shared" si="1124"/>
        <v>13.692626645033352</v>
      </c>
      <c r="BA977" s="24">
        <f t="shared" si="1125"/>
        <v>444453</v>
      </c>
      <c r="BB977" s="169">
        <f t="shared" si="1126"/>
        <v>80.124932395889672</v>
      </c>
      <c r="BC977" s="305">
        <f t="shared" si="1127"/>
        <v>81500</v>
      </c>
      <c r="BD977" s="293"/>
      <c r="BE977" s="293"/>
      <c r="BF977" s="293"/>
      <c r="BG977" s="293"/>
      <c r="BH977" s="293"/>
      <c r="BI977" s="293"/>
      <c r="BJ977" s="293"/>
      <c r="BK977" s="293"/>
      <c r="BL977" s="327"/>
      <c r="BM977" s="293"/>
      <c r="BN977" s="293"/>
      <c r="BO977" s="293"/>
      <c r="BP977" s="293"/>
      <c r="BQ977" s="293"/>
      <c r="BR977" s="293"/>
      <c r="BS977" s="293"/>
      <c r="BT977" s="293"/>
    </row>
    <row r="978" spans="2:72" ht="32.1" customHeight="1">
      <c r="B978" s="358" t="s">
        <v>3170</v>
      </c>
      <c r="C978" s="15" t="s">
        <v>1306</v>
      </c>
      <c r="D978" s="177" t="s">
        <v>1307</v>
      </c>
      <c r="E978" s="141" t="s">
        <v>999</v>
      </c>
      <c r="F978" s="8"/>
      <c r="G978" s="5"/>
      <c r="H978" s="8"/>
      <c r="I978" s="8"/>
      <c r="J978" s="3"/>
      <c r="K978" s="3"/>
      <c r="L978" s="3"/>
      <c r="M978" s="254"/>
      <c r="N978" s="77"/>
      <c r="O978" s="70"/>
      <c r="P978" s="70"/>
      <c r="Q978" s="70"/>
      <c r="R978" s="70"/>
      <c r="S978" s="70"/>
      <c r="T978" s="70"/>
      <c r="U978" s="70"/>
      <c r="V978" s="71"/>
      <c r="W978" s="71"/>
      <c r="X978" s="71"/>
      <c r="Y978" s="72"/>
      <c r="Z978" s="111"/>
      <c r="AA978" s="120"/>
      <c r="AB978" s="120"/>
      <c r="AC978" s="120"/>
      <c r="AD978" s="120"/>
      <c r="AE978" s="120"/>
      <c r="AF978" s="120"/>
      <c r="AG978" s="120"/>
      <c r="AH978" s="120"/>
      <c r="AI978" s="120"/>
      <c r="AJ978" s="250"/>
      <c r="AK978" s="250"/>
      <c r="AL978" s="250"/>
      <c r="AM978" s="250"/>
      <c r="AN978" s="250"/>
      <c r="AO978" s="250"/>
      <c r="AP978" s="250"/>
      <c r="AQ978" s="250"/>
      <c r="AR978" s="250"/>
      <c r="AS978" s="117"/>
      <c r="AT978" s="10">
        <v>15226</v>
      </c>
      <c r="AU978" s="10">
        <v>25000</v>
      </c>
      <c r="AV978" s="167">
        <v>75000</v>
      </c>
      <c r="AW978" s="168">
        <v>20000</v>
      </c>
      <c r="AX978" s="29">
        <f t="shared" si="1122"/>
        <v>22500</v>
      </c>
      <c r="AY978" s="24">
        <f t="shared" si="1123"/>
        <v>7274</v>
      </c>
      <c r="AZ978" s="25">
        <f t="shared" si="1124"/>
        <v>0.47773545251543414</v>
      </c>
      <c r="BA978" s="24">
        <f t="shared" si="1125"/>
        <v>59774</v>
      </c>
      <c r="BB978" s="169">
        <f t="shared" si="1126"/>
        <v>3.9257848417181136</v>
      </c>
      <c r="BC978" s="305">
        <f t="shared" si="1127"/>
        <v>22500</v>
      </c>
      <c r="BD978" s="293"/>
      <c r="BE978" s="293"/>
      <c r="BF978" s="293"/>
      <c r="BG978" s="293"/>
      <c r="BH978" s="293"/>
      <c r="BI978" s="293"/>
      <c r="BJ978" s="293"/>
      <c r="BK978" s="293"/>
      <c r="BL978" s="327"/>
      <c r="BM978" s="293"/>
      <c r="BN978" s="293"/>
      <c r="BO978" s="293"/>
      <c r="BP978" s="293"/>
      <c r="BQ978" s="293"/>
      <c r="BR978" s="293"/>
      <c r="BS978" s="293"/>
      <c r="BT978" s="293"/>
    </row>
    <row r="979" spans="2:72" ht="32.1" customHeight="1">
      <c r="B979" s="358" t="s">
        <v>3171</v>
      </c>
      <c r="C979" s="15" t="s">
        <v>1308</v>
      </c>
      <c r="D979" s="177" t="s">
        <v>1309</v>
      </c>
      <c r="E979" s="141" t="s">
        <v>10</v>
      </c>
      <c r="F979" s="8"/>
      <c r="G979" s="5"/>
      <c r="H979" s="8"/>
      <c r="I979" s="8"/>
      <c r="J979" s="3"/>
      <c r="K979" s="3"/>
      <c r="L979" s="3"/>
      <c r="M979" s="254"/>
      <c r="N979" s="77"/>
      <c r="O979" s="70"/>
      <c r="P979" s="70"/>
      <c r="Q979" s="70"/>
      <c r="R979" s="70"/>
      <c r="S979" s="70"/>
      <c r="T979" s="70"/>
      <c r="U979" s="70"/>
      <c r="V979" s="71"/>
      <c r="W979" s="71"/>
      <c r="X979" s="71"/>
      <c r="Y979" s="72"/>
      <c r="Z979" s="111"/>
      <c r="AA979" s="120"/>
      <c r="AB979" s="120"/>
      <c r="AC979" s="120"/>
      <c r="AD979" s="120"/>
      <c r="AE979" s="120"/>
      <c r="AF979" s="120"/>
      <c r="AG979" s="120"/>
      <c r="AH979" s="120"/>
      <c r="AI979" s="120"/>
      <c r="AJ979" s="250"/>
      <c r="AK979" s="250"/>
      <c r="AL979" s="250"/>
      <c r="AM979" s="250"/>
      <c r="AN979" s="250"/>
      <c r="AO979" s="250"/>
      <c r="AP979" s="250"/>
      <c r="AQ979" s="250"/>
      <c r="AR979" s="250"/>
      <c r="AS979" s="117"/>
      <c r="AT979" s="10">
        <v>30553</v>
      </c>
      <c r="AU979" s="10">
        <v>15000</v>
      </c>
      <c r="AV979" s="167">
        <v>30000</v>
      </c>
      <c r="AW979" s="168">
        <v>25000</v>
      </c>
      <c r="AX979" s="29">
        <f t="shared" si="1122"/>
        <v>20000</v>
      </c>
      <c r="AY979" s="24">
        <f t="shared" si="1123"/>
        <v>-10553</v>
      </c>
      <c r="AZ979" s="25">
        <f t="shared" si="1124"/>
        <v>-0.34539979707393709</v>
      </c>
      <c r="BA979" s="24">
        <f t="shared" si="1125"/>
        <v>-553</v>
      </c>
      <c r="BB979" s="169">
        <f t="shared" si="1126"/>
        <v>-1.8099695610905641E-2</v>
      </c>
      <c r="BC979" s="305">
        <f t="shared" si="1127"/>
        <v>20000</v>
      </c>
      <c r="BD979" s="293"/>
      <c r="BE979" s="293"/>
      <c r="BF979" s="293"/>
      <c r="BG979" s="293"/>
      <c r="BH979" s="293"/>
      <c r="BI979" s="293"/>
      <c r="BJ979" s="293"/>
      <c r="BK979" s="293"/>
      <c r="BL979" s="327"/>
      <c r="BM979" s="293"/>
      <c r="BN979" s="293"/>
      <c r="BO979" s="293"/>
      <c r="BP979" s="293"/>
      <c r="BQ979" s="293"/>
      <c r="BR979" s="293"/>
      <c r="BS979" s="293"/>
      <c r="BT979" s="293"/>
    </row>
    <row r="980" spans="2:72" ht="32.1" customHeight="1">
      <c r="B980" s="358" t="s">
        <v>3172</v>
      </c>
      <c r="C980" s="15" t="s">
        <v>1310</v>
      </c>
      <c r="D980" s="177" t="s">
        <v>1311</v>
      </c>
      <c r="E980" s="141" t="s">
        <v>10</v>
      </c>
      <c r="F980" s="8"/>
      <c r="G980" s="5"/>
      <c r="H980" s="8"/>
      <c r="I980" s="8"/>
      <c r="J980" s="3"/>
      <c r="K980" s="3"/>
      <c r="L980" s="3"/>
      <c r="M980" s="254"/>
      <c r="N980" s="77"/>
      <c r="O980" s="70"/>
      <c r="P980" s="70"/>
      <c r="Q980" s="70"/>
      <c r="R980" s="70"/>
      <c r="S980" s="70"/>
      <c r="T980" s="70"/>
      <c r="U980" s="70"/>
      <c r="V980" s="71"/>
      <c r="W980" s="71"/>
      <c r="X980" s="71"/>
      <c r="Y980" s="72"/>
      <c r="Z980" s="111"/>
      <c r="AA980" s="120"/>
      <c r="AB980" s="120"/>
      <c r="AC980" s="120"/>
      <c r="AD980" s="120"/>
      <c r="AE980" s="120"/>
      <c r="AF980" s="120"/>
      <c r="AG980" s="120"/>
      <c r="AH980" s="120"/>
      <c r="AI980" s="120"/>
      <c r="AJ980" s="250"/>
      <c r="AK980" s="250"/>
      <c r="AL980" s="250"/>
      <c r="AM980" s="250"/>
      <c r="AN980" s="250"/>
      <c r="AO980" s="250"/>
      <c r="AP980" s="250"/>
      <c r="AQ980" s="250"/>
      <c r="AR980" s="250"/>
      <c r="AS980" s="117"/>
      <c r="AT980" s="10">
        <v>14297</v>
      </c>
      <c r="AU980" s="10">
        <v>50111.3</v>
      </c>
      <c r="AV980" s="167">
        <v>100222.6</v>
      </c>
      <c r="AW980" s="168">
        <v>45000</v>
      </c>
      <c r="AX980" s="29">
        <f t="shared" si="1122"/>
        <v>47555.65</v>
      </c>
      <c r="AY980" s="24">
        <f t="shared" si="1123"/>
        <v>33258.65</v>
      </c>
      <c r="AZ980" s="25">
        <f t="shared" si="1124"/>
        <v>2.3262677484787018</v>
      </c>
      <c r="BA980" s="24">
        <f t="shared" si="1125"/>
        <v>85925.6</v>
      </c>
      <c r="BB980" s="169">
        <f t="shared" si="1126"/>
        <v>6.0100440651885014</v>
      </c>
      <c r="BC980" s="305">
        <f t="shared" si="1127"/>
        <v>47555.65</v>
      </c>
      <c r="BD980" s="293"/>
      <c r="BE980" s="293"/>
      <c r="BF980" s="293"/>
      <c r="BG980" s="293"/>
      <c r="BH980" s="293"/>
      <c r="BI980" s="293"/>
      <c r="BJ980" s="293"/>
      <c r="BK980" s="293"/>
      <c r="BL980" s="327"/>
      <c r="BM980" s="293"/>
      <c r="BN980" s="293"/>
      <c r="BO980" s="293"/>
      <c r="BP980" s="293"/>
      <c r="BQ980" s="293"/>
      <c r="BR980" s="293"/>
      <c r="BS980" s="293"/>
      <c r="BT980" s="293"/>
    </row>
    <row r="981" spans="2:72" ht="32.1" customHeight="1">
      <c r="B981" s="358" t="s">
        <v>3173</v>
      </c>
      <c r="C981" s="15" t="s">
        <v>1312</v>
      </c>
      <c r="D981" s="177" t="s">
        <v>1313</v>
      </c>
      <c r="E981" s="141" t="s">
        <v>14</v>
      </c>
      <c r="F981" s="8"/>
      <c r="G981" s="5"/>
      <c r="H981" s="8"/>
      <c r="I981" s="8"/>
      <c r="J981" s="3"/>
      <c r="K981" s="3"/>
      <c r="L981" s="3"/>
      <c r="M981" s="254"/>
      <c r="N981" s="77"/>
      <c r="O981" s="70"/>
      <c r="P981" s="70"/>
      <c r="Q981" s="70"/>
      <c r="R981" s="70"/>
      <c r="S981" s="70"/>
      <c r="T981" s="70"/>
      <c r="U981" s="70"/>
      <c r="V981" s="71"/>
      <c r="W981" s="71"/>
      <c r="X981" s="71"/>
      <c r="Y981" s="72"/>
      <c r="Z981" s="111"/>
      <c r="AA981" s="120"/>
      <c r="AB981" s="120"/>
      <c r="AC981" s="120"/>
      <c r="AD981" s="120"/>
      <c r="AE981" s="120"/>
      <c r="AF981" s="120"/>
      <c r="AG981" s="120"/>
      <c r="AH981" s="120"/>
      <c r="AI981" s="120"/>
      <c r="AJ981" s="250"/>
      <c r="AK981" s="250"/>
      <c r="AL981" s="250"/>
      <c r="AM981" s="250"/>
      <c r="AN981" s="250"/>
      <c r="AO981" s="250"/>
      <c r="AP981" s="250"/>
      <c r="AQ981" s="250"/>
      <c r="AR981" s="250"/>
      <c r="AS981" s="117"/>
      <c r="AT981" s="10">
        <v>155791</v>
      </c>
      <c r="AU981" s="10">
        <v>450538</v>
      </c>
      <c r="AV981" s="167">
        <v>901076</v>
      </c>
      <c r="AW981" s="168">
        <v>425000</v>
      </c>
      <c r="AX981" s="29">
        <f t="shared" si="1122"/>
        <v>437769</v>
      </c>
      <c r="AY981" s="24">
        <f t="shared" si="1123"/>
        <v>281978</v>
      </c>
      <c r="AZ981" s="25">
        <f t="shared" si="1124"/>
        <v>1.8099761860441232</v>
      </c>
      <c r="BA981" s="24">
        <f t="shared" si="1125"/>
        <v>745285</v>
      </c>
      <c r="BB981" s="169">
        <f t="shared" si="1126"/>
        <v>4.7838771174201336</v>
      </c>
      <c r="BC981" s="305">
        <f t="shared" si="1127"/>
        <v>437769</v>
      </c>
      <c r="BD981" s="293"/>
      <c r="BE981" s="293"/>
      <c r="BF981" s="293"/>
      <c r="BG981" s="293"/>
      <c r="BH981" s="293"/>
      <c r="BI981" s="293"/>
      <c r="BJ981" s="293"/>
      <c r="BK981" s="293"/>
      <c r="BL981" s="327"/>
      <c r="BM981" s="293"/>
      <c r="BN981" s="293"/>
      <c r="BO981" s="293"/>
      <c r="BP981" s="293"/>
      <c r="BQ981" s="293"/>
      <c r="BR981" s="293"/>
      <c r="BS981" s="293"/>
      <c r="BT981" s="293"/>
    </row>
    <row r="982" spans="2:72" ht="32.1" customHeight="1">
      <c r="B982" s="358" t="s">
        <v>3174</v>
      </c>
      <c r="C982" s="15" t="s">
        <v>1314</v>
      </c>
      <c r="D982" s="177" t="s">
        <v>1315</v>
      </c>
      <c r="E982" s="141" t="s">
        <v>14</v>
      </c>
      <c r="F982" s="8"/>
      <c r="G982" s="5"/>
      <c r="H982" s="8"/>
      <c r="I982" s="8"/>
      <c r="J982" s="3"/>
      <c r="K982" s="3"/>
      <c r="L982" s="3"/>
      <c r="M982" s="254"/>
      <c r="N982" s="77"/>
      <c r="O982" s="70"/>
      <c r="P982" s="70"/>
      <c r="Q982" s="70"/>
      <c r="R982" s="70"/>
      <c r="S982" s="70"/>
      <c r="T982" s="70"/>
      <c r="U982" s="70"/>
      <c r="V982" s="71"/>
      <c r="W982" s="71"/>
      <c r="X982" s="71"/>
      <c r="Y982" s="72"/>
      <c r="Z982" s="111"/>
      <c r="AA982" s="120"/>
      <c r="AB982" s="120"/>
      <c r="AC982" s="120"/>
      <c r="AD982" s="120"/>
      <c r="AE982" s="120"/>
      <c r="AF982" s="120"/>
      <c r="AG982" s="120"/>
      <c r="AH982" s="120"/>
      <c r="AI982" s="120"/>
      <c r="AJ982" s="250"/>
      <c r="AK982" s="250"/>
      <c r="AL982" s="250"/>
      <c r="AM982" s="250"/>
      <c r="AN982" s="250"/>
      <c r="AO982" s="250"/>
      <c r="AP982" s="250"/>
      <c r="AQ982" s="250"/>
      <c r="AR982" s="250"/>
      <c r="AS982" s="117"/>
      <c r="AT982" s="10">
        <v>17492</v>
      </c>
      <c r="AU982" s="10">
        <v>360000</v>
      </c>
      <c r="AV982" s="167">
        <v>720000</v>
      </c>
      <c r="AW982" s="168">
        <v>230000</v>
      </c>
      <c r="AX982" s="29">
        <f t="shared" si="1122"/>
        <v>295000</v>
      </c>
      <c r="AY982" s="24">
        <f t="shared" si="1123"/>
        <v>277508</v>
      </c>
      <c r="AZ982" s="25">
        <f t="shared" si="1124"/>
        <v>15.86485250400183</v>
      </c>
      <c r="BA982" s="24">
        <f t="shared" si="1125"/>
        <v>702508</v>
      </c>
      <c r="BB982" s="169">
        <f t="shared" si="1126"/>
        <v>40.16167390807226</v>
      </c>
      <c r="BC982" s="305">
        <f t="shared" si="1127"/>
        <v>295000</v>
      </c>
      <c r="BD982" s="293"/>
      <c r="BE982" s="293"/>
      <c r="BF982" s="293"/>
      <c r="BG982" s="293"/>
      <c r="BH982" s="293"/>
      <c r="BI982" s="293"/>
      <c r="BJ982" s="293"/>
      <c r="BK982" s="293"/>
      <c r="BL982" s="327"/>
      <c r="BM982" s="293"/>
      <c r="BN982" s="293"/>
      <c r="BO982" s="293"/>
      <c r="BP982" s="293"/>
      <c r="BQ982" s="293"/>
      <c r="BR982" s="293"/>
      <c r="BS982" s="293"/>
      <c r="BT982" s="293"/>
    </row>
    <row r="983" spans="2:72" ht="32.1" customHeight="1">
      <c r="B983" s="358" t="s">
        <v>3175</v>
      </c>
      <c r="C983" s="15" t="s">
        <v>1316</v>
      </c>
      <c r="D983" s="177" t="s">
        <v>1317</v>
      </c>
      <c r="E983" s="141" t="s">
        <v>13</v>
      </c>
      <c r="F983" s="8"/>
      <c r="G983" s="5"/>
      <c r="H983" s="8"/>
      <c r="I983" s="8"/>
      <c r="J983" s="3"/>
      <c r="K983" s="3"/>
      <c r="L983" s="3"/>
      <c r="M983" s="254"/>
      <c r="N983" s="77"/>
      <c r="O983" s="70"/>
      <c r="P983" s="70"/>
      <c r="Q983" s="70"/>
      <c r="R983" s="70"/>
      <c r="S983" s="70"/>
      <c r="T983" s="70"/>
      <c r="U983" s="70"/>
      <c r="V983" s="71"/>
      <c r="W983" s="71"/>
      <c r="X983" s="71"/>
      <c r="Y983" s="72"/>
      <c r="Z983" s="111"/>
      <c r="AA983" s="120"/>
      <c r="AB983" s="120"/>
      <c r="AC983" s="120"/>
      <c r="AD983" s="120"/>
      <c r="AE983" s="120"/>
      <c r="AF983" s="120"/>
      <c r="AG983" s="120"/>
      <c r="AH983" s="120"/>
      <c r="AI983" s="120"/>
      <c r="AJ983" s="250"/>
      <c r="AK983" s="250"/>
      <c r="AL983" s="250"/>
      <c r="AM983" s="250"/>
      <c r="AN983" s="250"/>
      <c r="AO983" s="250"/>
      <c r="AP983" s="250"/>
      <c r="AQ983" s="250"/>
      <c r="AR983" s="250"/>
      <c r="AS983" s="117"/>
      <c r="AT983" s="10">
        <v>14360</v>
      </c>
      <c r="AU983" s="10"/>
      <c r="AV983" s="167">
        <v>32000</v>
      </c>
      <c r="AW983" s="168">
        <v>22000</v>
      </c>
      <c r="AX983" s="29">
        <f t="shared" si="1122"/>
        <v>22000</v>
      </c>
      <c r="AY983" s="24">
        <f t="shared" si="1123"/>
        <v>7640</v>
      </c>
      <c r="AZ983" s="25">
        <f t="shared" si="1124"/>
        <v>0.53203342618384397</v>
      </c>
      <c r="BA983" s="24">
        <f t="shared" si="1125"/>
        <v>17640</v>
      </c>
      <c r="BB983" s="169">
        <f t="shared" si="1126"/>
        <v>1.2284122562674096</v>
      </c>
      <c r="BC983" s="305">
        <f t="shared" si="1127"/>
        <v>22000</v>
      </c>
      <c r="BD983" s="293"/>
      <c r="BE983" s="293"/>
      <c r="BF983" s="293"/>
      <c r="BG983" s="293"/>
      <c r="BH983" s="293"/>
      <c r="BI983" s="293"/>
      <c r="BJ983" s="293"/>
      <c r="BK983" s="293"/>
      <c r="BL983" s="327"/>
      <c r="BM983" s="293"/>
      <c r="BN983" s="293"/>
      <c r="BO983" s="293"/>
      <c r="BP983" s="293"/>
      <c r="BQ983" s="293"/>
      <c r="BR983" s="293"/>
      <c r="BS983" s="293"/>
      <c r="BT983" s="293"/>
    </row>
    <row r="984" spans="2:72" ht="32.1" customHeight="1">
      <c r="B984" s="358" t="s">
        <v>3176</v>
      </c>
      <c r="C984" s="15" t="s">
        <v>1318</v>
      </c>
      <c r="D984" s="177" t="s">
        <v>1319</v>
      </c>
      <c r="E984" s="141" t="s">
        <v>905</v>
      </c>
      <c r="F984" s="8"/>
      <c r="G984" s="5"/>
      <c r="H984" s="8"/>
      <c r="I984" s="8"/>
      <c r="J984" s="3"/>
      <c r="K984" s="3"/>
      <c r="L984" s="3"/>
      <c r="M984" s="254"/>
      <c r="N984" s="77"/>
      <c r="O984" s="70"/>
      <c r="P984" s="70"/>
      <c r="Q984" s="70"/>
      <c r="R984" s="70"/>
      <c r="S984" s="70"/>
      <c r="T984" s="70"/>
      <c r="U984" s="70"/>
      <c r="V984" s="71"/>
      <c r="W984" s="71"/>
      <c r="X984" s="71"/>
      <c r="Y984" s="72"/>
      <c r="Z984" s="111"/>
      <c r="AA984" s="120"/>
      <c r="AB984" s="120"/>
      <c r="AC984" s="120"/>
      <c r="AD984" s="120"/>
      <c r="AE984" s="120"/>
      <c r="AF984" s="120"/>
      <c r="AG984" s="120"/>
      <c r="AH984" s="120"/>
      <c r="AI984" s="120"/>
      <c r="AJ984" s="250"/>
      <c r="AK984" s="250"/>
      <c r="AL984" s="250"/>
      <c r="AM984" s="250"/>
      <c r="AN984" s="250"/>
      <c r="AO984" s="250"/>
      <c r="AP984" s="250"/>
      <c r="AQ984" s="250"/>
      <c r="AR984" s="250"/>
      <c r="AS984" s="117"/>
      <c r="AT984" s="10">
        <v>1626319</v>
      </c>
      <c r="AU984" s="10"/>
      <c r="AV984" s="167">
        <v>250000</v>
      </c>
      <c r="AW984" s="168">
        <v>300000</v>
      </c>
      <c r="AX984" s="29">
        <f t="shared" si="1122"/>
        <v>300000</v>
      </c>
      <c r="AY984" s="24">
        <f t="shared" si="1123"/>
        <v>-1326319</v>
      </c>
      <c r="AZ984" s="25">
        <f t="shared" si="1124"/>
        <v>-0.815534344738025</v>
      </c>
      <c r="BA984" s="24">
        <f t="shared" si="1125"/>
        <v>-1376319</v>
      </c>
      <c r="BB984" s="169">
        <f t="shared" si="1126"/>
        <v>-0.84627862061502079</v>
      </c>
      <c r="BC984" s="305" t="s">
        <v>807</v>
      </c>
      <c r="BD984" s="293"/>
      <c r="BE984" s="293"/>
      <c r="BF984" s="293"/>
      <c r="BG984" s="293"/>
      <c r="BH984" s="293"/>
      <c r="BI984" s="293"/>
      <c r="BJ984" s="293"/>
      <c r="BK984" s="293"/>
      <c r="BL984" s="327"/>
      <c r="BM984" s="293"/>
      <c r="BN984" s="293"/>
      <c r="BO984" s="293"/>
      <c r="BP984" s="293"/>
      <c r="BQ984" s="293"/>
      <c r="BR984" s="293"/>
      <c r="BS984" s="293"/>
      <c r="BT984" s="293"/>
    </row>
    <row r="985" spans="2:72" ht="32.1" customHeight="1">
      <c r="B985" s="358" t="s">
        <v>3177</v>
      </c>
      <c r="C985" s="15" t="s">
        <v>1320</v>
      </c>
      <c r="D985" s="177" t="s">
        <v>1321</v>
      </c>
      <c r="E985" s="141" t="s">
        <v>13</v>
      </c>
      <c r="F985" s="8"/>
      <c r="G985" s="5"/>
      <c r="H985" s="8"/>
      <c r="I985" s="8"/>
      <c r="J985" s="3"/>
      <c r="K985" s="3"/>
      <c r="L985" s="3"/>
      <c r="M985" s="254"/>
      <c r="N985" s="77"/>
      <c r="O985" s="70"/>
      <c r="P985" s="70"/>
      <c r="Q985" s="70"/>
      <c r="R985" s="70"/>
      <c r="S985" s="70"/>
      <c r="T985" s="70"/>
      <c r="U985" s="70"/>
      <c r="V985" s="71"/>
      <c r="W985" s="71"/>
      <c r="X985" s="71"/>
      <c r="Y985" s="72"/>
      <c r="Z985" s="111"/>
      <c r="AA985" s="120"/>
      <c r="AB985" s="120"/>
      <c r="AC985" s="120"/>
      <c r="AD985" s="120"/>
      <c r="AE985" s="120"/>
      <c r="AF985" s="120"/>
      <c r="AG985" s="120"/>
      <c r="AH985" s="120"/>
      <c r="AI985" s="120"/>
      <c r="AJ985" s="250"/>
      <c r="AK985" s="250"/>
      <c r="AL985" s="250"/>
      <c r="AM985" s="250"/>
      <c r="AN985" s="250"/>
      <c r="AO985" s="250"/>
      <c r="AP985" s="250"/>
      <c r="AQ985" s="250"/>
      <c r="AR985" s="250"/>
      <c r="AS985" s="117"/>
      <c r="AT985" s="10">
        <v>54299</v>
      </c>
      <c r="AU985" s="10">
        <v>12500</v>
      </c>
      <c r="AV985" s="167">
        <v>37500</v>
      </c>
      <c r="AW985" s="168">
        <v>18500</v>
      </c>
      <c r="AX985" s="29">
        <f t="shared" si="1122"/>
        <v>15500</v>
      </c>
      <c r="AY985" s="24">
        <f t="shared" si="1123"/>
        <v>-38799</v>
      </c>
      <c r="AZ985" s="25">
        <f t="shared" si="1124"/>
        <v>-0.71454354592165603</v>
      </c>
      <c r="BA985" s="24">
        <f t="shared" si="1125"/>
        <v>-16799</v>
      </c>
      <c r="BB985" s="169">
        <f t="shared" si="1126"/>
        <v>-0.30937954658465167</v>
      </c>
      <c r="BC985" s="305">
        <f t="shared" si="1127"/>
        <v>15500</v>
      </c>
      <c r="BD985" s="293"/>
      <c r="BE985" s="293"/>
      <c r="BF985" s="293"/>
      <c r="BG985" s="293"/>
      <c r="BH985" s="293"/>
      <c r="BI985" s="293"/>
      <c r="BJ985" s="293"/>
      <c r="BK985" s="293"/>
      <c r="BL985" s="327"/>
      <c r="BM985" s="293"/>
      <c r="BN985" s="293"/>
      <c r="BO985" s="293"/>
      <c r="BP985" s="293"/>
      <c r="BQ985" s="293"/>
      <c r="BR985" s="293"/>
      <c r="BS985" s="293"/>
      <c r="BT985" s="293"/>
    </row>
    <row r="986" spans="2:72" ht="32.1" customHeight="1">
      <c r="B986" s="358" t="s">
        <v>3178</v>
      </c>
      <c r="C986" s="15" t="s">
        <v>1322</v>
      </c>
      <c r="D986" s="177" t="s">
        <v>1323</v>
      </c>
      <c r="E986" s="141" t="s">
        <v>13</v>
      </c>
      <c r="F986" s="8"/>
      <c r="G986" s="5"/>
      <c r="H986" s="8"/>
      <c r="I986" s="8"/>
      <c r="J986" s="3"/>
      <c r="K986" s="3"/>
      <c r="L986" s="3"/>
      <c r="M986" s="254"/>
      <c r="N986" s="77"/>
      <c r="O986" s="70"/>
      <c r="P986" s="70"/>
      <c r="Q986" s="70"/>
      <c r="R986" s="70"/>
      <c r="S986" s="70"/>
      <c r="T986" s="70"/>
      <c r="U986" s="70"/>
      <c r="V986" s="71"/>
      <c r="W986" s="71"/>
      <c r="X986" s="71"/>
      <c r="Y986" s="72"/>
      <c r="Z986" s="111"/>
      <c r="AA986" s="120"/>
      <c r="AB986" s="120"/>
      <c r="AC986" s="120"/>
      <c r="AD986" s="120"/>
      <c r="AE986" s="120"/>
      <c r="AF986" s="120"/>
      <c r="AG986" s="120"/>
      <c r="AH986" s="120"/>
      <c r="AI986" s="120"/>
      <c r="AJ986" s="250"/>
      <c r="AK986" s="250"/>
      <c r="AL986" s="250"/>
      <c r="AM986" s="250"/>
      <c r="AN986" s="250"/>
      <c r="AO986" s="250"/>
      <c r="AP986" s="250"/>
      <c r="AQ986" s="250"/>
      <c r="AR986" s="250"/>
      <c r="AS986" s="117"/>
      <c r="AT986" s="10">
        <v>77097</v>
      </c>
      <c r="AU986" s="10">
        <v>91320</v>
      </c>
      <c r="AV986" s="167">
        <v>273960</v>
      </c>
      <c r="AW986" s="168">
        <v>76890</v>
      </c>
      <c r="AX986" s="29">
        <f t="shared" si="1122"/>
        <v>84105</v>
      </c>
      <c r="AY986" s="24">
        <f t="shared" si="1123"/>
        <v>7008</v>
      </c>
      <c r="AZ986" s="25">
        <f t="shared" si="1124"/>
        <v>9.0898478540021019E-2</v>
      </c>
      <c r="BA986" s="24">
        <f t="shared" si="1125"/>
        <v>196863</v>
      </c>
      <c r="BB986" s="169">
        <f t="shared" si="1126"/>
        <v>2.5534456593641774</v>
      </c>
      <c r="BC986" s="305">
        <f t="shared" si="1127"/>
        <v>84105</v>
      </c>
      <c r="BD986" s="293"/>
      <c r="BE986" s="293"/>
      <c r="BF986" s="293"/>
      <c r="BG986" s="293"/>
      <c r="BH986" s="293"/>
      <c r="BI986" s="293"/>
      <c r="BJ986" s="293"/>
      <c r="BK986" s="293"/>
      <c r="BL986" s="327"/>
      <c r="BM986" s="293"/>
      <c r="BN986" s="293"/>
      <c r="BO986" s="293"/>
      <c r="BP986" s="293"/>
      <c r="BQ986" s="293"/>
      <c r="BR986" s="293"/>
      <c r="BS986" s="293"/>
      <c r="BT986" s="293"/>
    </row>
    <row r="987" spans="2:72" ht="32.1" customHeight="1">
      <c r="B987" s="358" t="s">
        <v>3179</v>
      </c>
      <c r="C987" s="15" t="s">
        <v>1324</v>
      </c>
      <c r="D987" s="177" t="s">
        <v>1325</v>
      </c>
      <c r="E987" s="141" t="s">
        <v>10</v>
      </c>
      <c r="F987" s="8"/>
      <c r="G987" s="5"/>
      <c r="H987" s="8"/>
      <c r="I987" s="8"/>
      <c r="J987" s="3"/>
      <c r="K987" s="3"/>
      <c r="L987" s="3"/>
      <c r="M987" s="254"/>
      <c r="N987" s="77"/>
      <c r="O987" s="70"/>
      <c r="P987" s="70"/>
      <c r="Q987" s="70"/>
      <c r="R987" s="70"/>
      <c r="S987" s="70"/>
      <c r="T987" s="70"/>
      <c r="U987" s="70"/>
      <c r="V987" s="71"/>
      <c r="W987" s="71"/>
      <c r="X987" s="71"/>
      <c r="Y987" s="72"/>
      <c r="Z987" s="111"/>
      <c r="AA987" s="120"/>
      <c r="AB987" s="120"/>
      <c r="AC987" s="120"/>
      <c r="AD987" s="120"/>
      <c r="AE987" s="120"/>
      <c r="AF987" s="120"/>
      <c r="AG987" s="120"/>
      <c r="AH987" s="120"/>
      <c r="AI987" s="120"/>
      <c r="AJ987" s="250"/>
      <c r="AK987" s="250"/>
      <c r="AL987" s="250"/>
      <c r="AM987" s="250"/>
      <c r="AN987" s="250"/>
      <c r="AO987" s="250"/>
      <c r="AP987" s="250"/>
      <c r="AQ987" s="250"/>
      <c r="AR987" s="250"/>
      <c r="AS987" s="117"/>
      <c r="AT987" s="10">
        <v>14801</v>
      </c>
      <c r="AU987" s="10">
        <v>8000</v>
      </c>
      <c r="AV987" s="167">
        <v>24000</v>
      </c>
      <c r="AW987" s="168">
        <v>12000</v>
      </c>
      <c r="AX987" s="29">
        <f t="shared" si="1122"/>
        <v>10000</v>
      </c>
      <c r="AY987" s="24">
        <f t="shared" si="1123"/>
        <v>-4801</v>
      </c>
      <c r="AZ987" s="25">
        <f t="shared" si="1124"/>
        <v>-0.32436997500168907</v>
      </c>
      <c r="BA987" s="24">
        <f t="shared" si="1125"/>
        <v>9199</v>
      </c>
      <c r="BB987" s="169">
        <f t="shared" si="1126"/>
        <v>0.62151205999594616</v>
      </c>
      <c r="BC987" s="305">
        <f t="shared" si="1127"/>
        <v>10000</v>
      </c>
      <c r="BD987" s="293"/>
      <c r="BE987" s="293"/>
      <c r="BF987" s="293"/>
      <c r="BG987" s="293"/>
      <c r="BH987" s="293"/>
      <c r="BI987" s="293"/>
      <c r="BJ987" s="293"/>
      <c r="BK987" s="293"/>
      <c r="BL987" s="327"/>
      <c r="BM987" s="293"/>
      <c r="BN987" s="293"/>
      <c r="BO987" s="293"/>
      <c r="BP987" s="293"/>
      <c r="BQ987" s="293"/>
      <c r="BR987" s="293"/>
      <c r="BS987" s="293"/>
      <c r="BT987" s="293"/>
    </row>
    <row r="988" spans="2:72" ht="32.1" customHeight="1">
      <c r="B988" s="358" t="s">
        <v>3180</v>
      </c>
      <c r="C988" s="15" t="s">
        <v>1326</v>
      </c>
      <c r="D988" s="177" t="s">
        <v>1327</v>
      </c>
      <c r="E988" s="141" t="s">
        <v>14</v>
      </c>
      <c r="F988" s="8"/>
      <c r="G988" s="5"/>
      <c r="H988" s="8"/>
      <c r="I988" s="8"/>
      <c r="J988" s="3"/>
      <c r="K988" s="3"/>
      <c r="L988" s="3"/>
      <c r="M988" s="254"/>
      <c r="N988" s="77"/>
      <c r="O988" s="70"/>
      <c r="P988" s="70"/>
      <c r="Q988" s="70"/>
      <c r="R988" s="70"/>
      <c r="S988" s="70"/>
      <c r="T988" s="70"/>
      <c r="U988" s="70"/>
      <c r="V988" s="71"/>
      <c r="W988" s="71"/>
      <c r="X988" s="71"/>
      <c r="Y988" s="72"/>
      <c r="Z988" s="111"/>
      <c r="AA988" s="120"/>
      <c r="AB988" s="120"/>
      <c r="AC988" s="120"/>
      <c r="AD988" s="120"/>
      <c r="AE988" s="120"/>
      <c r="AF988" s="120"/>
      <c r="AG988" s="120"/>
      <c r="AH988" s="120"/>
      <c r="AI988" s="120"/>
      <c r="AJ988" s="250"/>
      <c r="AK988" s="250"/>
      <c r="AL988" s="250"/>
      <c r="AM988" s="250"/>
      <c r="AN988" s="250"/>
      <c r="AO988" s="250"/>
      <c r="AP988" s="250"/>
      <c r="AQ988" s="250"/>
      <c r="AR988" s="250"/>
      <c r="AS988" s="117"/>
      <c r="AT988" s="10">
        <v>55794</v>
      </c>
      <c r="AU988" s="10">
        <v>85000</v>
      </c>
      <c r="AV988" s="167">
        <v>255000</v>
      </c>
      <c r="AW988" s="168">
        <v>90000</v>
      </c>
      <c r="AX988" s="29">
        <f t="shared" si="1122"/>
        <v>87500</v>
      </c>
      <c r="AY988" s="24">
        <f t="shared" si="1123"/>
        <v>31706</v>
      </c>
      <c r="AZ988" s="25">
        <f t="shared" si="1124"/>
        <v>0.56826898949707849</v>
      </c>
      <c r="BA988" s="24">
        <f t="shared" si="1125"/>
        <v>199206</v>
      </c>
      <c r="BB988" s="169">
        <f t="shared" si="1126"/>
        <v>3.5703839122486287</v>
      </c>
      <c r="BC988" s="305">
        <f t="shared" si="1127"/>
        <v>87500</v>
      </c>
      <c r="BD988" s="293"/>
      <c r="BE988" s="293"/>
      <c r="BF988" s="293"/>
      <c r="BG988" s="293"/>
      <c r="BH988" s="293"/>
      <c r="BI988" s="293"/>
      <c r="BJ988" s="293"/>
      <c r="BK988" s="293"/>
      <c r="BL988" s="327"/>
      <c r="BM988" s="293"/>
      <c r="BN988" s="293"/>
      <c r="BO988" s="293"/>
      <c r="BP988" s="293"/>
      <c r="BQ988" s="293"/>
      <c r="BR988" s="293"/>
      <c r="BS988" s="293"/>
      <c r="BT988" s="293"/>
    </row>
    <row r="989" spans="2:72" ht="32.1" customHeight="1">
      <c r="B989" s="358" t="s">
        <v>3181</v>
      </c>
      <c r="C989" s="15" t="s">
        <v>1328</v>
      </c>
      <c r="D989" s="177" t="s">
        <v>1329</v>
      </c>
      <c r="E989" s="141" t="s">
        <v>10</v>
      </c>
      <c r="F989" s="8"/>
      <c r="G989" s="5"/>
      <c r="H989" s="8"/>
      <c r="I989" s="8"/>
      <c r="J989" s="3"/>
      <c r="K989" s="3"/>
      <c r="L989" s="3"/>
      <c r="M989" s="254"/>
      <c r="N989" s="77"/>
      <c r="O989" s="70"/>
      <c r="P989" s="70"/>
      <c r="Q989" s="70"/>
      <c r="R989" s="70"/>
      <c r="S989" s="70"/>
      <c r="T989" s="70"/>
      <c r="U989" s="70"/>
      <c r="V989" s="71"/>
      <c r="W989" s="71"/>
      <c r="X989" s="71"/>
      <c r="Y989" s="72"/>
      <c r="Z989" s="111"/>
      <c r="AA989" s="120"/>
      <c r="AB989" s="120"/>
      <c r="AC989" s="120"/>
      <c r="AD989" s="120"/>
      <c r="AE989" s="120"/>
      <c r="AF989" s="120"/>
      <c r="AG989" s="120"/>
      <c r="AH989" s="120"/>
      <c r="AI989" s="120"/>
      <c r="AJ989" s="250"/>
      <c r="AK989" s="250"/>
      <c r="AL989" s="250"/>
      <c r="AM989" s="250"/>
      <c r="AN989" s="250"/>
      <c r="AO989" s="250"/>
      <c r="AP989" s="250"/>
      <c r="AQ989" s="250"/>
      <c r="AR989" s="250"/>
      <c r="AS989" s="117"/>
      <c r="AT989" s="10">
        <v>10478</v>
      </c>
      <c r="AU989" s="10"/>
      <c r="AV989" s="167">
        <v>78000</v>
      </c>
      <c r="AW989" s="168">
        <v>15000</v>
      </c>
      <c r="AX989" s="29">
        <f t="shared" si="1122"/>
        <v>15000</v>
      </c>
      <c r="AY989" s="24">
        <f t="shared" si="1123"/>
        <v>4522</v>
      </c>
      <c r="AZ989" s="25">
        <f t="shared" si="1124"/>
        <v>0.43157091047909907</v>
      </c>
      <c r="BA989" s="24">
        <f t="shared" si="1125"/>
        <v>67522</v>
      </c>
      <c r="BB989" s="169">
        <f t="shared" si="1126"/>
        <v>6.4441687344913152</v>
      </c>
      <c r="BC989" s="305">
        <f t="shared" si="1127"/>
        <v>15000</v>
      </c>
      <c r="BD989" s="293"/>
      <c r="BE989" s="293"/>
      <c r="BF989" s="293"/>
      <c r="BG989" s="293"/>
      <c r="BH989" s="293"/>
      <c r="BI989" s="293"/>
      <c r="BJ989" s="293"/>
      <c r="BK989" s="293"/>
      <c r="BL989" s="327"/>
      <c r="BM989" s="293"/>
      <c r="BN989" s="293"/>
      <c r="BO989" s="293"/>
      <c r="BP989" s="293"/>
      <c r="BQ989" s="293"/>
      <c r="BR989" s="293"/>
      <c r="BS989" s="293"/>
      <c r="BT989" s="293"/>
    </row>
    <row r="990" spans="2:72" ht="32.1" customHeight="1">
      <c r="B990" s="358" t="s">
        <v>3182</v>
      </c>
      <c r="C990" s="15" t="s">
        <v>1330</v>
      </c>
      <c r="D990" s="177" t="s">
        <v>1331</v>
      </c>
      <c r="E990" s="141" t="s">
        <v>14</v>
      </c>
      <c r="F990" s="8"/>
      <c r="G990" s="5"/>
      <c r="H990" s="8"/>
      <c r="I990" s="8"/>
      <c r="J990" s="3"/>
      <c r="K990" s="3"/>
      <c r="L990" s="3"/>
      <c r="M990" s="254"/>
      <c r="N990" s="77"/>
      <c r="O990" s="70"/>
      <c r="P990" s="70"/>
      <c r="Q990" s="70"/>
      <c r="R990" s="70"/>
      <c r="S990" s="70"/>
      <c r="T990" s="70"/>
      <c r="U990" s="70"/>
      <c r="V990" s="71"/>
      <c r="W990" s="71"/>
      <c r="X990" s="71"/>
      <c r="Y990" s="72"/>
      <c r="Z990" s="111"/>
      <c r="AA990" s="120"/>
      <c r="AB990" s="120"/>
      <c r="AC990" s="120"/>
      <c r="AD990" s="120"/>
      <c r="AE990" s="120"/>
      <c r="AF990" s="120"/>
      <c r="AG990" s="120"/>
      <c r="AH990" s="120"/>
      <c r="AI990" s="120"/>
      <c r="AJ990" s="250"/>
      <c r="AK990" s="250"/>
      <c r="AL990" s="250"/>
      <c r="AM990" s="250"/>
      <c r="AN990" s="250"/>
      <c r="AO990" s="250"/>
      <c r="AP990" s="250"/>
      <c r="AQ990" s="250"/>
      <c r="AR990" s="250"/>
      <c r="AS990" s="117"/>
      <c r="AT990" s="10">
        <v>13871</v>
      </c>
      <c r="AU990" s="10">
        <v>5900</v>
      </c>
      <c r="AV990" s="167">
        <v>5900</v>
      </c>
      <c r="AW990" s="168">
        <v>12300</v>
      </c>
      <c r="AX990" s="29">
        <f t="shared" si="1122"/>
        <v>9100</v>
      </c>
      <c r="AY990" s="24">
        <f t="shared" si="1123"/>
        <v>-4771</v>
      </c>
      <c r="AZ990" s="25">
        <f t="shared" si="1124"/>
        <v>-0.34395501405810686</v>
      </c>
      <c r="BA990" s="24">
        <f t="shared" si="1125"/>
        <v>-7971</v>
      </c>
      <c r="BB990" s="169">
        <f t="shared" si="1126"/>
        <v>-0.57465215197173958</v>
      </c>
      <c r="BC990" s="305">
        <f t="shared" si="1127"/>
        <v>9100</v>
      </c>
      <c r="BD990" s="293"/>
      <c r="BE990" s="293"/>
      <c r="BF990" s="293"/>
      <c r="BG990" s="293"/>
      <c r="BH990" s="293"/>
      <c r="BI990" s="293"/>
      <c r="BJ990" s="293"/>
      <c r="BK990" s="293"/>
      <c r="BL990" s="327"/>
      <c r="BM990" s="293"/>
      <c r="BN990" s="293"/>
      <c r="BO990" s="293"/>
      <c r="BP990" s="293"/>
      <c r="BQ990" s="293"/>
      <c r="BR990" s="293"/>
      <c r="BS990" s="293"/>
      <c r="BT990" s="293"/>
    </row>
    <row r="991" spans="2:72" ht="32.1" customHeight="1">
      <c r="B991" s="358" t="s">
        <v>3183</v>
      </c>
      <c r="C991" s="15" t="s">
        <v>1332</v>
      </c>
      <c r="D991" s="177" t="s">
        <v>1333</v>
      </c>
      <c r="E991" s="141" t="s">
        <v>14</v>
      </c>
      <c r="F991" s="8"/>
      <c r="G991" s="5"/>
      <c r="H991" s="8"/>
      <c r="I991" s="8"/>
      <c r="J991" s="3"/>
      <c r="K991" s="3"/>
      <c r="L991" s="3"/>
      <c r="M991" s="254"/>
      <c r="N991" s="77"/>
      <c r="O991" s="70"/>
      <c r="P991" s="70"/>
      <c r="Q991" s="70"/>
      <c r="R991" s="70"/>
      <c r="S991" s="70"/>
      <c r="T991" s="70"/>
      <c r="U991" s="70"/>
      <c r="V991" s="71"/>
      <c r="W991" s="71"/>
      <c r="X991" s="71"/>
      <c r="Y991" s="72"/>
      <c r="Z991" s="111"/>
      <c r="AA991" s="120"/>
      <c r="AB991" s="120"/>
      <c r="AC991" s="120"/>
      <c r="AD991" s="120"/>
      <c r="AE991" s="120"/>
      <c r="AF991" s="120"/>
      <c r="AG991" s="120"/>
      <c r="AH991" s="120"/>
      <c r="AI991" s="120"/>
      <c r="AJ991" s="250"/>
      <c r="AK991" s="250"/>
      <c r="AL991" s="250"/>
      <c r="AM991" s="250"/>
      <c r="AN991" s="250"/>
      <c r="AO991" s="250"/>
      <c r="AP991" s="250"/>
      <c r="AQ991" s="250"/>
      <c r="AR991" s="250"/>
      <c r="AS991" s="117"/>
      <c r="AT991" s="10">
        <v>32499</v>
      </c>
      <c r="AU991" s="10"/>
      <c r="AV991" s="167">
        <v>65000</v>
      </c>
      <c r="AW991" s="168">
        <v>70000</v>
      </c>
      <c r="AX991" s="29">
        <f t="shared" si="1122"/>
        <v>70000</v>
      </c>
      <c r="AY991" s="24">
        <f t="shared" si="1123"/>
        <v>37501</v>
      </c>
      <c r="AZ991" s="25">
        <f t="shared" si="1124"/>
        <v>1.15391242807471</v>
      </c>
      <c r="BA991" s="24">
        <f t="shared" si="1125"/>
        <v>32501</v>
      </c>
      <c r="BB991" s="169">
        <f t="shared" si="1126"/>
        <v>1.0000615403550879</v>
      </c>
      <c r="BC991" s="305">
        <f t="shared" si="1127"/>
        <v>70000</v>
      </c>
      <c r="BD991" s="293"/>
      <c r="BE991" s="293"/>
      <c r="BF991" s="293"/>
      <c r="BG991" s="293"/>
      <c r="BH991" s="293"/>
      <c r="BI991" s="293"/>
      <c r="BJ991" s="293"/>
      <c r="BK991" s="293"/>
      <c r="BL991" s="327"/>
      <c r="BM991" s="293"/>
      <c r="BN991" s="293"/>
      <c r="BO991" s="293"/>
      <c r="BP991" s="293"/>
      <c r="BQ991" s="293"/>
      <c r="BR991" s="293"/>
      <c r="BS991" s="293"/>
      <c r="BT991" s="293"/>
    </row>
    <row r="992" spans="2:72" ht="32.1" customHeight="1">
      <c r="B992" s="358" t="s">
        <v>3184</v>
      </c>
      <c r="C992" s="15" t="s">
        <v>1334</v>
      </c>
      <c r="D992" s="177" t="s">
        <v>1335</v>
      </c>
      <c r="E992" s="141" t="s">
        <v>14</v>
      </c>
      <c r="F992" s="8"/>
      <c r="G992" s="5"/>
      <c r="H992" s="8"/>
      <c r="I992" s="8"/>
      <c r="J992" s="3"/>
      <c r="K992" s="3"/>
      <c r="L992" s="3"/>
      <c r="M992" s="254"/>
      <c r="N992" s="77"/>
      <c r="O992" s="70"/>
      <c r="P992" s="70"/>
      <c r="Q992" s="70"/>
      <c r="R992" s="70"/>
      <c r="S992" s="70"/>
      <c r="T992" s="70"/>
      <c r="U992" s="70"/>
      <c r="V992" s="71"/>
      <c r="W992" s="71"/>
      <c r="X992" s="71"/>
      <c r="Y992" s="72"/>
      <c r="Z992" s="111"/>
      <c r="AA992" s="120"/>
      <c r="AB992" s="120"/>
      <c r="AC992" s="120"/>
      <c r="AD992" s="120"/>
      <c r="AE992" s="120"/>
      <c r="AF992" s="120"/>
      <c r="AG992" s="120"/>
      <c r="AH992" s="120"/>
      <c r="AI992" s="120"/>
      <c r="AJ992" s="250"/>
      <c r="AK992" s="250"/>
      <c r="AL992" s="250"/>
      <c r="AM992" s="250"/>
      <c r="AN992" s="250"/>
      <c r="AO992" s="250"/>
      <c r="AP992" s="250"/>
      <c r="AQ992" s="250"/>
      <c r="AR992" s="250"/>
      <c r="AS992" s="117"/>
      <c r="AT992" s="10">
        <v>128278</v>
      </c>
      <c r="AU992" s="10"/>
      <c r="AV992" s="167">
        <v>55500</v>
      </c>
      <c r="AW992" s="168">
        <v>45600</v>
      </c>
      <c r="AX992" s="29">
        <f t="shared" si="1122"/>
        <v>45600</v>
      </c>
      <c r="AY992" s="24">
        <f t="shared" si="1123"/>
        <v>-82678</v>
      </c>
      <c r="AZ992" s="25">
        <f t="shared" si="1124"/>
        <v>-0.64452205366469695</v>
      </c>
      <c r="BA992" s="24">
        <f t="shared" si="1125"/>
        <v>-72778</v>
      </c>
      <c r="BB992" s="169">
        <f t="shared" si="1126"/>
        <v>-0.567345920578743</v>
      </c>
      <c r="BC992" s="305">
        <f t="shared" si="1127"/>
        <v>45600</v>
      </c>
      <c r="BD992" s="293"/>
      <c r="BE992" s="293"/>
      <c r="BF992" s="293"/>
      <c r="BG992" s="293"/>
      <c r="BH992" s="293"/>
      <c r="BI992" s="293"/>
      <c r="BJ992" s="293"/>
      <c r="BK992" s="293"/>
      <c r="BL992" s="327"/>
      <c r="BM992" s="293"/>
      <c r="BN992" s="293"/>
      <c r="BO992" s="293"/>
      <c r="BP992" s="293"/>
      <c r="BQ992" s="293"/>
      <c r="BR992" s="293"/>
      <c r="BS992" s="293"/>
      <c r="BT992" s="293"/>
    </row>
    <row r="993" spans="2:72" ht="32.1" customHeight="1">
      <c r="B993" s="358" t="s">
        <v>3185</v>
      </c>
      <c r="C993" s="15" t="s">
        <v>1336</v>
      </c>
      <c r="D993" s="177" t="s">
        <v>1337</v>
      </c>
      <c r="E993" s="141" t="s">
        <v>14</v>
      </c>
      <c r="F993" s="8"/>
      <c r="G993" s="5"/>
      <c r="H993" s="8"/>
      <c r="I993" s="8"/>
      <c r="J993" s="3"/>
      <c r="K993" s="3"/>
      <c r="L993" s="3"/>
      <c r="M993" s="254"/>
      <c r="N993" s="77"/>
      <c r="O993" s="70"/>
      <c r="P993" s="70"/>
      <c r="Q993" s="70"/>
      <c r="R993" s="70"/>
      <c r="S993" s="70"/>
      <c r="T993" s="70"/>
      <c r="U993" s="70"/>
      <c r="V993" s="71"/>
      <c r="W993" s="71"/>
      <c r="X993" s="71"/>
      <c r="Y993" s="72"/>
      <c r="Z993" s="111"/>
      <c r="AA993" s="120"/>
      <c r="AB993" s="120"/>
      <c r="AC993" s="120"/>
      <c r="AD993" s="120"/>
      <c r="AE993" s="120"/>
      <c r="AF993" s="120"/>
      <c r="AG993" s="120"/>
      <c r="AH993" s="120"/>
      <c r="AI993" s="120"/>
      <c r="AJ993" s="250"/>
      <c r="AK993" s="250"/>
      <c r="AL993" s="250"/>
      <c r="AM993" s="250"/>
      <c r="AN993" s="250"/>
      <c r="AO993" s="250"/>
      <c r="AP993" s="250"/>
      <c r="AQ993" s="250"/>
      <c r="AR993" s="250"/>
      <c r="AS993" s="117"/>
      <c r="AT993" s="10">
        <v>7399</v>
      </c>
      <c r="AU993" s="10"/>
      <c r="AV993" s="167">
        <v>43000</v>
      </c>
      <c r="AW993" s="168">
        <v>15000</v>
      </c>
      <c r="AX993" s="29">
        <f t="shared" si="1122"/>
        <v>15000</v>
      </c>
      <c r="AY993" s="24">
        <f t="shared" si="1123"/>
        <v>7601</v>
      </c>
      <c r="AZ993" s="25">
        <f t="shared" si="1124"/>
        <v>1.0273009866198135</v>
      </c>
      <c r="BA993" s="24">
        <f t="shared" si="1125"/>
        <v>35601</v>
      </c>
      <c r="BB993" s="169">
        <f t="shared" si="1126"/>
        <v>4.8115961616434655</v>
      </c>
      <c r="BC993" s="305">
        <f t="shared" si="1127"/>
        <v>15000</v>
      </c>
      <c r="BD993" s="293"/>
      <c r="BE993" s="293"/>
      <c r="BF993" s="293"/>
      <c r="BG993" s="293"/>
      <c r="BH993" s="293"/>
      <c r="BI993" s="293"/>
      <c r="BJ993" s="293"/>
      <c r="BK993" s="293"/>
      <c r="BL993" s="327"/>
      <c r="BM993" s="293"/>
      <c r="BN993" s="293"/>
      <c r="BO993" s="293"/>
      <c r="BP993" s="293"/>
      <c r="BQ993" s="293"/>
      <c r="BR993" s="293"/>
      <c r="BS993" s="293"/>
      <c r="BT993" s="293"/>
    </row>
    <row r="994" spans="2:72" ht="32.1" customHeight="1">
      <c r="B994" s="358" t="s">
        <v>3186</v>
      </c>
      <c r="C994" s="15" t="s">
        <v>1338</v>
      </c>
      <c r="D994" s="177" t="s">
        <v>1339</v>
      </c>
      <c r="E994" s="141" t="s">
        <v>14</v>
      </c>
      <c r="F994" s="8"/>
      <c r="G994" s="5"/>
      <c r="H994" s="8"/>
      <c r="I994" s="8"/>
      <c r="J994" s="3"/>
      <c r="K994" s="3"/>
      <c r="L994" s="3"/>
      <c r="M994" s="254"/>
      <c r="N994" s="77"/>
      <c r="O994" s="70"/>
      <c r="P994" s="70"/>
      <c r="Q994" s="70"/>
      <c r="R994" s="70"/>
      <c r="S994" s="70"/>
      <c r="T994" s="70"/>
      <c r="U994" s="70"/>
      <c r="V994" s="71"/>
      <c r="W994" s="71"/>
      <c r="X994" s="71"/>
      <c r="Y994" s="72"/>
      <c r="Z994" s="111"/>
      <c r="AA994" s="120"/>
      <c r="AB994" s="120"/>
      <c r="AC994" s="120"/>
      <c r="AD994" s="120"/>
      <c r="AE994" s="120"/>
      <c r="AF994" s="120"/>
      <c r="AG994" s="120"/>
      <c r="AH994" s="120"/>
      <c r="AI994" s="120"/>
      <c r="AJ994" s="250"/>
      <c r="AK994" s="250"/>
      <c r="AL994" s="250"/>
      <c r="AM994" s="250"/>
      <c r="AN994" s="250"/>
      <c r="AO994" s="250"/>
      <c r="AP994" s="250"/>
      <c r="AQ994" s="250"/>
      <c r="AR994" s="250"/>
      <c r="AS994" s="117"/>
      <c r="AT994" s="10">
        <v>32863</v>
      </c>
      <c r="AU994" s="10">
        <v>20400</v>
      </c>
      <c r="AV994" s="167">
        <v>20400</v>
      </c>
      <c r="AW994" s="168">
        <v>35700</v>
      </c>
      <c r="AX994" s="29">
        <f t="shared" si="1122"/>
        <v>28050</v>
      </c>
      <c r="AY994" s="24">
        <f t="shared" si="1123"/>
        <v>-4813</v>
      </c>
      <c r="AZ994" s="25">
        <f t="shared" si="1124"/>
        <v>-0.14645650123238901</v>
      </c>
      <c r="BA994" s="24">
        <f t="shared" si="1125"/>
        <v>-12463</v>
      </c>
      <c r="BB994" s="169">
        <f t="shared" si="1126"/>
        <v>-0.3792410918053738</v>
      </c>
      <c r="BC994" s="305">
        <f t="shared" si="1127"/>
        <v>28050</v>
      </c>
      <c r="BD994" s="293"/>
      <c r="BE994" s="293"/>
      <c r="BF994" s="293"/>
      <c r="BG994" s="293"/>
      <c r="BH994" s="293"/>
      <c r="BI994" s="293"/>
      <c r="BJ994" s="293"/>
      <c r="BK994" s="293"/>
      <c r="BL994" s="327"/>
      <c r="BM994" s="293"/>
      <c r="BN994" s="293"/>
      <c r="BO994" s="293"/>
      <c r="BP994" s="293"/>
      <c r="BQ994" s="293"/>
      <c r="BR994" s="293"/>
      <c r="BS994" s="293"/>
      <c r="BT994" s="293"/>
    </row>
    <row r="995" spans="2:72" ht="32.1" customHeight="1">
      <c r="B995" s="358" t="s">
        <v>3187</v>
      </c>
      <c r="C995" s="15" t="s">
        <v>1340</v>
      </c>
      <c r="D995" s="177" t="s">
        <v>1341</v>
      </c>
      <c r="E995" s="141" t="s">
        <v>14</v>
      </c>
      <c r="F995" s="8"/>
      <c r="G995" s="5"/>
      <c r="H995" s="8"/>
      <c r="I995" s="8"/>
      <c r="J995" s="3"/>
      <c r="K995" s="3"/>
      <c r="L995" s="3"/>
      <c r="M995" s="254"/>
      <c r="N995" s="77"/>
      <c r="O995" s="70"/>
      <c r="P995" s="70"/>
      <c r="Q995" s="70"/>
      <c r="R995" s="70"/>
      <c r="S995" s="70"/>
      <c r="T995" s="70"/>
      <c r="U995" s="70"/>
      <c r="V995" s="71"/>
      <c r="W995" s="71"/>
      <c r="X995" s="71"/>
      <c r="Y995" s="72"/>
      <c r="Z995" s="111"/>
      <c r="AA995" s="120"/>
      <c r="AB995" s="120"/>
      <c r="AC995" s="120"/>
      <c r="AD995" s="120"/>
      <c r="AE995" s="120"/>
      <c r="AF995" s="120"/>
      <c r="AG995" s="120"/>
      <c r="AH995" s="120"/>
      <c r="AI995" s="120"/>
      <c r="AJ995" s="250"/>
      <c r="AK995" s="250"/>
      <c r="AL995" s="250"/>
      <c r="AM995" s="250"/>
      <c r="AN995" s="250"/>
      <c r="AO995" s="250"/>
      <c r="AP995" s="250"/>
      <c r="AQ995" s="250"/>
      <c r="AR995" s="250"/>
      <c r="AS995" s="117"/>
      <c r="AT995" s="10">
        <v>457164</v>
      </c>
      <c r="AU995" s="10">
        <v>70000</v>
      </c>
      <c r="AV995" s="167">
        <v>70000</v>
      </c>
      <c r="AW995" s="168">
        <v>145000</v>
      </c>
      <c r="AX995" s="29">
        <f t="shared" si="1122"/>
        <v>107500</v>
      </c>
      <c r="AY995" s="24">
        <f t="shared" si="1123"/>
        <v>-349664</v>
      </c>
      <c r="AZ995" s="25">
        <f t="shared" si="1124"/>
        <v>-0.76485462547357186</v>
      </c>
      <c r="BA995" s="24">
        <f t="shared" si="1125"/>
        <v>-387164</v>
      </c>
      <c r="BB995" s="169">
        <f t="shared" si="1126"/>
        <v>-0.84688208170372126</v>
      </c>
      <c r="BC995" s="305">
        <f t="shared" si="1127"/>
        <v>107500</v>
      </c>
      <c r="BD995" s="293"/>
      <c r="BE995" s="293"/>
      <c r="BF995" s="293"/>
      <c r="BG995" s="293"/>
      <c r="BH995" s="293"/>
      <c r="BI995" s="293"/>
      <c r="BJ995" s="293"/>
      <c r="BK995" s="293"/>
      <c r="BL995" s="327"/>
      <c r="BM995" s="293"/>
      <c r="BN995" s="293"/>
      <c r="BO995" s="293"/>
      <c r="BP995" s="293"/>
      <c r="BQ995" s="293"/>
      <c r="BR995" s="293"/>
      <c r="BS995" s="293"/>
      <c r="BT995" s="293"/>
    </row>
    <row r="996" spans="2:72" ht="32.1" customHeight="1">
      <c r="B996" s="358" t="s">
        <v>3188</v>
      </c>
      <c r="C996" s="15" t="s">
        <v>1342</v>
      </c>
      <c r="D996" s="177" t="s">
        <v>1343</v>
      </c>
      <c r="E996" s="141" t="s">
        <v>10</v>
      </c>
      <c r="F996" s="8"/>
      <c r="G996" s="5"/>
      <c r="H996" s="8"/>
      <c r="I996" s="8"/>
      <c r="J996" s="3"/>
      <c r="K996" s="3"/>
      <c r="L996" s="3"/>
      <c r="M996" s="254"/>
      <c r="N996" s="77"/>
      <c r="O996" s="70"/>
      <c r="P996" s="70"/>
      <c r="Q996" s="70"/>
      <c r="R996" s="70"/>
      <c r="S996" s="70"/>
      <c r="T996" s="70"/>
      <c r="U996" s="70"/>
      <c r="V996" s="71"/>
      <c r="W996" s="71"/>
      <c r="X996" s="71"/>
      <c r="Y996" s="72"/>
      <c r="Z996" s="111"/>
      <c r="AA996" s="120"/>
      <c r="AB996" s="120"/>
      <c r="AC996" s="120"/>
      <c r="AD996" s="120"/>
      <c r="AE996" s="120"/>
      <c r="AF996" s="120"/>
      <c r="AG996" s="120"/>
      <c r="AH996" s="120"/>
      <c r="AI996" s="120"/>
      <c r="AJ996" s="250"/>
      <c r="AK996" s="250"/>
      <c r="AL996" s="250"/>
      <c r="AM996" s="250"/>
      <c r="AN996" s="250"/>
      <c r="AO996" s="250"/>
      <c r="AP996" s="250"/>
      <c r="AQ996" s="250"/>
      <c r="AR996" s="250"/>
      <c r="AS996" s="117"/>
      <c r="AT996" s="10">
        <v>325152</v>
      </c>
      <c r="AU996" s="10"/>
      <c r="AV996" s="167">
        <v>245000</v>
      </c>
      <c r="AW996" s="168">
        <v>35000</v>
      </c>
      <c r="AX996" s="29">
        <f t="shared" si="1122"/>
        <v>35000</v>
      </c>
      <c r="AY996" s="24">
        <f t="shared" si="1123"/>
        <v>-290152</v>
      </c>
      <c r="AZ996" s="25">
        <f t="shared" si="1124"/>
        <v>-0.89235803562641469</v>
      </c>
      <c r="BA996" s="24">
        <f t="shared" si="1125"/>
        <v>-80152</v>
      </c>
      <c r="BB996" s="169">
        <f t="shared" si="1126"/>
        <v>-0.24650624938490306</v>
      </c>
      <c r="BC996" s="305">
        <f t="shared" si="1127"/>
        <v>35000</v>
      </c>
      <c r="BD996" s="293"/>
      <c r="BE996" s="293"/>
      <c r="BF996" s="293"/>
      <c r="BG996" s="293"/>
      <c r="BH996" s="293"/>
      <c r="BI996" s="293"/>
      <c r="BJ996" s="293"/>
      <c r="BK996" s="293"/>
      <c r="BL996" s="327"/>
      <c r="BM996" s="293"/>
      <c r="BN996" s="293"/>
      <c r="BO996" s="293"/>
      <c r="BP996" s="293"/>
      <c r="BQ996" s="293"/>
      <c r="BR996" s="293"/>
      <c r="BS996" s="293"/>
      <c r="BT996" s="293"/>
    </row>
    <row r="997" spans="2:72" ht="41.1" customHeight="1">
      <c r="B997" s="358" t="s">
        <v>3189</v>
      </c>
      <c r="C997" s="15" t="s">
        <v>1344</v>
      </c>
      <c r="D997" s="177" t="s">
        <v>1345</v>
      </c>
      <c r="E997" s="141" t="s">
        <v>13</v>
      </c>
      <c r="F997" s="8"/>
      <c r="G997" s="5"/>
      <c r="H997" s="8"/>
      <c r="I997" s="8"/>
      <c r="J997" s="3"/>
      <c r="K997" s="3"/>
      <c r="L997" s="3"/>
      <c r="M997" s="254"/>
      <c r="N997" s="77"/>
      <c r="O997" s="70"/>
      <c r="P997" s="70"/>
      <c r="Q997" s="70"/>
      <c r="R997" s="70"/>
      <c r="S997" s="70"/>
      <c r="T997" s="70"/>
      <c r="U997" s="70"/>
      <c r="V997" s="71"/>
      <c r="W997" s="71"/>
      <c r="X997" s="71"/>
      <c r="Y997" s="72"/>
      <c r="Z997" s="111"/>
      <c r="AA997" s="120"/>
      <c r="AB997" s="120"/>
      <c r="AC997" s="120"/>
      <c r="AD997" s="120"/>
      <c r="AE997" s="120"/>
      <c r="AF997" s="120"/>
      <c r="AG997" s="120"/>
      <c r="AH997" s="120"/>
      <c r="AI997" s="120"/>
      <c r="AJ997" s="250"/>
      <c r="AK997" s="250"/>
      <c r="AL997" s="250"/>
      <c r="AM997" s="250"/>
      <c r="AN997" s="250"/>
      <c r="AO997" s="250"/>
      <c r="AP997" s="250"/>
      <c r="AQ997" s="250"/>
      <c r="AR997" s="250"/>
      <c r="AS997" s="117"/>
      <c r="AT997" s="10">
        <v>26518</v>
      </c>
      <c r="AU997" s="10"/>
      <c r="AV997" s="167">
        <v>345000</v>
      </c>
      <c r="AW997" s="168">
        <v>22400</v>
      </c>
      <c r="AX997" s="29">
        <f t="shared" ref="AX997:AX1010" si="1128">AVERAGE(AU997,AW997)</f>
        <v>22400</v>
      </c>
      <c r="AY997" s="24">
        <f t="shared" ref="AY997:AY1010" si="1129">AX997-AT997</f>
        <v>-4118</v>
      </c>
      <c r="AZ997" s="25">
        <f t="shared" ref="AZ997:AZ1010" si="1130">+AY997/AT997</f>
        <v>-0.15529074590843955</v>
      </c>
      <c r="BA997" s="24">
        <f t="shared" ref="BA997:BA1010" si="1131">AV997-AT997</f>
        <v>318482</v>
      </c>
      <c r="BB997" s="169">
        <f t="shared" ref="BB997:BB1010" si="1132">+BA997/AT997</f>
        <v>12.010030922392337</v>
      </c>
      <c r="BC997" s="305">
        <f t="shared" ref="BC997:BC1010" si="1133">AX997</f>
        <v>22400</v>
      </c>
      <c r="BD997" s="293"/>
      <c r="BE997" s="293"/>
      <c r="BF997" s="293"/>
      <c r="BG997" s="293"/>
      <c r="BH997" s="293"/>
      <c r="BI997" s="293"/>
      <c r="BJ997" s="293"/>
      <c r="BK997" s="293"/>
      <c r="BL997" s="327"/>
      <c r="BM997" s="293"/>
      <c r="BN997" s="293"/>
      <c r="BO997" s="293"/>
      <c r="BP997" s="293"/>
      <c r="BQ997" s="293"/>
      <c r="BR997" s="293"/>
      <c r="BS997" s="293"/>
      <c r="BT997" s="293"/>
    </row>
    <row r="998" spans="2:72" ht="32.1" customHeight="1">
      <c r="B998" s="358" t="s">
        <v>3190</v>
      </c>
      <c r="C998" s="15" t="s">
        <v>1346</v>
      </c>
      <c r="D998" s="177" t="s">
        <v>1347</v>
      </c>
      <c r="E998" s="141" t="s">
        <v>10</v>
      </c>
      <c r="F998" s="8"/>
      <c r="G998" s="5"/>
      <c r="H998" s="8"/>
      <c r="I998" s="8"/>
      <c r="J998" s="3"/>
      <c r="K998" s="3"/>
      <c r="L998" s="3"/>
      <c r="M998" s="254"/>
      <c r="N998" s="77"/>
      <c r="O998" s="70"/>
      <c r="P998" s="70"/>
      <c r="Q998" s="70"/>
      <c r="R998" s="70"/>
      <c r="S998" s="70"/>
      <c r="T998" s="70"/>
      <c r="U998" s="70"/>
      <c r="V998" s="71"/>
      <c r="W998" s="71"/>
      <c r="X998" s="71"/>
      <c r="Y998" s="72"/>
      <c r="Z998" s="111"/>
      <c r="AA998" s="120"/>
      <c r="AB998" s="120"/>
      <c r="AC998" s="120"/>
      <c r="AD998" s="120"/>
      <c r="AE998" s="120"/>
      <c r="AF998" s="120"/>
      <c r="AG998" s="120"/>
      <c r="AH998" s="120"/>
      <c r="AI998" s="120"/>
      <c r="AJ998" s="250"/>
      <c r="AK998" s="250"/>
      <c r="AL998" s="250"/>
      <c r="AM998" s="250"/>
      <c r="AN998" s="250"/>
      <c r="AO998" s="250"/>
      <c r="AP998" s="250"/>
      <c r="AQ998" s="250"/>
      <c r="AR998" s="250"/>
      <c r="AS998" s="117"/>
      <c r="AT998" s="10">
        <v>38129</v>
      </c>
      <c r="AU998" s="10"/>
      <c r="AV998" s="167">
        <v>246780</v>
      </c>
      <c r="AW998" s="168">
        <v>10000</v>
      </c>
      <c r="AX998" s="29">
        <f t="shared" si="1128"/>
        <v>10000</v>
      </c>
      <c r="AY998" s="24">
        <f t="shared" si="1129"/>
        <v>-28129</v>
      </c>
      <c r="AZ998" s="25">
        <f t="shared" si="1130"/>
        <v>-0.73773243462980931</v>
      </c>
      <c r="BA998" s="24">
        <f t="shared" si="1131"/>
        <v>208651</v>
      </c>
      <c r="BB998" s="169">
        <f t="shared" si="1132"/>
        <v>5.4722389782055654</v>
      </c>
      <c r="BC998" s="305">
        <f t="shared" si="1133"/>
        <v>10000</v>
      </c>
      <c r="BD998" s="293"/>
      <c r="BE998" s="293"/>
      <c r="BF998" s="293"/>
      <c r="BG998" s="293"/>
      <c r="BH998" s="293"/>
      <c r="BI998" s="293"/>
      <c r="BJ998" s="293"/>
      <c r="BK998" s="293"/>
      <c r="BL998" s="327"/>
      <c r="BM998" s="293"/>
      <c r="BN998" s="293"/>
      <c r="BO998" s="293"/>
      <c r="BP998" s="293"/>
      <c r="BQ998" s="293"/>
      <c r="BR998" s="293"/>
      <c r="BS998" s="293"/>
      <c r="BT998" s="293"/>
    </row>
    <row r="999" spans="2:72" ht="50.1" customHeight="1">
      <c r="B999" s="358" t="s">
        <v>3191</v>
      </c>
      <c r="C999" s="15" t="s">
        <v>1348</v>
      </c>
      <c r="D999" s="177" t="s">
        <v>1349</v>
      </c>
      <c r="E999" s="141" t="s">
        <v>14</v>
      </c>
      <c r="F999" s="8"/>
      <c r="G999" s="5"/>
      <c r="H999" s="8"/>
      <c r="I999" s="8"/>
      <c r="J999" s="3"/>
      <c r="K999" s="3"/>
      <c r="L999" s="3"/>
      <c r="M999" s="254"/>
      <c r="N999" s="77"/>
      <c r="O999" s="70"/>
      <c r="P999" s="70"/>
      <c r="Q999" s="70"/>
      <c r="R999" s="70"/>
      <c r="S999" s="70"/>
      <c r="T999" s="70"/>
      <c r="U999" s="70"/>
      <c r="V999" s="71"/>
      <c r="W999" s="71"/>
      <c r="X999" s="71"/>
      <c r="Y999" s="72"/>
      <c r="Z999" s="111"/>
      <c r="AA999" s="120"/>
      <c r="AB999" s="120"/>
      <c r="AC999" s="120"/>
      <c r="AD999" s="120"/>
      <c r="AE999" s="120"/>
      <c r="AF999" s="120"/>
      <c r="AG999" s="120"/>
      <c r="AH999" s="120"/>
      <c r="AI999" s="120"/>
      <c r="AJ999" s="250"/>
      <c r="AK999" s="250"/>
      <c r="AL999" s="250"/>
      <c r="AM999" s="250"/>
      <c r="AN999" s="250"/>
      <c r="AO999" s="250"/>
      <c r="AP999" s="250"/>
      <c r="AQ999" s="250"/>
      <c r="AR999" s="250"/>
      <c r="AS999" s="117"/>
      <c r="AT999" s="10">
        <v>11440</v>
      </c>
      <c r="AU999" s="10"/>
      <c r="AV999" s="167">
        <v>34000</v>
      </c>
      <c r="AW999" s="168">
        <v>80000</v>
      </c>
      <c r="AX999" s="29">
        <f t="shared" si="1128"/>
        <v>80000</v>
      </c>
      <c r="AY999" s="24">
        <f t="shared" si="1129"/>
        <v>68560</v>
      </c>
      <c r="AZ999" s="25">
        <f t="shared" si="1130"/>
        <v>5.9930069930069934</v>
      </c>
      <c r="BA999" s="24">
        <f t="shared" si="1131"/>
        <v>22560</v>
      </c>
      <c r="BB999" s="169">
        <f t="shared" si="1132"/>
        <v>1.9720279720279721</v>
      </c>
      <c r="BC999" s="305">
        <f t="shared" si="1133"/>
        <v>80000</v>
      </c>
      <c r="BD999" s="293"/>
      <c r="BE999" s="293"/>
      <c r="BF999" s="293"/>
      <c r="BG999" s="293"/>
      <c r="BH999" s="293"/>
      <c r="BI999" s="293"/>
      <c r="BJ999" s="293"/>
      <c r="BK999" s="293"/>
      <c r="BL999" s="327"/>
      <c r="BM999" s="293"/>
      <c r="BN999" s="293"/>
      <c r="BO999" s="293"/>
      <c r="BP999" s="293"/>
      <c r="BQ999" s="293"/>
      <c r="BR999" s="293"/>
      <c r="BS999" s="293"/>
      <c r="BT999" s="293"/>
    </row>
    <row r="1000" spans="2:72" ht="48.95" customHeight="1">
      <c r="B1000" s="358" t="s">
        <v>3192</v>
      </c>
      <c r="C1000" s="15" t="s">
        <v>1350</v>
      </c>
      <c r="D1000" s="177" t="s">
        <v>1351</v>
      </c>
      <c r="E1000" s="141" t="s">
        <v>14</v>
      </c>
      <c r="F1000" s="8"/>
      <c r="G1000" s="5"/>
      <c r="H1000" s="8"/>
      <c r="I1000" s="8"/>
      <c r="J1000" s="3"/>
      <c r="K1000" s="3"/>
      <c r="L1000" s="3"/>
      <c r="M1000" s="254"/>
      <c r="N1000" s="77"/>
      <c r="O1000" s="70"/>
      <c r="P1000" s="70"/>
      <c r="Q1000" s="70"/>
      <c r="R1000" s="70"/>
      <c r="S1000" s="70"/>
      <c r="T1000" s="70"/>
      <c r="U1000" s="70"/>
      <c r="V1000" s="71"/>
      <c r="W1000" s="71"/>
      <c r="X1000" s="71"/>
      <c r="Y1000" s="72"/>
      <c r="Z1000" s="111"/>
      <c r="AA1000" s="120"/>
      <c r="AB1000" s="120"/>
      <c r="AC1000" s="120"/>
      <c r="AD1000" s="120"/>
      <c r="AE1000" s="120"/>
      <c r="AF1000" s="120"/>
      <c r="AG1000" s="120"/>
      <c r="AH1000" s="120"/>
      <c r="AI1000" s="120"/>
      <c r="AJ1000" s="250"/>
      <c r="AK1000" s="250"/>
      <c r="AL1000" s="250"/>
      <c r="AM1000" s="250"/>
      <c r="AN1000" s="250"/>
      <c r="AO1000" s="250"/>
      <c r="AP1000" s="250"/>
      <c r="AQ1000" s="250"/>
      <c r="AR1000" s="250"/>
      <c r="AS1000" s="117"/>
      <c r="AT1000" s="10">
        <v>36282</v>
      </c>
      <c r="AU1000" s="10"/>
      <c r="AV1000" s="167">
        <v>45000</v>
      </c>
      <c r="AW1000" s="168">
        <v>56000</v>
      </c>
      <c r="AX1000" s="29">
        <f t="shared" si="1128"/>
        <v>56000</v>
      </c>
      <c r="AY1000" s="24">
        <f t="shared" si="1129"/>
        <v>19718</v>
      </c>
      <c r="AZ1000" s="25">
        <f t="shared" si="1130"/>
        <v>0.54346507910258535</v>
      </c>
      <c r="BA1000" s="24">
        <f t="shared" si="1131"/>
        <v>8718</v>
      </c>
      <c r="BB1000" s="169">
        <f t="shared" si="1132"/>
        <v>0.24028443856457748</v>
      </c>
      <c r="BC1000" s="305">
        <f t="shared" si="1133"/>
        <v>56000</v>
      </c>
      <c r="BD1000" s="293"/>
      <c r="BE1000" s="293"/>
      <c r="BF1000" s="293"/>
      <c r="BG1000" s="293"/>
      <c r="BH1000" s="293"/>
      <c r="BI1000" s="293"/>
      <c r="BJ1000" s="293"/>
      <c r="BK1000" s="293"/>
      <c r="BL1000" s="327"/>
      <c r="BM1000" s="293"/>
      <c r="BN1000" s="293"/>
      <c r="BO1000" s="293"/>
      <c r="BP1000" s="293"/>
      <c r="BQ1000" s="293"/>
      <c r="BR1000" s="293"/>
      <c r="BS1000" s="293"/>
      <c r="BT1000" s="293"/>
    </row>
    <row r="1001" spans="2:72" ht="42.95" customHeight="1">
      <c r="B1001" s="358" t="s">
        <v>3193</v>
      </c>
      <c r="C1001" s="15" t="s">
        <v>1352</v>
      </c>
      <c r="D1001" s="177" t="s">
        <v>1353</v>
      </c>
      <c r="E1001" s="141" t="s">
        <v>14</v>
      </c>
      <c r="F1001" s="8"/>
      <c r="G1001" s="5"/>
      <c r="H1001" s="8"/>
      <c r="I1001" s="8"/>
      <c r="J1001" s="3"/>
      <c r="K1001" s="3"/>
      <c r="L1001" s="3"/>
      <c r="M1001" s="254"/>
      <c r="N1001" s="77"/>
      <c r="O1001" s="70"/>
      <c r="P1001" s="70"/>
      <c r="Q1001" s="70"/>
      <c r="R1001" s="70"/>
      <c r="S1001" s="70"/>
      <c r="T1001" s="70"/>
      <c r="U1001" s="70"/>
      <c r="V1001" s="71"/>
      <c r="W1001" s="71"/>
      <c r="X1001" s="71"/>
      <c r="Y1001" s="72"/>
      <c r="Z1001" s="111"/>
      <c r="AA1001" s="120"/>
      <c r="AB1001" s="120"/>
      <c r="AC1001" s="120"/>
      <c r="AD1001" s="120"/>
      <c r="AE1001" s="120"/>
      <c r="AF1001" s="120"/>
      <c r="AG1001" s="120"/>
      <c r="AH1001" s="120"/>
      <c r="AI1001" s="120"/>
      <c r="AJ1001" s="250"/>
      <c r="AK1001" s="250"/>
      <c r="AL1001" s="250"/>
      <c r="AM1001" s="250"/>
      <c r="AN1001" s="250"/>
      <c r="AO1001" s="250"/>
      <c r="AP1001" s="250"/>
      <c r="AQ1001" s="250"/>
      <c r="AR1001" s="250"/>
      <c r="AS1001" s="117"/>
      <c r="AT1001" s="10">
        <v>600759</v>
      </c>
      <c r="AU1001" s="10">
        <v>450000</v>
      </c>
      <c r="AV1001" s="167">
        <v>900000</v>
      </c>
      <c r="AW1001" s="168">
        <v>445000</v>
      </c>
      <c r="AX1001" s="29">
        <f t="shared" si="1128"/>
        <v>447500</v>
      </c>
      <c r="AY1001" s="24">
        <f t="shared" si="1129"/>
        <v>-153259</v>
      </c>
      <c r="AZ1001" s="25">
        <f t="shared" si="1130"/>
        <v>-0.25510895384005899</v>
      </c>
      <c r="BA1001" s="24">
        <f t="shared" si="1131"/>
        <v>299241</v>
      </c>
      <c r="BB1001" s="169">
        <f t="shared" si="1132"/>
        <v>0.49810489730490931</v>
      </c>
      <c r="BC1001" s="305">
        <f t="shared" si="1133"/>
        <v>447500</v>
      </c>
      <c r="BD1001" s="293"/>
      <c r="BE1001" s="293"/>
      <c r="BF1001" s="293"/>
      <c r="BG1001" s="293"/>
      <c r="BH1001" s="293"/>
      <c r="BI1001" s="293"/>
      <c r="BJ1001" s="293"/>
      <c r="BK1001" s="293"/>
      <c r="BL1001" s="327"/>
      <c r="BM1001" s="293"/>
      <c r="BN1001" s="293"/>
      <c r="BO1001" s="293"/>
      <c r="BP1001" s="293"/>
      <c r="BQ1001" s="293"/>
      <c r="BR1001" s="293"/>
      <c r="BS1001" s="293"/>
      <c r="BT1001" s="293"/>
    </row>
    <row r="1002" spans="2:72" ht="50.1" customHeight="1">
      <c r="B1002" s="358" t="s">
        <v>3194</v>
      </c>
      <c r="C1002" s="15" t="s">
        <v>1354</v>
      </c>
      <c r="D1002" s="177" t="s">
        <v>1355</v>
      </c>
      <c r="E1002" s="141" t="s">
        <v>14</v>
      </c>
      <c r="F1002" s="8"/>
      <c r="G1002" s="5"/>
      <c r="H1002" s="8"/>
      <c r="I1002" s="8"/>
      <c r="J1002" s="3"/>
      <c r="K1002" s="3"/>
      <c r="L1002" s="3"/>
      <c r="M1002" s="254"/>
      <c r="N1002" s="77"/>
      <c r="O1002" s="70"/>
      <c r="P1002" s="70"/>
      <c r="Q1002" s="70"/>
      <c r="R1002" s="70"/>
      <c r="S1002" s="70"/>
      <c r="T1002" s="70"/>
      <c r="U1002" s="70"/>
      <c r="V1002" s="71"/>
      <c r="W1002" s="71"/>
      <c r="X1002" s="71"/>
      <c r="Y1002" s="72"/>
      <c r="Z1002" s="111"/>
      <c r="AA1002" s="120"/>
      <c r="AB1002" s="120"/>
      <c r="AC1002" s="120"/>
      <c r="AD1002" s="120"/>
      <c r="AE1002" s="120"/>
      <c r="AF1002" s="120"/>
      <c r="AG1002" s="120"/>
      <c r="AH1002" s="120"/>
      <c r="AI1002" s="120"/>
      <c r="AJ1002" s="250"/>
      <c r="AK1002" s="250"/>
      <c r="AL1002" s="250"/>
      <c r="AM1002" s="250"/>
      <c r="AN1002" s="250"/>
      <c r="AO1002" s="250"/>
      <c r="AP1002" s="250"/>
      <c r="AQ1002" s="250"/>
      <c r="AR1002" s="250"/>
      <c r="AS1002" s="117"/>
      <c r="AT1002" s="10">
        <v>216699</v>
      </c>
      <c r="AU1002" s="10">
        <v>85000</v>
      </c>
      <c r="AV1002" s="167">
        <v>170000</v>
      </c>
      <c r="AW1002" s="168">
        <v>85000</v>
      </c>
      <c r="AX1002" s="29">
        <f t="shared" si="1128"/>
        <v>85000</v>
      </c>
      <c r="AY1002" s="24">
        <f t="shared" si="1129"/>
        <v>-131699</v>
      </c>
      <c r="AZ1002" s="25">
        <f t="shared" si="1130"/>
        <v>-0.60775084333568685</v>
      </c>
      <c r="BA1002" s="24">
        <f t="shared" si="1131"/>
        <v>-46699</v>
      </c>
      <c r="BB1002" s="169">
        <f t="shared" si="1132"/>
        <v>-0.21550168667137365</v>
      </c>
      <c r="BC1002" s="305">
        <f t="shared" si="1133"/>
        <v>85000</v>
      </c>
      <c r="BD1002" s="293"/>
      <c r="BE1002" s="293"/>
      <c r="BF1002" s="293"/>
      <c r="BG1002" s="293"/>
      <c r="BH1002" s="293"/>
      <c r="BI1002" s="293"/>
      <c r="BJ1002" s="293"/>
      <c r="BK1002" s="293"/>
      <c r="BL1002" s="327"/>
      <c r="BM1002" s="293"/>
      <c r="BN1002" s="293"/>
      <c r="BO1002" s="293"/>
      <c r="BP1002" s="293"/>
      <c r="BQ1002" s="293"/>
      <c r="BR1002" s="293"/>
      <c r="BS1002" s="293"/>
      <c r="BT1002" s="293"/>
    </row>
    <row r="1003" spans="2:72" ht="48" customHeight="1">
      <c r="B1003" s="358" t="s">
        <v>3195</v>
      </c>
      <c r="C1003" s="15" t="s">
        <v>1356</v>
      </c>
      <c r="D1003" s="177" t="s">
        <v>1357</v>
      </c>
      <c r="E1003" s="141" t="s">
        <v>13</v>
      </c>
      <c r="F1003" s="8"/>
      <c r="G1003" s="5"/>
      <c r="H1003" s="8"/>
      <c r="I1003" s="8"/>
      <c r="J1003" s="3"/>
      <c r="K1003" s="3"/>
      <c r="L1003" s="3"/>
      <c r="M1003" s="254"/>
      <c r="N1003" s="77"/>
      <c r="O1003" s="70"/>
      <c r="P1003" s="70"/>
      <c r="Q1003" s="70"/>
      <c r="R1003" s="70"/>
      <c r="S1003" s="70"/>
      <c r="T1003" s="70"/>
      <c r="U1003" s="70"/>
      <c r="V1003" s="71"/>
      <c r="W1003" s="71"/>
      <c r="X1003" s="71"/>
      <c r="Y1003" s="72"/>
      <c r="Z1003" s="111"/>
      <c r="AA1003" s="120"/>
      <c r="AB1003" s="120"/>
      <c r="AC1003" s="120"/>
      <c r="AD1003" s="120"/>
      <c r="AE1003" s="120"/>
      <c r="AF1003" s="120"/>
      <c r="AG1003" s="120"/>
      <c r="AH1003" s="120"/>
      <c r="AI1003" s="120"/>
      <c r="AJ1003" s="250"/>
      <c r="AK1003" s="250"/>
      <c r="AL1003" s="250"/>
      <c r="AM1003" s="250"/>
      <c r="AN1003" s="250"/>
      <c r="AO1003" s="250"/>
      <c r="AP1003" s="250"/>
      <c r="AQ1003" s="250"/>
      <c r="AR1003" s="250"/>
      <c r="AS1003" s="117"/>
      <c r="AT1003" s="10">
        <v>323251</v>
      </c>
      <c r="AU1003" s="10">
        <v>250000</v>
      </c>
      <c r="AV1003" s="167">
        <v>500000</v>
      </c>
      <c r="AW1003" s="168">
        <v>230000</v>
      </c>
      <c r="AX1003" s="29">
        <f t="shared" si="1128"/>
        <v>240000</v>
      </c>
      <c r="AY1003" s="24">
        <f t="shared" si="1129"/>
        <v>-83251</v>
      </c>
      <c r="AZ1003" s="25">
        <f t="shared" si="1130"/>
        <v>-0.25754290009930364</v>
      </c>
      <c r="BA1003" s="24">
        <f t="shared" si="1131"/>
        <v>176749</v>
      </c>
      <c r="BB1003" s="169">
        <f t="shared" si="1132"/>
        <v>0.54678562479311743</v>
      </c>
      <c r="BC1003" s="305">
        <f t="shared" si="1133"/>
        <v>240000</v>
      </c>
      <c r="BD1003" s="293"/>
      <c r="BE1003" s="293"/>
      <c r="BF1003" s="293"/>
      <c r="BG1003" s="293"/>
      <c r="BH1003" s="293"/>
      <c r="BI1003" s="293"/>
      <c r="BJ1003" s="293"/>
      <c r="BK1003" s="293"/>
      <c r="BL1003" s="327"/>
      <c r="BM1003" s="293"/>
      <c r="BN1003" s="293"/>
      <c r="BO1003" s="293"/>
      <c r="BP1003" s="293"/>
      <c r="BQ1003" s="293"/>
      <c r="BR1003" s="293"/>
      <c r="BS1003" s="293"/>
      <c r="BT1003" s="293"/>
    </row>
    <row r="1004" spans="2:72" ht="32.1" customHeight="1">
      <c r="B1004" s="358" t="s">
        <v>3196</v>
      </c>
      <c r="C1004" s="15" t="s">
        <v>1358</v>
      </c>
      <c r="D1004" s="177" t="s">
        <v>1359</v>
      </c>
      <c r="E1004" s="141" t="s">
        <v>10</v>
      </c>
      <c r="F1004" s="8"/>
      <c r="G1004" s="5"/>
      <c r="H1004" s="8"/>
      <c r="I1004" s="8"/>
      <c r="J1004" s="3"/>
      <c r="K1004" s="3"/>
      <c r="L1004" s="3"/>
      <c r="M1004" s="254"/>
      <c r="N1004" s="77"/>
      <c r="O1004" s="70"/>
      <c r="P1004" s="70"/>
      <c r="Q1004" s="70"/>
      <c r="R1004" s="70"/>
      <c r="S1004" s="70"/>
      <c r="T1004" s="70"/>
      <c r="U1004" s="70"/>
      <c r="V1004" s="71"/>
      <c r="W1004" s="71"/>
      <c r="X1004" s="71"/>
      <c r="Y1004" s="72"/>
      <c r="Z1004" s="111"/>
      <c r="AA1004" s="120"/>
      <c r="AB1004" s="120"/>
      <c r="AC1004" s="120"/>
      <c r="AD1004" s="120"/>
      <c r="AE1004" s="120"/>
      <c r="AF1004" s="120"/>
      <c r="AG1004" s="120"/>
      <c r="AH1004" s="120"/>
      <c r="AI1004" s="120"/>
      <c r="AJ1004" s="250"/>
      <c r="AK1004" s="250"/>
      <c r="AL1004" s="250"/>
      <c r="AM1004" s="250"/>
      <c r="AN1004" s="250"/>
      <c r="AO1004" s="250"/>
      <c r="AP1004" s="250"/>
      <c r="AQ1004" s="250"/>
      <c r="AR1004" s="250"/>
      <c r="AS1004" s="117"/>
      <c r="AT1004" s="10">
        <v>205519</v>
      </c>
      <c r="AU1004" s="10"/>
      <c r="AV1004" s="167">
        <v>99000</v>
      </c>
      <c r="AW1004" s="168">
        <v>267000</v>
      </c>
      <c r="AX1004" s="29">
        <f t="shared" si="1128"/>
        <v>267000</v>
      </c>
      <c r="AY1004" s="24">
        <f t="shared" si="1129"/>
        <v>61481</v>
      </c>
      <c r="AZ1004" s="25">
        <f t="shared" si="1130"/>
        <v>0.29914995693828794</v>
      </c>
      <c r="BA1004" s="24">
        <f t="shared" si="1131"/>
        <v>-106519</v>
      </c>
      <c r="BB1004" s="169">
        <f t="shared" si="1132"/>
        <v>-0.51829271259591569</v>
      </c>
      <c r="BC1004" s="305">
        <f t="shared" si="1133"/>
        <v>267000</v>
      </c>
      <c r="BD1004" s="293"/>
      <c r="BE1004" s="293"/>
      <c r="BF1004" s="293"/>
      <c r="BG1004" s="293"/>
      <c r="BH1004" s="293"/>
      <c r="BI1004" s="293"/>
      <c r="BJ1004" s="293"/>
      <c r="BK1004" s="293"/>
      <c r="BL1004" s="327"/>
      <c r="BM1004" s="293"/>
      <c r="BN1004" s="293"/>
      <c r="BO1004" s="293"/>
      <c r="BP1004" s="293"/>
      <c r="BQ1004" s="293"/>
      <c r="BR1004" s="293"/>
      <c r="BS1004" s="293"/>
      <c r="BT1004" s="293"/>
    </row>
    <row r="1005" spans="2:72" ht="32.1" customHeight="1">
      <c r="B1005" s="358" t="s">
        <v>3197</v>
      </c>
      <c r="C1005" s="15" t="s">
        <v>1360</v>
      </c>
      <c r="D1005" s="177" t="s">
        <v>1361</v>
      </c>
      <c r="E1005" s="141" t="s">
        <v>14</v>
      </c>
      <c r="F1005" s="8"/>
      <c r="G1005" s="5"/>
      <c r="H1005" s="8"/>
      <c r="I1005" s="8"/>
      <c r="J1005" s="3"/>
      <c r="K1005" s="3"/>
      <c r="L1005" s="3"/>
      <c r="M1005" s="254"/>
      <c r="N1005" s="77"/>
      <c r="O1005" s="70"/>
      <c r="P1005" s="70"/>
      <c r="Q1005" s="70"/>
      <c r="R1005" s="70"/>
      <c r="S1005" s="70"/>
      <c r="T1005" s="70"/>
      <c r="U1005" s="70"/>
      <c r="V1005" s="71"/>
      <c r="W1005" s="71"/>
      <c r="X1005" s="71"/>
      <c r="Y1005" s="72"/>
      <c r="Z1005" s="111"/>
      <c r="AA1005" s="120"/>
      <c r="AB1005" s="120"/>
      <c r="AC1005" s="120"/>
      <c r="AD1005" s="120"/>
      <c r="AE1005" s="120"/>
      <c r="AF1005" s="120"/>
      <c r="AG1005" s="120"/>
      <c r="AH1005" s="120"/>
      <c r="AI1005" s="120"/>
      <c r="AJ1005" s="250"/>
      <c r="AK1005" s="250"/>
      <c r="AL1005" s="250"/>
      <c r="AM1005" s="250"/>
      <c r="AN1005" s="250"/>
      <c r="AO1005" s="250"/>
      <c r="AP1005" s="250"/>
      <c r="AQ1005" s="250"/>
      <c r="AR1005" s="250"/>
      <c r="AS1005" s="117"/>
      <c r="AT1005" s="10">
        <v>3806755</v>
      </c>
      <c r="AU1005" s="10"/>
      <c r="AV1005" s="167">
        <v>89000</v>
      </c>
      <c r="AW1005" s="168">
        <v>800000</v>
      </c>
      <c r="AX1005" s="29">
        <f t="shared" si="1128"/>
        <v>800000</v>
      </c>
      <c r="AY1005" s="24">
        <f t="shared" si="1129"/>
        <v>-3006755</v>
      </c>
      <c r="AZ1005" s="25">
        <f t="shared" si="1130"/>
        <v>-0.7898472583604671</v>
      </c>
      <c r="BA1005" s="24">
        <f t="shared" si="1131"/>
        <v>-3717755</v>
      </c>
      <c r="BB1005" s="169">
        <f t="shared" si="1132"/>
        <v>-0.97662050749260199</v>
      </c>
      <c r="BC1005" s="305">
        <f t="shared" si="1133"/>
        <v>800000</v>
      </c>
      <c r="BD1005" s="293"/>
      <c r="BE1005" s="293"/>
      <c r="BF1005" s="293"/>
      <c r="BG1005" s="293"/>
      <c r="BH1005" s="293"/>
      <c r="BI1005" s="293"/>
      <c r="BJ1005" s="293"/>
      <c r="BK1005" s="293"/>
      <c r="BL1005" s="327"/>
      <c r="BM1005" s="293"/>
      <c r="BN1005" s="293"/>
      <c r="BO1005" s="293"/>
      <c r="BP1005" s="293"/>
      <c r="BQ1005" s="293"/>
      <c r="BR1005" s="293"/>
      <c r="BS1005" s="293"/>
      <c r="BT1005" s="293"/>
    </row>
    <row r="1006" spans="2:72" ht="32.1" customHeight="1">
      <c r="B1006" s="358" t="s">
        <v>3198</v>
      </c>
      <c r="C1006" s="15" t="s">
        <v>1362</v>
      </c>
      <c r="D1006" s="177" t="s">
        <v>1363</v>
      </c>
      <c r="E1006" s="141" t="s">
        <v>14</v>
      </c>
      <c r="F1006" s="8"/>
      <c r="G1006" s="5"/>
      <c r="H1006" s="8"/>
      <c r="I1006" s="8"/>
      <c r="J1006" s="3"/>
      <c r="K1006" s="3"/>
      <c r="L1006" s="3"/>
      <c r="M1006" s="254"/>
      <c r="N1006" s="77"/>
      <c r="O1006" s="70"/>
      <c r="P1006" s="70"/>
      <c r="Q1006" s="70"/>
      <c r="R1006" s="70"/>
      <c r="S1006" s="70"/>
      <c r="T1006" s="70"/>
      <c r="U1006" s="70"/>
      <c r="V1006" s="71"/>
      <c r="W1006" s="71"/>
      <c r="X1006" s="71"/>
      <c r="Y1006" s="72"/>
      <c r="Z1006" s="111"/>
      <c r="AA1006" s="120"/>
      <c r="AB1006" s="120"/>
      <c r="AC1006" s="120"/>
      <c r="AD1006" s="120"/>
      <c r="AE1006" s="120"/>
      <c r="AF1006" s="120"/>
      <c r="AG1006" s="120"/>
      <c r="AH1006" s="120"/>
      <c r="AI1006" s="120"/>
      <c r="AJ1006" s="250"/>
      <c r="AK1006" s="250"/>
      <c r="AL1006" s="250"/>
      <c r="AM1006" s="250"/>
      <c r="AN1006" s="250"/>
      <c r="AO1006" s="250"/>
      <c r="AP1006" s="250"/>
      <c r="AQ1006" s="250"/>
      <c r="AR1006" s="250"/>
      <c r="AS1006" s="117"/>
      <c r="AT1006" s="10">
        <v>21144</v>
      </c>
      <c r="AU1006" s="10">
        <v>160860</v>
      </c>
      <c r="AV1006" s="167">
        <v>321720</v>
      </c>
      <c r="AW1006" s="168">
        <v>150000</v>
      </c>
      <c r="AX1006" s="29">
        <f t="shared" si="1128"/>
        <v>155430</v>
      </c>
      <c r="AY1006" s="24">
        <f t="shared" si="1129"/>
        <v>134286</v>
      </c>
      <c r="AZ1006" s="25">
        <f t="shared" si="1130"/>
        <v>6.3510215664018164</v>
      </c>
      <c r="BA1006" s="24">
        <f t="shared" si="1131"/>
        <v>300576</v>
      </c>
      <c r="BB1006" s="169">
        <f t="shared" si="1132"/>
        <v>14.215664018161181</v>
      </c>
      <c r="BC1006" s="305">
        <f t="shared" si="1133"/>
        <v>155430</v>
      </c>
      <c r="BD1006" s="293"/>
      <c r="BE1006" s="293"/>
      <c r="BF1006" s="293"/>
      <c r="BG1006" s="293"/>
      <c r="BH1006" s="293"/>
      <c r="BI1006" s="293"/>
      <c r="BJ1006" s="293"/>
      <c r="BK1006" s="293"/>
      <c r="BL1006" s="327"/>
      <c r="BM1006" s="293"/>
      <c r="BN1006" s="293"/>
      <c r="BO1006" s="293"/>
      <c r="BP1006" s="293"/>
      <c r="BQ1006" s="293"/>
      <c r="BR1006" s="293"/>
      <c r="BS1006" s="293"/>
      <c r="BT1006" s="293"/>
    </row>
    <row r="1007" spans="2:72" ht="32.1" customHeight="1">
      <c r="B1007" s="358" t="s">
        <v>3199</v>
      </c>
      <c r="C1007" s="15" t="s">
        <v>1364</v>
      </c>
      <c r="D1007" s="177" t="s">
        <v>1365</v>
      </c>
      <c r="E1007" s="141" t="s">
        <v>14</v>
      </c>
      <c r="F1007" s="8"/>
      <c r="G1007" s="5"/>
      <c r="H1007" s="8"/>
      <c r="I1007" s="8"/>
      <c r="J1007" s="3"/>
      <c r="K1007" s="3"/>
      <c r="L1007" s="3"/>
      <c r="M1007" s="254"/>
      <c r="N1007" s="77"/>
      <c r="O1007" s="70"/>
      <c r="P1007" s="70"/>
      <c r="Q1007" s="70"/>
      <c r="R1007" s="70"/>
      <c r="S1007" s="70"/>
      <c r="T1007" s="70"/>
      <c r="U1007" s="70"/>
      <c r="V1007" s="71"/>
      <c r="W1007" s="71"/>
      <c r="X1007" s="71"/>
      <c r="Y1007" s="72"/>
      <c r="Z1007" s="111"/>
      <c r="AA1007" s="120"/>
      <c r="AB1007" s="120"/>
      <c r="AC1007" s="120"/>
      <c r="AD1007" s="120"/>
      <c r="AE1007" s="120"/>
      <c r="AF1007" s="120"/>
      <c r="AG1007" s="120"/>
      <c r="AH1007" s="120"/>
      <c r="AI1007" s="120"/>
      <c r="AJ1007" s="250"/>
      <c r="AK1007" s="250"/>
      <c r="AL1007" s="250"/>
      <c r="AM1007" s="250"/>
      <c r="AN1007" s="250"/>
      <c r="AO1007" s="250"/>
      <c r="AP1007" s="250"/>
      <c r="AQ1007" s="250"/>
      <c r="AR1007" s="250"/>
      <c r="AS1007" s="117"/>
      <c r="AT1007" s="10">
        <v>208402</v>
      </c>
      <c r="AU1007" s="10">
        <v>241687</v>
      </c>
      <c r="AV1007" s="167">
        <v>725061</v>
      </c>
      <c r="AW1007" s="168">
        <v>220500</v>
      </c>
      <c r="AX1007" s="29">
        <f t="shared" si="1128"/>
        <v>231093.5</v>
      </c>
      <c r="AY1007" s="24">
        <f t="shared" si="1129"/>
        <v>22691.5</v>
      </c>
      <c r="AZ1007" s="25">
        <f t="shared" si="1130"/>
        <v>0.10888331206034491</v>
      </c>
      <c r="BA1007" s="24">
        <f t="shared" si="1131"/>
        <v>516659</v>
      </c>
      <c r="BB1007" s="169">
        <f t="shared" si="1132"/>
        <v>2.4791460734541895</v>
      </c>
      <c r="BC1007" s="305">
        <f t="shared" si="1133"/>
        <v>231093.5</v>
      </c>
      <c r="BD1007" s="293"/>
      <c r="BE1007" s="293"/>
      <c r="BF1007" s="293"/>
      <c r="BG1007" s="293"/>
      <c r="BH1007" s="293"/>
      <c r="BI1007" s="293"/>
      <c r="BJ1007" s="293"/>
      <c r="BK1007" s="293"/>
      <c r="BL1007" s="327"/>
      <c r="BM1007" s="293"/>
      <c r="BN1007" s="293"/>
      <c r="BO1007" s="293"/>
      <c r="BP1007" s="293"/>
      <c r="BQ1007" s="293"/>
      <c r="BR1007" s="293"/>
      <c r="BS1007" s="293"/>
      <c r="BT1007" s="293"/>
    </row>
    <row r="1008" spans="2:72" ht="32.1" customHeight="1">
      <c r="B1008" s="358" t="s">
        <v>3200</v>
      </c>
      <c r="C1008" s="15" t="s">
        <v>1366</v>
      </c>
      <c r="D1008" s="177" t="s">
        <v>1367</v>
      </c>
      <c r="E1008" s="141" t="s">
        <v>13</v>
      </c>
      <c r="F1008" s="8"/>
      <c r="G1008" s="5"/>
      <c r="H1008" s="8"/>
      <c r="I1008" s="8"/>
      <c r="J1008" s="3"/>
      <c r="K1008" s="3"/>
      <c r="L1008" s="3"/>
      <c r="M1008" s="254"/>
      <c r="N1008" s="77"/>
      <c r="O1008" s="70"/>
      <c r="P1008" s="70"/>
      <c r="Q1008" s="70"/>
      <c r="R1008" s="70"/>
      <c r="S1008" s="70"/>
      <c r="T1008" s="70"/>
      <c r="U1008" s="70"/>
      <c r="V1008" s="71"/>
      <c r="W1008" s="71"/>
      <c r="X1008" s="71"/>
      <c r="Y1008" s="72"/>
      <c r="Z1008" s="111"/>
      <c r="AA1008" s="120"/>
      <c r="AB1008" s="120"/>
      <c r="AC1008" s="120"/>
      <c r="AD1008" s="120"/>
      <c r="AE1008" s="120"/>
      <c r="AF1008" s="120"/>
      <c r="AG1008" s="120"/>
      <c r="AH1008" s="120"/>
      <c r="AI1008" s="120"/>
      <c r="AJ1008" s="250"/>
      <c r="AK1008" s="250"/>
      <c r="AL1008" s="250"/>
      <c r="AM1008" s="250"/>
      <c r="AN1008" s="250"/>
      <c r="AO1008" s="250"/>
      <c r="AP1008" s="250"/>
      <c r="AQ1008" s="250"/>
      <c r="AR1008" s="250"/>
      <c r="AS1008" s="117"/>
      <c r="AT1008" s="10">
        <v>30692</v>
      </c>
      <c r="AU1008" s="10">
        <v>70360.350000000006</v>
      </c>
      <c r="AV1008" s="167">
        <v>211081.05000000002</v>
      </c>
      <c r="AW1008" s="168">
        <v>65000</v>
      </c>
      <c r="AX1008" s="29">
        <f t="shared" si="1128"/>
        <v>67680.175000000003</v>
      </c>
      <c r="AY1008" s="24">
        <f t="shared" si="1129"/>
        <v>36988.175000000003</v>
      </c>
      <c r="AZ1008" s="25">
        <f t="shared" si="1130"/>
        <v>1.2051405903818586</v>
      </c>
      <c r="BA1008" s="24">
        <f t="shared" si="1131"/>
        <v>180389.05000000002</v>
      </c>
      <c r="BB1008" s="169">
        <f t="shared" si="1132"/>
        <v>5.8773963899387471</v>
      </c>
      <c r="BC1008" s="305">
        <f t="shared" si="1133"/>
        <v>67680.175000000003</v>
      </c>
      <c r="BD1008" s="293"/>
      <c r="BE1008" s="293"/>
      <c r="BF1008" s="293"/>
      <c r="BG1008" s="293"/>
      <c r="BH1008" s="293"/>
      <c r="BI1008" s="293"/>
      <c r="BJ1008" s="293"/>
      <c r="BK1008" s="293"/>
      <c r="BL1008" s="327"/>
      <c r="BM1008" s="293"/>
      <c r="BN1008" s="293"/>
      <c r="BO1008" s="293"/>
      <c r="BP1008" s="293"/>
      <c r="BQ1008" s="293"/>
      <c r="BR1008" s="293"/>
      <c r="BS1008" s="293"/>
      <c r="BT1008" s="293"/>
    </row>
    <row r="1009" spans="1:72" ht="32.1" customHeight="1">
      <c r="B1009" s="358" t="s">
        <v>3201</v>
      </c>
      <c r="C1009" s="282" t="s">
        <v>1368</v>
      </c>
      <c r="D1009" s="331" t="s">
        <v>1369</v>
      </c>
      <c r="E1009" s="289" t="s">
        <v>10</v>
      </c>
      <c r="F1009" s="8"/>
      <c r="G1009" s="5"/>
      <c r="H1009" s="8"/>
      <c r="I1009" s="8"/>
      <c r="J1009" s="3"/>
      <c r="K1009" s="3"/>
      <c r="L1009" s="3"/>
      <c r="M1009" s="254"/>
      <c r="N1009" s="283"/>
      <c r="O1009" s="284"/>
      <c r="P1009" s="284"/>
      <c r="Q1009" s="284"/>
      <c r="R1009" s="284"/>
      <c r="S1009" s="284"/>
      <c r="T1009" s="284"/>
      <c r="U1009" s="284"/>
      <c r="V1009" s="285"/>
      <c r="W1009" s="285"/>
      <c r="X1009" s="285"/>
      <c r="Y1009" s="286"/>
      <c r="Z1009" s="287"/>
      <c r="AA1009" s="185"/>
      <c r="AB1009" s="185"/>
      <c r="AC1009" s="185"/>
      <c r="AD1009" s="185"/>
      <c r="AE1009" s="185"/>
      <c r="AF1009" s="185"/>
      <c r="AG1009" s="185"/>
      <c r="AH1009" s="185"/>
      <c r="AI1009" s="185"/>
      <c r="AJ1009" s="250"/>
      <c r="AK1009" s="250"/>
      <c r="AL1009" s="250"/>
      <c r="AM1009" s="250"/>
      <c r="AN1009" s="250"/>
      <c r="AO1009" s="250"/>
      <c r="AP1009" s="250"/>
      <c r="AQ1009" s="250"/>
      <c r="AR1009" s="250"/>
      <c r="AS1009" s="288"/>
      <c r="AT1009" s="10">
        <v>175007</v>
      </c>
      <c r="AU1009" s="10"/>
      <c r="AV1009" s="167">
        <v>350000</v>
      </c>
      <c r="AW1009" s="168">
        <v>500000</v>
      </c>
      <c r="AX1009" s="29">
        <f t="shared" si="1128"/>
        <v>500000</v>
      </c>
      <c r="AY1009" s="24">
        <f t="shared" si="1129"/>
        <v>324993</v>
      </c>
      <c r="AZ1009" s="25">
        <f t="shared" si="1130"/>
        <v>1.8570285759998171</v>
      </c>
      <c r="BA1009" s="24">
        <f t="shared" si="1131"/>
        <v>174993</v>
      </c>
      <c r="BB1009" s="169">
        <f t="shared" si="1132"/>
        <v>0.99992000319987195</v>
      </c>
      <c r="BC1009" s="305">
        <f t="shared" si="1133"/>
        <v>500000</v>
      </c>
      <c r="BD1009" s="293"/>
      <c r="BE1009" s="293"/>
      <c r="BF1009" s="293"/>
      <c r="BG1009" s="293"/>
      <c r="BH1009" s="293"/>
      <c r="BI1009" s="293"/>
      <c r="BJ1009" s="293"/>
      <c r="BK1009" s="293"/>
      <c r="BL1009" s="327"/>
      <c r="BM1009" s="293"/>
      <c r="BN1009" s="293"/>
      <c r="BO1009" s="293"/>
      <c r="BP1009" s="293"/>
      <c r="BQ1009" s="293"/>
      <c r="BR1009" s="293"/>
      <c r="BS1009" s="293"/>
      <c r="BT1009" s="293"/>
    </row>
    <row r="1010" spans="1:72" ht="32.1" customHeight="1" thickBot="1">
      <c r="A1010" s="141"/>
      <c r="B1010" s="358" t="s">
        <v>3202</v>
      </c>
      <c r="C1010" s="70" t="s">
        <v>1370</v>
      </c>
      <c r="D1010" s="177" t="s">
        <v>1371</v>
      </c>
      <c r="E1010" s="141" t="s">
        <v>14</v>
      </c>
      <c r="F1010" s="70"/>
      <c r="G1010" s="95"/>
      <c r="H1010" s="70"/>
      <c r="I1010" s="70"/>
      <c r="J1010" s="120"/>
      <c r="K1010" s="120"/>
      <c r="L1010" s="120"/>
      <c r="M1010" s="141"/>
      <c r="N1010" s="77"/>
      <c r="O1010" s="70"/>
      <c r="P1010" s="70"/>
      <c r="Q1010" s="70"/>
      <c r="R1010" s="70"/>
      <c r="S1010" s="70"/>
      <c r="T1010" s="70"/>
      <c r="U1010" s="70"/>
      <c r="V1010" s="71"/>
      <c r="W1010" s="71"/>
      <c r="X1010" s="71"/>
      <c r="Y1010" s="72"/>
      <c r="Z1010" s="111"/>
      <c r="AA1010" s="120"/>
      <c r="AB1010" s="120"/>
      <c r="AC1010" s="120"/>
      <c r="AD1010" s="120"/>
      <c r="AE1010" s="120"/>
      <c r="AF1010" s="120"/>
      <c r="AG1010" s="120"/>
      <c r="AH1010" s="120"/>
      <c r="AI1010" s="120"/>
      <c r="AJ1010" s="293"/>
      <c r="AK1010" s="293"/>
      <c r="AL1010" s="293"/>
      <c r="AM1010" s="293"/>
      <c r="AN1010" s="293"/>
      <c r="AO1010" s="293"/>
      <c r="AP1010" s="293"/>
      <c r="AQ1010" s="293"/>
      <c r="AR1010" s="293"/>
      <c r="AS1010" s="117"/>
      <c r="AT1010" s="223">
        <v>47194</v>
      </c>
      <c r="AU1010" s="224"/>
      <c r="AV1010" s="225">
        <v>480000</v>
      </c>
      <c r="AW1010" s="226">
        <v>345000</v>
      </c>
      <c r="AX1010" s="227">
        <f t="shared" si="1128"/>
        <v>345000</v>
      </c>
      <c r="AY1010" s="228">
        <f t="shared" si="1129"/>
        <v>297806</v>
      </c>
      <c r="AZ1010" s="229">
        <f t="shared" si="1130"/>
        <v>6.3102513031317544</v>
      </c>
      <c r="BA1010" s="228">
        <f t="shared" si="1131"/>
        <v>432806</v>
      </c>
      <c r="BB1010" s="230">
        <f t="shared" si="1132"/>
        <v>9.170784421748527</v>
      </c>
      <c r="BC1010" s="306">
        <f t="shared" si="1133"/>
        <v>345000</v>
      </c>
      <c r="BD1010" s="293"/>
      <c r="BE1010" s="293"/>
      <c r="BF1010" s="293"/>
      <c r="BG1010" s="293"/>
      <c r="BH1010" s="293"/>
      <c r="BI1010" s="293"/>
      <c r="BJ1010" s="293"/>
      <c r="BK1010" s="293"/>
      <c r="BL1010" s="327"/>
      <c r="BM1010" s="293"/>
      <c r="BN1010" s="293"/>
      <c r="BO1010" s="293"/>
      <c r="BP1010" s="293"/>
      <c r="BQ1010" s="293"/>
      <c r="BR1010" s="293"/>
      <c r="BS1010" s="293"/>
      <c r="BT1010" s="293"/>
    </row>
    <row r="1011" spans="1:72">
      <c r="B1011" s="358" t="s">
        <v>3203</v>
      </c>
      <c r="C1011" s="292">
        <v>17</v>
      </c>
      <c r="D1011" s="290" t="s">
        <v>1985</v>
      </c>
      <c r="E1011" s="291"/>
      <c r="F1011" s="8"/>
      <c r="G1011" s="5"/>
      <c r="H1011" s="8"/>
      <c r="I1011" s="8"/>
      <c r="J1011" s="3"/>
      <c r="K1011" s="3"/>
      <c r="L1011" s="3"/>
      <c r="N1011" s="291"/>
      <c r="O1011" s="291"/>
      <c r="P1011" s="291"/>
      <c r="Q1011" s="291"/>
      <c r="R1011" s="291"/>
      <c r="S1011" s="291"/>
      <c r="T1011" s="291"/>
      <c r="U1011" s="291"/>
      <c r="V1011" s="291"/>
      <c r="W1011" s="291"/>
      <c r="X1011" s="291"/>
      <c r="Y1011" s="291"/>
      <c r="Z1011" s="291"/>
      <c r="AA1011" s="291"/>
      <c r="AB1011" s="291"/>
      <c r="AC1011" s="291"/>
      <c r="AD1011" s="291"/>
      <c r="AE1011" s="291"/>
      <c r="AF1011" s="291"/>
      <c r="AG1011" s="291"/>
      <c r="AH1011" s="291"/>
      <c r="AI1011" s="291"/>
      <c r="AJ1011" s="291"/>
      <c r="AK1011" s="291"/>
      <c r="AL1011" s="291"/>
      <c r="AM1011" s="291"/>
      <c r="AN1011" s="291"/>
      <c r="AO1011" s="291"/>
      <c r="AP1011" s="291"/>
      <c r="AQ1011" s="291"/>
      <c r="AR1011" s="291"/>
      <c r="AS1011" s="291"/>
      <c r="BD1011" s="294"/>
      <c r="BE1011" s="295"/>
      <c r="BF1011" s="295"/>
      <c r="BG1011" s="296"/>
      <c r="BH1011" s="294"/>
      <c r="BI1011" s="76"/>
      <c r="BJ1011" s="24"/>
      <c r="BK1011" s="25"/>
      <c r="BL1011" s="309"/>
      <c r="BM1011" s="293"/>
      <c r="BN1011" s="293"/>
      <c r="BO1011" s="293"/>
      <c r="BP1011" s="293"/>
      <c r="BQ1011" s="293"/>
      <c r="BR1011" s="293"/>
      <c r="BS1011" s="293"/>
      <c r="BT1011" s="293"/>
    </row>
    <row r="1012" spans="1:72">
      <c r="B1012" s="358" t="s">
        <v>3204</v>
      </c>
      <c r="C1012" s="70" t="s">
        <v>2006</v>
      </c>
      <c r="D1012" s="264" t="s">
        <v>1986</v>
      </c>
      <c r="E1012" s="262" t="s">
        <v>1579</v>
      </c>
      <c r="F1012" s="8"/>
      <c r="G1012" s="5"/>
      <c r="H1012" s="8"/>
      <c r="I1012" s="8"/>
      <c r="J1012" s="3"/>
      <c r="K1012" s="3"/>
      <c r="L1012" s="3"/>
      <c r="N1012" s="141"/>
      <c r="O1012" s="70"/>
      <c r="P1012" s="70"/>
      <c r="Q1012" s="70"/>
      <c r="R1012" s="70"/>
      <c r="S1012" s="70"/>
      <c r="T1012" s="70"/>
      <c r="U1012" s="70"/>
      <c r="V1012" s="71"/>
      <c r="W1012" s="71"/>
      <c r="X1012" s="71"/>
      <c r="Y1012" s="72"/>
      <c r="Z1012" s="111"/>
      <c r="AA1012" s="120"/>
      <c r="AB1012" s="120"/>
      <c r="AC1012" s="120"/>
      <c r="AD1012" s="120"/>
      <c r="AE1012" s="120"/>
      <c r="AF1012" s="120"/>
      <c r="AG1012" s="120"/>
      <c r="AH1012" s="120"/>
      <c r="AI1012" s="120"/>
      <c r="AJ1012" s="120"/>
      <c r="AK1012" s="120"/>
      <c r="AL1012" s="120"/>
      <c r="AM1012" s="120"/>
      <c r="AN1012" s="120"/>
      <c r="AO1012" s="120"/>
      <c r="AP1012" s="120"/>
      <c r="AQ1012" s="120"/>
      <c r="AR1012" s="120"/>
      <c r="AS1012" s="120"/>
      <c r="BD1012" s="10">
        <v>99670</v>
      </c>
      <c r="BE1012" s="10">
        <v>120000</v>
      </c>
      <c r="BF1012" s="10">
        <v>130000</v>
      </c>
      <c r="BG1012" s="268">
        <v>125000</v>
      </c>
      <c r="BH1012" s="10">
        <v>150000</v>
      </c>
      <c r="BI1012" s="76">
        <f t="shared" ref="BI1012:BI1030" si="1134">AVERAGE(BE1012,BF1012,BG1012,BH1012)</f>
        <v>131250</v>
      </c>
      <c r="BJ1012" s="24">
        <f t="shared" ref="BJ1012:BJ1030" si="1135">BI1012-BD1012</f>
        <v>31580</v>
      </c>
      <c r="BK1012" s="25">
        <f t="shared" ref="BK1012:BK1030" si="1136">+BJ1012/BD1012</f>
        <v>0.31684559044847999</v>
      </c>
      <c r="BL1012" s="309">
        <f t="shared" ref="BL1012:BL1030" si="1137">BI1012</f>
        <v>131250</v>
      </c>
      <c r="BM1012" s="293"/>
      <c r="BN1012" s="293"/>
      <c r="BO1012" s="293"/>
      <c r="BP1012" s="293"/>
      <c r="BQ1012" s="293"/>
      <c r="BR1012" s="293"/>
      <c r="BS1012" s="293"/>
      <c r="BT1012" s="293"/>
    </row>
    <row r="1013" spans="1:72">
      <c r="B1013" s="358" t="s">
        <v>3205</v>
      </c>
      <c r="C1013" s="70" t="s">
        <v>2007</v>
      </c>
      <c r="D1013" s="264" t="s">
        <v>1987</v>
      </c>
      <c r="E1013" s="262" t="s">
        <v>1579</v>
      </c>
      <c r="F1013" s="8"/>
      <c r="G1013" s="5"/>
      <c r="H1013" s="8"/>
      <c r="I1013" s="8"/>
      <c r="J1013" s="3"/>
      <c r="K1013" s="3"/>
      <c r="L1013" s="3"/>
      <c r="N1013" s="141"/>
      <c r="O1013" s="70"/>
      <c r="P1013" s="70"/>
      <c r="Q1013" s="70"/>
      <c r="R1013" s="70"/>
      <c r="S1013" s="70"/>
      <c r="T1013" s="70"/>
      <c r="U1013" s="70"/>
      <c r="V1013" s="71"/>
      <c r="W1013" s="71"/>
      <c r="X1013" s="71"/>
      <c r="Y1013" s="72"/>
      <c r="Z1013" s="111"/>
      <c r="AA1013" s="120"/>
      <c r="AB1013" s="120"/>
      <c r="AC1013" s="120"/>
      <c r="AD1013" s="120"/>
      <c r="AE1013" s="120"/>
      <c r="AF1013" s="120"/>
      <c r="AG1013" s="120"/>
      <c r="AH1013" s="120"/>
      <c r="AI1013" s="120"/>
      <c r="AJ1013" s="120"/>
      <c r="AK1013" s="120"/>
      <c r="AL1013" s="120"/>
      <c r="AM1013" s="120"/>
      <c r="AN1013" s="120"/>
      <c r="AO1013" s="120"/>
      <c r="AP1013" s="120"/>
      <c r="AQ1013" s="120"/>
      <c r="AR1013" s="120"/>
      <c r="AS1013" s="120"/>
      <c r="BD1013" s="10">
        <v>25658</v>
      </c>
      <c r="BE1013" s="10">
        <v>55000</v>
      </c>
      <c r="BF1013" s="10">
        <v>60000</v>
      </c>
      <c r="BG1013" s="268">
        <v>60000</v>
      </c>
      <c r="BH1013" s="10">
        <v>60000</v>
      </c>
      <c r="BI1013" s="76">
        <f t="shared" si="1134"/>
        <v>58750</v>
      </c>
      <c r="BJ1013" s="24">
        <f t="shared" si="1135"/>
        <v>33092</v>
      </c>
      <c r="BK1013" s="25">
        <f t="shared" si="1136"/>
        <v>1.289734195962273</v>
      </c>
      <c r="BL1013" s="309">
        <f t="shared" si="1137"/>
        <v>58750</v>
      </c>
      <c r="BM1013" s="293"/>
      <c r="BN1013" s="293"/>
      <c r="BO1013" s="293"/>
      <c r="BP1013" s="293"/>
      <c r="BQ1013" s="293"/>
      <c r="BR1013" s="293"/>
      <c r="BS1013" s="293"/>
      <c r="BT1013" s="293"/>
    </row>
    <row r="1014" spans="1:72" ht="30">
      <c r="B1014" s="358" t="s">
        <v>3206</v>
      </c>
      <c r="C1014" s="70" t="s">
        <v>2008</v>
      </c>
      <c r="D1014" s="264" t="s">
        <v>1988</v>
      </c>
      <c r="E1014" s="262" t="s">
        <v>1579</v>
      </c>
      <c r="F1014" s="8"/>
      <c r="G1014" s="5"/>
      <c r="H1014" s="8"/>
      <c r="I1014" s="8"/>
      <c r="J1014" s="3"/>
      <c r="K1014" s="3"/>
      <c r="L1014" s="3"/>
      <c r="N1014" s="141"/>
      <c r="O1014" s="70"/>
      <c r="P1014" s="70"/>
      <c r="Q1014" s="70"/>
      <c r="R1014" s="70"/>
      <c r="S1014" s="70"/>
      <c r="T1014" s="70"/>
      <c r="U1014" s="70"/>
      <c r="V1014" s="71"/>
      <c r="W1014" s="71"/>
      <c r="X1014" s="71"/>
      <c r="Y1014" s="72"/>
      <c r="Z1014" s="111"/>
      <c r="AA1014" s="120"/>
      <c r="AB1014" s="120"/>
      <c r="AC1014" s="120"/>
      <c r="AD1014" s="120"/>
      <c r="AE1014" s="120"/>
      <c r="AF1014" s="120"/>
      <c r="AG1014" s="120"/>
      <c r="AH1014" s="120"/>
      <c r="AI1014" s="120"/>
      <c r="AJ1014" s="120"/>
      <c r="AK1014" s="120"/>
      <c r="AL1014" s="120"/>
      <c r="AM1014" s="120"/>
      <c r="AN1014" s="120"/>
      <c r="AO1014" s="120"/>
      <c r="AP1014" s="120"/>
      <c r="AQ1014" s="120"/>
      <c r="AR1014" s="120"/>
      <c r="AS1014" s="120"/>
      <c r="BD1014" s="10">
        <v>63124</v>
      </c>
      <c r="BE1014" s="10">
        <v>65000</v>
      </c>
      <c r="BF1014" s="10">
        <v>65000</v>
      </c>
      <c r="BG1014" s="268">
        <v>60000</v>
      </c>
      <c r="BH1014" s="10">
        <v>60000</v>
      </c>
      <c r="BI1014" s="76">
        <f t="shared" si="1134"/>
        <v>62500</v>
      </c>
      <c r="BJ1014" s="24">
        <f t="shared" si="1135"/>
        <v>-624</v>
      </c>
      <c r="BK1014" s="25">
        <f t="shared" si="1136"/>
        <v>-9.8853051137443755E-3</v>
      </c>
      <c r="BL1014" s="309">
        <f t="shared" si="1137"/>
        <v>62500</v>
      </c>
      <c r="BM1014" s="293"/>
      <c r="BN1014" s="293"/>
      <c r="BO1014" s="293"/>
      <c r="BP1014" s="293"/>
      <c r="BQ1014" s="293"/>
      <c r="BR1014" s="293"/>
      <c r="BS1014" s="293"/>
      <c r="BT1014" s="293"/>
    </row>
    <row r="1015" spans="1:72" ht="30">
      <c r="B1015" s="358" t="s">
        <v>3207</v>
      </c>
      <c r="C1015" s="70" t="s">
        <v>2009</v>
      </c>
      <c r="D1015" s="264" t="s">
        <v>1989</v>
      </c>
      <c r="E1015" s="262" t="s">
        <v>1579</v>
      </c>
      <c r="F1015" s="8"/>
      <c r="G1015" s="5"/>
      <c r="H1015" s="8"/>
      <c r="I1015" s="8"/>
      <c r="J1015" s="3"/>
      <c r="K1015" s="3"/>
      <c r="L1015" s="3"/>
      <c r="N1015" s="141"/>
      <c r="O1015" s="70"/>
      <c r="P1015" s="70"/>
      <c r="Q1015" s="70"/>
      <c r="R1015" s="70"/>
      <c r="S1015" s="70"/>
      <c r="T1015" s="70"/>
      <c r="U1015" s="70"/>
      <c r="V1015" s="71"/>
      <c r="W1015" s="71"/>
      <c r="X1015" s="71"/>
      <c r="Y1015" s="72"/>
      <c r="Z1015" s="111"/>
      <c r="AA1015" s="120"/>
      <c r="AB1015" s="120"/>
      <c r="AC1015" s="120"/>
      <c r="AD1015" s="120"/>
      <c r="AE1015" s="120"/>
      <c r="AF1015" s="120"/>
      <c r="AG1015" s="120"/>
      <c r="AH1015" s="120"/>
      <c r="AI1015" s="120"/>
      <c r="AJ1015" s="120"/>
      <c r="AK1015" s="120"/>
      <c r="AL1015" s="120"/>
      <c r="AM1015" s="120"/>
      <c r="AN1015" s="120"/>
      <c r="AO1015" s="120"/>
      <c r="AP1015" s="120"/>
      <c r="AQ1015" s="120"/>
      <c r="AR1015" s="120"/>
      <c r="AS1015" s="120"/>
      <c r="BD1015" s="10">
        <v>81777</v>
      </c>
      <c r="BE1015" s="10">
        <v>140000</v>
      </c>
      <c r="BF1015" s="10">
        <v>150000</v>
      </c>
      <c r="BG1015" s="268">
        <v>145000</v>
      </c>
      <c r="BH1015" s="10">
        <v>150000</v>
      </c>
      <c r="BI1015" s="76">
        <f t="shared" si="1134"/>
        <v>146250</v>
      </c>
      <c r="BJ1015" s="24">
        <f t="shared" si="1135"/>
        <v>64473</v>
      </c>
      <c r="BK1015" s="25">
        <f t="shared" si="1136"/>
        <v>0.78840016141457869</v>
      </c>
      <c r="BL1015" s="309">
        <f t="shared" si="1137"/>
        <v>146250</v>
      </c>
      <c r="BM1015" s="293"/>
      <c r="BN1015" s="293"/>
      <c r="BO1015" s="293"/>
      <c r="BP1015" s="293"/>
      <c r="BQ1015" s="293"/>
      <c r="BR1015" s="293"/>
      <c r="BS1015" s="293"/>
      <c r="BT1015" s="293"/>
    </row>
    <row r="1016" spans="1:72">
      <c r="B1016" s="358" t="s">
        <v>3208</v>
      </c>
      <c r="C1016" s="70" t="s">
        <v>2010</v>
      </c>
      <c r="D1016" s="264" t="s">
        <v>1990</v>
      </c>
      <c r="E1016" s="263" t="s">
        <v>1991</v>
      </c>
      <c r="F1016" s="8"/>
      <c r="G1016" s="5"/>
      <c r="H1016" s="8"/>
      <c r="I1016" s="8"/>
      <c r="J1016" s="3"/>
      <c r="K1016" s="3"/>
      <c r="L1016" s="3"/>
      <c r="N1016" s="141"/>
      <c r="O1016" s="70"/>
      <c r="P1016" s="70"/>
      <c r="Q1016" s="70"/>
      <c r="R1016" s="70"/>
      <c r="S1016" s="70"/>
      <c r="T1016" s="70"/>
      <c r="U1016" s="70"/>
      <c r="V1016" s="71"/>
      <c r="W1016" s="71"/>
      <c r="X1016" s="71"/>
      <c r="Y1016" s="72"/>
      <c r="Z1016" s="111"/>
      <c r="AA1016" s="120"/>
      <c r="AB1016" s="120"/>
      <c r="AC1016" s="120"/>
      <c r="AD1016" s="120"/>
      <c r="AE1016" s="120"/>
      <c r="AF1016" s="120"/>
      <c r="AG1016" s="120"/>
      <c r="AH1016" s="120"/>
      <c r="AI1016" s="120"/>
      <c r="AJ1016" s="120"/>
      <c r="AK1016" s="120"/>
      <c r="AL1016" s="120"/>
      <c r="AM1016" s="120"/>
      <c r="AN1016" s="120"/>
      <c r="AO1016" s="120"/>
      <c r="AP1016" s="120"/>
      <c r="AQ1016" s="120"/>
      <c r="AR1016" s="120"/>
      <c r="AS1016" s="120"/>
      <c r="BD1016" s="10">
        <v>4585</v>
      </c>
      <c r="BE1016" s="10">
        <v>35000</v>
      </c>
      <c r="BF1016" s="10">
        <v>40000</v>
      </c>
      <c r="BG1016" s="268">
        <v>38000</v>
      </c>
      <c r="BH1016" s="10">
        <v>50000</v>
      </c>
      <c r="BI1016" s="76">
        <f t="shared" si="1134"/>
        <v>40750</v>
      </c>
      <c r="BJ1016" s="24">
        <f t="shared" si="1135"/>
        <v>36165</v>
      </c>
      <c r="BK1016" s="25">
        <f t="shared" si="1136"/>
        <v>7.8876772082878954</v>
      </c>
      <c r="BL1016" s="309">
        <f t="shared" si="1137"/>
        <v>40750</v>
      </c>
      <c r="BM1016" s="293"/>
      <c r="BN1016" s="293"/>
      <c r="BO1016" s="293"/>
      <c r="BP1016" s="293"/>
      <c r="BQ1016" s="293"/>
      <c r="BR1016" s="293"/>
      <c r="BS1016" s="293"/>
      <c r="BT1016" s="293"/>
    </row>
    <row r="1017" spans="1:72" ht="30">
      <c r="B1017" s="358" t="s">
        <v>3209</v>
      </c>
      <c r="C1017" s="70" t="s">
        <v>2011</v>
      </c>
      <c r="D1017" s="264" t="s">
        <v>1992</v>
      </c>
      <c r="E1017" s="263" t="s">
        <v>1457</v>
      </c>
      <c r="F1017" s="8"/>
      <c r="G1017" s="5"/>
      <c r="H1017" s="8"/>
      <c r="I1017" s="8"/>
      <c r="J1017" s="3"/>
      <c r="K1017" s="3"/>
      <c r="L1017" s="3"/>
      <c r="N1017" s="141"/>
      <c r="O1017" s="70"/>
      <c r="P1017" s="70"/>
      <c r="Q1017" s="70"/>
      <c r="R1017" s="70"/>
      <c r="S1017" s="70"/>
      <c r="T1017" s="70"/>
      <c r="U1017" s="70"/>
      <c r="V1017" s="71"/>
      <c r="W1017" s="71"/>
      <c r="X1017" s="71"/>
      <c r="Y1017" s="72"/>
      <c r="Z1017" s="111"/>
      <c r="AA1017" s="120"/>
      <c r="AB1017" s="120"/>
      <c r="AC1017" s="120"/>
      <c r="AD1017" s="120"/>
      <c r="AE1017" s="120"/>
      <c r="AF1017" s="120"/>
      <c r="AG1017" s="120"/>
      <c r="AH1017" s="120"/>
      <c r="AI1017" s="120"/>
      <c r="AJ1017" s="120"/>
      <c r="AK1017" s="120"/>
      <c r="AL1017" s="120"/>
      <c r="AM1017" s="120"/>
      <c r="AN1017" s="120"/>
      <c r="AO1017" s="120"/>
      <c r="AP1017" s="120"/>
      <c r="AQ1017" s="120"/>
      <c r="AR1017" s="120"/>
      <c r="AS1017" s="120"/>
      <c r="BD1017" s="10">
        <v>87862</v>
      </c>
      <c r="BE1017" s="10">
        <v>95000</v>
      </c>
      <c r="BF1017" s="10">
        <v>105000</v>
      </c>
      <c r="BG1017" s="268">
        <v>100000</v>
      </c>
      <c r="BH1017" s="10">
        <v>100000</v>
      </c>
      <c r="BI1017" s="76">
        <f t="shared" si="1134"/>
        <v>100000</v>
      </c>
      <c r="BJ1017" s="24">
        <f t="shared" si="1135"/>
        <v>12138</v>
      </c>
      <c r="BK1017" s="25">
        <f t="shared" si="1136"/>
        <v>0.13814846008513351</v>
      </c>
      <c r="BL1017" s="309">
        <f t="shared" si="1137"/>
        <v>100000</v>
      </c>
      <c r="BM1017" s="293"/>
      <c r="BN1017" s="293"/>
      <c r="BO1017" s="293"/>
      <c r="BP1017" s="293"/>
      <c r="BQ1017" s="293"/>
      <c r="BR1017" s="293"/>
      <c r="BS1017" s="293"/>
      <c r="BT1017" s="293"/>
    </row>
    <row r="1018" spans="1:72" ht="30">
      <c r="B1018" s="358" t="s">
        <v>3210</v>
      </c>
      <c r="C1018" s="70" t="s">
        <v>2012</v>
      </c>
      <c r="D1018" s="264" t="s">
        <v>1993</v>
      </c>
      <c r="E1018" s="262" t="s">
        <v>1579</v>
      </c>
      <c r="F1018" s="8"/>
      <c r="G1018" s="5"/>
      <c r="H1018" s="8"/>
      <c r="I1018" s="8"/>
      <c r="J1018" s="3"/>
      <c r="K1018" s="3"/>
      <c r="L1018" s="3"/>
      <c r="N1018" s="141"/>
      <c r="O1018" s="70"/>
      <c r="P1018" s="70"/>
      <c r="Q1018" s="70"/>
      <c r="R1018" s="70"/>
      <c r="S1018" s="70"/>
      <c r="T1018" s="70"/>
      <c r="U1018" s="70"/>
      <c r="V1018" s="71"/>
      <c r="W1018" s="71"/>
      <c r="X1018" s="71"/>
      <c r="Y1018" s="72"/>
      <c r="Z1018" s="111"/>
      <c r="AA1018" s="120"/>
      <c r="AB1018" s="120"/>
      <c r="AC1018" s="120"/>
      <c r="AD1018" s="120"/>
      <c r="AE1018" s="120"/>
      <c r="AF1018" s="120"/>
      <c r="AG1018" s="120"/>
      <c r="AH1018" s="120"/>
      <c r="AI1018" s="120"/>
      <c r="AJ1018" s="120"/>
      <c r="AK1018" s="120"/>
      <c r="AL1018" s="120"/>
      <c r="AM1018" s="120"/>
      <c r="AN1018" s="120"/>
      <c r="AO1018" s="120"/>
      <c r="AP1018" s="120"/>
      <c r="AQ1018" s="120"/>
      <c r="AR1018" s="120"/>
      <c r="AS1018" s="120"/>
      <c r="BD1018" s="10">
        <v>99670</v>
      </c>
      <c r="BE1018" s="10">
        <v>45000</v>
      </c>
      <c r="BF1018" s="10">
        <v>50000</v>
      </c>
      <c r="BG1018" s="268">
        <v>50000</v>
      </c>
      <c r="BH1018" s="10">
        <v>120000</v>
      </c>
      <c r="BI1018" s="76">
        <f t="shared" si="1134"/>
        <v>66250</v>
      </c>
      <c r="BJ1018" s="24">
        <f t="shared" si="1135"/>
        <v>-33420</v>
      </c>
      <c r="BK1018" s="25">
        <f t="shared" si="1136"/>
        <v>-0.33530651148791013</v>
      </c>
      <c r="BL1018" s="309">
        <f t="shared" si="1137"/>
        <v>66250</v>
      </c>
      <c r="BM1018" s="293"/>
      <c r="BN1018" s="293"/>
      <c r="BO1018" s="293"/>
      <c r="BP1018" s="293"/>
      <c r="BQ1018" s="293"/>
      <c r="BR1018" s="293"/>
      <c r="BS1018" s="293"/>
      <c r="BT1018" s="293"/>
    </row>
    <row r="1019" spans="1:72" ht="45">
      <c r="B1019" s="358" t="s">
        <v>3211</v>
      </c>
      <c r="C1019" s="70" t="s">
        <v>2013</v>
      </c>
      <c r="D1019" s="264" t="s">
        <v>1994</v>
      </c>
      <c r="E1019" s="262" t="s">
        <v>1579</v>
      </c>
      <c r="F1019" s="8"/>
      <c r="G1019" s="5"/>
      <c r="H1019" s="8"/>
      <c r="I1019" s="8"/>
      <c r="J1019" s="3"/>
      <c r="K1019" s="3"/>
      <c r="L1019" s="3"/>
      <c r="N1019" s="141"/>
      <c r="O1019" s="70"/>
      <c r="P1019" s="70"/>
      <c r="Q1019" s="70"/>
      <c r="R1019" s="70"/>
      <c r="S1019" s="70"/>
      <c r="T1019" s="70"/>
      <c r="U1019" s="70"/>
      <c r="V1019" s="71"/>
      <c r="W1019" s="71"/>
      <c r="X1019" s="71"/>
      <c r="Y1019" s="72"/>
      <c r="Z1019" s="111"/>
      <c r="AA1019" s="120"/>
      <c r="AB1019" s="120"/>
      <c r="AC1019" s="120"/>
      <c r="AD1019" s="120"/>
      <c r="AE1019" s="120"/>
      <c r="AF1019" s="120"/>
      <c r="AG1019" s="120"/>
      <c r="AH1019" s="120"/>
      <c r="AI1019" s="120"/>
      <c r="AJ1019" s="120"/>
      <c r="AK1019" s="120"/>
      <c r="AL1019" s="120"/>
      <c r="AM1019" s="120"/>
      <c r="AN1019" s="120"/>
      <c r="AO1019" s="120"/>
      <c r="AP1019" s="120"/>
      <c r="AQ1019" s="120"/>
      <c r="AR1019" s="120"/>
      <c r="AS1019" s="120"/>
      <c r="BD1019" s="10">
        <v>8922</v>
      </c>
      <c r="BE1019" s="10">
        <v>65000</v>
      </c>
      <c r="BF1019" s="10">
        <v>70000</v>
      </c>
      <c r="BG1019" s="268">
        <v>65000</v>
      </c>
      <c r="BH1019" s="10">
        <v>60000</v>
      </c>
      <c r="BI1019" s="76">
        <f t="shared" si="1134"/>
        <v>65000</v>
      </c>
      <c r="BJ1019" s="24">
        <f t="shared" si="1135"/>
        <v>56078</v>
      </c>
      <c r="BK1019" s="25">
        <f t="shared" si="1136"/>
        <v>6.2853620264514687</v>
      </c>
      <c r="BL1019" s="309">
        <f t="shared" si="1137"/>
        <v>65000</v>
      </c>
      <c r="BM1019" s="293"/>
      <c r="BN1019" s="293"/>
      <c r="BO1019" s="293"/>
      <c r="BP1019" s="293"/>
      <c r="BQ1019" s="293"/>
      <c r="BR1019" s="293"/>
      <c r="BS1019" s="293"/>
      <c r="BT1019" s="293"/>
    </row>
    <row r="1020" spans="1:72">
      <c r="B1020" s="358" t="s">
        <v>3212</v>
      </c>
      <c r="C1020" s="70" t="s">
        <v>2014</v>
      </c>
      <c r="D1020" s="264" t="s">
        <v>1995</v>
      </c>
      <c r="E1020" s="262" t="s">
        <v>1579</v>
      </c>
      <c r="F1020" s="8"/>
      <c r="G1020" s="5"/>
      <c r="H1020" s="8"/>
      <c r="I1020" s="8"/>
      <c r="J1020" s="3"/>
      <c r="K1020" s="3"/>
      <c r="L1020" s="3"/>
      <c r="N1020" s="141"/>
      <c r="O1020" s="70"/>
      <c r="P1020" s="70"/>
      <c r="Q1020" s="70"/>
      <c r="R1020" s="70"/>
      <c r="S1020" s="70"/>
      <c r="T1020" s="70"/>
      <c r="U1020" s="70"/>
      <c r="V1020" s="71"/>
      <c r="W1020" s="71"/>
      <c r="X1020" s="71"/>
      <c r="Y1020" s="72"/>
      <c r="Z1020" s="111"/>
      <c r="AA1020" s="120"/>
      <c r="AB1020" s="120"/>
      <c r="AC1020" s="120"/>
      <c r="AD1020" s="120"/>
      <c r="AE1020" s="120"/>
      <c r="AF1020" s="120"/>
      <c r="AG1020" s="120"/>
      <c r="AH1020" s="120"/>
      <c r="AI1020" s="120"/>
      <c r="AJ1020" s="120"/>
      <c r="AK1020" s="120"/>
      <c r="AL1020" s="120"/>
      <c r="AM1020" s="120"/>
      <c r="AN1020" s="120"/>
      <c r="AO1020" s="120"/>
      <c r="AP1020" s="120"/>
      <c r="AQ1020" s="120"/>
      <c r="AR1020" s="120"/>
      <c r="AS1020" s="120"/>
      <c r="BD1020" s="10">
        <v>34172</v>
      </c>
      <c r="BE1020" s="10">
        <v>340000</v>
      </c>
      <c r="BF1020" s="10">
        <v>350000</v>
      </c>
      <c r="BG1020" s="268">
        <v>345000</v>
      </c>
      <c r="BH1020" s="10">
        <v>400000</v>
      </c>
      <c r="BI1020" s="76">
        <f t="shared" si="1134"/>
        <v>358750</v>
      </c>
      <c r="BJ1020" s="24">
        <f t="shared" si="1135"/>
        <v>324578</v>
      </c>
      <c r="BK1020" s="25">
        <f t="shared" si="1136"/>
        <v>9.498361231417535</v>
      </c>
      <c r="BL1020" s="309">
        <f t="shared" si="1137"/>
        <v>358750</v>
      </c>
      <c r="BM1020" s="293"/>
      <c r="BN1020" s="293"/>
      <c r="BO1020" s="293"/>
      <c r="BP1020" s="293"/>
      <c r="BQ1020" s="293"/>
      <c r="BR1020" s="293"/>
      <c r="BS1020" s="293"/>
      <c r="BT1020" s="293"/>
    </row>
    <row r="1021" spans="1:72" ht="45">
      <c r="B1021" s="358" t="s">
        <v>3213</v>
      </c>
      <c r="C1021" s="70" t="s">
        <v>2015</v>
      </c>
      <c r="D1021" s="264" t="s">
        <v>1996</v>
      </c>
      <c r="E1021" s="262" t="s">
        <v>1579</v>
      </c>
      <c r="F1021" s="8"/>
      <c r="G1021" s="5"/>
      <c r="H1021" s="8"/>
      <c r="I1021" s="8"/>
      <c r="J1021" s="3"/>
      <c r="K1021" s="3"/>
      <c r="L1021" s="3"/>
      <c r="N1021" s="141"/>
      <c r="O1021" s="70"/>
      <c r="P1021" s="70"/>
      <c r="Q1021" s="70"/>
      <c r="R1021" s="70"/>
      <c r="S1021" s="70"/>
      <c r="T1021" s="70"/>
      <c r="U1021" s="70"/>
      <c r="V1021" s="71"/>
      <c r="W1021" s="71"/>
      <c r="X1021" s="71"/>
      <c r="Y1021" s="72"/>
      <c r="Z1021" s="111"/>
      <c r="AA1021" s="120"/>
      <c r="AB1021" s="120"/>
      <c r="AC1021" s="120"/>
      <c r="AD1021" s="120"/>
      <c r="AE1021" s="120"/>
      <c r="AF1021" s="120"/>
      <c r="AG1021" s="120"/>
      <c r="AH1021" s="120"/>
      <c r="AI1021" s="120"/>
      <c r="AJ1021" s="120"/>
      <c r="AK1021" s="120"/>
      <c r="AL1021" s="120"/>
      <c r="AM1021" s="120"/>
      <c r="AN1021" s="120"/>
      <c r="AO1021" s="120"/>
      <c r="AP1021" s="120"/>
      <c r="AQ1021" s="120"/>
      <c r="AR1021" s="120"/>
      <c r="AS1021" s="120"/>
      <c r="BD1021" s="10">
        <v>1187</v>
      </c>
      <c r="BE1021" s="10">
        <v>55000</v>
      </c>
      <c r="BF1021" s="10">
        <v>60000</v>
      </c>
      <c r="BG1021" s="268">
        <v>60000</v>
      </c>
      <c r="BH1021" s="10">
        <v>65000</v>
      </c>
      <c r="BI1021" s="76">
        <f t="shared" si="1134"/>
        <v>60000</v>
      </c>
      <c r="BJ1021" s="24">
        <f t="shared" si="1135"/>
        <v>58813</v>
      </c>
      <c r="BK1021" s="25">
        <f t="shared" si="1136"/>
        <v>49.547598989048019</v>
      </c>
      <c r="BL1021" s="309">
        <f t="shared" si="1137"/>
        <v>60000</v>
      </c>
      <c r="BM1021" s="293"/>
      <c r="BN1021" s="293"/>
      <c r="BO1021" s="293"/>
      <c r="BP1021" s="293"/>
      <c r="BQ1021" s="293"/>
      <c r="BR1021" s="293"/>
      <c r="BS1021" s="293"/>
      <c r="BT1021" s="293"/>
    </row>
    <row r="1022" spans="1:72" ht="30">
      <c r="B1022" s="358" t="s">
        <v>3214</v>
      </c>
      <c r="C1022" s="70" t="s">
        <v>2016</v>
      </c>
      <c r="D1022" s="264" t="s">
        <v>1997</v>
      </c>
      <c r="E1022" s="262" t="s">
        <v>1579</v>
      </c>
      <c r="F1022" s="8"/>
      <c r="G1022" s="5"/>
      <c r="H1022" s="8"/>
      <c r="I1022" s="8"/>
      <c r="J1022" s="3"/>
      <c r="K1022" s="3"/>
      <c r="L1022" s="3"/>
      <c r="N1022" s="141"/>
      <c r="O1022" s="70"/>
      <c r="P1022" s="70"/>
      <c r="Q1022" s="70"/>
      <c r="R1022" s="70"/>
      <c r="S1022" s="70"/>
      <c r="T1022" s="70"/>
      <c r="U1022" s="70"/>
      <c r="V1022" s="71"/>
      <c r="W1022" s="71"/>
      <c r="X1022" s="71"/>
      <c r="Y1022" s="72"/>
      <c r="Z1022" s="111"/>
      <c r="AA1022" s="120"/>
      <c r="AB1022" s="120"/>
      <c r="AC1022" s="120"/>
      <c r="AD1022" s="120"/>
      <c r="AE1022" s="120"/>
      <c r="AF1022" s="120"/>
      <c r="AG1022" s="120"/>
      <c r="AH1022" s="120"/>
      <c r="AI1022" s="120"/>
      <c r="AJ1022" s="120"/>
      <c r="AK1022" s="120"/>
      <c r="AL1022" s="120"/>
      <c r="AM1022" s="120"/>
      <c r="AN1022" s="120"/>
      <c r="AO1022" s="120"/>
      <c r="AP1022" s="120"/>
      <c r="AQ1022" s="120"/>
      <c r="AR1022" s="120"/>
      <c r="AS1022" s="120"/>
      <c r="BD1022" s="10">
        <v>89703</v>
      </c>
      <c r="BE1022" s="10">
        <v>140000</v>
      </c>
      <c r="BF1022" s="10">
        <v>150000</v>
      </c>
      <c r="BG1022" s="268">
        <v>150000</v>
      </c>
      <c r="BH1022" s="10">
        <v>150000</v>
      </c>
      <c r="BI1022" s="76">
        <f t="shared" si="1134"/>
        <v>147500</v>
      </c>
      <c r="BJ1022" s="24">
        <f t="shared" si="1135"/>
        <v>57797</v>
      </c>
      <c r="BK1022" s="25">
        <f t="shared" si="1136"/>
        <v>0.64431512881397501</v>
      </c>
      <c r="BL1022" s="309">
        <f t="shared" si="1137"/>
        <v>147500</v>
      </c>
      <c r="BM1022" s="293"/>
      <c r="BN1022" s="293"/>
      <c r="BO1022" s="293"/>
      <c r="BP1022" s="293"/>
      <c r="BQ1022" s="293"/>
      <c r="BR1022" s="293"/>
      <c r="BS1022" s="293"/>
      <c r="BT1022" s="293"/>
    </row>
    <row r="1023" spans="1:72" ht="30">
      <c r="B1023" s="358" t="s">
        <v>3215</v>
      </c>
      <c r="C1023" s="70" t="s">
        <v>2017</v>
      </c>
      <c r="D1023" s="264" t="s">
        <v>1998</v>
      </c>
      <c r="E1023" s="262" t="s">
        <v>1579</v>
      </c>
      <c r="F1023" s="8"/>
      <c r="G1023" s="5"/>
      <c r="H1023" s="8"/>
      <c r="I1023" s="8"/>
      <c r="J1023" s="3"/>
      <c r="K1023" s="3"/>
      <c r="L1023" s="3"/>
      <c r="N1023" s="141"/>
      <c r="O1023" s="70"/>
      <c r="P1023" s="70"/>
      <c r="Q1023" s="70"/>
      <c r="R1023" s="70"/>
      <c r="S1023" s="70"/>
      <c r="T1023" s="70"/>
      <c r="U1023" s="70"/>
      <c r="V1023" s="71"/>
      <c r="W1023" s="71"/>
      <c r="X1023" s="71"/>
      <c r="Y1023" s="72"/>
      <c r="Z1023" s="111"/>
      <c r="AA1023" s="120"/>
      <c r="AB1023" s="120"/>
      <c r="AC1023" s="120"/>
      <c r="AD1023" s="120"/>
      <c r="AE1023" s="120"/>
      <c r="AF1023" s="120"/>
      <c r="AG1023" s="120"/>
      <c r="AH1023" s="120"/>
      <c r="AI1023" s="120"/>
      <c r="AJ1023" s="120"/>
      <c r="AK1023" s="120"/>
      <c r="AL1023" s="120"/>
      <c r="AM1023" s="120"/>
      <c r="AN1023" s="120"/>
      <c r="AO1023" s="120"/>
      <c r="AP1023" s="120"/>
      <c r="AQ1023" s="120"/>
      <c r="AR1023" s="120"/>
      <c r="AS1023" s="120"/>
      <c r="BD1023" s="10">
        <v>64169</v>
      </c>
      <c r="BE1023" s="10">
        <v>120000</v>
      </c>
      <c r="BF1023" s="10">
        <v>130000</v>
      </c>
      <c r="BG1023" s="268">
        <v>125000</v>
      </c>
      <c r="BH1023" s="10">
        <v>130000</v>
      </c>
      <c r="BI1023" s="76">
        <f t="shared" si="1134"/>
        <v>126250</v>
      </c>
      <c r="BJ1023" s="24">
        <f t="shared" si="1135"/>
        <v>62081</v>
      </c>
      <c r="BK1023" s="25">
        <f t="shared" si="1136"/>
        <v>0.96746092349888579</v>
      </c>
      <c r="BL1023" s="309">
        <f t="shared" si="1137"/>
        <v>126250</v>
      </c>
      <c r="BM1023" s="293"/>
      <c r="BN1023" s="293"/>
      <c r="BO1023" s="293"/>
      <c r="BP1023" s="293"/>
      <c r="BQ1023" s="293"/>
      <c r="BR1023" s="293"/>
      <c r="BS1023" s="293"/>
      <c r="BT1023" s="293"/>
    </row>
    <row r="1024" spans="1:72">
      <c r="B1024" s="358" t="s">
        <v>3216</v>
      </c>
      <c r="C1024" s="70" t="s">
        <v>2018</v>
      </c>
      <c r="D1024" s="264" t="s">
        <v>1999</v>
      </c>
      <c r="E1024" s="262" t="s">
        <v>1430</v>
      </c>
      <c r="F1024" s="8"/>
      <c r="G1024" s="5"/>
      <c r="H1024" s="8"/>
      <c r="I1024" s="8"/>
      <c r="J1024" s="3"/>
      <c r="K1024" s="3"/>
      <c r="L1024" s="3"/>
      <c r="N1024" s="141"/>
      <c r="O1024" s="70"/>
      <c r="P1024" s="70"/>
      <c r="Q1024" s="70"/>
      <c r="R1024" s="70"/>
      <c r="S1024" s="70"/>
      <c r="T1024" s="70"/>
      <c r="U1024" s="70"/>
      <c r="V1024" s="71"/>
      <c r="W1024" s="71"/>
      <c r="X1024" s="71"/>
      <c r="Y1024" s="72"/>
      <c r="Z1024" s="111"/>
      <c r="AA1024" s="120"/>
      <c r="AB1024" s="120"/>
      <c r="AC1024" s="120"/>
      <c r="AD1024" s="120"/>
      <c r="AE1024" s="120"/>
      <c r="AF1024" s="120"/>
      <c r="AG1024" s="120"/>
      <c r="AH1024" s="120"/>
      <c r="AI1024" s="120"/>
      <c r="AJ1024" s="120"/>
      <c r="AK1024" s="120"/>
      <c r="AL1024" s="120"/>
      <c r="AM1024" s="120"/>
      <c r="AN1024" s="120"/>
      <c r="AO1024" s="120"/>
      <c r="AP1024" s="120"/>
      <c r="AQ1024" s="120"/>
      <c r="AR1024" s="120"/>
      <c r="AS1024" s="120"/>
      <c r="BD1024" s="10">
        <v>19061</v>
      </c>
      <c r="BE1024" s="10">
        <v>52000</v>
      </c>
      <c r="BF1024" s="10">
        <v>60000</v>
      </c>
      <c r="BG1024" s="268">
        <v>55000</v>
      </c>
      <c r="BH1024" s="10">
        <v>120000</v>
      </c>
      <c r="BI1024" s="76">
        <f t="shared" si="1134"/>
        <v>71750</v>
      </c>
      <c r="BJ1024" s="24">
        <f t="shared" si="1135"/>
        <v>52689</v>
      </c>
      <c r="BK1024" s="25">
        <f t="shared" si="1136"/>
        <v>2.7642306279838413</v>
      </c>
      <c r="BL1024" s="309">
        <f t="shared" si="1137"/>
        <v>71750</v>
      </c>
      <c r="BM1024" s="293"/>
      <c r="BN1024" s="293"/>
      <c r="BO1024" s="293"/>
      <c r="BP1024" s="293"/>
      <c r="BQ1024" s="293"/>
      <c r="BR1024" s="293"/>
      <c r="BS1024" s="293"/>
      <c r="BT1024" s="293"/>
    </row>
    <row r="1025" spans="2:72">
      <c r="B1025" s="358" t="s">
        <v>3217</v>
      </c>
      <c r="C1025" s="70" t="s">
        <v>2019</v>
      </c>
      <c r="D1025" s="264" t="s">
        <v>2000</v>
      </c>
      <c r="E1025" s="263" t="s">
        <v>1399</v>
      </c>
      <c r="F1025" s="8"/>
      <c r="G1025" s="5"/>
      <c r="H1025" s="8"/>
      <c r="I1025" s="8"/>
      <c r="J1025" s="3"/>
      <c r="K1025" s="3"/>
      <c r="L1025" s="3"/>
      <c r="N1025" s="141"/>
      <c r="O1025" s="70"/>
      <c r="P1025" s="70"/>
      <c r="Q1025" s="70"/>
      <c r="R1025" s="70"/>
      <c r="S1025" s="70"/>
      <c r="T1025" s="70"/>
      <c r="U1025" s="70"/>
      <c r="V1025" s="71"/>
      <c r="W1025" s="71"/>
      <c r="X1025" s="71"/>
      <c r="Y1025" s="72"/>
      <c r="Z1025" s="111"/>
      <c r="AA1025" s="120"/>
      <c r="AB1025" s="120"/>
      <c r="AC1025" s="120"/>
      <c r="AD1025" s="120"/>
      <c r="AE1025" s="120"/>
      <c r="AF1025" s="120"/>
      <c r="AG1025" s="120"/>
      <c r="AH1025" s="120"/>
      <c r="AI1025" s="120"/>
      <c r="AJ1025" s="120"/>
      <c r="AK1025" s="120"/>
      <c r="AL1025" s="120"/>
      <c r="AM1025" s="120"/>
      <c r="AN1025" s="120"/>
      <c r="AO1025" s="120"/>
      <c r="AP1025" s="120"/>
      <c r="AQ1025" s="120"/>
      <c r="AR1025" s="120"/>
      <c r="AS1025" s="120"/>
      <c r="BD1025" s="10">
        <v>2344</v>
      </c>
      <c r="BE1025" s="10">
        <v>9500</v>
      </c>
      <c r="BF1025" s="10">
        <v>11000</v>
      </c>
      <c r="BG1025" s="268">
        <v>10000</v>
      </c>
      <c r="BH1025" s="10">
        <v>10000</v>
      </c>
      <c r="BI1025" s="76">
        <f t="shared" si="1134"/>
        <v>10125</v>
      </c>
      <c r="BJ1025" s="24">
        <f t="shared" si="1135"/>
        <v>7781</v>
      </c>
      <c r="BK1025" s="25">
        <f t="shared" si="1136"/>
        <v>3.3195392491467577</v>
      </c>
      <c r="BL1025" s="309">
        <f t="shared" si="1137"/>
        <v>10125</v>
      </c>
      <c r="BM1025" s="293"/>
      <c r="BN1025" s="293"/>
      <c r="BO1025" s="293"/>
      <c r="BP1025" s="293"/>
      <c r="BQ1025" s="293"/>
      <c r="BR1025" s="293"/>
      <c r="BS1025" s="293"/>
      <c r="BT1025" s="293"/>
    </row>
    <row r="1026" spans="2:72">
      <c r="B1026" s="358" t="s">
        <v>3218</v>
      </c>
      <c r="C1026" s="70" t="s">
        <v>2020</v>
      </c>
      <c r="D1026" s="264" t="s">
        <v>2001</v>
      </c>
      <c r="E1026" s="262" t="s">
        <v>1579</v>
      </c>
      <c r="F1026" s="8"/>
      <c r="G1026" s="5"/>
      <c r="H1026" s="8"/>
      <c r="I1026" s="8"/>
      <c r="J1026" s="3"/>
      <c r="K1026" s="3"/>
      <c r="L1026" s="3"/>
      <c r="N1026" s="141"/>
      <c r="O1026" s="70"/>
      <c r="P1026" s="70"/>
      <c r="Q1026" s="70"/>
      <c r="R1026" s="70"/>
      <c r="S1026" s="70"/>
      <c r="T1026" s="70"/>
      <c r="U1026" s="70"/>
      <c r="V1026" s="71"/>
      <c r="W1026" s="71"/>
      <c r="X1026" s="71"/>
      <c r="Y1026" s="72"/>
      <c r="Z1026" s="111"/>
      <c r="AA1026" s="120"/>
      <c r="AB1026" s="120"/>
      <c r="AC1026" s="120"/>
      <c r="AD1026" s="120"/>
      <c r="AE1026" s="120"/>
      <c r="AF1026" s="120"/>
      <c r="AG1026" s="120"/>
      <c r="AH1026" s="120"/>
      <c r="AI1026" s="120"/>
      <c r="AJ1026" s="120"/>
      <c r="AK1026" s="120"/>
      <c r="AL1026" s="120"/>
      <c r="AM1026" s="120"/>
      <c r="AN1026" s="120"/>
      <c r="AO1026" s="120"/>
      <c r="AP1026" s="120"/>
      <c r="AQ1026" s="120"/>
      <c r="AR1026" s="120"/>
      <c r="AS1026" s="120"/>
      <c r="BD1026" s="10">
        <v>7993</v>
      </c>
      <c r="BE1026" s="10">
        <v>55000</v>
      </c>
      <c r="BF1026" s="10">
        <v>60000</v>
      </c>
      <c r="BG1026" s="268">
        <v>60000</v>
      </c>
      <c r="BH1026" s="10">
        <v>60000</v>
      </c>
      <c r="BI1026" s="76">
        <f t="shared" si="1134"/>
        <v>58750</v>
      </c>
      <c r="BJ1026" s="24">
        <f t="shared" si="1135"/>
        <v>50757</v>
      </c>
      <c r="BK1026" s="25">
        <f t="shared" si="1136"/>
        <v>6.3501814087326407</v>
      </c>
      <c r="BL1026" s="309">
        <f t="shared" si="1137"/>
        <v>58750</v>
      </c>
      <c r="BM1026" s="293"/>
      <c r="BN1026" s="293"/>
      <c r="BO1026" s="293"/>
      <c r="BP1026" s="293"/>
      <c r="BQ1026" s="293"/>
      <c r="BR1026" s="293"/>
      <c r="BS1026" s="293"/>
      <c r="BT1026" s="293"/>
    </row>
    <row r="1027" spans="2:72">
      <c r="B1027" s="358" t="s">
        <v>3219</v>
      </c>
      <c r="C1027" s="70" t="s">
        <v>2021</v>
      </c>
      <c r="D1027" s="264" t="s">
        <v>2002</v>
      </c>
      <c r="E1027" s="262" t="s">
        <v>1579</v>
      </c>
      <c r="F1027" s="8"/>
      <c r="G1027" s="5"/>
      <c r="H1027" s="8"/>
      <c r="I1027" s="8"/>
      <c r="J1027" s="3"/>
      <c r="K1027" s="3"/>
      <c r="L1027" s="3"/>
      <c r="N1027" s="141"/>
      <c r="O1027" s="70"/>
      <c r="P1027" s="70"/>
      <c r="Q1027" s="70"/>
      <c r="R1027" s="70"/>
      <c r="S1027" s="70"/>
      <c r="T1027" s="70"/>
      <c r="U1027" s="70"/>
      <c r="V1027" s="71"/>
      <c r="W1027" s="71"/>
      <c r="X1027" s="71"/>
      <c r="Y1027" s="72"/>
      <c r="Z1027" s="111"/>
      <c r="AA1027" s="120"/>
      <c r="AB1027" s="120"/>
      <c r="AC1027" s="120"/>
      <c r="AD1027" s="120"/>
      <c r="AE1027" s="120"/>
      <c r="AF1027" s="120"/>
      <c r="AG1027" s="120"/>
      <c r="AH1027" s="120"/>
      <c r="AI1027" s="120"/>
      <c r="AJ1027" s="120"/>
      <c r="AK1027" s="120"/>
      <c r="AL1027" s="120"/>
      <c r="AM1027" s="120"/>
      <c r="AN1027" s="120"/>
      <c r="AO1027" s="120"/>
      <c r="AP1027" s="120"/>
      <c r="AQ1027" s="120"/>
      <c r="AR1027" s="120"/>
      <c r="AS1027" s="120"/>
      <c r="BD1027" s="10">
        <v>17276</v>
      </c>
      <c r="BE1027" s="10">
        <v>142000</v>
      </c>
      <c r="BF1027" s="10">
        <v>150000</v>
      </c>
      <c r="BG1027" s="268">
        <v>145000</v>
      </c>
      <c r="BH1027" s="10">
        <v>150000</v>
      </c>
      <c r="BI1027" s="76">
        <f t="shared" si="1134"/>
        <v>146750</v>
      </c>
      <c r="BJ1027" s="24">
        <f t="shared" si="1135"/>
        <v>129474</v>
      </c>
      <c r="BK1027" s="25">
        <f t="shared" si="1136"/>
        <v>7.4944431581384583</v>
      </c>
      <c r="BL1027" s="309">
        <f t="shared" si="1137"/>
        <v>146750</v>
      </c>
      <c r="BM1027" s="293"/>
      <c r="BN1027" s="293"/>
      <c r="BO1027" s="293"/>
      <c r="BP1027" s="293"/>
      <c r="BQ1027" s="293"/>
      <c r="BR1027" s="293"/>
      <c r="BS1027" s="293"/>
      <c r="BT1027" s="293"/>
    </row>
    <row r="1028" spans="2:72">
      <c r="B1028" s="358" t="s">
        <v>3220</v>
      </c>
      <c r="C1028" s="70" t="s">
        <v>2022</v>
      </c>
      <c r="D1028" s="264" t="s">
        <v>2003</v>
      </c>
      <c r="E1028" s="262" t="s">
        <v>1579</v>
      </c>
      <c r="F1028" s="8"/>
      <c r="G1028" s="5"/>
      <c r="H1028" s="8"/>
      <c r="I1028" s="8"/>
      <c r="J1028" s="3"/>
      <c r="K1028" s="3"/>
      <c r="L1028" s="3"/>
      <c r="N1028" s="141"/>
      <c r="O1028" s="70"/>
      <c r="P1028" s="70"/>
      <c r="Q1028" s="70"/>
      <c r="R1028" s="70"/>
      <c r="S1028" s="70"/>
      <c r="T1028" s="70"/>
      <c r="U1028" s="70"/>
      <c r="V1028" s="71"/>
      <c r="W1028" s="71"/>
      <c r="X1028" s="71"/>
      <c r="Y1028" s="72"/>
      <c r="Z1028" s="111"/>
      <c r="AA1028" s="120"/>
      <c r="AB1028" s="120"/>
      <c r="AC1028" s="120"/>
      <c r="AD1028" s="120"/>
      <c r="AE1028" s="120"/>
      <c r="AF1028" s="120"/>
      <c r="AG1028" s="120"/>
      <c r="AH1028" s="120"/>
      <c r="AI1028" s="120"/>
      <c r="AJ1028" s="120"/>
      <c r="AK1028" s="120"/>
      <c r="AL1028" s="120"/>
      <c r="AM1028" s="120"/>
      <c r="AN1028" s="120"/>
      <c r="AO1028" s="120"/>
      <c r="AP1028" s="120"/>
      <c r="AQ1028" s="120"/>
      <c r="AR1028" s="120"/>
      <c r="AS1028" s="120"/>
      <c r="BD1028" s="10">
        <v>24092</v>
      </c>
      <c r="BE1028" s="10">
        <v>160000</v>
      </c>
      <c r="BF1028" s="10">
        <v>165000</v>
      </c>
      <c r="BG1028" s="268">
        <v>162000</v>
      </c>
      <c r="BH1028" s="10">
        <v>175000</v>
      </c>
      <c r="BI1028" s="76">
        <f t="shared" si="1134"/>
        <v>165500</v>
      </c>
      <c r="BJ1028" s="24">
        <f t="shared" si="1135"/>
        <v>141408</v>
      </c>
      <c r="BK1028" s="25">
        <f t="shared" si="1136"/>
        <v>5.8695002490453261</v>
      </c>
      <c r="BL1028" s="309">
        <f t="shared" si="1137"/>
        <v>165500</v>
      </c>
      <c r="BM1028" s="293"/>
      <c r="BN1028" s="293"/>
      <c r="BO1028" s="293"/>
      <c r="BP1028" s="293"/>
      <c r="BQ1028" s="293"/>
      <c r="BR1028" s="293"/>
      <c r="BS1028" s="293"/>
      <c r="BT1028" s="293"/>
    </row>
    <row r="1029" spans="2:72">
      <c r="B1029" s="358" t="s">
        <v>3221</v>
      </c>
      <c r="C1029" s="70" t="s">
        <v>2023</v>
      </c>
      <c r="D1029" s="264" t="s">
        <v>2004</v>
      </c>
      <c r="E1029" s="262" t="s">
        <v>1579</v>
      </c>
      <c r="F1029" s="8"/>
      <c r="G1029" s="5"/>
      <c r="H1029" s="8"/>
      <c r="I1029" s="8"/>
      <c r="J1029" s="3"/>
      <c r="K1029" s="3"/>
      <c r="L1029" s="3"/>
      <c r="N1029" s="141"/>
      <c r="O1029" s="70"/>
      <c r="P1029" s="70"/>
      <c r="Q1029" s="70"/>
      <c r="R1029" s="70"/>
      <c r="S1029" s="70"/>
      <c r="T1029" s="70"/>
      <c r="U1029" s="70"/>
      <c r="V1029" s="71"/>
      <c r="W1029" s="71"/>
      <c r="X1029" s="71"/>
      <c r="Y1029" s="72"/>
      <c r="Z1029" s="111"/>
      <c r="AA1029" s="120"/>
      <c r="AB1029" s="120"/>
      <c r="AC1029" s="120"/>
      <c r="AD1029" s="120"/>
      <c r="AE1029" s="120"/>
      <c r="AF1029" s="120"/>
      <c r="AG1029" s="120"/>
      <c r="AH1029" s="120"/>
      <c r="AI1029" s="120"/>
      <c r="AJ1029" s="120"/>
      <c r="AK1029" s="120"/>
      <c r="AL1029" s="120"/>
      <c r="AM1029" s="120"/>
      <c r="AN1029" s="120"/>
      <c r="AO1029" s="120"/>
      <c r="AP1029" s="120"/>
      <c r="AQ1029" s="120"/>
      <c r="AR1029" s="120"/>
      <c r="AS1029" s="120"/>
      <c r="BD1029" s="10">
        <v>6474</v>
      </c>
      <c r="BE1029" s="10">
        <v>55000</v>
      </c>
      <c r="BF1029" s="10">
        <v>60000</v>
      </c>
      <c r="BG1029" s="268">
        <v>60000</v>
      </c>
      <c r="BH1029" s="10">
        <v>60000</v>
      </c>
      <c r="BI1029" s="76">
        <f t="shared" si="1134"/>
        <v>58750</v>
      </c>
      <c r="BJ1029" s="24">
        <f t="shared" si="1135"/>
        <v>52276</v>
      </c>
      <c r="BK1029" s="25">
        <f t="shared" si="1136"/>
        <v>8.0747605807846767</v>
      </c>
      <c r="BL1029" s="309">
        <f t="shared" si="1137"/>
        <v>58750</v>
      </c>
      <c r="BM1029" s="293"/>
      <c r="BN1029" s="293"/>
      <c r="BO1029" s="293"/>
      <c r="BP1029" s="293"/>
      <c r="BQ1029" s="293"/>
      <c r="BR1029" s="293"/>
      <c r="BS1029" s="293"/>
      <c r="BT1029" s="293"/>
    </row>
    <row r="1030" spans="2:72" ht="30">
      <c r="B1030" s="358" t="s">
        <v>3222</v>
      </c>
      <c r="C1030" s="70" t="s">
        <v>2024</v>
      </c>
      <c r="D1030" s="264" t="s">
        <v>2005</v>
      </c>
      <c r="E1030" s="262" t="s">
        <v>1430</v>
      </c>
      <c r="F1030" s="8"/>
      <c r="G1030" s="5"/>
      <c r="H1030" s="8"/>
      <c r="I1030" s="8"/>
      <c r="J1030" s="3"/>
      <c r="K1030" s="3"/>
      <c r="L1030" s="3"/>
      <c r="N1030" s="141"/>
      <c r="O1030" s="70"/>
      <c r="P1030" s="70"/>
      <c r="Q1030" s="70"/>
      <c r="R1030" s="70"/>
      <c r="S1030" s="70"/>
      <c r="T1030" s="70"/>
      <c r="U1030" s="70"/>
      <c r="V1030" s="71"/>
      <c r="W1030" s="71"/>
      <c r="X1030" s="71"/>
      <c r="Y1030" s="72"/>
      <c r="Z1030" s="111"/>
      <c r="AA1030" s="120"/>
      <c r="AB1030" s="120"/>
      <c r="AC1030" s="120"/>
      <c r="AD1030" s="120"/>
      <c r="AE1030" s="120"/>
      <c r="AF1030" s="120"/>
      <c r="AG1030" s="120"/>
      <c r="AH1030" s="120"/>
      <c r="AI1030" s="120"/>
      <c r="AJ1030" s="120"/>
      <c r="AK1030" s="120"/>
      <c r="AL1030" s="120"/>
      <c r="AM1030" s="120"/>
      <c r="AN1030" s="120"/>
      <c r="AO1030" s="120"/>
      <c r="AP1030" s="120"/>
      <c r="AQ1030" s="120"/>
      <c r="AR1030" s="120"/>
      <c r="AS1030" s="120"/>
      <c r="BD1030" s="10">
        <v>466852</v>
      </c>
      <c r="BE1030" s="10">
        <v>688000</v>
      </c>
      <c r="BF1030" s="10">
        <v>680000</v>
      </c>
      <c r="BG1030" s="268">
        <v>700000</v>
      </c>
      <c r="BH1030" s="10">
        <v>700000</v>
      </c>
      <c r="BI1030" s="76">
        <f t="shared" si="1134"/>
        <v>692000</v>
      </c>
      <c r="BJ1030" s="24">
        <f t="shared" si="1135"/>
        <v>225148</v>
      </c>
      <c r="BK1030" s="25">
        <f t="shared" si="1136"/>
        <v>0.48226847052170707</v>
      </c>
      <c r="BL1030" s="309">
        <f t="shared" si="1137"/>
        <v>692000</v>
      </c>
      <c r="BM1030" s="293"/>
      <c r="BN1030" s="293"/>
      <c r="BO1030" s="293"/>
      <c r="BP1030" s="293"/>
      <c r="BQ1030" s="293"/>
      <c r="BR1030" s="293"/>
      <c r="BS1030" s="293"/>
      <c r="BT1030" s="293"/>
    </row>
    <row r="1031" spans="2:72" ht="15" customHeight="1">
      <c r="B1031" s="358" t="s">
        <v>3223</v>
      </c>
      <c r="C1031" s="297">
        <v>18</v>
      </c>
      <c r="D1031" s="258" t="s">
        <v>2025</v>
      </c>
      <c r="E1031" s="137"/>
      <c r="F1031" s="8"/>
      <c r="G1031" s="5"/>
      <c r="H1031" s="8"/>
      <c r="I1031" s="8"/>
      <c r="J1031" s="3"/>
      <c r="K1031" s="3"/>
      <c r="L1031" s="3"/>
      <c r="N1031" s="137"/>
      <c r="O1031" s="137"/>
      <c r="P1031" s="137"/>
      <c r="Q1031" s="137"/>
      <c r="R1031" s="137"/>
      <c r="S1031" s="137"/>
      <c r="T1031" s="137"/>
      <c r="U1031" s="137"/>
      <c r="V1031" s="137"/>
      <c r="W1031" s="137"/>
      <c r="X1031" s="137"/>
      <c r="Y1031" s="137"/>
      <c r="Z1031" s="137"/>
      <c r="AA1031" s="137"/>
      <c r="AB1031" s="137"/>
      <c r="AC1031" s="137"/>
      <c r="AD1031" s="137"/>
      <c r="AE1031" s="137"/>
      <c r="AF1031" s="137"/>
      <c r="AG1031" s="137"/>
      <c r="AH1031" s="137"/>
      <c r="AI1031" s="137"/>
      <c r="AJ1031" s="137"/>
      <c r="AK1031" s="137"/>
      <c r="AL1031" s="137"/>
      <c r="AM1031" s="137"/>
      <c r="AN1031" s="137"/>
      <c r="AO1031" s="137"/>
      <c r="AP1031" s="137"/>
      <c r="AQ1031" s="137"/>
      <c r="AR1031" s="137"/>
      <c r="AS1031" s="137"/>
      <c r="BD1031" s="173"/>
      <c r="BE1031" s="173"/>
      <c r="BF1031" s="173"/>
      <c r="BG1031" s="274"/>
      <c r="BH1031" s="266"/>
      <c r="BI1031" s="76"/>
      <c r="BJ1031" s="24"/>
      <c r="BK1031" s="25"/>
      <c r="BL1031" s="309"/>
      <c r="BM1031" s="293"/>
      <c r="BN1031" s="293"/>
      <c r="BO1031" s="293"/>
      <c r="BP1031" s="293"/>
      <c r="BQ1031" s="293"/>
      <c r="BR1031" s="293"/>
      <c r="BS1031" s="293"/>
      <c r="BT1031" s="293"/>
    </row>
    <row r="1032" spans="2:72" ht="15" customHeight="1">
      <c r="B1032" s="358" t="s">
        <v>3224</v>
      </c>
      <c r="C1032" s="298" t="s">
        <v>2029</v>
      </c>
      <c r="D1032" s="264" t="s">
        <v>1794</v>
      </c>
      <c r="E1032" s="262" t="s">
        <v>999</v>
      </c>
      <c r="F1032" s="8"/>
      <c r="G1032" s="5"/>
      <c r="H1032" s="8"/>
      <c r="I1032" s="8"/>
      <c r="J1032" s="3"/>
      <c r="K1032" s="3"/>
      <c r="L1032" s="3"/>
      <c r="N1032" s="141"/>
      <c r="O1032" s="70"/>
      <c r="P1032" s="70"/>
      <c r="Q1032" s="70"/>
      <c r="R1032" s="70"/>
      <c r="S1032" s="70"/>
      <c r="T1032" s="70"/>
      <c r="U1032" s="70"/>
      <c r="V1032" s="71"/>
      <c r="W1032" s="71"/>
      <c r="X1032" s="71"/>
      <c r="Y1032" s="72"/>
      <c r="Z1032" s="111"/>
      <c r="AA1032" s="120"/>
      <c r="AB1032" s="120"/>
      <c r="AC1032" s="120"/>
      <c r="AD1032" s="120"/>
      <c r="AE1032" s="120"/>
      <c r="AF1032" s="120"/>
      <c r="AG1032" s="120"/>
      <c r="AH1032" s="120"/>
      <c r="AI1032" s="120"/>
      <c r="AJ1032" s="120"/>
      <c r="AK1032" s="120"/>
      <c r="AL1032" s="120"/>
      <c r="AM1032" s="120"/>
      <c r="AN1032" s="120"/>
      <c r="AO1032" s="120"/>
      <c r="AP1032" s="120"/>
      <c r="AQ1032" s="120"/>
      <c r="AR1032" s="120"/>
      <c r="AS1032" s="120"/>
      <c r="BD1032" s="10">
        <v>52977</v>
      </c>
      <c r="BE1032" s="10">
        <v>56000</v>
      </c>
      <c r="BF1032" s="10">
        <v>60000</v>
      </c>
      <c r="BG1032" s="268">
        <v>60000</v>
      </c>
      <c r="BH1032" s="10">
        <v>80000</v>
      </c>
      <c r="BI1032" s="76">
        <f t="shared" ref="BI1032:BI1035" si="1138">AVERAGE(BE1032,BF1032,BG1032,BH1032)</f>
        <v>64000</v>
      </c>
      <c r="BJ1032" s="24">
        <f t="shared" ref="BJ1032:BJ1035" si="1139">BI1032-BD1032</f>
        <v>11023</v>
      </c>
      <c r="BK1032" s="25">
        <f t="shared" ref="BK1032:BK1035" si="1140">+BJ1032/BD1032</f>
        <v>0.20807142722313457</v>
      </c>
      <c r="BL1032" s="309">
        <f t="shared" ref="BL1032:BL1035" si="1141">BI1032</f>
        <v>64000</v>
      </c>
      <c r="BM1032" s="293"/>
      <c r="BN1032" s="293"/>
      <c r="BO1032" s="293"/>
      <c r="BP1032" s="293"/>
      <c r="BQ1032" s="293"/>
      <c r="BR1032" s="293"/>
      <c r="BS1032" s="293"/>
      <c r="BT1032" s="293"/>
    </row>
    <row r="1033" spans="2:72" ht="15" customHeight="1">
      <c r="B1033" s="358" t="s">
        <v>3225</v>
      </c>
      <c r="C1033" s="298" t="s">
        <v>2030</v>
      </c>
      <c r="D1033" s="264" t="s">
        <v>2026</v>
      </c>
      <c r="E1033" s="263" t="s">
        <v>1399</v>
      </c>
      <c r="F1033" s="8"/>
      <c r="G1033" s="5"/>
      <c r="H1033" s="8"/>
      <c r="I1033" s="8"/>
      <c r="J1033" s="3"/>
      <c r="K1033" s="3"/>
      <c r="L1033" s="3"/>
      <c r="N1033" s="141"/>
      <c r="O1033" s="70"/>
      <c r="P1033" s="70"/>
      <c r="Q1033" s="70"/>
      <c r="R1033" s="70"/>
      <c r="S1033" s="70"/>
      <c r="T1033" s="70"/>
      <c r="U1033" s="70"/>
      <c r="V1033" s="71"/>
      <c r="W1033" s="71"/>
      <c r="X1033" s="71"/>
      <c r="Y1033" s="72"/>
      <c r="Z1033" s="111"/>
      <c r="AA1033" s="120"/>
      <c r="AB1033" s="120"/>
      <c r="AC1033" s="120"/>
      <c r="AD1033" s="120"/>
      <c r="AE1033" s="120"/>
      <c r="AF1033" s="120"/>
      <c r="AG1033" s="120"/>
      <c r="AH1033" s="120"/>
      <c r="AI1033" s="120"/>
      <c r="AJ1033" s="120"/>
      <c r="AK1033" s="120"/>
      <c r="AL1033" s="120"/>
      <c r="AM1033" s="120"/>
      <c r="AN1033" s="120"/>
      <c r="AO1033" s="120"/>
      <c r="AP1033" s="120"/>
      <c r="AQ1033" s="120"/>
      <c r="AR1033" s="120"/>
      <c r="AS1033" s="120"/>
      <c r="BD1033" s="10">
        <v>10005</v>
      </c>
      <c r="BE1033" s="10">
        <v>35500</v>
      </c>
      <c r="BF1033" s="10">
        <v>39500</v>
      </c>
      <c r="BG1033" s="268">
        <v>39000</v>
      </c>
      <c r="BH1033" s="10">
        <v>45000</v>
      </c>
      <c r="BI1033" s="76">
        <f t="shared" si="1138"/>
        <v>39750</v>
      </c>
      <c r="BJ1033" s="24">
        <f t="shared" si="1139"/>
        <v>29745</v>
      </c>
      <c r="BK1033" s="25">
        <f t="shared" si="1140"/>
        <v>2.9730134932533732</v>
      </c>
      <c r="BL1033" s="309">
        <f t="shared" si="1141"/>
        <v>39750</v>
      </c>
      <c r="BM1033" s="293"/>
      <c r="BN1033" s="293"/>
      <c r="BO1033" s="293"/>
      <c r="BP1033" s="293"/>
      <c r="BQ1033" s="293"/>
      <c r="BR1033" s="293"/>
      <c r="BS1033" s="293"/>
      <c r="BT1033" s="293"/>
    </row>
    <row r="1034" spans="2:72" ht="15" customHeight="1">
      <c r="B1034" s="358" t="s">
        <v>3226</v>
      </c>
      <c r="C1034" s="298" t="s">
        <v>2031</v>
      </c>
      <c r="D1034" s="264" t="s">
        <v>2027</v>
      </c>
      <c r="E1034" s="262" t="s">
        <v>827</v>
      </c>
      <c r="F1034" s="8"/>
      <c r="G1034" s="5"/>
      <c r="H1034" s="8"/>
      <c r="I1034" s="8"/>
      <c r="J1034" s="3"/>
      <c r="K1034" s="3"/>
      <c r="L1034" s="3"/>
      <c r="N1034" s="141"/>
      <c r="O1034" s="70"/>
      <c r="P1034" s="70"/>
      <c r="Q1034" s="70"/>
      <c r="R1034" s="70"/>
      <c r="S1034" s="70"/>
      <c r="T1034" s="70"/>
      <c r="U1034" s="70"/>
      <c r="V1034" s="71"/>
      <c r="W1034" s="71"/>
      <c r="X1034" s="71"/>
      <c r="Y1034" s="72"/>
      <c r="Z1034" s="111"/>
      <c r="AA1034" s="120"/>
      <c r="AB1034" s="120"/>
      <c r="AC1034" s="120"/>
      <c r="AD1034" s="120"/>
      <c r="AE1034" s="120"/>
      <c r="AF1034" s="120"/>
      <c r="AG1034" s="120"/>
      <c r="AH1034" s="120"/>
      <c r="AI1034" s="120"/>
      <c r="AJ1034" s="120"/>
      <c r="AK1034" s="120"/>
      <c r="AL1034" s="120"/>
      <c r="AM1034" s="120"/>
      <c r="AN1034" s="120"/>
      <c r="AO1034" s="120"/>
      <c r="AP1034" s="120"/>
      <c r="AQ1034" s="120"/>
      <c r="AR1034" s="120"/>
      <c r="AS1034" s="120"/>
      <c r="BD1034" s="10">
        <v>4680</v>
      </c>
      <c r="BE1034" s="10">
        <v>35500</v>
      </c>
      <c r="BF1034" s="10">
        <v>39500</v>
      </c>
      <c r="BG1034" s="268">
        <v>39000</v>
      </c>
      <c r="BH1034" s="10">
        <v>45000</v>
      </c>
      <c r="BI1034" s="76">
        <f t="shared" si="1138"/>
        <v>39750</v>
      </c>
      <c r="BJ1034" s="24">
        <f t="shared" si="1139"/>
        <v>35070</v>
      </c>
      <c r="BK1034" s="25">
        <f t="shared" si="1140"/>
        <v>7.4935897435897436</v>
      </c>
      <c r="BL1034" s="309">
        <f t="shared" si="1141"/>
        <v>39750</v>
      </c>
      <c r="BM1034" s="293"/>
      <c r="BN1034" s="293"/>
      <c r="BO1034" s="293"/>
      <c r="BP1034" s="293"/>
      <c r="BQ1034" s="293"/>
      <c r="BR1034" s="293"/>
      <c r="BS1034" s="293"/>
      <c r="BT1034" s="293"/>
    </row>
    <row r="1035" spans="2:72" ht="15" customHeight="1">
      <c r="B1035" s="358" t="s">
        <v>3227</v>
      </c>
      <c r="C1035" s="298" t="s">
        <v>2032</v>
      </c>
      <c r="D1035" s="264" t="s">
        <v>2028</v>
      </c>
      <c r="E1035" s="262" t="s">
        <v>1466</v>
      </c>
      <c r="F1035" s="8"/>
      <c r="G1035" s="5"/>
      <c r="H1035" s="8"/>
      <c r="I1035" s="8"/>
      <c r="J1035" s="3"/>
      <c r="K1035" s="3"/>
      <c r="L1035" s="3"/>
      <c r="N1035" s="141"/>
      <c r="O1035" s="70"/>
      <c r="P1035" s="70"/>
      <c r="Q1035" s="70"/>
      <c r="R1035" s="70"/>
      <c r="S1035" s="70"/>
      <c r="T1035" s="70"/>
      <c r="U1035" s="70"/>
      <c r="V1035" s="71"/>
      <c r="W1035" s="71"/>
      <c r="X1035" s="71"/>
      <c r="Y1035" s="72"/>
      <c r="Z1035" s="111"/>
      <c r="AA1035" s="120"/>
      <c r="AB1035" s="120"/>
      <c r="AC1035" s="120"/>
      <c r="AD1035" s="120"/>
      <c r="AE1035" s="120"/>
      <c r="AF1035" s="120"/>
      <c r="AG1035" s="120"/>
      <c r="AH1035" s="120"/>
      <c r="AI1035" s="120"/>
      <c r="AJ1035" s="120"/>
      <c r="AK1035" s="120"/>
      <c r="AL1035" s="120"/>
      <c r="AM1035" s="120"/>
      <c r="AN1035" s="120"/>
      <c r="AO1035" s="120"/>
      <c r="AP1035" s="120"/>
      <c r="AQ1035" s="120"/>
      <c r="AR1035" s="120"/>
      <c r="AS1035" s="120"/>
      <c r="BD1035" s="10">
        <v>18146</v>
      </c>
      <c r="BE1035" s="10">
        <v>48900</v>
      </c>
      <c r="BF1035" s="10">
        <v>55000</v>
      </c>
      <c r="BG1035" s="268">
        <v>52000</v>
      </c>
      <c r="BH1035" s="10">
        <v>50000</v>
      </c>
      <c r="BI1035" s="76">
        <f t="shared" si="1138"/>
        <v>51475</v>
      </c>
      <c r="BJ1035" s="24">
        <f t="shared" si="1139"/>
        <v>33329</v>
      </c>
      <c r="BK1035" s="25">
        <f t="shared" si="1140"/>
        <v>1.8367133252507439</v>
      </c>
      <c r="BL1035" s="309">
        <f t="shared" si="1141"/>
        <v>51475</v>
      </c>
      <c r="BM1035" s="293"/>
      <c r="BN1035" s="293"/>
      <c r="BO1035" s="293"/>
      <c r="BP1035" s="293"/>
      <c r="BQ1035" s="293"/>
      <c r="BR1035" s="293"/>
      <c r="BS1035" s="293"/>
      <c r="BT1035" s="293"/>
    </row>
    <row r="1036" spans="2:72" ht="15" customHeight="1">
      <c r="B1036" s="358" t="s">
        <v>3228</v>
      </c>
      <c r="C1036" s="297">
        <v>19</v>
      </c>
      <c r="D1036" s="258" t="s">
        <v>2033</v>
      </c>
      <c r="E1036" s="137"/>
      <c r="F1036" s="8"/>
      <c r="G1036" s="5"/>
      <c r="H1036" s="8"/>
      <c r="I1036" s="8"/>
      <c r="J1036" s="3"/>
      <c r="K1036" s="3"/>
      <c r="L1036" s="3"/>
      <c r="N1036" s="137"/>
      <c r="O1036" s="137"/>
      <c r="P1036" s="137"/>
      <c r="Q1036" s="137"/>
      <c r="R1036" s="137"/>
      <c r="S1036" s="137"/>
      <c r="T1036" s="137"/>
      <c r="U1036" s="137"/>
      <c r="V1036" s="137"/>
      <c r="W1036" s="137"/>
      <c r="X1036" s="137"/>
      <c r="Y1036" s="137"/>
      <c r="Z1036" s="137"/>
      <c r="AA1036" s="137"/>
      <c r="AB1036" s="137"/>
      <c r="AC1036" s="137"/>
      <c r="AD1036" s="137"/>
      <c r="AE1036" s="137"/>
      <c r="AF1036" s="137"/>
      <c r="AG1036" s="137"/>
      <c r="AH1036" s="137"/>
      <c r="AI1036" s="137"/>
      <c r="AJ1036" s="137"/>
      <c r="AK1036" s="137"/>
      <c r="AL1036" s="137"/>
      <c r="AM1036" s="137"/>
      <c r="AN1036" s="137"/>
      <c r="AO1036" s="137"/>
      <c r="AP1036" s="137"/>
      <c r="AQ1036" s="137"/>
      <c r="AR1036" s="137"/>
      <c r="AS1036" s="137"/>
      <c r="BD1036" s="173"/>
      <c r="BE1036" s="173"/>
      <c r="BF1036" s="173"/>
      <c r="BG1036" s="274"/>
      <c r="BH1036" s="266"/>
      <c r="BI1036" s="76"/>
      <c r="BJ1036" s="24"/>
      <c r="BK1036" s="25"/>
      <c r="BL1036" s="309"/>
      <c r="BM1036" s="293"/>
      <c r="BN1036" s="293"/>
      <c r="BO1036" s="293"/>
      <c r="BP1036" s="293"/>
      <c r="BQ1036" s="293"/>
      <c r="BR1036" s="293"/>
      <c r="BS1036" s="293"/>
      <c r="BT1036" s="293"/>
    </row>
    <row r="1037" spans="2:72" ht="120">
      <c r="B1037" s="358" t="s">
        <v>3229</v>
      </c>
      <c r="C1037" s="298" t="s">
        <v>2057</v>
      </c>
      <c r="D1037" s="264" t="s">
        <v>2034</v>
      </c>
      <c r="E1037" s="262" t="s">
        <v>905</v>
      </c>
      <c r="F1037" s="8"/>
      <c r="G1037" s="5"/>
      <c r="H1037" s="8"/>
      <c r="I1037" s="8"/>
      <c r="J1037" s="3"/>
      <c r="K1037" s="3"/>
      <c r="L1037" s="3"/>
      <c r="N1037" s="141"/>
      <c r="O1037" s="70"/>
      <c r="P1037" s="70"/>
      <c r="Q1037" s="70"/>
      <c r="R1037" s="70"/>
      <c r="S1037" s="70"/>
      <c r="T1037" s="70"/>
      <c r="U1037" s="70"/>
      <c r="V1037" s="71"/>
      <c r="W1037" s="71"/>
      <c r="X1037" s="71"/>
      <c r="Y1037" s="72"/>
      <c r="Z1037" s="111"/>
      <c r="AA1037" s="120"/>
      <c r="AB1037" s="120"/>
      <c r="AC1037" s="120"/>
      <c r="AD1037" s="120"/>
      <c r="AE1037" s="120"/>
      <c r="AF1037" s="120"/>
      <c r="AG1037" s="120"/>
      <c r="AH1037" s="120"/>
      <c r="AI1037" s="120"/>
      <c r="AJ1037" s="120"/>
      <c r="AK1037" s="120"/>
      <c r="AL1037" s="120"/>
      <c r="AM1037" s="120"/>
      <c r="AN1037" s="120"/>
      <c r="AO1037" s="120"/>
      <c r="AP1037" s="120"/>
      <c r="AQ1037" s="120"/>
      <c r="AR1037" s="120"/>
      <c r="AS1037" s="120"/>
      <c r="BD1037" s="10">
        <v>2302042</v>
      </c>
      <c r="BE1037" s="10"/>
      <c r="BF1037" s="10"/>
      <c r="BG1037" s="10"/>
      <c r="BH1037" s="10" t="s">
        <v>1421</v>
      </c>
      <c r="BI1037" s="76"/>
      <c r="BJ1037" s="24"/>
      <c r="BK1037" s="25"/>
      <c r="BL1037" s="310" t="s">
        <v>807</v>
      </c>
      <c r="BM1037" s="293"/>
      <c r="BN1037" s="293"/>
      <c r="BO1037" s="293"/>
      <c r="BP1037" s="293"/>
      <c r="BQ1037" s="293"/>
      <c r="BR1037" s="293"/>
      <c r="BS1037" s="293"/>
      <c r="BT1037" s="293"/>
    </row>
    <row r="1038" spans="2:72" ht="30">
      <c r="B1038" s="358" t="s">
        <v>3230</v>
      </c>
      <c r="C1038" s="298" t="s">
        <v>2058</v>
      </c>
      <c r="D1038" s="264" t="s">
        <v>2035</v>
      </c>
      <c r="E1038" s="262" t="s">
        <v>999</v>
      </c>
      <c r="F1038" s="8"/>
      <c r="G1038" s="5"/>
      <c r="H1038" s="8"/>
      <c r="I1038" s="8"/>
      <c r="J1038" s="3"/>
      <c r="K1038" s="3"/>
      <c r="L1038" s="3"/>
      <c r="N1038" s="141"/>
      <c r="O1038" s="70"/>
      <c r="P1038" s="70"/>
      <c r="Q1038" s="70"/>
      <c r="R1038" s="70"/>
      <c r="S1038" s="70"/>
      <c r="T1038" s="70"/>
      <c r="U1038" s="70"/>
      <c r="V1038" s="71"/>
      <c r="W1038" s="71"/>
      <c r="X1038" s="71"/>
      <c r="Y1038" s="72"/>
      <c r="Z1038" s="111"/>
      <c r="AA1038" s="120"/>
      <c r="AB1038" s="120"/>
      <c r="AC1038" s="120"/>
      <c r="AD1038" s="120"/>
      <c r="AE1038" s="120"/>
      <c r="AF1038" s="120"/>
      <c r="AG1038" s="120"/>
      <c r="AH1038" s="120"/>
      <c r="AI1038" s="120"/>
      <c r="AJ1038" s="120"/>
      <c r="AK1038" s="120"/>
      <c r="AL1038" s="120"/>
      <c r="AM1038" s="120"/>
      <c r="AN1038" s="120"/>
      <c r="AO1038" s="120"/>
      <c r="AP1038" s="120"/>
      <c r="AQ1038" s="120"/>
      <c r="AR1038" s="120"/>
      <c r="AS1038" s="120"/>
      <c r="BD1038" s="10">
        <v>1253899</v>
      </c>
      <c r="BE1038" s="10"/>
      <c r="BF1038" s="10"/>
      <c r="BG1038" s="10"/>
      <c r="BH1038" s="10" t="s">
        <v>1421</v>
      </c>
      <c r="BI1038" s="76"/>
      <c r="BJ1038" s="24"/>
      <c r="BK1038" s="25"/>
      <c r="BL1038" s="310" t="s">
        <v>807</v>
      </c>
      <c r="BM1038" s="293"/>
      <c r="BN1038" s="293"/>
      <c r="BO1038" s="293"/>
      <c r="BP1038" s="293"/>
      <c r="BQ1038" s="293"/>
      <c r="BR1038" s="293"/>
      <c r="BS1038" s="293"/>
      <c r="BT1038" s="293"/>
    </row>
    <row r="1039" spans="2:72" ht="60">
      <c r="B1039" s="358" t="s">
        <v>3231</v>
      </c>
      <c r="C1039" s="298" t="s">
        <v>2059</v>
      </c>
      <c r="D1039" s="264" t="s">
        <v>2036</v>
      </c>
      <c r="E1039" s="262" t="s">
        <v>999</v>
      </c>
      <c r="F1039" s="8"/>
      <c r="G1039" s="5"/>
      <c r="H1039" s="8"/>
      <c r="I1039" s="8"/>
      <c r="J1039" s="3"/>
      <c r="K1039" s="3"/>
      <c r="L1039" s="3"/>
      <c r="N1039" s="141"/>
      <c r="O1039" s="70"/>
      <c r="P1039" s="70"/>
      <c r="Q1039" s="70"/>
      <c r="R1039" s="70"/>
      <c r="S1039" s="70"/>
      <c r="T1039" s="70"/>
      <c r="U1039" s="70"/>
      <c r="V1039" s="71"/>
      <c r="W1039" s="71"/>
      <c r="X1039" s="71"/>
      <c r="Y1039" s="72"/>
      <c r="Z1039" s="111"/>
      <c r="AA1039" s="120"/>
      <c r="AB1039" s="120"/>
      <c r="AC1039" s="120"/>
      <c r="AD1039" s="120"/>
      <c r="AE1039" s="120"/>
      <c r="AF1039" s="120"/>
      <c r="AG1039" s="120"/>
      <c r="AH1039" s="120"/>
      <c r="AI1039" s="120"/>
      <c r="AJ1039" s="120"/>
      <c r="AK1039" s="120"/>
      <c r="AL1039" s="120"/>
      <c r="AM1039" s="120"/>
      <c r="AN1039" s="120"/>
      <c r="AO1039" s="120"/>
      <c r="AP1039" s="120"/>
      <c r="AQ1039" s="120"/>
      <c r="AR1039" s="120"/>
      <c r="AS1039" s="120"/>
      <c r="BD1039" s="10">
        <v>2103992</v>
      </c>
      <c r="BE1039" s="10"/>
      <c r="BF1039" s="10"/>
      <c r="BG1039" s="10"/>
      <c r="BH1039" s="10">
        <v>4000000</v>
      </c>
      <c r="BI1039" s="76">
        <f t="shared" ref="BI1039:BI1053" si="1142">AVERAGE(BE1039,BF1039,BG1039,BH1039)</f>
        <v>4000000</v>
      </c>
      <c r="BJ1039" s="24">
        <f t="shared" ref="BJ1039:BJ1053" si="1143">BI1039-BD1039</f>
        <v>1896008</v>
      </c>
      <c r="BK1039" s="25">
        <f t="shared" ref="BK1039:BK1053" si="1144">+BJ1039/BD1039</f>
        <v>0.90114791310993581</v>
      </c>
      <c r="BL1039" s="309">
        <f t="shared" ref="BL1039:BL1053" si="1145">BI1039</f>
        <v>4000000</v>
      </c>
      <c r="BM1039" s="293"/>
      <c r="BN1039" s="293"/>
      <c r="BO1039" s="293"/>
      <c r="BP1039" s="293"/>
      <c r="BQ1039" s="293"/>
      <c r="BR1039" s="293"/>
      <c r="BS1039" s="293"/>
      <c r="BT1039" s="293"/>
    </row>
    <row r="1040" spans="2:72">
      <c r="B1040" s="358" t="s">
        <v>3232</v>
      </c>
      <c r="C1040" s="298" t="s">
        <v>2060</v>
      </c>
      <c r="D1040" s="264" t="s">
        <v>2037</v>
      </c>
      <c r="E1040" s="262" t="s">
        <v>1430</v>
      </c>
      <c r="F1040" s="8"/>
      <c r="G1040" s="5"/>
      <c r="H1040" s="8"/>
      <c r="I1040" s="8"/>
      <c r="J1040" s="3"/>
      <c r="K1040" s="3"/>
      <c r="L1040" s="3"/>
      <c r="N1040" s="141"/>
      <c r="O1040" s="70"/>
      <c r="P1040" s="70"/>
      <c r="Q1040" s="70"/>
      <c r="R1040" s="70"/>
      <c r="S1040" s="70"/>
      <c r="T1040" s="70"/>
      <c r="U1040" s="70"/>
      <c r="V1040" s="71"/>
      <c r="W1040" s="71"/>
      <c r="X1040" s="71"/>
      <c r="Y1040" s="72"/>
      <c r="Z1040" s="111"/>
      <c r="AA1040" s="120"/>
      <c r="AB1040" s="120"/>
      <c r="AC1040" s="120"/>
      <c r="AD1040" s="120"/>
      <c r="AE1040" s="120"/>
      <c r="AF1040" s="120"/>
      <c r="AG1040" s="120"/>
      <c r="AH1040" s="120"/>
      <c r="AI1040" s="120"/>
      <c r="AJ1040" s="120"/>
      <c r="AK1040" s="120"/>
      <c r="AL1040" s="120"/>
      <c r="AM1040" s="120"/>
      <c r="AN1040" s="120"/>
      <c r="AO1040" s="120"/>
      <c r="AP1040" s="120"/>
      <c r="AQ1040" s="120"/>
      <c r="AR1040" s="120"/>
      <c r="AS1040" s="120"/>
      <c r="BD1040" s="10">
        <v>5914</v>
      </c>
      <c r="BE1040" s="10"/>
      <c r="BF1040" s="10"/>
      <c r="BG1040" s="10"/>
      <c r="BH1040" s="10">
        <v>250000</v>
      </c>
      <c r="BI1040" s="76">
        <f t="shared" si="1142"/>
        <v>250000</v>
      </c>
      <c r="BJ1040" s="24">
        <f t="shared" si="1143"/>
        <v>244086</v>
      </c>
      <c r="BK1040" s="25">
        <f t="shared" si="1144"/>
        <v>41.272573554277983</v>
      </c>
      <c r="BL1040" s="309">
        <f t="shared" si="1145"/>
        <v>250000</v>
      </c>
      <c r="BM1040" s="293"/>
      <c r="BN1040" s="293"/>
      <c r="BO1040" s="293"/>
      <c r="BP1040" s="293"/>
      <c r="BQ1040" s="293"/>
      <c r="BR1040" s="293"/>
      <c r="BS1040" s="293"/>
      <c r="BT1040" s="293"/>
    </row>
    <row r="1041" spans="2:72" ht="45">
      <c r="B1041" s="358" t="s">
        <v>3233</v>
      </c>
      <c r="C1041" s="298" t="s">
        <v>2061</v>
      </c>
      <c r="D1041" s="264" t="s">
        <v>2038</v>
      </c>
      <c r="E1041" s="262" t="s">
        <v>999</v>
      </c>
      <c r="F1041" s="8"/>
      <c r="G1041" s="5"/>
      <c r="H1041" s="8"/>
      <c r="I1041" s="8"/>
      <c r="J1041" s="3"/>
      <c r="K1041" s="3"/>
      <c r="L1041" s="3"/>
      <c r="N1041" s="141"/>
      <c r="O1041" s="70"/>
      <c r="P1041" s="70"/>
      <c r="Q1041" s="70"/>
      <c r="R1041" s="70"/>
      <c r="S1041" s="70"/>
      <c r="T1041" s="70"/>
      <c r="U1041" s="70"/>
      <c r="V1041" s="71"/>
      <c r="W1041" s="71"/>
      <c r="X1041" s="71"/>
      <c r="Y1041" s="72"/>
      <c r="Z1041" s="111"/>
      <c r="AA1041" s="120"/>
      <c r="AB1041" s="120"/>
      <c r="AC1041" s="120"/>
      <c r="AD1041" s="120"/>
      <c r="AE1041" s="120"/>
      <c r="AF1041" s="120"/>
      <c r="AG1041" s="120"/>
      <c r="AH1041" s="120"/>
      <c r="AI1041" s="120"/>
      <c r="AJ1041" s="120"/>
      <c r="AK1041" s="120"/>
      <c r="AL1041" s="120"/>
      <c r="AM1041" s="120"/>
      <c r="AN1041" s="120"/>
      <c r="AO1041" s="120"/>
      <c r="AP1041" s="120"/>
      <c r="AQ1041" s="120"/>
      <c r="AR1041" s="120"/>
      <c r="AS1041" s="120"/>
      <c r="BD1041" s="10">
        <v>17048172</v>
      </c>
      <c r="BE1041" s="10"/>
      <c r="BF1041" s="10"/>
      <c r="BG1041" s="10"/>
      <c r="BH1041" s="10">
        <v>6000000</v>
      </c>
      <c r="BI1041" s="76">
        <f t="shared" si="1142"/>
        <v>6000000</v>
      </c>
      <c r="BJ1041" s="24">
        <f t="shared" si="1143"/>
        <v>-11048172</v>
      </c>
      <c r="BK1041" s="25">
        <f t="shared" si="1144"/>
        <v>-0.64805610830298988</v>
      </c>
      <c r="BL1041" s="309">
        <f t="shared" si="1145"/>
        <v>6000000</v>
      </c>
      <c r="BM1041" s="293"/>
      <c r="BN1041" s="293"/>
      <c r="BO1041" s="293"/>
      <c r="BP1041" s="293"/>
      <c r="BQ1041" s="293"/>
      <c r="BR1041" s="293"/>
      <c r="BS1041" s="293"/>
      <c r="BT1041" s="293"/>
    </row>
    <row r="1042" spans="2:72" ht="30">
      <c r="B1042" s="358" t="s">
        <v>3234</v>
      </c>
      <c r="C1042" s="298" t="s">
        <v>2062</v>
      </c>
      <c r="D1042" s="264" t="s">
        <v>2039</v>
      </c>
      <c r="E1042" s="262" t="s">
        <v>999</v>
      </c>
      <c r="F1042" s="8"/>
      <c r="G1042" s="5"/>
      <c r="H1042" s="8"/>
      <c r="I1042" s="8"/>
      <c r="J1042" s="3"/>
      <c r="K1042" s="3"/>
      <c r="L1042" s="3"/>
      <c r="N1042" s="141"/>
      <c r="O1042" s="70"/>
      <c r="P1042" s="70"/>
      <c r="Q1042" s="70"/>
      <c r="R1042" s="70"/>
      <c r="S1042" s="70"/>
      <c r="T1042" s="70"/>
      <c r="U1042" s="70"/>
      <c r="V1042" s="71"/>
      <c r="W1042" s="71"/>
      <c r="X1042" s="71"/>
      <c r="Y1042" s="72"/>
      <c r="Z1042" s="111"/>
      <c r="AA1042" s="120"/>
      <c r="AB1042" s="120"/>
      <c r="AC1042" s="120"/>
      <c r="AD1042" s="120"/>
      <c r="AE1042" s="120"/>
      <c r="AF1042" s="120"/>
      <c r="AG1042" s="120"/>
      <c r="AH1042" s="120"/>
      <c r="AI1042" s="120"/>
      <c r="AJ1042" s="120"/>
      <c r="AK1042" s="120"/>
      <c r="AL1042" s="120"/>
      <c r="AM1042" s="120"/>
      <c r="AN1042" s="120"/>
      <c r="AO1042" s="120"/>
      <c r="AP1042" s="120"/>
      <c r="AQ1042" s="120"/>
      <c r="AR1042" s="120"/>
      <c r="AS1042" s="120"/>
      <c r="BD1042" s="10">
        <v>2615386</v>
      </c>
      <c r="BE1042" s="10"/>
      <c r="BF1042" s="10"/>
      <c r="BG1042" s="10"/>
      <c r="BH1042" s="10">
        <v>500000</v>
      </c>
      <c r="BI1042" s="76">
        <f t="shared" si="1142"/>
        <v>500000</v>
      </c>
      <c r="BJ1042" s="24">
        <f t="shared" si="1143"/>
        <v>-2115386</v>
      </c>
      <c r="BK1042" s="25">
        <f t="shared" si="1144"/>
        <v>-0.80882363062278384</v>
      </c>
      <c r="BL1042" s="309">
        <f t="shared" si="1145"/>
        <v>500000</v>
      </c>
      <c r="BM1042" s="293"/>
      <c r="BN1042" s="293"/>
      <c r="BO1042" s="293"/>
      <c r="BP1042" s="293"/>
      <c r="BQ1042" s="293"/>
      <c r="BR1042" s="293"/>
      <c r="BS1042" s="293"/>
      <c r="BT1042" s="293"/>
    </row>
    <row r="1043" spans="2:72" ht="30">
      <c r="B1043" s="358" t="s">
        <v>3235</v>
      </c>
      <c r="C1043" s="298" t="s">
        <v>2063</v>
      </c>
      <c r="D1043" s="264" t="s">
        <v>2040</v>
      </c>
      <c r="E1043" s="262" t="s">
        <v>999</v>
      </c>
      <c r="F1043" s="8"/>
      <c r="G1043" s="5"/>
      <c r="H1043" s="8"/>
      <c r="I1043" s="8"/>
      <c r="J1043" s="3"/>
      <c r="K1043" s="3"/>
      <c r="L1043" s="3"/>
      <c r="N1043" s="141"/>
      <c r="O1043" s="70"/>
      <c r="P1043" s="70"/>
      <c r="Q1043" s="70"/>
      <c r="R1043" s="70"/>
      <c r="S1043" s="70"/>
      <c r="T1043" s="70"/>
      <c r="U1043" s="70"/>
      <c r="V1043" s="71"/>
      <c r="W1043" s="71"/>
      <c r="X1043" s="71"/>
      <c r="Y1043" s="72"/>
      <c r="Z1043" s="111"/>
      <c r="AA1043" s="120"/>
      <c r="AB1043" s="120"/>
      <c r="AC1043" s="120"/>
      <c r="AD1043" s="120"/>
      <c r="AE1043" s="120"/>
      <c r="AF1043" s="120"/>
      <c r="AG1043" s="120"/>
      <c r="AH1043" s="120"/>
      <c r="AI1043" s="120"/>
      <c r="AJ1043" s="120"/>
      <c r="AK1043" s="120"/>
      <c r="AL1043" s="120"/>
      <c r="AM1043" s="120"/>
      <c r="AN1043" s="120"/>
      <c r="AO1043" s="120"/>
      <c r="AP1043" s="120"/>
      <c r="AQ1043" s="120"/>
      <c r="AR1043" s="120"/>
      <c r="AS1043" s="120"/>
      <c r="BD1043" s="10">
        <v>5159123</v>
      </c>
      <c r="BE1043" s="10"/>
      <c r="BF1043" s="10"/>
      <c r="BG1043" s="10"/>
      <c r="BH1043" s="10" t="s">
        <v>1421</v>
      </c>
      <c r="BI1043" s="76"/>
      <c r="BJ1043" s="24"/>
      <c r="BK1043" s="25"/>
      <c r="BL1043" s="310" t="s">
        <v>807</v>
      </c>
      <c r="BM1043" s="293"/>
      <c r="BN1043" s="293"/>
      <c r="BO1043" s="293"/>
      <c r="BP1043" s="293"/>
      <c r="BQ1043" s="293"/>
      <c r="BR1043" s="293"/>
      <c r="BS1043" s="293"/>
      <c r="BT1043" s="293"/>
    </row>
    <row r="1044" spans="2:72" ht="30">
      <c r="B1044" s="358" t="s">
        <v>3236</v>
      </c>
      <c r="C1044" s="298" t="s">
        <v>2064</v>
      </c>
      <c r="D1044" s="264" t="s">
        <v>2041</v>
      </c>
      <c r="E1044" s="262" t="s">
        <v>1430</v>
      </c>
      <c r="F1044" s="8"/>
      <c r="G1044" s="5"/>
      <c r="H1044" s="8"/>
      <c r="I1044" s="8"/>
      <c r="J1044" s="3"/>
      <c r="K1044" s="3"/>
      <c r="L1044" s="3"/>
      <c r="N1044" s="141"/>
      <c r="O1044" s="70"/>
      <c r="P1044" s="70"/>
      <c r="Q1044" s="70"/>
      <c r="R1044" s="70"/>
      <c r="S1044" s="70"/>
      <c r="T1044" s="70"/>
      <c r="U1044" s="70"/>
      <c r="V1044" s="71"/>
      <c r="W1044" s="71"/>
      <c r="X1044" s="71"/>
      <c r="Y1044" s="72"/>
      <c r="Z1044" s="111"/>
      <c r="AA1044" s="120"/>
      <c r="AB1044" s="120"/>
      <c r="AC1044" s="120"/>
      <c r="AD1044" s="120"/>
      <c r="AE1044" s="120"/>
      <c r="AF1044" s="120"/>
      <c r="AG1044" s="120"/>
      <c r="AH1044" s="120"/>
      <c r="AI1044" s="120"/>
      <c r="AJ1044" s="120"/>
      <c r="AK1044" s="120"/>
      <c r="AL1044" s="120"/>
      <c r="AM1044" s="120"/>
      <c r="AN1044" s="120"/>
      <c r="AO1044" s="120"/>
      <c r="AP1044" s="120"/>
      <c r="AQ1044" s="120"/>
      <c r="AR1044" s="120"/>
      <c r="AS1044" s="120"/>
      <c r="BD1044" s="10">
        <v>378104</v>
      </c>
      <c r="BE1044" s="10"/>
      <c r="BF1044" s="10"/>
      <c r="BG1044" s="10"/>
      <c r="BH1044" s="10"/>
      <c r="BI1044" s="76"/>
      <c r="BJ1044" s="24"/>
      <c r="BK1044" s="25"/>
      <c r="BL1044" s="309" t="s">
        <v>894</v>
      </c>
      <c r="BM1044" s="293"/>
      <c r="BN1044" s="293"/>
      <c r="BO1044" s="293"/>
      <c r="BP1044" s="293"/>
      <c r="BQ1044" s="293"/>
      <c r="BR1044" s="293"/>
      <c r="BS1044" s="293"/>
      <c r="BT1044" s="293"/>
    </row>
    <row r="1045" spans="2:72" ht="60">
      <c r="B1045" s="358" t="s">
        <v>3237</v>
      </c>
      <c r="C1045" s="298" t="s">
        <v>2065</v>
      </c>
      <c r="D1045" s="264" t="s">
        <v>2042</v>
      </c>
      <c r="E1045" s="262" t="s">
        <v>2043</v>
      </c>
      <c r="F1045" s="8"/>
      <c r="G1045" s="5"/>
      <c r="H1045" s="8"/>
      <c r="I1045" s="8"/>
      <c r="J1045" s="3"/>
      <c r="K1045" s="3"/>
      <c r="L1045" s="3"/>
      <c r="N1045" s="141"/>
      <c r="O1045" s="70"/>
      <c r="P1045" s="70"/>
      <c r="Q1045" s="70"/>
      <c r="R1045" s="70"/>
      <c r="S1045" s="70"/>
      <c r="T1045" s="70"/>
      <c r="U1045" s="70"/>
      <c r="V1045" s="71"/>
      <c r="W1045" s="71"/>
      <c r="X1045" s="71"/>
      <c r="Y1045" s="72"/>
      <c r="Z1045" s="111"/>
      <c r="AA1045" s="120"/>
      <c r="AB1045" s="120"/>
      <c r="AC1045" s="120"/>
      <c r="AD1045" s="120"/>
      <c r="AE1045" s="120"/>
      <c r="AF1045" s="120"/>
      <c r="AG1045" s="120"/>
      <c r="AH1045" s="120"/>
      <c r="AI1045" s="120"/>
      <c r="AJ1045" s="120"/>
      <c r="AK1045" s="120"/>
      <c r="AL1045" s="120"/>
      <c r="AM1045" s="120"/>
      <c r="AN1045" s="120"/>
      <c r="AO1045" s="120"/>
      <c r="AP1045" s="120"/>
      <c r="AQ1045" s="120"/>
      <c r="AR1045" s="120"/>
      <c r="AS1045" s="120"/>
      <c r="BD1045" s="10">
        <v>1506982</v>
      </c>
      <c r="BE1045" s="10"/>
      <c r="BF1045" s="10"/>
      <c r="BG1045" s="10"/>
      <c r="BH1045" s="10"/>
      <c r="BI1045" s="76"/>
      <c r="BJ1045" s="24"/>
      <c r="BK1045" s="25"/>
      <c r="BL1045" s="310" t="s">
        <v>807</v>
      </c>
      <c r="BM1045" s="293"/>
      <c r="BN1045" s="293"/>
      <c r="BO1045" s="293"/>
      <c r="BP1045" s="293"/>
      <c r="BQ1045" s="293"/>
      <c r="BR1045" s="293"/>
      <c r="BS1045" s="293"/>
      <c r="BT1045" s="293"/>
    </row>
    <row r="1046" spans="2:72" ht="30">
      <c r="B1046" s="358" t="s">
        <v>3238</v>
      </c>
      <c r="C1046" s="298" t="s">
        <v>2066</v>
      </c>
      <c r="D1046" s="264" t="s">
        <v>2044</v>
      </c>
      <c r="E1046" s="262" t="s">
        <v>999</v>
      </c>
      <c r="F1046" s="8"/>
      <c r="G1046" s="5"/>
      <c r="H1046" s="8"/>
      <c r="I1046" s="8"/>
      <c r="J1046" s="3"/>
      <c r="K1046" s="3"/>
      <c r="L1046" s="3"/>
      <c r="N1046" s="141"/>
      <c r="O1046" s="70"/>
      <c r="P1046" s="70"/>
      <c r="Q1046" s="70"/>
      <c r="R1046" s="70"/>
      <c r="S1046" s="70"/>
      <c r="T1046" s="70"/>
      <c r="U1046" s="70"/>
      <c r="V1046" s="71"/>
      <c r="W1046" s="71"/>
      <c r="X1046" s="71"/>
      <c r="Y1046" s="72"/>
      <c r="Z1046" s="111"/>
      <c r="AA1046" s="120"/>
      <c r="AB1046" s="120"/>
      <c r="AC1046" s="120"/>
      <c r="AD1046" s="120"/>
      <c r="AE1046" s="120"/>
      <c r="AF1046" s="120"/>
      <c r="AG1046" s="120"/>
      <c r="AH1046" s="120"/>
      <c r="AI1046" s="120"/>
      <c r="AJ1046" s="120"/>
      <c r="AK1046" s="120"/>
      <c r="AL1046" s="120"/>
      <c r="AM1046" s="120"/>
      <c r="AN1046" s="120"/>
      <c r="AO1046" s="120"/>
      <c r="AP1046" s="120"/>
      <c r="AQ1046" s="120"/>
      <c r="AR1046" s="120"/>
      <c r="AS1046" s="120"/>
      <c r="BD1046" s="10">
        <v>14531</v>
      </c>
      <c r="BE1046" s="10"/>
      <c r="BF1046" s="10"/>
      <c r="BG1046" s="10"/>
      <c r="BH1046" s="10"/>
      <c r="BI1046" s="76"/>
      <c r="BJ1046" s="24"/>
      <c r="BK1046" s="25"/>
      <c r="BL1046" s="309" t="s">
        <v>894</v>
      </c>
      <c r="BM1046" s="293"/>
      <c r="BN1046" s="293"/>
      <c r="BO1046" s="293"/>
      <c r="BP1046" s="293"/>
      <c r="BQ1046" s="293"/>
      <c r="BR1046" s="293"/>
      <c r="BS1046" s="293"/>
      <c r="BT1046" s="293"/>
    </row>
    <row r="1047" spans="2:72" ht="30">
      <c r="B1047" s="358" t="s">
        <v>3239</v>
      </c>
      <c r="C1047" s="298" t="s">
        <v>2067</v>
      </c>
      <c r="D1047" s="264" t="s">
        <v>2045</v>
      </c>
      <c r="E1047" s="262" t="s">
        <v>1426</v>
      </c>
      <c r="F1047" s="8"/>
      <c r="G1047" s="5"/>
      <c r="H1047" s="8"/>
      <c r="I1047" s="8"/>
      <c r="J1047" s="3"/>
      <c r="K1047" s="3"/>
      <c r="L1047" s="3"/>
      <c r="N1047" s="141"/>
      <c r="O1047" s="70"/>
      <c r="P1047" s="70"/>
      <c r="Q1047" s="70"/>
      <c r="R1047" s="70"/>
      <c r="S1047" s="70"/>
      <c r="T1047" s="70"/>
      <c r="U1047" s="70"/>
      <c r="V1047" s="71"/>
      <c r="W1047" s="71"/>
      <c r="X1047" s="71"/>
      <c r="Y1047" s="72"/>
      <c r="Z1047" s="111"/>
      <c r="AA1047" s="120"/>
      <c r="AB1047" s="120"/>
      <c r="AC1047" s="120"/>
      <c r="AD1047" s="120"/>
      <c r="AE1047" s="120"/>
      <c r="AF1047" s="120"/>
      <c r="AG1047" s="120"/>
      <c r="AH1047" s="120"/>
      <c r="AI1047" s="120"/>
      <c r="AJ1047" s="120"/>
      <c r="AK1047" s="120"/>
      <c r="AL1047" s="120"/>
      <c r="AM1047" s="120"/>
      <c r="AN1047" s="120"/>
      <c r="AO1047" s="120"/>
      <c r="AP1047" s="120"/>
      <c r="AQ1047" s="120"/>
      <c r="AR1047" s="120"/>
      <c r="AS1047" s="120"/>
      <c r="BD1047" s="10">
        <v>13819265</v>
      </c>
      <c r="BE1047" s="10"/>
      <c r="BF1047" s="10"/>
      <c r="BG1047" s="10"/>
      <c r="BH1047" s="10"/>
      <c r="BI1047" s="76"/>
      <c r="BJ1047" s="24"/>
      <c r="BK1047" s="25"/>
      <c r="BL1047" s="310" t="s">
        <v>807</v>
      </c>
      <c r="BM1047" s="293"/>
      <c r="BN1047" s="293"/>
      <c r="BO1047" s="293"/>
      <c r="BP1047" s="293"/>
      <c r="BQ1047" s="293"/>
      <c r="BR1047" s="293"/>
      <c r="BS1047" s="293"/>
      <c r="BT1047" s="293"/>
    </row>
    <row r="1048" spans="2:72" ht="30">
      <c r="B1048" s="358" t="s">
        <v>3240</v>
      </c>
      <c r="C1048" s="298" t="s">
        <v>2068</v>
      </c>
      <c r="D1048" s="264" t="s">
        <v>2046</v>
      </c>
      <c r="E1048" s="262" t="s">
        <v>999</v>
      </c>
      <c r="F1048" s="8"/>
      <c r="G1048" s="5"/>
      <c r="H1048" s="8"/>
      <c r="I1048" s="8"/>
      <c r="J1048" s="3"/>
      <c r="K1048" s="3"/>
      <c r="L1048" s="3"/>
      <c r="N1048" s="141"/>
      <c r="O1048" s="70"/>
      <c r="P1048" s="70"/>
      <c r="Q1048" s="70"/>
      <c r="R1048" s="70"/>
      <c r="S1048" s="70"/>
      <c r="T1048" s="70"/>
      <c r="U1048" s="70"/>
      <c r="V1048" s="71"/>
      <c r="W1048" s="71"/>
      <c r="X1048" s="71"/>
      <c r="Y1048" s="72"/>
      <c r="Z1048" s="111"/>
      <c r="AA1048" s="120"/>
      <c r="AB1048" s="120"/>
      <c r="AC1048" s="120"/>
      <c r="AD1048" s="120"/>
      <c r="AE1048" s="120"/>
      <c r="AF1048" s="120"/>
      <c r="AG1048" s="120"/>
      <c r="AH1048" s="120"/>
      <c r="AI1048" s="120"/>
      <c r="AJ1048" s="120"/>
      <c r="AK1048" s="120"/>
      <c r="AL1048" s="120"/>
      <c r="AM1048" s="120"/>
      <c r="AN1048" s="120"/>
      <c r="AO1048" s="120"/>
      <c r="AP1048" s="120"/>
      <c r="AQ1048" s="120"/>
      <c r="AR1048" s="120"/>
      <c r="AS1048" s="120"/>
      <c r="BD1048" s="10">
        <v>421099</v>
      </c>
      <c r="BE1048" s="10"/>
      <c r="BF1048" s="10"/>
      <c r="BG1048" s="10"/>
      <c r="BH1048" s="10"/>
      <c r="BI1048" s="76"/>
      <c r="BJ1048" s="24"/>
      <c r="BK1048" s="25"/>
      <c r="BL1048" s="310" t="s">
        <v>807</v>
      </c>
      <c r="BM1048" s="293"/>
      <c r="BN1048" s="293"/>
      <c r="BO1048" s="293"/>
      <c r="BP1048" s="293"/>
      <c r="BQ1048" s="293"/>
      <c r="BR1048" s="293"/>
      <c r="BS1048" s="293"/>
      <c r="BT1048" s="293"/>
    </row>
    <row r="1049" spans="2:72" ht="30">
      <c r="B1049" s="358" t="s">
        <v>3241</v>
      </c>
      <c r="C1049" s="298" t="s">
        <v>2069</v>
      </c>
      <c r="D1049" s="264" t="s">
        <v>2047</v>
      </c>
      <c r="E1049" s="262" t="s">
        <v>999</v>
      </c>
      <c r="F1049" s="8"/>
      <c r="G1049" s="5"/>
      <c r="H1049" s="8"/>
      <c r="I1049" s="8"/>
      <c r="J1049" s="3"/>
      <c r="K1049" s="3"/>
      <c r="L1049" s="3"/>
      <c r="N1049" s="141"/>
      <c r="O1049" s="70"/>
      <c r="P1049" s="70"/>
      <c r="Q1049" s="70"/>
      <c r="R1049" s="70"/>
      <c r="S1049" s="70"/>
      <c r="T1049" s="70"/>
      <c r="U1049" s="70"/>
      <c r="V1049" s="71"/>
      <c r="W1049" s="71"/>
      <c r="X1049" s="71"/>
      <c r="Y1049" s="72"/>
      <c r="Z1049" s="111"/>
      <c r="AA1049" s="120"/>
      <c r="AB1049" s="120"/>
      <c r="AC1049" s="120"/>
      <c r="AD1049" s="120"/>
      <c r="AE1049" s="120"/>
      <c r="AF1049" s="120"/>
      <c r="AG1049" s="120"/>
      <c r="AH1049" s="120"/>
      <c r="AI1049" s="120"/>
      <c r="AJ1049" s="120"/>
      <c r="AK1049" s="120"/>
      <c r="AL1049" s="120"/>
      <c r="AM1049" s="120"/>
      <c r="AN1049" s="120"/>
      <c r="AO1049" s="120"/>
      <c r="AP1049" s="120"/>
      <c r="AQ1049" s="120"/>
      <c r="AR1049" s="120"/>
      <c r="AS1049" s="120"/>
      <c r="BD1049" s="10">
        <v>446628</v>
      </c>
      <c r="BE1049" s="10"/>
      <c r="BF1049" s="10"/>
      <c r="BG1049" s="10"/>
      <c r="BH1049" s="10"/>
      <c r="BI1049" s="76"/>
      <c r="BJ1049" s="24"/>
      <c r="BK1049" s="25"/>
      <c r="BL1049" s="310" t="s">
        <v>807</v>
      </c>
      <c r="BM1049" s="293"/>
      <c r="BN1049" s="293"/>
      <c r="BO1049" s="293"/>
      <c r="BP1049" s="293"/>
      <c r="BQ1049" s="293"/>
      <c r="BR1049" s="293"/>
      <c r="BS1049" s="293"/>
      <c r="BT1049" s="293"/>
    </row>
    <row r="1050" spans="2:72" ht="30">
      <c r="B1050" s="358" t="s">
        <v>3242</v>
      </c>
      <c r="C1050" s="298" t="s">
        <v>2070</v>
      </c>
      <c r="D1050" s="264" t="s">
        <v>2048</v>
      </c>
      <c r="E1050" s="262" t="s">
        <v>999</v>
      </c>
      <c r="F1050" s="8"/>
      <c r="G1050" s="5"/>
      <c r="H1050" s="8"/>
      <c r="I1050" s="8"/>
      <c r="J1050" s="3"/>
      <c r="K1050" s="3"/>
      <c r="L1050" s="3"/>
      <c r="N1050" s="141"/>
      <c r="O1050" s="70"/>
      <c r="P1050" s="70"/>
      <c r="Q1050" s="70"/>
      <c r="R1050" s="70"/>
      <c r="S1050" s="70"/>
      <c r="T1050" s="70"/>
      <c r="U1050" s="70"/>
      <c r="V1050" s="71"/>
      <c r="W1050" s="71"/>
      <c r="X1050" s="71"/>
      <c r="Y1050" s="72"/>
      <c r="Z1050" s="111"/>
      <c r="AA1050" s="120"/>
      <c r="AB1050" s="120"/>
      <c r="AC1050" s="120"/>
      <c r="AD1050" s="120"/>
      <c r="AE1050" s="120"/>
      <c r="AF1050" s="120"/>
      <c r="AG1050" s="120"/>
      <c r="AH1050" s="120"/>
      <c r="AI1050" s="120"/>
      <c r="AJ1050" s="120"/>
      <c r="AK1050" s="120"/>
      <c r="AL1050" s="120"/>
      <c r="AM1050" s="120"/>
      <c r="AN1050" s="120"/>
      <c r="AO1050" s="120"/>
      <c r="AP1050" s="120"/>
      <c r="AQ1050" s="120"/>
      <c r="AR1050" s="120"/>
      <c r="AS1050" s="120"/>
      <c r="BD1050" s="10">
        <v>2409195</v>
      </c>
      <c r="BE1050" s="10"/>
      <c r="BF1050" s="10"/>
      <c r="BG1050" s="10"/>
      <c r="BH1050" s="10"/>
      <c r="BI1050" s="76"/>
      <c r="BJ1050" s="24"/>
      <c r="BK1050" s="25"/>
      <c r="BL1050" s="309" t="s">
        <v>894</v>
      </c>
      <c r="BM1050" s="293"/>
      <c r="BN1050" s="293"/>
      <c r="BO1050" s="293"/>
      <c r="BP1050" s="293"/>
      <c r="BQ1050" s="293"/>
      <c r="BR1050" s="293"/>
      <c r="BS1050" s="293"/>
      <c r="BT1050" s="293"/>
    </row>
    <row r="1051" spans="2:72" ht="45">
      <c r="B1051" s="358" t="s">
        <v>3243</v>
      </c>
      <c r="C1051" s="298" t="s">
        <v>2071</v>
      </c>
      <c r="D1051" s="264" t="s">
        <v>2049</v>
      </c>
      <c r="E1051" s="262" t="s">
        <v>1466</v>
      </c>
      <c r="F1051" s="8"/>
      <c r="G1051" s="5"/>
      <c r="H1051" s="8"/>
      <c r="I1051" s="8"/>
      <c r="J1051" s="3"/>
      <c r="K1051" s="3"/>
      <c r="L1051" s="3"/>
      <c r="N1051" s="141"/>
      <c r="O1051" s="70"/>
      <c r="P1051" s="70"/>
      <c r="Q1051" s="70"/>
      <c r="R1051" s="70"/>
      <c r="S1051" s="70"/>
      <c r="T1051" s="70"/>
      <c r="U1051" s="70"/>
      <c r="V1051" s="71"/>
      <c r="W1051" s="71"/>
      <c r="X1051" s="71"/>
      <c r="Y1051" s="72"/>
      <c r="Z1051" s="111"/>
      <c r="AA1051" s="120"/>
      <c r="AB1051" s="120"/>
      <c r="AC1051" s="120"/>
      <c r="AD1051" s="120"/>
      <c r="AE1051" s="120"/>
      <c r="AF1051" s="120"/>
      <c r="AG1051" s="120"/>
      <c r="AH1051" s="120"/>
      <c r="AI1051" s="120"/>
      <c r="AJ1051" s="120"/>
      <c r="AK1051" s="120"/>
      <c r="AL1051" s="120"/>
      <c r="AM1051" s="120"/>
      <c r="AN1051" s="120"/>
      <c r="AO1051" s="120"/>
      <c r="AP1051" s="120"/>
      <c r="AQ1051" s="120"/>
      <c r="AR1051" s="120"/>
      <c r="AS1051" s="120"/>
      <c r="BD1051" s="10">
        <v>484665</v>
      </c>
      <c r="BE1051" s="10"/>
      <c r="BF1051" s="10"/>
      <c r="BG1051" s="10"/>
      <c r="BH1051" s="10"/>
      <c r="BI1051" s="76"/>
      <c r="BJ1051" s="24"/>
      <c r="BK1051" s="25"/>
      <c r="BL1051" s="310" t="s">
        <v>807</v>
      </c>
      <c r="BM1051" s="293"/>
      <c r="BN1051" s="293"/>
      <c r="BO1051" s="293"/>
      <c r="BP1051" s="293"/>
      <c r="BQ1051" s="293"/>
      <c r="BR1051" s="293"/>
      <c r="BS1051" s="293"/>
      <c r="BT1051" s="293"/>
    </row>
    <row r="1052" spans="2:72" ht="30">
      <c r="B1052" s="358" t="s">
        <v>3244</v>
      </c>
      <c r="C1052" s="298" t="s">
        <v>2072</v>
      </c>
      <c r="D1052" s="264" t="s">
        <v>2050</v>
      </c>
      <c r="E1052" s="262" t="s">
        <v>1466</v>
      </c>
      <c r="F1052" s="8"/>
      <c r="G1052" s="5"/>
      <c r="H1052" s="8"/>
      <c r="I1052" s="8"/>
      <c r="J1052" s="3"/>
      <c r="K1052" s="3"/>
      <c r="L1052" s="3"/>
      <c r="N1052" s="141"/>
      <c r="O1052" s="70"/>
      <c r="P1052" s="70"/>
      <c r="Q1052" s="70"/>
      <c r="R1052" s="70"/>
      <c r="S1052" s="70"/>
      <c r="T1052" s="70"/>
      <c r="U1052" s="70"/>
      <c r="V1052" s="71"/>
      <c r="W1052" s="71"/>
      <c r="X1052" s="71"/>
      <c r="Y1052" s="72"/>
      <c r="Z1052" s="111"/>
      <c r="AA1052" s="120"/>
      <c r="AB1052" s="120"/>
      <c r="AC1052" s="120"/>
      <c r="AD1052" s="120"/>
      <c r="AE1052" s="120"/>
      <c r="AF1052" s="120"/>
      <c r="AG1052" s="120"/>
      <c r="AH1052" s="120"/>
      <c r="AI1052" s="120"/>
      <c r="AJ1052" s="120"/>
      <c r="AK1052" s="120"/>
      <c r="AL1052" s="120"/>
      <c r="AM1052" s="120"/>
      <c r="AN1052" s="120"/>
      <c r="AO1052" s="120"/>
      <c r="AP1052" s="120"/>
      <c r="AQ1052" s="120"/>
      <c r="AR1052" s="120"/>
      <c r="AS1052" s="120"/>
      <c r="BD1052" s="10">
        <v>53356</v>
      </c>
      <c r="BE1052" s="10">
        <v>220000</v>
      </c>
      <c r="BF1052" s="10"/>
      <c r="BG1052" s="10"/>
      <c r="BH1052" s="10"/>
      <c r="BI1052" s="76">
        <f t="shared" si="1142"/>
        <v>220000</v>
      </c>
      <c r="BJ1052" s="24">
        <f t="shared" si="1143"/>
        <v>166644</v>
      </c>
      <c r="BK1052" s="25">
        <f t="shared" si="1144"/>
        <v>3.1232476197616013</v>
      </c>
      <c r="BL1052" s="309">
        <f t="shared" si="1145"/>
        <v>220000</v>
      </c>
      <c r="BM1052" s="293"/>
      <c r="BN1052" s="293"/>
      <c r="BO1052" s="293"/>
      <c r="BP1052" s="293"/>
      <c r="BQ1052" s="293"/>
      <c r="BR1052" s="293"/>
      <c r="BS1052" s="293"/>
      <c r="BT1052" s="293"/>
    </row>
    <row r="1053" spans="2:72">
      <c r="B1053" s="358" t="s">
        <v>3245</v>
      </c>
      <c r="C1053" s="298" t="s">
        <v>2073</v>
      </c>
      <c r="D1053" s="264" t="s">
        <v>2051</v>
      </c>
      <c r="E1053" s="262" t="s">
        <v>1466</v>
      </c>
      <c r="F1053" s="8"/>
      <c r="G1053" s="5"/>
      <c r="H1053" s="8"/>
      <c r="I1053" s="8"/>
      <c r="J1053" s="3"/>
      <c r="K1053" s="3"/>
      <c r="L1053" s="3"/>
      <c r="N1053" s="141"/>
      <c r="O1053" s="70"/>
      <c r="P1053" s="70"/>
      <c r="Q1053" s="70"/>
      <c r="R1053" s="70"/>
      <c r="S1053" s="70"/>
      <c r="T1053" s="70"/>
      <c r="U1053" s="70"/>
      <c r="V1053" s="71"/>
      <c r="W1053" s="71"/>
      <c r="X1053" s="71"/>
      <c r="Y1053" s="72"/>
      <c r="Z1053" s="111"/>
      <c r="AA1053" s="120"/>
      <c r="AB1053" s="120"/>
      <c r="AC1053" s="120"/>
      <c r="AD1053" s="120"/>
      <c r="AE1053" s="120"/>
      <c r="AF1053" s="120"/>
      <c r="AG1053" s="120"/>
      <c r="AH1053" s="120"/>
      <c r="AI1053" s="120"/>
      <c r="AJ1053" s="120"/>
      <c r="AK1053" s="120"/>
      <c r="AL1053" s="120"/>
      <c r="AM1053" s="120"/>
      <c r="AN1053" s="120"/>
      <c r="AO1053" s="120"/>
      <c r="AP1053" s="120"/>
      <c r="AQ1053" s="120"/>
      <c r="AR1053" s="120"/>
      <c r="AS1053" s="120"/>
      <c r="BD1053" s="10">
        <v>33201</v>
      </c>
      <c r="BE1053" s="10">
        <v>15000</v>
      </c>
      <c r="BF1053" s="10"/>
      <c r="BG1053" s="10"/>
      <c r="BH1053" s="10"/>
      <c r="BI1053" s="76">
        <f t="shared" si="1142"/>
        <v>15000</v>
      </c>
      <c r="BJ1053" s="24">
        <f t="shared" si="1143"/>
        <v>-18201</v>
      </c>
      <c r="BK1053" s="25">
        <f t="shared" si="1144"/>
        <v>-0.54820637932592386</v>
      </c>
      <c r="BL1053" s="309">
        <f t="shared" si="1145"/>
        <v>15000</v>
      </c>
      <c r="BM1053" s="293"/>
      <c r="BN1053" s="293"/>
      <c r="BO1053" s="293"/>
      <c r="BP1053" s="293"/>
      <c r="BQ1053" s="293"/>
      <c r="BR1053" s="293"/>
      <c r="BS1053" s="293"/>
      <c r="BT1053" s="293"/>
    </row>
    <row r="1054" spans="2:72">
      <c r="B1054" s="358" t="s">
        <v>3246</v>
      </c>
      <c r="C1054" s="298" t="s">
        <v>2074</v>
      </c>
      <c r="D1054" s="264" t="s">
        <v>2052</v>
      </c>
      <c r="E1054" s="262" t="s">
        <v>999</v>
      </c>
      <c r="F1054" s="8"/>
      <c r="G1054" s="5"/>
      <c r="H1054" s="8"/>
      <c r="I1054" s="8"/>
      <c r="J1054" s="3"/>
      <c r="K1054" s="3"/>
      <c r="L1054" s="3"/>
      <c r="N1054" s="141"/>
      <c r="O1054" s="70"/>
      <c r="P1054" s="70"/>
      <c r="Q1054" s="70"/>
      <c r="R1054" s="70"/>
      <c r="S1054" s="70"/>
      <c r="T1054" s="70"/>
      <c r="U1054" s="70"/>
      <c r="V1054" s="71"/>
      <c r="W1054" s="71"/>
      <c r="X1054" s="71"/>
      <c r="Y1054" s="72"/>
      <c r="Z1054" s="111"/>
      <c r="AA1054" s="120"/>
      <c r="AB1054" s="120"/>
      <c r="AC1054" s="120"/>
      <c r="AD1054" s="120"/>
      <c r="AE1054" s="120"/>
      <c r="AF1054" s="120"/>
      <c r="AG1054" s="120"/>
      <c r="AH1054" s="120"/>
      <c r="AI1054" s="120"/>
      <c r="AJ1054" s="120"/>
      <c r="AK1054" s="120"/>
      <c r="AL1054" s="120"/>
      <c r="AM1054" s="120"/>
      <c r="AN1054" s="120"/>
      <c r="AO1054" s="120"/>
      <c r="AP1054" s="120"/>
      <c r="AQ1054" s="120"/>
      <c r="AR1054" s="120"/>
      <c r="AS1054" s="120"/>
      <c r="BD1054" s="10">
        <v>37038</v>
      </c>
      <c r="BE1054" s="10"/>
      <c r="BF1054" s="10"/>
      <c r="BG1054" s="10"/>
      <c r="BH1054" s="10"/>
      <c r="BI1054" s="76"/>
      <c r="BJ1054" s="24"/>
      <c r="BK1054" s="25"/>
      <c r="BL1054" s="309" t="s">
        <v>894</v>
      </c>
      <c r="BM1054" s="293"/>
      <c r="BN1054" s="293"/>
      <c r="BO1054" s="293"/>
      <c r="BP1054" s="293"/>
      <c r="BQ1054" s="293"/>
      <c r="BR1054" s="293"/>
      <c r="BS1054" s="293"/>
      <c r="BT1054" s="293"/>
    </row>
    <row r="1055" spans="2:72" ht="30">
      <c r="B1055" s="358" t="s">
        <v>3247</v>
      </c>
      <c r="C1055" s="298" t="s">
        <v>2075</v>
      </c>
      <c r="D1055" s="264" t="s">
        <v>2053</v>
      </c>
      <c r="E1055" s="262" t="s">
        <v>999</v>
      </c>
      <c r="F1055" s="8"/>
      <c r="G1055" s="5"/>
      <c r="H1055" s="8"/>
      <c r="I1055" s="8"/>
      <c r="J1055" s="3"/>
      <c r="K1055" s="3"/>
      <c r="L1055" s="3"/>
      <c r="N1055" s="141"/>
      <c r="O1055" s="70"/>
      <c r="P1055" s="70"/>
      <c r="Q1055" s="70"/>
      <c r="R1055" s="70"/>
      <c r="S1055" s="70"/>
      <c r="T1055" s="70"/>
      <c r="U1055" s="70"/>
      <c r="V1055" s="71"/>
      <c r="W1055" s="71"/>
      <c r="X1055" s="71"/>
      <c r="Y1055" s="72"/>
      <c r="Z1055" s="111"/>
      <c r="AA1055" s="120"/>
      <c r="AB1055" s="120"/>
      <c r="AC1055" s="120"/>
      <c r="AD1055" s="120"/>
      <c r="AE1055" s="120"/>
      <c r="AF1055" s="120"/>
      <c r="AG1055" s="120"/>
      <c r="AH1055" s="120"/>
      <c r="AI1055" s="120"/>
      <c r="AJ1055" s="120"/>
      <c r="AK1055" s="120"/>
      <c r="AL1055" s="120"/>
      <c r="AM1055" s="120"/>
      <c r="AN1055" s="120"/>
      <c r="AO1055" s="120"/>
      <c r="AP1055" s="120"/>
      <c r="AQ1055" s="120"/>
      <c r="AR1055" s="120"/>
      <c r="AS1055" s="120"/>
      <c r="BD1055" s="10">
        <v>3017179</v>
      </c>
      <c r="BE1055" s="10"/>
      <c r="BF1055" s="10"/>
      <c r="BG1055" s="10"/>
      <c r="BH1055" s="10"/>
      <c r="BI1055" s="76"/>
      <c r="BJ1055" s="24"/>
      <c r="BK1055" s="25"/>
      <c r="BL1055" s="309" t="s">
        <v>894</v>
      </c>
      <c r="BM1055" s="293"/>
      <c r="BN1055" s="293"/>
      <c r="BO1055" s="293"/>
      <c r="BP1055" s="293"/>
      <c r="BQ1055" s="293"/>
      <c r="BR1055" s="293"/>
      <c r="BS1055" s="293"/>
      <c r="BT1055" s="293"/>
    </row>
    <row r="1056" spans="2:72" ht="30">
      <c r="B1056" s="358" t="s">
        <v>3248</v>
      </c>
      <c r="C1056" s="298" t="s">
        <v>2076</v>
      </c>
      <c r="D1056" s="264" t="s">
        <v>2054</v>
      </c>
      <c r="E1056" s="262" t="s">
        <v>999</v>
      </c>
      <c r="F1056" s="8"/>
      <c r="G1056" s="5"/>
      <c r="H1056" s="8"/>
      <c r="I1056" s="8"/>
      <c r="J1056" s="3"/>
      <c r="K1056" s="3"/>
      <c r="L1056" s="3"/>
      <c r="N1056" s="141"/>
      <c r="O1056" s="70"/>
      <c r="P1056" s="70"/>
      <c r="Q1056" s="70"/>
      <c r="R1056" s="70"/>
      <c r="S1056" s="70"/>
      <c r="T1056" s="70"/>
      <c r="U1056" s="70"/>
      <c r="V1056" s="71"/>
      <c r="W1056" s="71"/>
      <c r="X1056" s="71"/>
      <c r="Y1056" s="72"/>
      <c r="Z1056" s="111"/>
      <c r="AA1056" s="120"/>
      <c r="AB1056" s="120"/>
      <c r="AC1056" s="120"/>
      <c r="AD1056" s="120"/>
      <c r="AE1056" s="120"/>
      <c r="AF1056" s="120"/>
      <c r="AG1056" s="120"/>
      <c r="AH1056" s="120"/>
      <c r="AI1056" s="120"/>
      <c r="AJ1056" s="120"/>
      <c r="AK1056" s="120"/>
      <c r="AL1056" s="120"/>
      <c r="AM1056" s="120"/>
      <c r="AN1056" s="120"/>
      <c r="AO1056" s="120"/>
      <c r="AP1056" s="120"/>
      <c r="AQ1056" s="120"/>
      <c r="AR1056" s="120"/>
      <c r="AS1056" s="120"/>
      <c r="BD1056" s="10">
        <v>3946766</v>
      </c>
      <c r="BE1056" s="10"/>
      <c r="BF1056" s="10"/>
      <c r="BG1056" s="10"/>
      <c r="BH1056" s="10"/>
      <c r="BI1056" s="76"/>
      <c r="BJ1056" s="24"/>
      <c r="BK1056" s="25"/>
      <c r="BL1056" s="310" t="s">
        <v>807</v>
      </c>
      <c r="BM1056" s="293"/>
      <c r="BN1056" s="293"/>
      <c r="BO1056" s="293"/>
      <c r="BP1056" s="293"/>
      <c r="BQ1056" s="293"/>
      <c r="BR1056" s="293"/>
      <c r="BS1056" s="293"/>
      <c r="BT1056" s="293"/>
    </row>
    <row r="1057" spans="2:72" ht="30">
      <c r="B1057" s="358" t="s">
        <v>3249</v>
      </c>
      <c r="C1057" s="298" t="s">
        <v>2077</v>
      </c>
      <c r="D1057" s="264" t="s">
        <v>2055</v>
      </c>
      <c r="E1057" s="262" t="s">
        <v>999</v>
      </c>
      <c r="F1057" s="8"/>
      <c r="G1057" s="5"/>
      <c r="H1057" s="8"/>
      <c r="I1057" s="8"/>
      <c r="J1057" s="3"/>
      <c r="K1057" s="3"/>
      <c r="L1057" s="3"/>
      <c r="N1057" s="141"/>
      <c r="O1057" s="70"/>
      <c r="P1057" s="70"/>
      <c r="Q1057" s="70"/>
      <c r="R1057" s="70"/>
      <c r="S1057" s="70"/>
      <c r="T1057" s="70"/>
      <c r="U1057" s="70"/>
      <c r="V1057" s="71"/>
      <c r="W1057" s="71"/>
      <c r="X1057" s="71"/>
      <c r="Y1057" s="72"/>
      <c r="Z1057" s="111"/>
      <c r="AA1057" s="120"/>
      <c r="AB1057" s="120"/>
      <c r="AC1057" s="120"/>
      <c r="AD1057" s="120"/>
      <c r="AE1057" s="120"/>
      <c r="AF1057" s="120"/>
      <c r="AG1057" s="120"/>
      <c r="AH1057" s="120"/>
      <c r="AI1057" s="120"/>
      <c r="AJ1057" s="120"/>
      <c r="AK1057" s="120"/>
      <c r="AL1057" s="120"/>
      <c r="AM1057" s="120"/>
      <c r="AN1057" s="120"/>
      <c r="AO1057" s="120"/>
      <c r="AP1057" s="120"/>
      <c r="AQ1057" s="120"/>
      <c r="AR1057" s="120"/>
      <c r="AS1057" s="120"/>
      <c r="BD1057" s="10">
        <v>3088715</v>
      </c>
      <c r="BE1057" s="10"/>
      <c r="BF1057" s="10"/>
      <c r="BG1057" s="10"/>
      <c r="BH1057" s="10"/>
      <c r="BI1057" s="76"/>
      <c r="BJ1057" s="24"/>
      <c r="BK1057" s="25"/>
      <c r="BL1057" s="310" t="s">
        <v>807</v>
      </c>
      <c r="BM1057" s="293"/>
      <c r="BN1057" s="293"/>
      <c r="BO1057" s="293"/>
      <c r="BP1057" s="293"/>
      <c r="BQ1057" s="293"/>
      <c r="BR1057" s="293"/>
      <c r="BS1057" s="293"/>
      <c r="BT1057" s="293"/>
    </row>
    <row r="1058" spans="2:72">
      <c r="B1058" s="358" t="s">
        <v>3250</v>
      </c>
      <c r="C1058" s="298" t="s">
        <v>2078</v>
      </c>
      <c r="D1058" s="264" t="s">
        <v>2056</v>
      </c>
      <c r="E1058" s="262" t="s">
        <v>999</v>
      </c>
      <c r="F1058" s="8"/>
      <c r="G1058" s="5"/>
      <c r="H1058" s="8"/>
      <c r="I1058" s="8"/>
      <c r="J1058" s="3"/>
      <c r="K1058" s="3"/>
      <c r="L1058" s="3"/>
      <c r="N1058" s="141"/>
      <c r="O1058" s="70"/>
      <c r="P1058" s="70"/>
      <c r="Q1058" s="70"/>
      <c r="R1058" s="70"/>
      <c r="S1058" s="70"/>
      <c r="T1058" s="70"/>
      <c r="U1058" s="70"/>
      <c r="V1058" s="71"/>
      <c r="W1058" s="71"/>
      <c r="X1058" s="71"/>
      <c r="Y1058" s="72"/>
      <c r="Z1058" s="111"/>
      <c r="AA1058" s="120"/>
      <c r="AB1058" s="120"/>
      <c r="AC1058" s="120"/>
      <c r="AD1058" s="120"/>
      <c r="AE1058" s="120"/>
      <c r="AF1058" s="120"/>
      <c r="AG1058" s="120"/>
      <c r="AH1058" s="120"/>
      <c r="AI1058" s="120"/>
      <c r="AJ1058" s="120"/>
      <c r="AK1058" s="120"/>
      <c r="AL1058" s="120"/>
      <c r="AM1058" s="120"/>
      <c r="AN1058" s="120"/>
      <c r="AO1058" s="120"/>
      <c r="AP1058" s="120"/>
      <c r="AQ1058" s="120"/>
      <c r="AR1058" s="120"/>
      <c r="AS1058" s="120"/>
      <c r="BD1058" s="10">
        <v>1640030</v>
      </c>
      <c r="BE1058" s="10"/>
      <c r="BF1058" s="10"/>
      <c r="BG1058" s="10"/>
      <c r="BH1058" s="10"/>
      <c r="BI1058" s="76"/>
      <c r="BJ1058" s="24"/>
      <c r="BK1058" s="25"/>
      <c r="BL1058" s="310" t="s">
        <v>894</v>
      </c>
      <c r="BM1058" s="293"/>
      <c r="BN1058" s="293"/>
      <c r="BO1058" s="293"/>
      <c r="BP1058" s="293"/>
      <c r="BQ1058" s="293"/>
      <c r="BR1058" s="293"/>
      <c r="BS1058" s="293"/>
      <c r="BT1058" s="293"/>
    </row>
    <row r="1059" spans="2:72">
      <c r="B1059" s="358" t="s">
        <v>3251</v>
      </c>
      <c r="C1059" s="297">
        <v>20</v>
      </c>
      <c r="D1059" s="258" t="s">
        <v>2119</v>
      </c>
      <c r="E1059" s="137"/>
      <c r="F1059" s="8"/>
      <c r="G1059" s="5"/>
      <c r="H1059" s="8"/>
      <c r="I1059" s="8"/>
      <c r="J1059" s="3"/>
      <c r="K1059" s="3"/>
      <c r="L1059" s="3"/>
      <c r="N1059" s="137"/>
      <c r="O1059" s="137"/>
      <c r="P1059" s="137"/>
      <c r="Q1059" s="137"/>
      <c r="R1059" s="137"/>
      <c r="S1059" s="137"/>
      <c r="T1059" s="137"/>
      <c r="U1059" s="137"/>
      <c r="V1059" s="137"/>
      <c r="W1059" s="137"/>
      <c r="X1059" s="137"/>
      <c r="Y1059" s="137"/>
      <c r="Z1059" s="137"/>
      <c r="AA1059" s="137"/>
      <c r="AB1059" s="137"/>
      <c r="AC1059" s="137"/>
      <c r="AD1059" s="137"/>
      <c r="AE1059" s="137"/>
      <c r="AF1059" s="137"/>
      <c r="AG1059" s="137"/>
      <c r="AH1059" s="137"/>
      <c r="AI1059" s="137"/>
      <c r="AJ1059" s="137"/>
      <c r="AK1059" s="137"/>
      <c r="AL1059" s="137"/>
      <c r="AM1059" s="137"/>
      <c r="AN1059" s="137"/>
      <c r="AO1059" s="137"/>
      <c r="AP1059" s="137"/>
      <c r="AQ1059" s="137"/>
      <c r="AR1059" s="137"/>
      <c r="AS1059" s="137"/>
      <c r="BD1059" s="173"/>
      <c r="BE1059" s="173"/>
      <c r="BF1059" s="173"/>
      <c r="BG1059" s="173"/>
      <c r="BH1059" s="173"/>
      <c r="BI1059" s="76"/>
      <c r="BJ1059" s="24"/>
      <c r="BK1059" s="25"/>
      <c r="BL1059" s="309"/>
      <c r="BM1059" s="293"/>
      <c r="BN1059" s="293"/>
      <c r="BO1059" s="293"/>
      <c r="BP1059" s="293"/>
      <c r="BQ1059" s="293"/>
      <c r="BR1059" s="293"/>
      <c r="BS1059" s="293"/>
      <c r="BT1059" s="293"/>
    </row>
    <row r="1060" spans="2:72">
      <c r="B1060" s="358" t="s">
        <v>3252</v>
      </c>
      <c r="C1060" s="298" t="s">
        <v>2120</v>
      </c>
      <c r="D1060" s="264" t="s">
        <v>2121</v>
      </c>
      <c r="E1060" s="262" t="s">
        <v>1426</v>
      </c>
      <c r="F1060" s="8"/>
      <c r="G1060" s="5"/>
      <c r="H1060" s="8"/>
      <c r="I1060" s="8"/>
      <c r="J1060" s="3"/>
      <c r="K1060" s="3"/>
      <c r="L1060" s="3"/>
      <c r="N1060" s="141"/>
      <c r="O1060" s="70"/>
      <c r="P1060" s="70"/>
      <c r="Q1060" s="70"/>
      <c r="R1060" s="70"/>
      <c r="S1060" s="70"/>
      <c r="T1060" s="70"/>
      <c r="U1060" s="70"/>
      <c r="V1060" s="71"/>
      <c r="W1060" s="71"/>
      <c r="X1060" s="71"/>
      <c r="Y1060" s="72"/>
      <c r="Z1060" s="111"/>
      <c r="AA1060" s="120"/>
      <c r="AB1060" s="120"/>
      <c r="AC1060" s="120"/>
      <c r="AD1060" s="120"/>
      <c r="AE1060" s="120"/>
      <c r="AF1060" s="120"/>
      <c r="AG1060" s="120"/>
      <c r="AH1060" s="120"/>
      <c r="AI1060" s="120"/>
      <c r="AJ1060" s="120"/>
      <c r="AK1060" s="120"/>
      <c r="AL1060" s="120"/>
      <c r="AM1060" s="120"/>
      <c r="AN1060" s="120"/>
      <c r="AO1060" s="120"/>
      <c r="AP1060" s="120"/>
      <c r="AQ1060" s="120"/>
      <c r="AR1060" s="120"/>
      <c r="AS1060" s="120"/>
      <c r="BD1060" s="10">
        <v>124812440</v>
      </c>
      <c r="BE1060" s="300"/>
      <c r="BF1060" s="300"/>
      <c r="BG1060" s="300"/>
      <c r="BH1060" s="10">
        <v>9000000</v>
      </c>
      <c r="BI1060" s="76">
        <f t="shared" ref="BI1060:BI1070" si="1146">AVERAGE(BE1060,BF1060,BG1060,BH1060)</f>
        <v>9000000</v>
      </c>
      <c r="BJ1060" s="24">
        <f t="shared" ref="BJ1060:BJ1070" si="1147">BI1060-BD1060</f>
        <v>-115812440</v>
      </c>
      <c r="BK1060" s="25">
        <f t="shared" ref="BK1060:BK1070" si="1148">+BJ1060/BD1060</f>
        <v>-0.92789180309270458</v>
      </c>
      <c r="BL1060" s="309">
        <f t="shared" ref="BL1060:BL1070" si="1149">BI1060</f>
        <v>9000000</v>
      </c>
      <c r="BM1060" s="293"/>
      <c r="BN1060" s="293"/>
      <c r="BO1060" s="293"/>
      <c r="BP1060" s="293"/>
      <c r="BQ1060" s="293"/>
      <c r="BR1060" s="293"/>
      <c r="BS1060" s="293"/>
      <c r="BT1060" s="293"/>
    </row>
    <row r="1061" spans="2:72" ht="30">
      <c r="B1061" s="358" t="s">
        <v>3253</v>
      </c>
      <c r="C1061" s="298" t="s">
        <v>2122</v>
      </c>
      <c r="D1061" s="264" t="s">
        <v>2123</v>
      </c>
      <c r="E1061" s="262" t="s">
        <v>999</v>
      </c>
      <c r="F1061" s="8"/>
      <c r="G1061" s="5"/>
      <c r="H1061" s="8"/>
      <c r="I1061" s="8"/>
      <c r="J1061" s="3"/>
      <c r="K1061" s="3"/>
      <c r="L1061" s="3"/>
      <c r="N1061" s="141"/>
      <c r="O1061" s="70"/>
      <c r="P1061" s="70"/>
      <c r="Q1061" s="70"/>
      <c r="R1061" s="70"/>
      <c r="S1061" s="70"/>
      <c r="T1061" s="70"/>
      <c r="U1061" s="70"/>
      <c r="V1061" s="71"/>
      <c r="W1061" s="71"/>
      <c r="X1061" s="71"/>
      <c r="Y1061" s="72"/>
      <c r="Z1061" s="111"/>
      <c r="AA1061" s="120"/>
      <c r="AB1061" s="120"/>
      <c r="AC1061" s="120"/>
      <c r="AD1061" s="120"/>
      <c r="AE1061" s="120"/>
      <c r="AF1061" s="120"/>
      <c r="AG1061" s="120"/>
      <c r="AH1061" s="120"/>
      <c r="AI1061" s="120"/>
      <c r="AJ1061" s="120"/>
      <c r="AK1061" s="120"/>
      <c r="AL1061" s="120"/>
      <c r="AM1061" s="120"/>
      <c r="AN1061" s="120"/>
      <c r="AO1061" s="120"/>
      <c r="AP1061" s="120"/>
      <c r="AQ1061" s="120"/>
      <c r="AR1061" s="120"/>
      <c r="AS1061" s="120"/>
      <c r="BD1061" s="10">
        <v>1906204</v>
      </c>
      <c r="BE1061" s="300"/>
      <c r="BF1061" s="300"/>
      <c r="BG1061" s="300"/>
      <c r="BH1061" s="10" t="s">
        <v>1421</v>
      </c>
      <c r="BI1061" s="76"/>
      <c r="BJ1061" s="24"/>
      <c r="BK1061" s="25"/>
      <c r="BL1061" s="328" t="s">
        <v>807</v>
      </c>
      <c r="BM1061" s="293"/>
      <c r="BN1061" s="293"/>
      <c r="BO1061" s="293"/>
      <c r="BP1061" s="293"/>
      <c r="BQ1061" s="293"/>
      <c r="BR1061" s="293"/>
      <c r="BS1061" s="293"/>
      <c r="BT1061" s="293"/>
    </row>
    <row r="1062" spans="2:72" ht="30">
      <c r="B1062" s="358" t="s">
        <v>3254</v>
      </c>
      <c r="C1062" s="298" t="s">
        <v>2124</v>
      </c>
      <c r="D1062" s="264" t="s">
        <v>2125</v>
      </c>
      <c r="E1062" s="262" t="s">
        <v>1426</v>
      </c>
      <c r="F1062" s="8"/>
      <c r="G1062" s="5"/>
      <c r="H1062" s="8"/>
      <c r="I1062" s="8"/>
      <c r="J1062" s="3"/>
      <c r="K1062" s="3"/>
      <c r="L1062" s="3"/>
      <c r="N1062" s="141"/>
      <c r="O1062" s="70"/>
      <c r="P1062" s="70"/>
      <c r="Q1062" s="70"/>
      <c r="R1062" s="70"/>
      <c r="S1062" s="70"/>
      <c r="T1062" s="70"/>
      <c r="U1062" s="70"/>
      <c r="V1062" s="71"/>
      <c r="W1062" s="71"/>
      <c r="X1062" s="71"/>
      <c r="Y1062" s="72"/>
      <c r="Z1062" s="111"/>
      <c r="AA1062" s="120"/>
      <c r="AB1062" s="120"/>
      <c r="AC1062" s="120"/>
      <c r="AD1062" s="120"/>
      <c r="AE1062" s="120"/>
      <c r="AF1062" s="120"/>
      <c r="AG1062" s="120"/>
      <c r="AH1062" s="120"/>
      <c r="AI1062" s="120"/>
      <c r="AJ1062" s="120"/>
      <c r="AK1062" s="120"/>
      <c r="AL1062" s="120"/>
      <c r="AM1062" s="120"/>
      <c r="AN1062" s="120"/>
      <c r="AO1062" s="120"/>
      <c r="AP1062" s="120"/>
      <c r="AQ1062" s="120"/>
      <c r="AR1062" s="120"/>
      <c r="AS1062" s="120"/>
      <c r="BD1062" s="10">
        <v>370816</v>
      </c>
      <c r="BE1062" s="300"/>
      <c r="BF1062" s="300"/>
      <c r="BG1062" s="300"/>
      <c r="BH1062" s="10" t="s">
        <v>1421</v>
      </c>
      <c r="BI1062" s="76"/>
      <c r="BJ1062" s="24"/>
      <c r="BK1062" s="25"/>
      <c r="BL1062" s="310" t="s">
        <v>807</v>
      </c>
      <c r="BM1062" s="293"/>
      <c r="BN1062" s="293"/>
      <c r="BO1062" s="293"/>
      <c r="BP1062" s="293"/>
      <c r="BQ1062" s="293"/>
      <c r="BR1062" s="293"/>
      <c r="BS1062" s="293"/>
      <c r="BT1062" s="293"/>
    </row>
    <row r="1063" spans="2:72" ht="30">
      <c r="B1063" s="358" t="s">
        <v>3255</v>
      </c>
      <c r="C1063" s="298" t="s">
        <v>2126</v>
      </c>
      <c r="D1063" s="264" t="s">
        <v>2127</v>
      </c>
      <c r="E1063" s="262" t="s">
        <v>905</v>
      </c>
      <c r="F1063" s="8"/>
      <c r="G1063" s="5"/>
      <c r="H1063" s="8"/>
      <c r="I1063" s="8"/>
      <c r="J1063" s="3"/>
      <c r="K1063" s="3"/>
      <c r="L1063" s="3"/>
      <c r="N1063" s="141"/>
      <c r="O1063" s="70"/>
      <c r="P1063" s="70"/>
      <c r="Q1063" s="70"/>
      <c r="R1063" s="70"/>
      <c r="S1063" s="70"/>
      <c r="T1063" s="70"/>
      <c r="U1063" s="70"/>
      <c r="V1063" s="71"/>
      <c r="W1063" s="71"/>
      <c r="X1063" s="71"/>
      <c r="Y1063" s="72"/>
      <c r="Z1063" s="111"/>
      <c r="AA1063" s="120"/>
      <c r="AB1063" s="120"/>
      <c r="AC1063" s="120"/>
      <c r="AD1063" s="120"/>
      <c r="AE1063" s="120"/>
      <c r="AF1063" s="120"/>
      <c r="AG1063" s="120"/>
      <c r="AH1063" s="120"/>
      <c r="AI1063" s="120"/>
      <c r="AJ1063" s="120"/>
      <c r="AK1063" s="120"/>
      <c r="AL1063" s="120"/>
      <c r="AM1063" s="120"/>
      <c r="AN1063" s="120"/>
      <c r="AO1063" s="120"/>
      <c r="AP1063" s="120"/>
      <c r="AQ1063" s="120"/>
      <c r="AR1063" s="120"/>
      <c r="AS1063" s="120"/>
      <c r="BD1063" s="10">
        <v>914490</v>
      </c>
      <c r="BE1063" s="300"/>
      <c r="BF1063" s="300"/>
      <c r="BG1063" s="300"/>
      <c r="BH1063" s="10">
        <v>5000000</v>
      </c>
      <c r="BI1063" s="76">
        <f t="shared" si="1146"/>
        <v>5000000</v>
      </c>
      <c r="BJ1063" s="24">
        <f t="shared" si="1147"/>
        <v>4085510</v>
      </c>
      <c r="BK1063" s="25">
        <f t="shared" si="1148"/>
        <v>4.4675283491344899</v>
      </c>
      <c r="BL1063" s="310" t="s">
        <v>807</v>
      </c>
      <c r="BM1063" s="293"/>
      <c r="BN1063" s="293"/>
      <c r="BO1063" s="293"/>
      <c r="BP1063" s="293"/>
      <c r="BQ1063" s="293"/>
      <c r="BR1063" s="293"/>
      <c r="BS1063" s="293"/>
      <c r="BT1063" s="293"/>
    </row>
    <row r="1064" spans="2:72" ht="30">
      <c r="B1064" s="358" t="s">
        <v>3256</v>
      </c>
      <c r="C1064" s="298" t="s">
        <v>2128</v>
      </c>
      <c r="D1064" s="264" t="s">
        <v>2129</v>
      </c>
      <c r="E1064" s="262" t="s">
        <v>905</v>
      </c>
      <c r="F1064" s="8"/>
      <c r="G1064" s="5"/>
      <c r="H1064" s="8"/>
      <c r="I1064" s="8"/>
      <c r="J1064" s="3"/>
      <c r="K1064" s="3"/>
      <c r="L1064" s="3"/>
      <c r="N1064" s="141"/>
      <c r="O1064" s="70"/>
      <c r="P1064" s="70"/>
      <c r="Q1064" s="70"/>
      <c r="R1064" s="70"/>
      <c r="S1064" s="70"/>
      <c r="T1064" s="70"/>
      <c r="U1064" s="70"/>
      <c r="V1064" s="71"/>
      <c r="W1064" s="71"/>
      <c r="X1064" s="71"/>
      <c r="Y1064" s="72"/>
      <c r="Z1064" s="111"/>
      <c r="AA1064" s="120"/>
      <c r="AB1064" s="120"/>
      <c r="AC1064" s="120"/>
      <c r="AD1064" s="120"/>
      <c r="AE1064" s="120"/>
      <c r="AF1064" s="120"/>
      <c r="AG1064" s="120"/>
      <c r="AH1064" s="120"/>
      <c r="AI1064" s="120"/>
      <c r="AJ1064" s="120"/>
      <c r="AK1064" s="120"/>
      <c r="AL1064" s="120"/>
      <c r="AM1064" s="120"/>
      <c r="AN1064" s="120"/>
      <c r="AO1064" s="120"/>
      <c r="AP1064" s="120"/>
      <c r="AQ1064" s="120"/>
      <c r="AR1064" s="120"/>
      <c r="AS1064" s="120"/>
      <c r="BD1064" s="10">
        <v>1371735</v>
      </c>
      <c r="BE1064" s="300"/>
      <c r="BF1064" s="300"/>
      <c r="BG1064" s="300"/>
      <c r="BH1064" s="10">
        <v>7000000</v>
      </c>
      <c r="BI1064" s="76">
        <f t="shared" si="1146"/>
        <v>7000000</v>
      </c>
      <c r="BJ1064" s="24">
        <f t="shared" si="1147"/>
        <v>5628265</v>
      </c>
      <c r="BK1064" s="25">
        <f t="shared" si="1148"/>
        <v>4.1030264591921908</v>
      </c>
      <c r="BL1064" s="310" t="s">
        <v>807</v>
      </c>
      <c r="BM1064" s="293"/>
      <c r="BN1064" s="293"/>
      <c r="BO1064" s="293"/>
      <c r="BP1064" s="293"/>
      <c r="BQ1064" s="293"/>
      <c r="BR1064" s="293"/>
      <c r="BS1064" s="293"/>
      <c r="BT1064" s="293"/>
    </row>
    <row r="1065" spans="2:72" ht="30">
      <c r="B1065" s="358" t="s">
        <v>3257</v>
      </c>
      <c r="C1065" s="298" t="s">
        <v>2130</v>
      </c>
      <c r="D1065" s="264" t="s">
        <v>2131</v>
      </c>
      <c r="E1065" s="262" t="s">
        <v>905</v>
      </c>
      <c r="F1065" s="8"/>
      <c r="G1065" s="5"/>
      <c r="H1065" s="8"/>
      <c r="I1065" s="8"/>
      <c r="J1065" s="3"/>
      <c r="K1065" s="3"/>
      <c r="L1065" s="3"/>
      <c r="N1065" s="141"/>
      <c r="O1065" s="70"/>
      <c r="P1065" s="70"/>
      <c r="Q1065" s="70"/>
      <c r="R1065" s="70"/>
      <c r="S1065" s="70"/>
      <c r="T1065" s="70"/>
      <c r="U1065" s="70"/>
      <c r="V1065" s="71"/>
      <c r="W1065" s="71"/>
      <c r="X1065" s="71"/>
      <c r="Y1065" s="72"/>
      <c r="Z1065" s="111"/>
      <c r="AA1065" s="120"/>
      <c r="AB1065" s="120"/>
      <c r="AC1065" s="120"/>
      <c r="AD1065" s="120"/>
      <c r="AE1065" s="120"/>
      <c r="AF1065" s="120"/>
      <c r="AG1065" s="120"/>
      <c r="AH1065" s="120"/>
      <c r="AI1065" s="120"/>
      <c r="AJ1065" s="120"/>
      <c r="AK1065" s="120"/>
      <c r="AL1065" s="120"/>
      <c r="AM1065" s="120"/>
      <c r="AN1065" s="120"/>
      <c r="AO1065" s="120"/>
      <c r="AP1065" s="120"/>
      <c r="AQ1065" s="120"/>
      <c r="AR1065" s="120"/>
      <c r="AS1065" s="120"/>
      <c r="BD1065" s="10">
        <v>3556350</v>
      </c>
      <c r="BE1065" s="300"/>
      <c r="BF1065" s="300"/>
      <c r="BG1065" s="300"/>
      <c r="BH1065" s="10"/>
      <c r="BI1065" s="76"/>
      <c r="BJ1065" s="24"/>
      <c r="BK1065" s="25"/>
      <c r="BL1065" s="310" t="s">
        <v>807</v>
      </c>
      <c r="BM1065" s="293"/>
      <c r="BN1065" s="293"/>
      <c r="BO1065" s="293"/>
      <c r="BP1065" s="293"/>
      <c r="BQ1065" s="293"/>
      <c r="BR1065" s="293"/>
      <c r="BS1065" s="293"/>
      <c r="BT1065" s="293"/>
    </row>
    <row r="1066" spans="2:72">
      <c r="B1066" s="358" t="s">
        <v>3258</v>
      </c>
      <c r="C1066" s="298" t="s">
        <v>2132</v>
      </c>
      <c r="D1066" s="264" t="s">
        <v>2133</v>
      </c>
      <c r="E1066" s="262" t="s">
        <v>999</v>
      </c>
      <c r="F1066" s="8"/>
      <c r="G1066" s="5"/>
      <c r="H1066" s="8"/>
      <c r="I1066" s="8"/>
      <c r="J1066" s="3"/>
      <c r="K1066" s="3"/>
      <c r="L1066" s="3"/>
      <c r="N1066" s="141"/>
      <c r="O1066" s="70"/>
      <c r="P1066" s="70"/>
      <c r="Q1066" s="70"/>
      <c r="R1066" s="70"/>
      <c r="S1066" s="70"/>
      <c r="T1066" s="70"/>
      <c r="U1066" s="70"/>
      <c r="V1066" s="71"/>
      <c r="W1066" s="71"/>
      <c r="X1066" s="71"/>
      <c r="Y1066" s="72"/>
      <c r="Z1066" s="111"/>
      <c r="AA1066" s="120"/>
      <c r="AB1066" s="120"/>
      <c r="AC1066" s="120"/>
      <c r="AD1066" s="120"/>
      <c r="AE1066" s="120"/>
      <c r="AF1066" s="120"/>
      <c r="AG1066" s="120"/>
      <c r="AH1066" s="120"/>
      <c r="AI1066" s="120"/>
      <c r="AJ1066" s="120"/>
      <c r="AK1066" s="120"/>
      <c r="AL1066" s="120"/>
      <c r="AM1066" s="120"/>
      <c r="AN1066" s="120"/>
      <c r="AO1066" s="120"/>
      <c r="AP1066" s="120"/>
      <c r="AQ1066" s="120"/>
      <c r="AR1066" s="120"/>
      <c r="AS1066" s="120"/>
      <c r="BD1066" s="10">
        <v>3861180</v>
      </c>
      <c r="BE1066" s="300"/>
      <c r="BF1066" s="300"/>
      <c r="BG1066" s="300"/>
      <c r="BH1066" s="10">
        <v>5000000</v>
      </c>
      <c r="BI1066" s="76">
        <f t="shared" si="1146"/>
        <v>5000000</v>
      </c>
      <c r="BJ1066" s="24">
        <f t="shared" si="1147"/>
        <v>1138820</v>
      </c>
      <c r="BK1066" s="25">
        <f t="shared" si="1148"/>
        <v>0.29494092479501083</v>
      </c>
      <c r="BL1066" s="309">
        <f t="shared" si="1149"/>
        <v>5000000</v>
      </c>
      <c r="BM1066" s="293"/>
      <c r="BN1066" s="293"/>
      <c r="BO1066" s="293"/>
      <c r="BP1066" s="293"/>
      <c r="BQ1066" s="293"/>
      <c r="BR1066" s="293"/>
      <c r="BS1066" s="293"/>
      <c r="BT1066" s="293"/>
    </row>
    <row r="1067" spans="2:72">
      <c r="B1067" s="358" t="s">
        <v>3259</v>
      </c>
      <c r="C1067" s="298" t="s">
        <v>2134</v>
      </c>
      <c r="D1067" s="264" t="s">
        <v>2135</v>
      </c>
      <c r="E1067" s="262" t="s">
        <v>999</v>
      </c>
      <c r="F1067" s="8"/>
      <c r="G1067" s="5"/>
      <c r="H1067" s="8"/>
      <c r="I1067" s="8"/>
      <c r="J1067" s="3"/>
      <c r="K1067" s="3"/>
      <c r="L1067" s="3"/>
      <c r="N1067" s="141"/>
      <c r="O1067" s="70"/>
      <c r="P1067" s="70"/>
      <c r="Q1067" s="70"/>
      <c r="R1067" s="70"/>
      <c r="S1067" s="70"/>
      <c r="T1067" s="70"/>
      <c r="U1067" s="70"/>
      <c r="V1067" s="71"/>
      <c r="W1067" s="71"/>
      <c r="X1067" s="71"/>
      <c r="Y1067" s="72"/>
      <c r="Z1067" s="111"/>
      <c r="AA1067" s="120"/>
      <c r="AB1067" s="120"/>
      <c r="AC1067" s="120"/>
      <c r="AD1067" s="120"/>
      <c r="AE1067" s="120"/>
      <c r="AF1067" s="120"/>
      <c r="AG1067" s="120"/>
      <c r="AH1067" s="120"/>
      <c r="AI1067" s="120"/>
      <c r="AJ1067" s="120"/>
      <c r="AK1067" s="120"/>
      <c r="AL1067" s="120"/>
      <c r="AM1067" s="120"/>
      <c r="AN1067" s="120"/>
      <c r="AO1067" s="120"/>
      <c r="AP1067" s="120"/>
      <c r="AQ1067" s="120"/>
      <c r="AR1067" s="120"/>
      <c r="AS1067" s="120"/>
      <c r="BD1067" s="10">
        <v>3353130</v>
      </c>
      <c r="BE1067" s="300"/>
      <c r="BF1067" s="300"/>
      <c r="BG1067" s="300"/>
      <c r="BH1067" s="10">
        <v>10000000</v>
      </c>
      <c r="BI1067" s="76">
        <f t="shared" si="1146"/>
        <v>10000000</v>
      </c>
      <c r="BJ1067" s="24">
        <f t="shared" si="1147"/>
        <v>6646870</v>
      </c>
      <c r="BK1067" s="25">
        <f t="shared" si="1148"/>
        <v>1.9822881904369947</v>
      </c>
      <c r="BL1067" s="309">
        <f t="shared" si="1149"/>
        <v>10000000</v>
      </c>
      <c r="BM1067" s="293"/>
      <c r="BN1067" s="293"/>
      <c r="BO1067" s="293"/>
      <c r="BP1067" s="293"/>
      <c r="BQ1067" s="293"/>
      <c r="BR1067" s="293"/>
      <c r="BS1067" s="293"/>
      <c r="BT1067" s="293"/>
    </row>
    <row r="1068" spans="2:72">
      <c r="B1068" s="358" t="s">
        <v>3260</v>
      </c>
      <c r="C1068" s="297">
        <v>21</v>
      </c>
      <c r="D1068" s="258" t="s">
        <v>2136</v>
      </c>
      <c r="E1068" s="137"/>
      <c r="F1068" s="8"/>
      <c r="G1068" s="5"/>
      <c r="H1068" s="8"/>
      <c r="I1068" s="8"/>
      <c r="J1068" s="3"/>
      <c r="K1068" s="3"/>
      <c r="L1068" s="3"/>
      <c r="N1068" s="137"/>
      <c r="O1068" s="137"/>
      <c r="P1068" s="137"/>
      <c r="Q1068" s="137"/>
      <c r="R1068" s="137"/>
      <c r="S1068" s="137"/>
      <c r="T1068" s="137"/>
      <c r="U1068" s="137"/>
      <c r="V1068" s="137"/>
      <c r="W1068" s="137"/>
      <c r="X1068" s="137"/>
      <c r="Y1068" s="137"/>
      <c r="Z1068" s="137"/>
      <c r="AA1068" s="137"/>
      <c r="AB1068" s="137"/>
      <c r="AC1068" s="137"/>
      <c r="AD1068" s="137"/>
      <c r="AE1068" s="137"/>
      <c r="AF1068" s="137"/>
      <c r="AG1068" s="137"/>
      <c r="AH1068" s="137"/>
      <c r="AI1068" s="137"/>
      <c r="AJ1068" s="137"/>
      <c r="AK1068" s="137"/>
      <c r="AL1068" s="137"/>
      <c r="AM1068" s="137"/>
      <c r="AN1068" s="137"/>
      <c r="AO1068" s="137"/>
      <c r="AP1068" s="137"/>
      <c r="AQ1068" s="137"/>
      <c r="AR1068" s="137"/>
      <c r="AS1068" s="137"/>
      <c r="BD1068" s="173"/>
      <c r="BE1068" s="173"/>
      <c r="BF1068" s="173"/>
      <c r="BG1068" s="173"/>
      <c r="BH1068" s="173"/>
      <c r="BI1068" s="76"/>
      <c r="BJ1068" s="24"/>
      <c r="BK1068" s="25"/>
      <c r="BL1068" s="309"/>
      <c r="BM1068" s="293"/>
      <c r="BN1068" s="293"/>
      <c r="BO1068" s="293"/>
      <c r="BP1068" s="293"/>
      <c r="BQ1068" s="293"/>
      <c r="BR1068" s="293"/>
      <c r="BS1068" s="293"/>
      <c r="BT1068" s="293"/>
    </row>
    <row r="1069" spans="2:72">
      <c r="B1069" s="358" t="s">
        <v>3261</v>
      </c>
      <c r="C1069" s="298" t="s">
        <v>2137</v>
      </c>
      <c r="D1069" s="264" t="s">
        <v>2138</v>
      </c>
      <c r="E1069" s="262" t="s">
        <v>2139</v>
      </c>
      <c r="F1069" s="8"/>
      <c r="G1069" s="5"/>
      <c r="H1069" s="8"/>
      <c r="I1069" s="8"/>
      <c r="J1069" s="3"/>
      <c r="K1069" s="3"/>
      <c r="L1069" s="3"/>
      <c r="N1069" s="141"/>
      <c r="O1069" s="70"/>
      <c r="P1069" s="70"/>
      <c r="Q1069" s="70"/>
      <c r="R1069" s="70"/>
      <c r="S1069" s="70"/>
      <c r="T1069" s="70"/>
      <c r="U1069" s="70"/>
      <c r="V1069" s="71"/>
      <c r="W1069" s="71"/>
      <c r="X1069" s="71"/>
      <c r="Y1069" s="72"/>
      <c r="Z1069" s="111"/>
      <c r="AA1069" s="120"/>
      <c r="AB1069" s="120"/>
      <c r="AC1069" s="120"/>
      <c r="AD1069" s="120"/>
      <c r="AE1069" s="120"/>
      <c r="AF1069" s="120"/>
      <c r="AG1069" s="120"/>
      <c r="AH1069" s="120"/>
      <c r="AI1069" s="120"/>
      <c r="AJ1069" s="120"/>
      <c r="AK1069" s="120"/>
      <c r="AL1069" s="120"/>
      <c r="AM1069" s="120"/>
      <c r="AN1069" s="120"/>
      <c r="AO1069" s="120"/>
      <c r="AP1069" s="120"/>
      <c r="AQ1069" s="120"/>
      <c r="AR1069" s="120"/>
      <c r="AS1069" s="120"/>
      <c r="BD1069" s="10">
        <v>4821</v>
      </c>
      <c r="BE1069" s="10">
        <v>11800</v>
      </c>
      <c r="BF1069" s="10">
        <v>12500</v>
      </c>
      <c r="BG1069" s="300"/>
      <c r="BH1069" s="10">
        <v>20000</v>
      </c>
      <c r="BI1069" s="76">
        <f t="shared" si="1146"/>
        <v>14766.666666666666</v>
      </c>
      <c r="BJ1069" s="24">
        <f t="shared" si="1147"/>
        <v>9945.6666666666661</v>
      </c>
      <c r="BK1069" s="25">
        <f t="shared" si="1148"/>
        <v>2.0629883150107169</v>
      </c>
      <c r="BL1069" s="309">
        <f t="shared" si="1149"/>
        <v>14766.666666666666</v>
      </c>
      <c r="BM1069" s="293"/>
      <c r="BN1069" s="293"/>
      <c r="BO1069" s="293"/>
      <c r="BP1069" s="293"/>
      <c r="BQ1069" s="293"/>
      <c r="BR1069" s="293"/>
      <c r="BS1069" s="293"/>
      <c r="BT1069" s="293"/>
    </row>
    <row r="1070" spans="2:72" ht="30.75" thickBot="1">
      <c r="B1070" s="358" t="s">
        <v>3262</v>
      </c>
      <c r="C1070" s="298" t="s">
        <v>2140</v>
      </c>
      <c r="D1070" s="301" t="s">
        <v>2141</v>
      </c>
      <c r="E1070" s="302" t="s">
        <v>2139</v>
      </c>
      <c r="N1070" s="141"/>
      <c r="O1070" s="70"/>
      <c r="P1070" s="70"/>
      <c r="Q1070" s="70"/>
      <c r="R1070" s="70"/>
      <c r="S1070" s="70"/>
      <c r="T1070" s="70"/>
      <c r="U1070" s="70"/>
      <c r="V1070" s="71"/>
      <c r="W1070" s="71"/>
      <c r="X1070" s="71"/>
      <c r="Y1070" s="72"/>
      <c r="Z1070" s="111"/>
      <c r="AA1070" s="120"/>
      <c r="AB1070" s="120"/>
      <c r="AC1070" s="120"/>
      <c r="AD1070" s="120"/>
      <c r="AE1070" s="120"/>
      <c r="AF1070" s="120"/>
      <c r="AG1070" s="120"/>
      <c r="AH1070" s="120"/>
      <c r="AI1070" s="120"/>
      <c r="AJ1070" s="120"/>
      <c r="AK1070" s="120"/>
      <c r="AL1070" s="120"/>
      <c r="AM1070" s="120"/>
      <c r="AN1070" s="120"/>
      <c r="AO1070" s="120"/>
      <c r="AP1070" s="120"/>
      <c r="AQ1070" s="120"/>
      <c r="AR1070" s="120"/>
      <c r="AS1070" s="120"/>
      <c r="BD1070" s="224">
        <v>5227</v>
      </c>
      <c r="BE1070" s="224">
        <v>11800</v>
      </c>
      <c r="BF1070" s="224">
        <v>12500</v>
      </c>
      <c r="BG1070" s="303"/>
      <c r="BH1070" s="224">
        <v>20000</v>
      </c>
      <c r="BI1070" s="304">
        <f t="shared" si="1146"/>
        <v>14766.666666666666</v>
      </c>
      <c r="BJ1070" s="228">
        <f t="shared" si="1147"/>
        <v>9539.6666666666661</v>
      </c>
      <c r="BK1070" s="229">
        <f t="shared" si="1148"/>
        <v>1.8250749314456984</v>
      </c>
      <c r="BL1070" s="329">
        <f t="shared" si="1149"/>
        <v>14766.666666666666</v>
      </c>
      <c r="BM1070" s="293"/>
      <c r="BN1070" s="293"/>
      <c r="BO1070" s="293"/>
      <c r="BP1070" s="293"/>
      <c r="BQ1070" s="293"/>
      <c r="BR1070" s="293"/>
      <c r="BS1070" s="293"/>
      <c r="BT1070" s="293"/>
    </row>
  </sheetData>
  <autoFilter ref="A3:M897" xr:uid="{00000000-0009-0000-0000-000002000000}"/>
  <mergeCells count="10">
    <mergeCell ref="BI2:BK2"/>
    <mergeCell ref="BQ2:BS2"/>
    <mergeCell ref="AP2:AR2"/>
    <mergeCell ref="AX2:AZ2"/>
    <mergeCell ref="BA2:BB2"/>
    <mergeCell ref="F1:I1"/>
    <mergeCell ref="J2:L2"/>
    <mergeCell ref="O1:U1"/>
    <mergeCell ref="V2:X2"/>
    <mergeCell ref="AE2:AG2"/>
  </mergeCells>
  <phoneticPr fontId="21" type="noConversion"/>
  <conditionalFormatting sqref="L5:L32 L63:L79 L34:L61 L868:L897 L680:L726 L629:L678 L547:L627 L449:L545 L419:L447 L396:L417 L334:L394 L253:L332 X274:X332 AZ290:AZ332 BB290:BB332 L166:L251 X199:X251 AG199:AG251 AR213:AR251 AZ227:AZ251 BB227:BB251 BK230:BK247 L728:L866 X769:X866 AG769:AG866 AR769:AR866 AZ780:AZ866 BB780:BB866 L906:L940 L129:L164 X136:X164 AG136:AG164 AZ149:AZ164 BB149:BB164">
    <cfRule type="cellIs" dxfId="5644" priority="2881" operator="lessThan">
      <formula>0</formula>
    </cfRule>
    <cfRule type="cellIs" dxfId="5643" priority="2882" operator="greaterThan">
      <formula>100.00001%</formula>
    </cfRule>
    <cfRule type="cellIs" dxfId="5642" priority="2883" operator="between">
      <formula>0.66</formula>
      <formula>1</formula>
    </cfRule>
    <cfRule type="cellIs" dxfId="5641" priority="2884" operator="between">
      <formula>0.401</formula>
      <formula>0.659999999999</formula>
    </cfRule>
    <cfRule type="cellIs" dxfId="5640" priority="2885" operator="between">
      <formula>0</formula>
      <formula>0.4</formula>
    </cfRule>
  </conditionalFormatting>
  <conditionalFormatting sqref="X5:X32 X135 X196 X198 X750 X757 X768 X870:X871 X874 X63:X79 X34:X61">
    <cfRule type="cellIs" dxfId="5639" priority="2871" operator="lessThan">
      <formula>0</formula>
    </cfRule>
    <cfRule type="cellIs" dxfId="5638" priority="2872" operator="greaterThan">
      <formula>100.00001%</formula>
    </cfRule>
    <cfRule type="cellIs" dxfId="5637" priority="2873" operator="between">
      <formula>0.66</formula>
      <formula>1</formula>
    </cfRule>
    <cfRule type="cellIs" dxfId="5636" priority="2874" operator="between">
      <formula>0.401</formula>
      <formula>0.659999999999</formula>
    </cfRule>
    <cfRule type="cellIs" dxfId="5635" priority="2875" operator="between">
      <formula>0</formula>
      <formula>0.4</formula>
    </cfRule>
  </conditionalFormatting>
  <conditionalFormatting sqref="X129:X134">
    <cfRule type="cellIs" dxfId="5634" priority="2861" operator="lessThan">
      <formula>0</formula>
    </cfRule>
    <cfRule type="cellIs" dxfId="5633" priority="2862" operator="greaterThan">
      <formula>100.00001%</formula>
    </cfRule>
    <cfRule type="cellIs" dxfId="5632" priority="2863" operator="between">
      <formula>0.66</formula>
      <formula>1</formula>
    </cfRule>
    <cfRule type="cellIs" dxfId="5631" priority="2864" operator="between">
      <formula>0.401</formula>
      <formula>0.659999999999</formula>
    </cfRule>
    <cfRule type="cellIs" dxfId="5630" priority="2865" operator="between">
      <formula>0</formula>
      <formula>0.4</formula>
    </cfRule>
  </conditionalFormatting>
  <conditionalFormatting sqref="X629:X678">
    <cfRule type="cellIs" dxfId="5629" priority="2846" operator="lessThan">
      <formula>0</formula>
    </cfRule>
    <cfRule type="cellIs" dxfId="5628" priority="2847" operator="greaterThan">
      <formula>100.00001%</formula>
    </cfRule>
    <cfRule type="cellIs" dxfId="5627" priority="2848" operator="between">
      <formula>0.66</formula>
      <formula>1</formula>
    </cfRule>
    <cfRule type="cellIs" dxfId="5626" priority="2849" operator="between">
      <formula>0.401</formula>
      <formula>0.659999999999</formula>
    </cfRule>
    <cfRule type="cellIs" dxfId="5625" priority="2850" operator="between">
      <formula>0</formula>
      <formula>0.4</formula>
    </cfRule>
  </conditionalFormatting>
  <conditionalFormatting sqref="X680:X726">
    <cfRule type="cellIs" dxfId="5624" priority="2841" operator="lessThan">
      <formula>0</formula>
    </cfRule>
    <cfRule type="cellIs" dxfId="5623" priority="2842" operator="greaterThan">
      <formula>100.00001%</formula>
    </cfRule>
    <cfRule type="cellIs" dxfId="5622" priority="2843" operator="between">
      <formula>0.66</formula>
      <formula>1</formula>
    </cfRule>
    <cfRule type="cellIs" dxfId="5621" priority="2844" operator="between">
      <formula>0.401</formula>
      <formula>0.659999999999</formula>
    </cfRule>
    <cfRule type="cellIs" dxfId="5620" priority="2845" operator="between">
      <formula>0</formula>
      <formula>0.4</formula>
    </cfRule>
  </conditionalFormatting>
  <conditionalFormatting sqref="X547:X627">
    <cfRule type="cellIs" dxfId="5619" priority="2836" operator="lessThan">
      <formula>0</formula>
    </cfRule>
    <cfRule type="cellIs" dxfId="5618" priority="2837" operator="greaterThan">
      <formula>100.00001%</formula>
    </cfRule>
    <cfRule type="cellIs" dxfId="5617" priority="2838" operator="between">
      <formula>0.66</formula>
      <formula>1</formula>
    </cfRule>
    <cfRule type="cellIs" dxfId="5616" priority="2839" operator="between">
      <formula>0.401</formula>
      <formula>0.659999999999</formula>
    </cfRule>
    <cfRule type="cellIs" dxfId="5615" priority="2840" operator="between">
      <formula>0</formula>
      <formula>0.4</formula>
    </cfRule>
  </conditionalFormatting>
  <conditionalFormatting sqref="X396:X417">
    <cfRule type="cellIs" dxfId="5614" priority="2826" operator="lessThan">
      <formula>0</formula>
    </cfRule>
    <cfRule type="cellIs" dxfId="5613" priority="2827" operator="greaterThan">
      <formula>100.00001%</formula>
    </cfRule>
    <cfRule type="cellIs" dxfId="5612" priority="2828" operator="between">
      <formula>0.66</formula>
      <formula>1</formula>
    </cfRule>
    <cfRule type="cellIs" dxfId="5611" priority="2829" operator="between">
      <formula>0.401</formula>
      <formula>0.659999999999</formula>
    </cfRule>
    <cfRule type="cellIs" dxfId="5610" priority="2830" operator="between">
      <formula>0</formula>
      <formula>0.4</formula>
    </cfRule>
  </conditionalFormatting>
  <conditionalFormatting sqref="X419:X447">
    <cfRule type="cellIs" dxfId="5609" priority="2821" operator="lessThan">
      <formula>0</formula>
    </cfRule>
    <cfRule type="cellIs" dxfId="5608" priority="2822" operator="greaterThan">
      <formula>100.00001%</formula>
    </cfRule>
    <cfRule type="cellIs" dxfId="5607" priority="2823" operator="between">
      <formula>0.66</formula>
      <formula>1</formula>
    </cfRule>
    <cfRule type="cellIs" dxfId="5606" priority="2824" operator="between">
      <formula>0.401</formula>
      <formula>0.659999999999</formula>
    </cfRule>
    <cfRule type="cellIs" dxfId="5605" priority="2825" operator="between">
      <formula>0</formula>
      <formula>0.4</formula>
    </cfRule>
  </conditionalFormatting>
  <conditionalFormatting sqref="X449:X545">
    <cfRule type="cellIs" dxfId="5604" priority="2816" operator="lessThan">
      <formula>0</formula>
    </cfRule>
    <cfRule type="cellIs" dxfId="5603" priority="2817" operator="greaterThan">
      <formula>100.00001%</formula>
    </cfRule>
    <cfRule type="cellIs" dxfId="5602" priority="2818" operator="between">
      <formula>0.66</formula>
      <formula>1</formula>
    </cfRule>
    <cfRule type="cellIs" dxfId="5601" priority="2819" operator="between">
      <formula>0.401</formula>
      <formula>0.659999999999</formula>
    </cfRule>
    <cfRule type="cellIs" dxfId="5600" priority="2820" operator="between">
      <formula>0</formula>
      <formula>0.4</formula>
    </cfRule>
  </conditionalFormatting>
  <conditionalFormatting sqref="X166:X195">
    <cfRule type="cellIs" dxfId="5599" priority="2811" operator="lessThan">
      <formula>0</formula>
    </cfRule>
    <cfRule type="cellIs" dxfId="5598" priority="2812" operator="greaterThan">
      <formula>100.00001%</formula>
    </cfRule>
    <cfRule type="cellIs" dxfId="5597" priority="2813" operator="between">
      <formula>0.66</formula>
      <formula>1</formula>
    </cfRule>
    <cfRule type="cellIs" dxfId="5596" priority="2814" operator="between">
      <formula>0.401</formula>
      <formula>0.659999999999</formula>
    </cfRule>
    <cfRule type="cellIs" dxfId="5595" priority="2815" operator="between">
      <formula>0</formula>
      <formula>0.4</formula>
    </cfRule>
  </conditionalFormatting>
  <conditionalFormatting sqref="X197">
    <cfRule type="cellIs" dxfId="5594" priority="2806" operator="lessThan">
      <formula>0</formula>
    </cfRule>
    <cfRule type="cellIs" dxfId="5593" priority="2807" operator="greaterThan">
      <formula>100.00001%</formula>
    </cfRule>
    <cfRule type="cellIs" dxfId="5592" priority="2808" operator="between">
      <formula>0.66</formula>
      <formula>1</formula>
    </cfRule>
    <cfRule type="cellIs" dxfId="5591" priority="2809" operator="between">
      <formula>0.401</formula>
      <formula>0.659999999999</formula>
    </cfRule>
    <cfRule type="cellIs" dxfId="5590" priority="2810" operator="between">
      <formula>0</formula>
      <formula>0.4</formula>
    </cfRule>
  </conditionalFormatting>
  <conditionalFormatting sqref="X253:X273">
    <cfRule type="cellIs" dxfId="5589" priority="2796" operator="lessThan">
      <formula>0</formula>
    </cfRule>
    <cfRule type="cellIs" dxfId="5588" priority="2797" operator="greaterThan">
      <formula>100.00001%</formula>
    </cfRule>
    <cfRule type="cellIs" dxfId="5587" priority="2798" operator="between">
      <formula>0.66</formula>
      <formula>1</formula>
    </cfRule>
    <cfRule type="cellIs" dxfId="5586" priority="2799" operator="between">
      <formula>0.401</formula>
      <formula>0.659999999999</formula>
    </cfRule>
    <cfRule type="cellIs" dxfId="5585" priority="2800" operator="between">
      <formula>0</formula>
      <formula>0.4</formula>
    </cfRule>
  </conditionalFormatting>
  <conditionalFormatting sqref="X728:X749">
    <cfRule type="cellIs" dxfId="5584" priority="2791" operator="lessThan">
      <formula>0</formula>
    </cfRule>
    <cfRule type="cellIs" dxfId="5583" priority="2792" operator="greaterThan">
      <formula>100.00001%</formula>
    </cfRule>
    <cfRule type="cellIs" dxfId="5582" priority="2793" operator="between">
      <formula>0.66</formula>
      <formula>1</formula>
    </cfRule>
    <cfRule type="cellIs" dxfId="5581" priority="2794" operator="between">
      <formula>0.401</formula>
      <formula>0.659999999999</formula>
    </cfRule>
    <cfRule type="cellIs" dxfId="5580" priority="2795" operator="between">
      <formula>0</formula>
      <formula>0.4</formula>
    </cfRule>
  </conditionalFormatting>
  <conditionalFormatting sqref="X751">
    <cfRule type="cellIs" dxfId="5579" priority="2786" operator="lessThan">
      <formula>0</formula>
    </cfRule>
    <cfRule type="cellIs" dxfId="5578" priority="2787" operator="greaterThan">
      <formula>100.00001%</formula>
    </cfRule>
    <cfRule type="cellIs" dxfId="5577" priority="2788" operator="between">
      <formula>0.66</formula>
      <formula>1</formula>
    </cfRule>
    <cfRule type="cellIs" dxfId="5576" priority="2789" operator="between">
      <formula>0.401</formula>
      <formula>0.659999999999</formula>
    </cfRule>
    <cfRule type="cellIs" dxfId="5575" priority="2790" operator="between">
      <formula>0</formula>
      <formula>0.4</formula>
    </cfRule>
  </conditionalFormatting>
  <conditionalFormatting sqref="X752:X756">
    <cfRule type="cellIs" dxfId="5574" priority="2781" operator="lessThan">
      <formula>0</formula>
    </cfRule>
    <cfRule type="cellIs" dxfId="5573" priority="2782" operator="greaterThan">
      <formula>100.00001%</formula>
    </cfRule>
    <cfRule type="cellIs" dxfId="5572" priority="2783" operator="between">
      <formula>0.66</formula>
      <formula>1</formula>
    </cfRule>
    <cfRule type="cellIs" dxfId="5571" priority="2784" operator="between">
      <formula>0.401</formula>
      <formula>0.659999999999</formula>
    </cfRule>
    <cfRule type="cellIs" dxfId="5570" priority="2785" operator="between">
      <formula>0</formula>
      <formula>0.4</formula>
    </cfRule>
  </conditionalFormatting>
  <conditionalFormatting sqref="X758:X767">
    <cfRule type="cellIs" dxfId="5569" priority="2776" operator="lessThan">
      <formula>0</formula>
    </cfRule>
    <cfRule type="cellIs" dxfId="5568" priority="2777" operator="greaterThan">
      <formula>100.00001%</formula>
    </cfRule>
    <cfRule type="cellIs" dxfId="5567" priority="2778" operator="between">
      <formula>0.66</formula>
      <formula>1</formula>
    </cfRule>
    <cfRule type="cellIs" dxfId="5566" priority="2779" operator="between">
      <formula>0.401</formula>
      <formula>0.659999999999</formula>
    </cfRule>
    <cfRule type="cellIs" dxfId="5565" priority="2780" operator="between">
      <formula>0</formula>
      <formula>0.4</formula>
    </cfRule>
  </conditionalFormatting>
  <conditionalFormatting sqref="X868:X869">
    <cfRule type="cellIs" dxfId="5564" priority="2766" operator="lessThan">
      <formula>0</formula>
    </cfRule>
    <cfRule type="cellIs" dxfId="5563" priority="2767" operator="greaterThan">
      <formula>100.00001%</formula>
    </cfRule>
    <cfRule type="cellIs" dxfId="5562" priority="2768" operator="between">
      <formula>0.66</formula>
      <formula>1</formula>
    </cfRule>
    <cfRule type="cellIs" dxfId="5561" priority="2769" operator="between">
      <formula>0.401</formula>
      <formula>0.659999999999</formula>
    </cfRule>
    <cfRule type="cellIs" dxfId="5560" priority="2770" operator="between">
      <formula>0</formula>
      <formula>0.4</formula>
    </cfRule>
  </conditionalFormatting>
  <conditionalFormatting sqref="X872:X873">
    <cfRule type="cellIs" dxfId="5559" priority="2761" operator="lessThan">
      <formula>0</formula>
    </cfRule>
    <cfRule type="cellIs" dxfId="5558" priority="2762" operator="greaterThan">
      <formula>100.00001%</formula>
    </cfRule>
    <cfRule type="cellIs" dxfId="5557" priority="2763" operator="between">
      <formula>0.66</formula>
      <formula>1</formula>
    </cfRule>
    <cfRule type="cellIs" dxfId="5556" priority="2764" operator="between">
      <formula>0.401</formula>
      <formula>0.659999999999</formula>
    </cfRule>
    <cfRule type="cellIs" dxfId="5555" priority="2765" operator="between">
      <formula>0</formula>
      <formula>0.4</formula>
    </cfRule>
  </conditionalFormatting>
  <conditionalFormatting sqref="X875:X880">
    <cfRule type="cellIs" dxfId="5554" priority="2756" operator="lessThan">
      <formula>0</formula>
    </cfRule>
    <cfRule type="cellIs" dxfId="5553" priority="2757" operator="greaterThan">
      <formula>100.00001%</formula>
    </cfRule>
    <cfRule type="cellIs" dxfId="5552" priority="2758" operator="between">
      <formula>0.66</formula>
      <formula>1</formula>
    </cfRule>
    <cfRule type="cellIs" dxfId="5551" priority="2759" operator="between">
      <formula>0.401</formula>
      <formula>0.659999999999</formula>
    </cfRule>
    <cfRule type="cellIs" dxfId="5550" priority="2760" operator="between">
      <formula>0</formula>
      <formula>0.4</formula>
    </cfRule>
  </conditionalFormatting>
  <conditionalFormatting sqref="X882:X885">
    <cfRule type="cellIs" dxfId="5549" priority="2751" operator="lessThan">
      <formula>0</formula>
    </cfRule>
    <cfRule type="cellIs" dxfId="5548" priority="2752" operator="greaterThan">
      <formula>100.00001%</formula>
    </cfRule>
    <cfRule type="cellIs" dxfId="5547" priority="2753" operator="between">
      <formula>0.66</formula>
      <formula>1</formula>
    </cfRule>
    <cfRule type="cellIs" dxfId="5546" priority="2754" operator="between">
      <formula>0.401</formula>
      <formula>0.659999999999</formula>
    </cfRule>
    <cfRule type="cellIs" dxfId="5545" priority="2755" operator="between">
      <formula>0</formula>
      <formula>0.4</formula>
    </cfRule>
  </conditionalFormatting>
  <conditionalFormatting sqref="X888">
    <cfRule type="cellIs" dxfId="5544" priority="2746" operator="lessThan">
      <formula>0</formula>
    </cfRule>
    <cfRule type="cellIs" dxfId="5543" priority="2747" operator="greaterThan">
      <formula>100.00001%</formula>
    </cfRule>
    <cfRule type="cellIs" dxfId="5542" priority="2748" operator="between">
      <formula>0.66</formula>
      <formula>1</formula>
    </cfRule>
    <cfRule type="cellIs" dxfId="5541" priority="2749" operator="between">
      <formula>0.401</formula>
      <formula>0.659999999999</formula>
    </cfRule>
    <cfRule type="cellIs" dxfId="5540" priority="2750" operator="between">
      <formula>0</formula>
      <formula>0.4</formula>
    </cfRule>
  </conditionalFormatting>
  <conditionalFormatting sqref="X894">
    <cfRule type="cellIs" dxfId="5539" priority="2741" operator="lessThan">
      <formula>0</formula>
    </cfRule>
    <cfRule type="cellIs" dxfId="5538" priority="2742" operator="greaterThan">
      <formula>100.00001%</formula>
    </cfRule>
    <cfRule type="cellIs" dxfId="5537" priority="2743" operator="between">
      <formula>0.66</formula>
      <formula>1</formula>
    </cfRule>
    <cfRule type="cellIs" dxfId="5536" priority="2744" operator="between">
      <formula>0.401</formula>
      <formula>0.659999999999</formula>
    </cfRule>
    <cfRule type="cellIs" dxfId="5535" priority="2745" operator="between">
      <formula>0</formula>
      <formula>0.4</formula>
    </cfRule>
  </conditionalFormatting>
  <conditionalFormatting sqref="X895">
    <cfRule type="cellIs" dxfId="5534" priority="2736" operator="lessThan">
      <formula>0</formula>
    </cfRule>
    <cfRule type="cellIs" dxfId="5533" priority="2737" operator="greaterThan">
      <formula>100.00001%</formula>
    </cfRule>
    <cfRule type="cellIs" dxfId="5532" priority="2738" operator="between">
      <formula>0.66</formula>
      <formula>1</formula>
    </cfRule>
    <cfRule type="cellIs" dxfId="5531" priority="2739" operator="between">
      <formula>0.401</formula>
      <formula>0.659999999999</formula>
    </cfRule>
    <cfRule type="cellIs" dxfId="5530" priority="2740" operator="between">
      <formula>0</formula>
      <formula>0.4</formula>
    </cfRule>
  </conditionalFormatting>
  <conditionalFormatting sqref="X80:X127">
    <cfRule type="cellIs" dxfId="5529" priority="2731" operator="lessThan">
      <formula>0</formula>
    </cfRule>
    <cfRule type="cellIs" dxfId="5528" priority="2732" operator="greaterThan">
      <formula>100.00001%</formula>
    </cfRule>
    <cfRule type="cellIs" dxfId="5527" priority="2733" operator="between">
      <formula>0.66</formula>
      <formula>1</formula>
    </cfRule>
    <cfRule type="cellIs" dxfId="5526" priority="2734" operator="between">
      <formula>0.401</formula>
      <formula>0.659999999999</formula>
    </cfRule>
    <cfRule type="cellIs" dxfId="5525" priority="2735" operator="between">
      <formula>0</formula>
      <formula>0.4</formula>
    </cfRule>
  </conditionalFormatting>
  <conditionalFormatting sqref="L80:L127">
    <cfRule type="cellIs" dxfId="5524" priority="2726" operator="lessThan">
      <formula>0</formula>
    </cfRule>
    <cfRule type="cellIs" dxfId="5523" priority="2727" operator="greaterThan">
      <formula>100.00001%</formula>
    </cfRule>
    <cfRule type="cellIs" dxfId="5522" priority="2728" operator="between">
      <formula>0.66</formula>
      <formula>1</formula>
    </cfRule>
    <cfRule type="cellIs" dxfId="5521" priority="2729" operator="between">
      <formula>0.401</formula>
      <formula>0.659999999999</formula>
    </cfRule>
    <cfRule type="cellIs" dxfId="5520" priority="2730" operator="between">
      <formula>0</formula>
      <formula>0.4</formula>
    </cfRule>
  </conditionalFormatting>
  <conditionalFormatting sqref="X334:X394">
    <cfRule type="cellIs" dxfId="5519" priority="2721" operator="lessThan">
      <formula>0</formula>
    </cfRule>
    <cfRule type="cellIs" dxfId="5518" priority="2722" operator="greaterThan">
      <formula>100.00001%</formula>
    </cfRule>
    <cfRule type="cellIs" dxfId="5517" priority="2723" operator="between">
      <formula>0.66</formula>
      <formula>1</formula>
    </cfRule>
    <cfRule type="cellIs" dxfId="5516" priority="2724" operator="between">
      <formula>0.401</formula>
      <formula>0.659999999999</formula>
    </cfRule>
    <cfRule type="cellIs" dxfId="5515" priority="2725" operator="between">
      <formula>0</formula>
      <formula>0.4</formula>
    </cfRule>
  </conditionalFormatting>
  <conditionalFormatting sqref="AG5:AG32">
    <cfRule type="cellIs" dxfId="5514" priority="2716" operator="lessThan">
      <formula>0</formula>
    </cfRule>
    <cfRule type="cellIs" dxfId="5513" priority="2717" operator="greaterThan">
      <formula>100.00001%</formula>
    </cfRule>
    <cfRule type="cellIs" dxfId="5512" priority="2718" operator="between">
      <formula>0.66</formula>
      <formula>1</formula>
    </cfRule>
    <cfRule type="cellIs" dxfId="5511" priority="2719" operator="between">
      <formula>0.401</formula>
      <formula>0.659999999999</formula>
    </cfRule>
    <cfRule type="cellIs" dxfId="5510" priority="2720" operator="between">
      <formula>0</formula>
      <formula>0.4</formula>
    </cfRule>
  </conditionalFormatting>
  <conditionalFormatting sqref="AG34:AG61">
    <cfRule type="cellIs" dxfId="5509" priority="2711" operator="lessThan">
      <formula>0</formula>
    </cfRule>
    <cfRule type="cellIs" dxfId="5508" priority="2712" operator="greaterThan">
      <formula>100.00001%</formula>
    </cfRule>
    <cfRule type="cellIs" dxfId="5507" priority="2713" operator="between">
      <formula>0.66</formula>
      <formula>1</formula>
    </cfRule>
    <cfRule type="cellIs" dxfId="5506" priority="2714" operator="between">
      <formula>0.401</formula>
      <formula>0.659999999999</formula>
    </cfRule>
    <cfRule type="cellIs" dxfId="5505" priority="2715" operator="between">
      <formula>0</formula>
      <formula>0.4</formula>
    </cfRule>
  </conditionalFormatting>
  <conditionalFormatting sqref="AG63:AG78">
    <cfRule type="cellIs" dxfId="5504" priority="2706" operator="lessThan">
      <formula>0</formula>
    </cfRule>
    <cfRule type="cellIs" dxfId="5503" priority="2707" operator="greaterThan">
      <formula>100.00001%</formula>
    </cfRule>
    <cfRule type="cellIs" dxfId="5502" priority="2708" operator="between">
      <formula>0.66</formula>
      <formula>1</formula>
    </cfRule>
    <cfRule type="cellIs" dxfId="5501" priority="2709" operator="between">
      <formula>0.401</formula>
      <formula>0.659999999999</formula>
    </cfRule>
    <cfRule type="cellIs" dxfId="5500" priority="2710" operator="between">
      <formula>0</formula>
      <formula>0.4</formula>
    </cfRule>
  </conditionalFormatting>
  <conditionalFormatting sqref="AG80:AG127">
    <cfRule type="cellIs" dxfId="5499" priority="2701" operator="lessThan">
      <formula>0</formula>
    </cfRule>
    <cfRule type="cellIs" dxfId="5498" priority="2702" operator="greaterThan">
      <formula>100.00001%</formula>
    </cfRule>
    <cfRule type="cellIs" dxfId="5497" priority="2703" operator="between">
      <formula>0.66</formula>
      <formula>1</formula>
    </cfRule>
    <cfRule type="cellIs" dxfId="5496" priority="2704" operator="between">
      <formula>0.401</formula>
      <formula>0.659999999999</formula>
    </cfRule>
    <cfRule type="cellIs" dxfId="5495" priority="2705" operator="between">
      <formula>0</formula>
      <formula>0.4</formula>
    </cfRule>
  </conditionalFormatting>
  <conditionalFormatting sqref="AG419:AG447">
    <cfRule type="cellIs" dxfId="5494" priority="2696" operator="lessThan">
      <formula>0</formula>
    </cfRule>
    <cfRule type="cellIs" dxfId="5493" priority="2697" operator="greaterThan">
      <formula>100.00001%</formula>
    </cfRule>
    <cfRule type="cellIs" dxfId="5492" priority="2698" operator="between">
      <formula>0.66</formula>
      <formula>1</formula>
    </cfRule>
    <cfRule type="cellIs" dxfId="5491" priority="2699" operator="between">
      <formula>0.401</formula>
      <formula>0.659999999999</formula>
    </cfRule>
    <cfRule type="cellIs" dxfId="5490" priority="2700" operator="between">
      <formula>0</formula>
      <formula>0.4</formula>
    </cfRule>
  </conditionalFormatting>
  <conditionalFormatting sqref="AG129:AG134">
    <cfRule type="cellIs" dxfId="5489" priority="2691" operator="lessThan">
      <formula>0</formula>
    </cfRule>
    <cfRule type="cellIs" dxfId="5488" priority="2692" operator="greaterThan">
      <formula>100.00001%</formula>
    </cfRule>
    <cfRule type="cellIs" dxfId="5487" priority="2693" operator="between">
      <formula>0.66</formula>
      <formula>1</formula>
    </cfRule>
    <cfRule type="cellIs" dxfId="5486" priority="2694" operator="between">
      <formula>0.401</formula>
      <formula>0.659999999999</formula>
    </cfRule>
    <cfRule type="cellIs" dxfId="5485" priority="2695" operator="between">
      <formula>0</formula>
      <formula>0.4</formula>
    </cfRule>
  </conditionalFormatting>
  <conditionalFormatting sqref="AG629:AG678">
    <cfRule type="cellIs" dxfId="5484" priority="2681" operator="lessThan">
      <formula>0</formula>
    </cfRule>
    <cfRule type="cellIs" dxfId="5483" priority="2682" operator="greaterThan">
      <formula>100.00001%</formula>
    </cfRule>
    <cfRule type="cellIs" dxfId="5482" priority="2683" operator="between">
      <formula>0.66</formula>
      <formula>1</formula>
    </cfRule>
    <cfRule type="cellIs" dxfId="5481" priority="2684" operator="between">
      <formula>0.401</formula>
      <formula>0.659999999999</formula>
    </cfRule>
    <cfRule type="cellIs" dxfId="5480" priority="2685" operator="between">
      <formula>0</formula>
      <formula>0.4</formula>
    </cfRule>
  </conditionalFormatting>
  <conditionalFormatting sqref="AG680:AG726">
    <cfRule type="cellIs" dxfId="5479" priority="2676" operator="lessThan">
      <formula>0</formula>
    </cfRule>
    <cfRule type="cellIs" dxfId="5478" priority="2677" operator="greaterThan">
      <formula>100.00001%</formula>
    </cfRule>
    <cfRule type="cellIs" dxfId="5477" priority="2678" operator="between">
      <formula>0.66</formula>
      <formula>1</formula>
    </cfRule>
    <cfRule type="cellIs" dxfId="5476" priority="2679" operator="between">
      <formula>0.401</formula>
      <formula>0.659999999999</formula>
    </cfRule>
    <cfRule type="cellIs" dxfId="5475" priority="2680" operator="between">
      <formula>0</formula>
      <formula>0.4</formula>
    </cfRule>
  </conditionalFormatting>
  <conditionalFormatting sqref="AG547:AG627">
    <cfRule type="cellIs" dxfId="5474" priority="2671" operator="lessThan">
      <formula>0</formula>
    </cfRule>
    <cfRule type="cellIs" dxfId="5473" priority="2672" operator="greaterThan">
      <formula>100.00001%</formula>
    </cfRule>
    <cfRule type="cellIs" dxfId="5472" priority="2673" operator="between">
      <formula>0.66</formula>
      <formula>1</formula>
    </cfRule>
    <cfRule type="cellIs" dxfId="5471" priority="2674" operator="between">
      <formula>0.401</formula>
      <formula>0.659999999999</formula>
    </cfRule>
    <cfRule type="cellIs" dxfId="5470" priority="2675" operator="between">
      <formula>0</formula>
      <formula>0.4</formula>
    </cfRule>
  </conditionalFormatting>
  <conditionalFormatting sqref="AG334:AG394">
    <cfRule type="cellIs" dxfId="5469" priority="2666" operator="lessThan">
      <formula>0</formula>
    </cfRule>
    <cfRule type="cellIs" dxfId="5468" priority="2667" operator="greaterThan">
      <formula>100.00001%</formula>
    </cfRule>
    <cfRule type="cellIs" dxfId="5467" priority="2668" operator="between">
      <formula>0.66</formula>
      <formula>1</formula>
    </cfRule>
    <cfRule type="cellIs" dxfId="5466" priority="2669" operator="between">
      <formula>0.401</formula>
      <formula>0.659999999999</formula>
    </cfRule>
    <cfRule type="cellIs" dxfId="5465" priority="2670" operator="between">
      <formula>0</formula>
      <formula>0.4</formula>
    </cfRule>
  </conditionalFormatting>
  <conditionalFormatting sqref="AG396:AG417">
    <cfRule type="cellIs" dxfId="5464" priority="2661" operator="lessThan">
      <formula>0</formula>
    </cfRule>
    <cfRule type="cellIs" dxfId="5463" priority="2662" operator="greaterThan">
      <formula>100.00001%</formula>
    </cfRule>
    <cfRule type="cellIs" dxfId="5462" priority="2663" operator="between">
      <formula>0.66</formula>
      <formula>1</formula>
    </cfRule>
    <cfRule type="cellIs" dxfId="5461" priority="2664" operator="between">
      <formula>0.401</formula>
      <formula>0.659999999999</formula>
    </cfRule>
    <cfRule type="cellIs" dxfId="5460" priority="2665" operator="between">
      <formula>0</formula>
      <formula>0.4</formula>
    </cfRule>
  </conditionalFormatting>
  <conditionalFormatting sqref="AG449:AG545">
    <cfRule type="cellIs" dxfId="5459" priority="2656" operator="lessThan">
      <formula>0</formula>
    </cfRule>
    <cfRule type="cellIs" dxfId="5458" priority="2657" operator="greaterThan">
      <formula>100.00001%</formula>
    </cfRule>
    <cfRule type="cellIs" dxfId="5457" priority="2658" operator="between">
      <formula>0.66</formula>
      <formula>1</formula>
    </cfRule>
    <cfRule type="cellIs" dxfId="5456" priority="2659" operator="between">
      <formula>0.401</formula>
      <formula>0.659999999999</formula>
    </cfRule>
    <cfRule type="cellIs" dxfId="5455" priority="2660" operator="between">
      <formula>0</formula>
      <formula>0.4</formula>
    </cfRule>
  </conditionalFormatting>
  <conditionalFormatting sqref="AG166:AG195">
    <cfRule type="cellIs" dxfId="5454" priority="2651" operator="lessThan">
      <formula>0</formula>
    </cfRule>
    <cfRule type="cellIs" dxfId="5453" priority="2652" operator="greaterThan">
      <formula>100.00001%</formula>
    </cfRule>
    <cfRule type="cellIs" dxfId="5452" priority="2653" operator="between">
      <formula>0.66</formula>
      <formula>1</formula>
    </cfRule>
    <cfRule type="cellIs" dxfId="5451" priority="2654" operator="between">
      <formula>0.401</formula>
      <formula>0.659999999999</formula>
    </cfRule>
    <cfRule type="cellIs" dxfId="5450" priority="2655" operator="between">
      <formula>0</formula>
      <formula>0.4</formula>
    </cfRule>
  </conditionalFormatting>
  <conditionalFormatting sqref="AG197">
    <cfRule type="cellIs" dxfId="5449" priority="2646" operator="lessThan">
      <formula>0</formula>
    </cfRule>
    <cfRule type="cellIs" dxfId="5448" priority="2647" operator="greaterThan">
      <formula>100.00001%</formula>
    </cfRule>
    <cfRule type="cellIs" dxfId="5447" priority="2648" operator="between">
      <formula>0.66</formula>
      <formula>1</formula>
    </cfRule>
    <cfRule type="cellIs" dxfId="5446" priority="2649" operator="between">
      <formula>0.401</formula>
      <formula>0.659999999999</formula>
    </cfRule>
    <cfRule type="cellIs" dxfId="5445" priority="2650" operator="between">
      <formula>0</formula>
      <formula>0.4</formula>
    </cfRule>
  </conditionalFormatting>
  <conditionalFormatting sqref="AG253:AG273">
    <cfRule type="cellIs" dxfId="5444" priority="2636" operator="lessThan">
      <formula>0</formula>
    </cfRule>
    <cfRule type="cellIs" dxfId="5443" priority="2637" operator="greaterThan">
      <formula>100.00001%</formula>
    </cfRule>
    <cfRule type="cellIs" dxfId="5442" priority="2638" operator="between">
      <formula>0.66</formula>
      <formula>1</formula>
    </cfRule>
    <cfRule type="cellIs" dxfId="5441" priority="2639" operator="between">
      <formula>0.401</formula>
      <formula>0.659999999999</formula>
    </cfRule>
    <cfRule type="cellIs" dxfId="5440" priority="2640" operator="between">
      <formula>0</formula>
      <formula>0.4</formula>
    </cfRule>
  </conditionalFormatting>
  <conditionalFormatting sqref="AG728:AG749">
    <cfRule type="cellIs" dxfId="5439" priority="2631" operator="lessThan">
      <formula>0</formula>
    </cfRule>
    <cfRule type="cellIs" dxfId="5438" priority="2632" operator="greaterThan">
      <formula>100.00001%</formula>
    </cfRule>
    <cfRule type="cellIs" dxfId="5437" priority="2633" operator="between">
      <formula>0.66</formula>
      <formula>1</formula>
    </cfRule>
    <cfRule type="cellIs" dxfId="5436" priority="2634" operator="between">
      <formula>0.401</formula>
      <formula>0.659999999999</formula>
    </cfRule>
    <cfRule type="cellIs" dxfId="5435" priority="2635" operator="between">
      <formula>0</formula>
      <formula>0.4</formula>
    </cfRule>
  </conditionalFormatting>
  <conditionalFormatting sqref="AG751:AG756">
    <cfRule type="cellIs" dxfId="5434" priority="2626" operator="lessThan">
      <formula>0</formula>
    </cfRule>
    <cfRule type="cellIs" dxfId="5433" priority="2627" operator="greaterThan">
      <formula>100.00001%</formula>
    </cfRule>
    <cfRule type="cellIs" dxfId="5432" priority="2628" operator="between">
      <formula>0.66</formula>
      <formula>1</formula>
    </cfRule>
    <cfRule type="cellIs" dxfId="5431" priority="2629" operator="between">
      <formula>0.401</formula>
      <formula>0.659999999999</formula>
    </cfRule>
    <cfRule type="cellIs" dxfId="5430" priority="2630" operator="between">
      <formula>0</formula>
      <formula>0.4</formula>
    </cfRule>
  </conditionalFormatting>
  <conditionalFormatting sqref="AG758:AG767">
    <cfRule type="cellIs" dxfId="5429" priority="2621" operator="lessThan">
      <formula>0</formula>
    </cfRule>
    <cfRule type="cellIs" dxfId="5428" priority="2622" operator="greaterThan">
      <formula>100.00001%</formula>
    </cfRule>
    <cfRule type="cellIs" dxfId="5427" priority="2623" operator="between">
      <formula>0.66</formula>
      <formula>1</formula>
    </cfRule>
    <cfRule type="cellIs" dxfId="5426" priority="2624" operator="between">
      <formula>0.401</formula>
      <formula>0.659999999999</formula>
    </cfRule>
    <cfRule type="cellIs" dxfId="5425" priority="2625" operator="between">
      <formula>0</formula>
      <formula>0.4</formula>
    </cfRule>
  </conditionalFormatting>
  <conditionalFormatting sqref="AG868:AG869">
    <cfRule type="cellIs" dxfId="5424" priority="2611" operator="lessThan">
      <formula>0</formula>
    </cfRule>
    <cfRule type="cellIs" dxfId="5423" priority="2612" operator="greaterThan">
      <formula>100.00001%</formula>
    </cfRule>
    <cfRule type="cellIs" dxfId="5422" priority="2613" operator="between">
      <formula>0.66</formula>
      <formula>1</formula>
    </cfRule>
    <cfRule type="cellIs" dxfId="5421" priority="2614" operator="between">
      <formula>0.401</formula>
      <formula>0.659999999999</formula>
    </cfRule>
    <cfRule type="cellIs" dxfId="5420" priority="2615" operator="between">
      <formula>0</formula>
      <formula>0.4</formula>
    </cfRule>
  </conditionalFormatting>
  <conditionalFormatting sqref="AG872:AG873">
    <cfRule type="cellIs" dxfId="5419" priority="2606" operator="lessThan">
      <formula>0</formula>
    </cfRule>
    <cfRule type="cellIs" dxfId="5418" priority="2607" operator="greaterThan">
      <formula>100.00001%</formula>
    </cfRule>
    <cfRule type="cellIs" dxfId="5417" priority="2608" operator="between">
      <formula>0.66</formula>
      <formula>1</formula>
    </cfRule>
    <cfRule type="cellIs" dxfId="5416" priority="2609" operator="between">
      <formula>0.401</formula>
      <formula>0.659999999999</formula>
    </cfRule>
    <cfRule type="cellIs" dxfId="5415" priority="2610" operator="between">
      <formula>0</formula>
      <formula>0.4</formula>
    </cfRule>
  </conditionalFormatting>
  <conditionalFormatting sqref="AG875:AG880">
    <cfRule type="cellIs" dxfId="5414" priority="2601" operator="lessThan">
      <formula>0</formula>
    </cfRule>
    <cfRule type="cellIs" dxfId="5413" priority="2602" operator="greaterThan">
      <formula>100.00001%</formula>
    </cfRule>
    <cfRule type="cellIs" dxfId="5412" priority="2603" operator="between">
      <formula>0.66</formula>
      <formula>1</formula>
    </cfRule>
    <cfRule type="cellIs" dxfId="5411" priority="2604" operator="between">
      <formula>0.401</formula>
      <formula>0.659999999999</formula>
    </cfRule>
    <cfRule type="cellIs" dxfId="5410" priority="2605" operator="between">
      <formula>0</formula>
      <formula>0.4</formula>
    </cfRule>
  </conditionalFormatting>
  <conditionalFormatting sqref="AG882:AG885">
    <cfRule type="cellIs" dxfId="5409" priority="2596" operator="lessThan">
      <formula>0</formula>
    </cfRule>
    <cfRule type="cellIs" dxfId="5408" priority="2597" operator="greaterThan">
      <formula>100.00001%</formula>
    </cfRule>
    <cfRule type="cellIs" dxfId="5407" priority="2598" operator="between">
      <formula>0.66</formula>
      <formula>1</formula>
    </cfRule>
    <cfRule type="cellIs" dxfId="5406" priority="2599" operator="between">
      <formula>0.401</formula>
      <formula>0.659999999999</formula>
    </cfRule>
    <cfRule type="cellIs" dxfId="5405" priority="2600" operator="between">
      <formula>0</formula>
      <formula>0.4</formula>
    </cfRule>
  </conditionalFormatting>
  <conditionalFormatting sqref="AG888">
    <cfRule type="cellIs" dxfId="5404" priority="2591" operator="lessThan">
      <formula>0</formula>
    </cfRule>
    <cfRule type="cellIs" dxfId="5403" priority="2592" operator="greaterThan">
      <formula>100.00001%</formula>
    </cfRule>
    <cfRule type="cellIs" dxfId="5402" priority="2593" operator="between">
      <formula>0.66</formula>
      <formula>1</formula>
    </cfRule>
    <cfRule type="cellIs" dxfId="5401" priority="2594" operator="between">
      <formula>0.401</formula>
      <formula>0.659999999999</formula>
    </cfRule>
    <cfRule type="cellIs" dxfId="5400" priority="2595" operator="between">
      <formula>0</formula>
      <formula>0.4</formula>
    </cfRule>
  </conditionalFormatting>
  <conditionalFormatting sqref="AG894">
    <cfRule type="cellIs" dxfId="5399" priority="2586" operator="lessThan">
      <formula>0</formula>
    </cfRule>
    <cfRule type="cellIs" dxfId="5398" priority="2587" operator="greaterThan">
      <formula>100.00001%</formula>
    </cfRule>
    <cfRule type="cellIs" dxfId="5397" priority="2588" operator="between">
      <formula>0.66</formula>
      <formula>1</formula>
    </cfRule>
    <cfRule type="cellIs" dxfId="5396" priority="2589" operator="between">
      <formula>0.401</formula>
      <formula>0.659999999999</formula>
    </cfRule>
    <cfRule type="cellIs" dxfId="5395" priority="2590" operator="between">
      <formula>0</formula>
      <formula>0.4</formula>
    </cfRule>
  </conditionalFormatting>
  <conditionalFormatting sqref="AG895">
    <cfRule type="cellIs" dxfId="5394" priority="2581" operator="lessThan">
      <formula>0</formula>
    </cfRule>
    <cfRule type="cellIs" dxfId="5393" priority="2582" operator="greaterThan">
      <formula>100.00001%</formula>
    </cfRule>
    <cfRule type="cellIs" dxfId="5392" priority="2583" operator="between">
      <formula>0.66</formula>
      <formula>1</formula>
    </cfRule>
    <cfRule type="cellIs" dxfId="5391" priority="2584" operator="between">
      <formula>0.401</formula>
      <formula>0.659999999999</formula>
    </cfRule>
    <cfRule type="cellIs" dxfId="5390" priority="2585" operator="between">
      <formula>0</formula>
      <formula>0.4</formula>
    </cfRule>
  </conditionalFormatting>
  <conditionalFormatting sqref="AR894:AR895">
    <cfRule type="cellIs" dxfId="5389" priority="2426" operator="lessThan">
      <formula>0</formula>
    </cfRule>
    <cfRule type="cellIs" dxfId="5388" priority="2427" operator="greaterThan">
      <formula>100.00001%</formula>
    </cfRule>
    <cfRule type="cellIs" dxfId="5387" priority="2428" operator="between">
      <formula>0.66</formula>
      <formula>1</formula>
    </cfRule>
    <cfRule type="cellIs" dxfId="5386" priority="2429" operator="between">
      <formula>0.401</formula>
      <formula>0.659999999999</formula>
    </cfRule>
    <cfRule type="cellIs" dxfId="5385" priority="2430" operator="between">
      <formula>0</formula>
      <formula>0.4</formula>
    </cfRule>
  </conditionalFormatting>
  <conditionalFormatting sqref="AR4:AR32">
    <cfRule type="cellIs" dxfId="5384" priority="2571" operator="lessThan">
      <formula>0</formula>
    </cfRule>
    <cfRule type="cellIs" dxfId="5383" priority="2572" operator="greaterThan">
      <formula>100.00001%</formula>
    </cfRule>
    <cfRule type="cellIs" dxfId="5382" priority="2573" operator="between">
      <formula>0.66</formula>
      <formula>1</formula>
    </cfRule>
    <cfRule type="cellIs" dxfId="5381" priority="2574" operator="between">
      <formula>0.401</formula>
      <formula>0.659999999999</formula>
    </cfRule>
    <cfRule type="cellIs" dxfId="5380" priority="2575" operator="between">
      <formula>0</formula>
      <formula>0.4</formula>
    </cfRule>
  </conditionalFormatting>
  <conditionalFormatting sqref="AR33:AR61 AR136:AR164">
    <cfRule type="cellIs" dxfId="5379" priority="2566" operator="lessThan">
      <formula>0</formula>
    </cfRule>
    <cfRule type="cellIs" dxfId="5378" priority="2567" operator="greaterThan">
      <formula>100.00001%</formula>
    </cfRule>
    <cfRule type="cellIs" dxfId="5377" priority="2568" operator="between">
      <formula>0.66</formula>
      <formula>1</formula>
    </cfRule>
    <cfRule type="cellIs" dxfId="5376" priority="2569" operator="between">
      <formula>0.401</formula>
      <formula>0.659999999999</formula>
    </cfRule>
    <cfRule type="cellIs" dxfId="5375" priority="2570" operator="between">
      <formula>0</formula>
      <formula>0.4</formula>
    </cfRule>
  </conditionalFormatting>
  <conditionalFormatting sqref="AR62:AR78">
    <cfRule type="cellIs" dxfId="5374" priority="2561" operator="lessThan">
      <formula>0</formula>
    </cfRule>
    <cfRule type="cellIs" dxfId="5373" priority="2562" operator="greaterThan">
      <formula>100.00001%</formula>
    </cfRule>
    <cfRule type="cellIs" dxfId="5372" priority="2563" operator="between">
      <formula>0.66</formula>
      <formula>1</formula>
    </cfRule>
    <cfRule type="cellIs" dxfId="5371" priority="2564" operator="between">
      <formula>0.401</formula>
      <formula>0.659999999999</formula>
    </cfRule>
    <cfRule type="cellIs" dxfId="5370" priority="2565" operator="between">
      <formula>0</formula>
      <formula>0.4</formula>
    </cfRule>
  </conditionalFormatting>
  <conditionalFormatting sqref="AR80:AR127">
    <cfRule type="cellIs" dxfId="5369" priority="2556" operator="lessThan">
      <formula>0</formula>
    </cfRule>
    <cfRule type="cellIs" dxfId="5368" priority="2557" operator="greaterThan">
      <formula>100.00001%</formula>
    </cfRule>
    <cfRule type="cellIs" dxfId="5367" priority="2558" operator="between">
      <formula>0.66</formula>
      <formula>1</formula>
    </cfRule>
    <cfRule type="cellIs" dxfId="5366" priority="2559" operator="between">
      <formula>0.401</formula>
      <formula>0.659999999999</formula>
    </cfRule>
    <cfRule type="cellIs" dxfId="5365" priority="2560" operator="between">
      <formula>0</formula>
      <formula>0.4</formula>
    </cfRule>
  </conditionalFormatting>
  <conditionalFormatting sqref="AR128:AR134">
    <cfRule type="cellIs" dxfId="5364" priority="2551" operator="lessThan">
      <formula>0</formula>
    </cfRule>
    <cfRule type="cellIs" dxfId="5363" priority="2552" operator="greaterThan">
      <formula>100.00001%</formula>
    </cfRule>
    <cfRule type="cellIs" dxfId="5362" priority="2553" operator="between">
      <formula>0.66</formula>
      <formula>1</formula>
    </cfRule>
    <cfRule type="cellIs" dxfId="5361" priority="2554" operator="between">
      <formula>0.401</formula>
      <formula>0.659999999999</formula>
    </cfRule>
    <cfRule type="cellIs" dxfId="5360" priority="2555" operator="between">
      <formula>0</formula>
      <formula>0.4</formula>
    </cfRule>
  </conditionalFormatting>
  <conditionalFormatting sqref="AR165:AR184">
    <cfRule type="cellIs" dxfId="5359" priority="2541" operator="lessThan">
      <formula>0</formula>
    </cfRule>
    <cfRule type="cellIs" dxfId="5358" priority="2542" operator="greaterThan">
      <formula>100.00001%</formula>
    </cfRule>
    <cfRule type="cellIs" dxfId="5357" priority="2543" operator="between">
      <formula>0.66</formula>
      <formula>1</formula>
    </cfRule>
    <cfRule type="cellIs" dxfId="5356" priority="2544" operator="between">
      <formula>0.401</formula>
      <formula>0.659999999999</formula>
    </cfRule>
    <cfRule type="cellIs" dxfId="5355" priority="2545" operator="between">
      <formula>0</formula>
      <formula>0.4</formula>
    </cfRule>
  </conditionalFormatting>
  <conditionalFormatting sqref="AR185:AR195">
    <cfRule type="cellIs" dxfId="5354" priority="2536" operator="lessThan">
      <formula>0</formula>
    </cfRule>
    <cfRule type="cellIs" dxfId="5353" priority="2537" operator="greaterThan">
      <formula>100.00001%</formula>
    </cfRule>
    <cfRule type="cellIs" dxfId="5352" priority="2538" operator="between">
      <formula>0.66</formula>
      <formula>1</formula>
    </cfRule>
    <cfRule type="cellIs" dxfId="5351" priority="2539" operator="between">
      <formula>0.401</formula>
      <formula>0.659999999999</formula>
    </cfRule>
    <cfRule type="cellIs" dxfId="5350" priority="2540" operator="between">
      <formula>0</formula>
      <formula>0.4</formula>
    </cfRule>
  </conditionalFormatting>
  <conditionalFormatting sqref="AR197">
    <cfRule type="cellIs" dxfId="5349" priority="2531" operator="lessThan">
      <formula>0</formula>
    </cfRule>
    <cfRule type="cellIs" dxfId="5348" priority="2532" operator="greaterThan">
      <formula>100.00001%</formula>
    </cfRule>
    <cfRule type="cellIs" dxfId="5347" priority="2533" operator="between">
      <formula>0.66</formula>
      <formula>1</formula>
    </cfRule>
    <cfRule type="cellIs" dxfId="5346" priority="2534" operator="between">
      <formula>0.401</formula>
      <formula>0.659999999999</formula>
    </cfRule>
    <cfRule type="cellIs" dxfId="5345" priority="2535" operator="between">
      <formula>0</formula>
      <formula>0.4</formula>
    </cfRule>
  </conditionalFormatting>
  <conditionalFormatting sqref="AR199:AR212">
    <cfRule type="cellIs" dxfId="5344" priority="2526" operator="lessThan">
      <formula>0</formula>
    </cfRule>
    <cfRule type="cellIs" dxfId="5343" priority="2527" operator="greaterThan">
      <formula>100.00001%</formula>
    </cfRule>
    <cfRule type="cellIs" dxfId="5342" priority="2528" operator="between">
      <formula>0.66</formula>
      <formula>1</formula>
    </cfRule>
    <cfRule type="cellIs" dxfId="5341" priority="2529" operator="between">
      <formula>0.401</formula>
      <formula>0.659999999999</formula>
    </cfRule>
    <cfRule type="cellIs" dxfId="5340" priority="2530" operator="between">
      <formula>0</formula>
      <formula>0.4</formula>
    </cfRule>
  </conditionalFormatting>
  <conditionalFormatting sqref="AR252:AR273">
    <cfRule type="cellIs" dxfId="5339" priority="2516" operator="lessThan">
      <formula>0</formula>
    </cfRule>
    <cfRule type="cellIs" dxfId="5338" priority="2517" operator="greaterThan">
      <formula>100.00001%</formula>
    </cfRule>
    <cfRule type="cellIs" dxfId="5337" priority="2518" operator="between">
      <formula>0.66</formula>
      <formula>1</formula>
    </cfRule>
    <cfRule type="cellIs" dxfId="5336" priority="2519" operator="between">
      <formula>0.401</formula>
      <formula>0.659999999999</formula>
    </cfRule>
    <cfRule type="cellIs" dxfId="5335" priority="2520" operator="between">
      <formula>0</formula>
      <formula>0.4</formula>
    </cfRule>
  </conditionalFormatting>
  <conditionalFormatting sqref="AR334:AR394">
    <cfRule type="cellIs" dxfId="5334" priority="2511" operator="lessThan">
      <formula>0</formula>
    </cfRule>
    <cfRule type="cellIs" dxfId="5333" priority="2512" operator="greaterThan">
      <formula>100.00001%</formula>
    </cfRule>
    <cfRule type="cellIs" dxfId="5332" priority="2513" operator="between">
      <formula>0.66</formula>
      <formula>1</formula>
    </cfRule>
    <cfRule type="cellIs" dxfId="5331" priority="2514" operator="between">
      <formula>0.401</formula>
      <formula>0.659999999999</formula>
    </cfRule>
    <cfRule type="cellIs" dxfId="5330" priority="2515" operator="between">
      <formula>0</formula>
      <formula>0.4</formula>
    </cfRule>
  </conditionalFormatting>
  <conditionalFormatting sqref="AR395:AR417">
    <cfRule type="cellIs" dxfId="5329" priority="2506" operator="lessThan">
      <formula>0</formula>
    </cfRule>
    <cfRule type="cellIs" dxfId="5328" priority="2507" operator="greaterThan">
      <formula>100.00001%</formula>
    </cfRule>
    <cfRule type="cellIs" dxfId="5327" priority="2508" operator="between">
      <formula>0.66</formula>
      <formula>1</formula>
    </cfRule>
    <cfRule type="cellIs" dxfId="5326" priority="2509" operator="between">
      <formula>0.401</formula>
      <formula>0.659999999999</formula>
    </cfRule>
    <cfRule type="cellIs" dxfId="5325" priority="2510" operator="between">
      <formula>0</formula>
      <formula>0.4</formula>
    </cfRule>
  </conditionalFormatting>
  <conditionalFormatting sqref="AR418:AR447">
    <cfRule type="cellIs" dxfId="5324" priority="2501" operator="lessThan">
      <formula>0</formula>
    </cfRule>
    <cfRule type="cellIs" dxfId="5323" priority="2502" operator="greaterThan">
      <formula>100.00001%</formula>
    </cfRule>
    <cfRule type="cellIs" dxfId="5322" priority="2503" operator="between">
      <formula>0.66</formula>
      <formula>1</formula>
    </cfRule>
    <cfRule type="cellIs" dxfId="5321" priority="2504" operator="between">
      <formula>0.401</formula>
      <formula>0.659999999999</formula>
    </cfRule>
    <cfRule type="cellIs" dxfId="5320" priority="2505" operator="between">
      <formula>0</formula>
      <formula>0.4</formula>
    </cfRule>
  </conditionalFormatting>
  <conditionalFormatting sqref="AR448:AR545">
    <cfRule type="cellIs" dxfId="5319" priority="2496" operator="lessThan">
      <formula>0</formula>
    </cfRule>
    <cfRule type="cellIs" dxfId="5318" priority="2497" operator="greaterThan">
      <formula>100.00001%</formula>
    </cfRule>
    <cfRule type="cellIs" dxfId="5317" priority="2498" operator="between">
      <formula>0.66</formula>
      <formula>1</formula>
    </cfRule>
    <cfRule type="cellIs" dxfId="5316" priority="2499" operator="between">
      <formula>0.401</formula>
      <formula>0.659999999999</formula>
    </cfRule>
    <cfRule type="cellIs" dxfId="5315" priority="2500" operator="between">
      <formula>0</formula>
      <formula>0.4</formula>
    </cfRule>
  </conditionalFormatting>
  <conditionalFormatting sqref="AR546:AR627">
    <cfRule type="cellIs" dxfId="5314" priority="2491" operator="lessThan">
      <formula>0</formula>
    </cfRule>
    <cfRule type="cellIs" dxfId="5313" priority="2492" operator="greaterThan">
      <formula>100.00001%</formula>
    </cfRule>
    <cfRule type="cellIs" dxfId="5312" priority="2493" operator="between">
      <formula>0.66</formula>
      <formula>1</formula>
    </cfRule>
    <cfRule type="cellIs" dxfId="5311" priority="2494" operator="between">
      <formula>0.401</formula>
      <formula>0.659999999999</formula>
    </cfRule>
    <cfRule type="cellIs" dxfId="5310" priority="2495" operator="between">
      <formula>0</formula>
      <formula>0.4</formula>
    </cfRule>
  </conditionalFormatting>
  <conditionalFormatting sqref="AR628:AR678">
    <cfRule type="cellIs" dxfId="5309" priority="2486" operator="lessThan">
      <formula>0</formula>
    </cfRule>
    <cfRule type="cellIs" dxfId="5308" priority="2487" operator="greaterThan">
      <formula>100.00001%</formula>
    </cfRule>
    <cfRule type="cellIs" dxfId="5307" priority="2488" operator="between">
      <formula>0.66</formula>
      <formula>1</formula>
    </cfRule>
    <cfRule type="cellIs" dxfId="5306" priority="2489" operator="between">
      <formula>0.401</formula>
      <formula>0.659999999999</formula>
    </cfRule>
    <cfRule type="cellIs" dxfId="5305" priority="2490" operator="between">
      <formula>0</formula>
      <formula>0.4</formula>
    </cfRule>
  </conditionalFormatting>
  <conditionalFormatting sqref="AR679:AR726">
    <cfRule type="cellIs" dxfId="5304" priority="2481" operator="lessThan">
      <formula>0</formula>
    </cfRule>
    <cfRule type="cellIs" dxfId="5303" priority="2482" operator="greaterThan">
      <formula>100.00001%</formula>
    </cfRule>
    <cfRule type="cellIs" dxfId="5302" priority="2483" operator="between">
      <formula>0.66</formula>
      <formula>1</formula>
    </cfRule>
    <cfRule type="cellIs" dxfId="5301" priority="2484" operator="between">
      <formula>0.401</formula>
      <formula>0.659999999999</formula>
    </cfRule>
    <cfRule type="cellIs" dxfId="5300" priority="2485" operator="between">
      <formula>0</formula>
      <formula>0.4</formula>
    </cfRule>
  </conditionalFormatting>
  <conditionalFormatting sqref="BB13:BB16">
    <cfRule type="cellIs" dxfId="5299" priority="2376" operator="lessThan">
      <formula>0</formula>
    </cfRule>
    <cfRule type="cellIs" dxfId="5298" priority="2377" operator="greaterThan">
      <formula>100.00001%</formula>
    </cfRule>
    <cfRule type="cellIs" dxfId="5297" priority="2378" operator="between">
      <formula>0.66</formula>
      <formula>1</formula>
    </cfRule>
    <cfRule type="cellIs" dxfId="5296" priority="2379" operator="between">
      <formula>0.401</formula>
      <formula>0.659999999999</formula>
    </cfRule>
    <cfRule type="cellIs" dxfId="5295" priority="2380" operator="between">
      <formula>0</formula>
      <formula>0.4</formula>
    </cfRule>
  </conditionalFormatting>
  <conditionalFormatting sqref="AR728:AR749">
    <cfRule type="cellIs" dxfId="5294" priority="2476" operator="lessThan">
      <formula>0</formula>
    </cfRule>
    <cfRule type="cellIs" dxfId="5293" priority="2477" operator="greaterThan">
      <formula>100.00001%</formula>
    </cfRule>
    <cfRule type="cellIs" dxfId="5292" priority="2478" operator="between">
      <formula>0.66</formula>
      <formula>1</formula>
    </cfRule>
    <cfRule type="cellIs" dxfId="5291" priority="2479" operator="between">
      <formula>0.401</formula>
      <formula>0.659999999999</formula>
    </cfRule>
    <cfRule type="cellIs" dxfId="5290" priority="2480" operator="between">
      <formula>0</formula>
      <formula>0.4</formula>
    </cfRule>
  </conditionalFormatting>
  <conditionalFormatting sqref="AR727">
    <cfRule type="cellIs" dxfId="5289" priority="2471" operator="lessThan">
      <formula>0</formula>
    </cfRule>
    <cfRule type="cellIs" dxfId="5288" priority="2472" operator="greaterThan">
      <formula>100.00001%</formula>
    </cfRule>
    <cfRule type="cellIs" dxfId="5287" priority="2473" operator="between">
      <formula>0.66</formula>
      <formula>1</formula>
    </cfRule>
    <cfRule type="cellIs" dxfId="5286" priority="2474" operator="between">
      <formula>0.401</formula>
      <formula>0.659999999999</formula>
    </cfRule>
    <cfRule type="cellIs" dxfId="5285" priority="2475" operator="between">
      <formula>0</formula>
      <formula>0.4</formula>
    </cfRule>
  </conditionalFormatting>
  <conditionalFormatting sqref="AR751:AR756">
    <cfRule type="cellIs" dxfId="5284" priority="2466" operator="lessThan">
      <formula>0</formula>
    </cfRule>
    <cfRule type="cellIs" dxfId="5283" priority="2467" operator="greaterThan">
      <formula>100.00001%</formula>
    </cfRule>
    <cfRule type="cellIs" dxfId="5282" priority="2468" operator="between">
      <formula>0.66</formula>
      <formula>1</formula>
    </cfRule>
    <cfRule type="cellIs" dxfId="5281" priority="2469" operator="between">
      <formula>0.401</formula>
      <formula>0.659999999999</formula>
    </cfRule>
    <cfRule type="cellIs" dxfId="5280" priority="2470" operator="between">
      <formula>0</formula>
      <formula>0.4</formula>
    </cfRule>
  </conditionalFormatting>
  <conditionalFormatting sqref="AR758:AR767">
    <cfRule type="cellIs" dxfId="5279" priority="2461" operator="lessThan">
      <formula>0</formula>
    </cfRule>
    <cfRule type="cellIs" dxfId="5278" priority="2462" operator="greaterThan">
      <formula>100.00001%</formula>
    </cfRule>
    <cfRule type="cellIs" dxfId="5277" priority="2463" operator="between">
      <formula>0.66</formula>
      <formula>1</formula>
    </cfRule>
    <cfRule type="cellIs" dxfId="5276" priority="2464" operator="between">
      <formula>0.401</formula>
      <formula>0.659999999999</formula>
    </cfRule>
    <cfRule type="cellIs" dxfId="5275" priority="2465" operator="between">
      <formula>0</formula>
      <formula>0.4</formula>
    </cfRule>
  </conditionalFormatting>
  <conditionalFormatting sqref="AR867:AR869">
    <cfRule type="cellIs" dxfId="5274" priority="2451" operator="lessThan">
      <formula>0</formula>
    </cfRule>
    <cfRule type="cellIs" dxfId="5273" priority="2452" operator="greaterThan">
      <formula>100.00001%</formula>
    </cfRule>
    <cfRule type="cellIs" dxfId="5272" priority="2453" operator="between">
      <formula>0.66</formula>
      <formula>1</formula>
    </cfRule>
    <cfRule type="cellIs" dxfId="5271" priority="2454" operator="between">
      <formula>0.401</formula>
      <formula>0.659999999999</formula>
    </cfRule>
    <cfRule type="cellIs" dxfId="5270" priority="2455" operator="between">
      <formula>0</formula>
      <formula>0.4</formula>
    </cfRule>
  </conditionalFormatting>
  <conditionalFormatting sqref="AR872:AR873">
    <cfRule type="cellIs" dxfId="5269" priority="2446" operator="lessThan">
      <formula>0</formula>
    </cfRule>
    <cfRule type="cellIs" dxfId="5268" priority="2447" operator="greaterThan">
      <formula>100.00001%</formula>
    </cfRule>
    <cfRule type="cellIs" dxfId="5267" priority="2448" operator="between">
      <formula>0.66</formula>
      <formula>1</formula>
    </cfRule>
    <cfRule type="cellIs" dxfId="5266" priority="2449" operator="between">
      <formula>0.401</formula>
      <formula>0.659999999999</formula>
    </cfRule>
    <cfRule type="cellIs" dxfId="5265" priority="2450" operator="between">
      <formula>0</formula>
      <formula>0.4</formula>
    </cfRule>
  </conditionalFormatting>
  <conditionalFormatting sqref="AR875:AR880">
    <cfRule type="cellIs" dxfId="5264" priority="2441" operator="lessThan">
      <formula>0</formula>
    </cfRule>
    <cfRule type="cellIs" dxfId="5263" priority="2442" operator="greaterThan">
      <formula>100.00001%</formula>
    </cfRule>
    <cfRule type="cellIs" dxfId="5262" priority="2443" operator="between">
      <formula>0.66</formula>
      <formula>1</formula>
    </cfRule>
    <cfRule type="cellIs" dxfId="5261" priority="2444" operator="between">
      <formula>0.401</formula>
      <formula>0.659999999999</formula>
    </cfRule>
    <cfRule type="cellIs" dxfId="5260" priority="2445" operator="between">
      <formula>0</formula>
      <formula>0.4</formula>
    </cfRule>
  </conditionalFormatting>
  <conditionalFormatting sqref="AR882:AR885">
    <cfRule type="cellIs" dxfId="5259" priority="2436" operator="lessThan">
      <formula>0</formula>
    </cfRule>
    <cfRule type="cellIs" dxfId="5258" priority="2437" operator="greaterThan">
      <formula>100.00001%</formula>
    </cfRule>
    <cfRule type="cellIs" dxfId="5257" priority="2438" operator="between">
      <formula>0.66</formula>
      <formula>1</formula>
    </cfRule>
    <cfRule type="cellIs" dxfId="5256" priority="2439" operator="between">
      <formula>0.401</formula>
      <formula>0.659999999999</formula>
    </cfRule>
    <cfRule type="cellIs" dxfId="5255" priority="2440" operator="between">
      <formula>0</formula>
      <formula>0.4</formula>
    </cfRule>
  </conditionalFormatting>
  <conditionalFormatting sqref="AR888">
    <cfRule type="cellIs" dxfId="5254" priority="2431" operator="lessThan">
      <formula>0</formula>
    </cfRule>
    <cfRule type="cellIs" dxfId="5253" priority="2432" operator="greaterThan">
      <formula>100.00001%</formula>
    </cfRule>
    <cfRule type="cellIs" dxfId="5252" priority="2433" operator="between">
      <formula>0.66</formula>
      <formula>1</formula>
    </cfRule>
    <cfRule type="cellIs" dxfId="5251" priority="2434" operator="between">
      <formula>0.401</formula>
      <formula>0.659999999999</formula>
    </cfRule>
    <cfRule type="cellIs" dxfId="5250" priority="2435" operator="between">
      <formula>0</formula>
      <formula>0.4</formula>
    </cfRule>
  </conditionalFormatting>
  <conditionalFormatting sqref="BB84:BB88">
    <cfRule type="cellIs" dxfId="5249" priority="2296" operator="lessThan">
      <formula>0</formula>
    </cfRule>
    <cfRule type="cellIs" dxfId="5248" priority="2297" operator="greaterThan">
      <formula>100.00001%</formula>
    </cfRule>
    <cfRule type="cellIs" dxfId="5247" priority="2298" operator="between">
      <formula>0.66</formula>
      <formula>1</formula>
    </cfRule>
    <cfRule type="cellIs" dxfId="5246" priority="2299" operator="between">
      <formula>0.401</formula>
      <formula>0.659999999999</formula>
    </cfRule>
    <cfRule type="cellIs" dxfId="5245" priority="2300" operator="between">
      <formula>0</formula>
      <formula>0.4</formula>
    </cfRule>
  </conditionalFormatting>
  <conditionalFormatting sqref="AZ5">
    <cfRule type="cellIs" dxfId="5244" priority="2421" operator="lessThan">
      <formula>0</formula>
    </cfRule>
    <cfRule type="cellIs" dxfId="5243" priority="2422" operator="greaterThan">
      <formula>100.00001%</formula>
    </cfRule>
    <cfRule type="cellIs" dxfId="5242" priority="2423" operator="between">
      <formula>0.66</formula>
      <formula>1</formula>
    </cfRule>
    <cfRule type="cellIs" dxfId="5241" priority="2424" operator="between">
      <formula>0.401</formula>
      <formula>0.659999999999</formula>
    </cfRule>
    <cfRule type="cellIs" dxfId="5240" priority="2425" operator="between">
      <formula>0</formula>
      <formula>0.4</formula>
    </cfRule>
  </conditionalFormatting>
  <conditionalFormatting sqref="BB5">
    <cfRule type="cellIs" dxfId="5239" priority="2416" operator="lessThan">
      <formula>0</formula>
    </cfRule>
    <cfRule type="cellIs" dxfId="5238" priority="2417" operator="greaterThan">
      <formula>100.00001%</formula>
    </cfRule>
    <cfRule type="cellIs" dxfId="5237" priority="2418" operator="between">
      <formula>0.66</formula>
      <formula>1</formula>
    </cfRule>
    <cfRule type="cellIs" dxfId="5236" priority="2419" operator="between">
      <formula>0.401</formula>
      <formula>0.659999999999</formula>
    </cfRule>
    <cfRule type="cellIs" dxfId="5235" priority="2420" operator="between">
      <formula>0</formula>
      <formula>0.4</formula>
    </cfRule>
  </conditionalFormatting>
  <conditionalFormatting sqref="AZ12">
    <cfRule type="cellIs" dxfId="5234" priority="2411" operator="lessThan">
      <formula>0</formula>
    </cfRule>
    <cfRule type="cellIs" dxfId="5233" priority="2412" operator="greaterThan">
      <formula>100.00001%</formula>
    </cfRule>
    <cfRule type="cellIs" dxfId="5232" priority="2413" operator="between">
      <formula>0.66</formula>
      <formula>1</formula>
    </cfRule>
    <cfRule type="cellIs" dxfId="5231" priority="2414" operator="between">
      <formula>0.401</formula>
      <formula>0.659999999999</formula>
    </cfRule>
    <cfRule type="cellIs" dxfId="5230" priority="2415" operator="between">
      <formula>0</formula>
      <formula>0.4</formula>
    </cfRule>
  </conditionalFormatting>
  <conditionalFormatting sqref="BB12">
    <cfRule type="cellIs" dxfId="5229" priority="2406" operator="lessThan">
      <formula>0</formula>
    </cfRule>
    <cfRule type="cellIs" dxfId="5228" priority="2407" operator="greaterThan">
      <formula>100.00001%</formula>
    </cfRule>
    <cfRule type="cellIs" dxfId="5227" priority="2408" operator="between">
      <formula>0.66</formula>
      <formula>1</formula>
    </cfRule>
    <cfRule type="cellIs" dxfId="5226" priority="2409" operator="between">
      <formula>0.401</formula>
      <formula>0.659999999999</formula>
    </cfRule>
    <cfRule type="cellIs" dxfId="5225" priority="2410" operator="between">
      <formula>0</formula>
      <formula>0.4</formula>
    </cfRule>
  </conditionalFormatting>
  <conditionalFormatting sqref="AZ7">
    <cfRule type="cellIs" dxfId="5224" priority="2401" operator="lessThan">
      <formula>0</formula>
    </cfRule>
    <cfRule type="cellIs" dxfId="5223" priority="2402" operator="greaterThan">
      <formula>100.00001%</formula>
    </cfRule>
    <cfRule type="cellIs" dxfId="5222" priority="2403" operator="between">
      <formula>0.66</formula>
      <formula>1</formula>
    </cfRule>
    <cfRule type="cellIs" dxfId="5221" priority="2404" operator="between">
      <formula>0.401</formula>
      <formula>0.659999999999</formula>
    </cfRule>
    <cfRule type="cellIs" dxfId="5220" priority="2405" operator="between">
      <formula>0</formula>
      <formula>0.4</formula>
    </cfRule>
  </conditionalFormatting>
  <conditionalFormatting sqref="BB7">
    <cfRule type="cellIs" dxfId="5219" priority="2396" operator="lessThan">
      <formula>0</formula>
    </cfRule>
    <cfRule type="cellIs" dxfId="5218" priority="2397" operator="greaterThan">
      <formula>100.00001%</formula>
    </cfRule>
    <cfRule type="cellIs" dxfId="5217" priority="2398" operator="between">
      <formula>0.66</formula>
      <formula>1</formula>
    </cfRule>
    <cfRule type="cellIs" dxfId="5216" priority="2399" operator="between">
      <formula>0.401</formula>
      <formula>0.659999999999</formula>
    </cfRule>
    <cfRule type="cellIs" dxfId="5215" priority="2400" operator="between">
      <formula>0</formula>
      <formula>0.4</formula>
    </cfRule>
  </conditionalFormatting>
  <conditionalFormatting sqref="AZ8:AZ9">
    <cfRule type="cellIs" dxfId="5214" priority="2391" operator="lessThan">
      <formula>0</formula>
    </cfRule>
    <cfRule type="cellIs" dxfId="5213" priority="2392" operator="greaterThan">
      <formula>100.00001%</formula>
    </cfRule>
    <cfRule type="cellIs" dxfId="5212" priority="2393" operator="between">
      <formula>0.66</formula>
      <formula>1</formula>
    </cfRule>
    <cfRule type="cellIs" dxfId="5211" priority="2394" operator="between">
      <formula>0.401</formula>
      <formula>0.659999999999</formula>
    </cfRule>
    <cfRule type="cellIs" dxfId="5210" priority="2395" operator="between">
      <formula>0</formula>
      <formula>0.4</formula>
    </cfRule>
  </conditionalFormatting>
  <conditionalFormatting sqref="BB8:BB9">
    <cfRule type="cellIs" dxfId="5209" priority="2386" operator="lessThan">
      <formula>0</formula>
    </cfRule>
    <cfRule type="cellIs" dxfId="5208" priority="2387" operator="greaterThan">
      <formula>100.00001%</formula>
    </cfRule>
    <cfRule type="cellIs" dxfId="5207" priority="2388" operator="between">
      <formula>0.66</formula>
      <formula>1</formula>
    </cfRule>
    <cfRule type="cellIs" dxfId="5206" priority="2389" operator="between">
      <formula>0.401</formula>
      <formula>0.659999999999</formula>
    </cfRule>
    <cfRule type="cellIs" dxfId="5205" priority="2390" operator="between">
      <formula>0</formula>
      <formula>0.4</formula>
    </cfRule>
  </conditionalFormatting>
  <conditionalFormatting sqref="AZ13:AZ16">
    <cfRule type="cellIs" dxfId="5204" priority="2381" operator="lessThan">
      <formula>0</formula>
    </cfRule>
    <cfRule type="cellIs" dxfId="5203" priority="2382" operator="greaterThan">
      <formula>100.00001%</formula>
    </cfRule>
    <cfRule type="cellIs" dxfId="5202" priority="2383" operator="between">
      <formula>0.66</formula>
      <formula>1</formula>
    </cfRule>
    <cfRule type="cellIs" dxfId="5201" priority="2384" operator="between">
      <formula>0.401</formula>
      <formula>0.659999999999</formula>
    </cfRule>
    <cfRule type="cellIs" dxfId="5200" priority="2385" operator="between">
      <formula>0</formula>
      <formula>0.4</formula>
    </cfRule>
  </conditionalFormatting>
  <conditionalFormatting sqref="AZ17:AZ32">
    <cfRule type="cellIs" dxfId="5199" priority="2371" operator="lessThan">
      <formula>0</formula>
    </cfRule>
    <cfRule type="cellIs" dxfId="5198" priority="2372" operator="greaterThan">
      <formula>100.00001%</formula>
    </cfRule>
    <cfRule type="cellIs" dxfId="5197" priority="2373" operator="between">
      <formula>0.66</formula>
      <formula>1</formula>
    </cfRule>
    <cfRule type="cellIs" dxfId="5196" priority="2374" operator="between">
      <formula>0.401</formula>
      <formula>0.659999999999</formula>
    </cfRule>
    <cfRule type="cellIs" dxfId="5195" priority="2375" operator="between">
      <formula>0</formula>
      <formula>0.4</formula>
    </cfRule>
  </conditionalFormatting>
  <conditionalFormatting sqref="BB17:BB32">
    <cfRule type="cellIs" dxfId="5194" priority="2366" operator="lessThan">
      <formula>0</formula>
    </cfRule>
    <cfRule type="cellIs" dxfId="5193" priority="2367" operator="greaterThan">
      <formula>100.00001%</formula>
    </cfRule>
    <cfRule type="cellIs" dxfId="5192" priority="2368" operator="between">
      <formula>0.66</formula>
      <formula>1</formula>
    </cfRule>
    <cfRule type="cellIs" dxfId="5191" priority="2369" operator="between">
      <formula>0.401</formula>
      <formula>0.659999999999</formula>
    </cfRule>
    <cfRule type="cellIs" dxfId="5190" priority="2370" operator="between">
      <formula>0</formula>
      <formula>0.4</formula>
    </cfRule>
  </conditionalFormatting>
  <conditionalFormatting sqref="AZ33:AZ61">
    <cfRule type="cellIs" dxfId="5189" priority="2361" operator="lessThan">
      <formula>0</formula>
    </cfRule>
    <cfRule type="cellIs" dxfId="5188" priority="2362" operator="greaterThan">
      <formula>100.00001%</formula>
    </cfRule>
    <cfRule type="cellIs" dxfId="5187" priority="2363" operator="between">
      <formula>0.66</formula>
      <formula>1</formula>
    </cfRule>
    <cfRule type="cellIs" dxfId="5186" priority="2364" operator="between">
      <formula>0.401</formula>
      <formula>0.659999999999</formula>
    </cfRule>
    <cfRule type="cellIs" dxfId="5185" priority="2365" operator="between">
      <formula>0</formula>
      <formula>0.4</formula>
    </cfRule>
  </conditionalFormatting>
  <conditionalFormatting sqref="BB33:BB61">
    <cfRule type="cellIs" dxfId="5184" priority="2356" operator="lessThan">
      <formula>0</formula>
    </cfRule>
    <cfRule type="cellIs" dxfId="5183" priority="2357" operator="greaterThan">
      <formula>100.00001%</formula>
    </cfRule>
    <cfRule type="cellIs" dxfId="5182" priority="2358" operator="between">
      <formula>0.66</formula>
      <formula>1</formula>
    </cfRule>
    <cfRule type="cellIs" dxfId="5181" priority="2359" operator="between">
      <formula>0.401</formula>
      <formula>0.659999999999</formula>
    </cfRule>
    <cfRule type="cellIs" dxfId="5180" priority="2360" operator="between">
      <formula>0</formula>
      <formula>0.4</formula>
    </cfRule>
  </conditionalFormatting>
  <conditionalFormatting sqref="AZ62:AZ67">
    <cfRule type="cellIs" dxfId="5179" priority="2351" operator="lessThan">
      <formula>0</formula>
    </cfRule>
    <cfRule type="cellIs" dxfId="5178" priority="2352" operator="greaterThan">
      <formula>100.00001%</formula>
    </cfRule>
    <cfRule type="cellIs" dxfId="5177" priority="2353" operator="between">
      <formula>0.66</formula>
      <formula>1</formula>
    </cfRule>
    <cfRule type="cellIs" dxfId="5176" priority="2354" operator="between">
      <formula>0.401</formula>
      <formula>0.659999999999</formula>
    </cfRule>
    <cfRule type="cellIs" dxfId="5175" priority="2355" operator="between">
      <formula>0</formula>
      <formula>0.4</formula>
    </cfRule>
  </conditionalFormatting>
  <conditionalFormatting sqref="BB62:BB67">
    <cfRule type="cellIs" dxfId="5174" priority="2346" operator="lessThan">
      <formula>0</formula>
    </cfRule>
    <cfRule type="cellIs" dxfId="5173" priority="2347" operator="greaterThan">
      <formula>100.00001%</formula>
    </cfRule>
    <cfRule type="cellIs" dxfId="5172" priority="2348" operator="between">
      <formula>0.66</formula>
      <formula>1</formula>
    </cfRule>
    <cfRule type="cellIs" dxfId="5171" priority="2349" operator="between">
      <formula>0.401</formula>
      <formula>0.659999999999</formula>
    </cfRule>
    <cfRule type="cellIs" dxfId="5170" priority="2350" operator="between">
      <formula>0</formula>
      <formula>0.4</formula>
    </cfRule>
  </conditionalFormatting>
  <conditionalFormatting sqref="AZ68">
    <cfRule type="cellIs" dxfId="5169" priority="2341" operator="lessThan">
      <formula>0</formula>
    </cfRule>
    <cfRule type="cellIs" dxfId="5168" priority="2342" operator="greaterThan">
      <formula>100.00001%</formula>
    </cfRule>
    <cfRule type="cellIs" dxfId="5167" priority="2343" operator="between">
      <formula>0.66</formula>
      <formula>1</formula>
    </cfRule>
    <cfRule type="cellIs" dxfId="5166" priority="2344" operator="between">
      <formula>0.401</formula>
      <formula>0.659999999999</formula>
    </cfRule>
    <cfRule type="cellIs" dxfId="5165" priority="2345" operator="between">
      <formula>0</formula>
      <formula>0.4</formula>
    </cfRule>
  </conditionalFormatting>
  <conditionalFormatting sqref="BB68">
    <cfRule type="cellIs" dxfId="5164" priority="2336" operator="lessThan">
      <formula>0</formula>
    </cfRule>
    <cfRule type="cellIs" dxfId="5163" priority="2337" operator="greaterThan">
      <formula>100.00001%</formula>
    </cfRule>
    <cfRule type="cellIs" dxfId="5162" priority="2338" operator="between">
      <formula>0.66</formula>
      <formula>1</formula>
    </cfRule>
    <cfRule type="cellIs" dxfId="5161" priority="2339" operator="between">
      <formula>0.401</formula>
      <formula>0.659999999999</formula>
    </cfRule>
    <cfRule type="cellIs" dxfId="5160" priority="2340" operator="between">
      <formula>0</formula>
      <formula>0.4</formula>
    </cfRule>
  </conditionalFormatting>
  <conditionalFormatting sqref="AZ76:AZ83">
    <cfRule type="cellIs" dxfId="5159" priority="2311" operator="lessThan">
      <formula>0</formula>
    </cfRule>
    <cfRule type="cellIs" dxfId="5158" priority="2312" operator="greaterThan">
      <formula>100.00001%</formula>
    </cfRule>
    <cfRule type="cellIs" dxfId="5157" priority="2313" operator="between">
      <formula>0.66</formula>
      <formula>1</formula>
    </cfRule>
    <cfRule type="cellIs" dxfId="5156" priority="2314" operator="between">
      <formula>0.401</formula>
      <formula>0.659999999999</formula>
    </cfRule>
    <cfRule type="cellIs" dxfId="5155" priority="2315" operator="between">
      <formula>0</formula>
      <formula>0.4</formula>
    </cfRule>
  </conditionalFormatting>
  <conditionalFormatting sqref="BB76:BB83">
    <cfRule type="cellIs" dxfId="5154" priority="2306" operator="lessThan">
      <formula>0</formula>
    </cfRule>
    <cfRule type="cellIs" dxfId="5153" priority="2307" operator="greaterThan">
      <formula>100.00001%</formula>
    </cfRule>
    <cfRule type="cellIs" dxfId="5152" priority="2308" operator="between">
      <formula>0.66</formula>
      <formula>1</formula>
    </cfRule>
    <cfRule type="cellIs" dxfId="5151" priority="2309" operator="between">
      <formula>0.401</formula>
      <formula>0.659999999999</formula>
    </cfRule>
    <cfRule type="cellIs" dxfId="5150" priority="2310" operator="between">
      <formula>0</formula>
      <formula>0.4</formula>
    </cfRule>
  </conditionalFormatting>
  <conditionalFormatting sqref="AZ70:AZ75">
    <cfRule type="cellIs" dxfId="5149" priority="2321" operator="lessThan">
      <formula>0</formula>
    </cfRule>
    <cfRule type="cellIs" dxfId="5148" priority="2322" operator="greaterThan">
      <formula>100.00001%</formula>
    </cfRule>
    <cfRule type="cellIs" dxfId="5147" priority="2323" operator="between">
      <formula>0.66</formula>
      <formula>1</formula>
    </cfRule>
    <cfRule type="cellIs" dxfId="5146" priority="2324" operator="between">
      <formula>0.401</formula>
      <formula>0.659999999999</formula>
    </cfRule>
    <cfRule type="cellIs" dxfId="5145" priority="2325" operator="between">
      <formula>0</formula>
      <formula>0.4</formula>
    </cfRule>
  </conditionalFormatting>
  <conditionalFormatting sqref="BB70:BB75">
    <cfRule type="cellIs" dxfId="5144" priority="2316" operator="lessThan">
      <formula>0</formula>
    </cfRule>
    <cfRule type="cellIs" dxfId="5143" priority="2317" operator="greaterThan">
      <formula>100.00001%</formula>
    </cfRule>
    <cfRule type="cellIs" dxfId="5142" priority="2318" operator="between">
      <formula>0.66</formula>
      <formula>1</formula>
    </cfRule>
    <cfRule type="cellIs" dxfId="5141" priority="2319" operator="between">
      <formula>0.401</formula>
      <formula>0.659999999999</formula>
    </cfRule>
    <cfRule type="cellIs" dxfId="5140" priority="2320" operator="between">
      <formula>0</formula>
      <formula>0.4</formula>
    </cfRule>
  </conditionalFormatting>
  <conditionalFormatting sqref="AZ84:AZ88">
    <cfRule type="cellIs" dxfId="5139" priority="2301" operator="lessThan">
      <formula>0</formula>
    </cfRule>
    <cfRule type="cellIs" dxfId="5138" priority="2302" operator="greaterThan">
      <formula>100.00001%</formula>
    </cfRule>
    <cfRule type="cellIs" dxfId="5137" priority="2303" operator="between">
      <formula>0.66</formula>
      <formula>1</formula>
    </cfRule>
    <cfRule type="cellIs" dxfId="5136" priority="2304" operator="between">
      <formula>0.401</formula>
      <formula>0.659999999999</formula>
    </cfRule>
    <cfRule type="cellIs" dxfId="5135" priority="2305" operator="between">
      <formula>0</formula>
      <formula>0.4</formula>
    </cfRule>
  </conditionalFormatting>
  <conditionalFormatting sqref="AZ95">
    <cfRule type="cellIs" dxfId="5134" priority="2291" operator="lessThan">
      <formula>0</formula>
    </cfRule>
    <cfRule type="cellIs" dxfId="5133" priority="2292" operator="greaterThan">
      <formula>100.00001%</formula>
    </cfRule>
    <cfRule type="cellIs" dxfId="5132" priority="2293" operator="between">
      <formula>0.66</formula>
      <formula>1</formula>
    </cfRule>
    <cfRule type="cellIs" dxfId="5131" priority="2294" operator="between">
      <formula>0.401</formula>
      <formula>0.659999999999</formula>
    </cfRule>
    <cfRule type="cellIs" dxfId="5130" priority="2295" operator="between">
      <formula>0</formula>
      <formula>0.4</formula>
    </cfRule>
  </conditionalFormatting>
  <conditionalFormatting sqref="BB95">
    <cfRule type="cellIs" dxfId="5129" priority="2286" operator="lessThan">
      <formula>0</formula>
    </cfRule>
    <cfRule type="cellIs" dxfId="5128" priority="2287" operator="greaterThan">
      <formula>100.00001%</formula>
    </cfRule>
    <cfRule type="cellIs" dxfId="5127" priority="2288" operator="between">
      <formula>0.66</formula>
      <formula>1</formula>
    </cfRule>
    <cfRule type="cellIs" dxfId="5126" priority="2289" operator="between">
      <formula>0.401</formula>
      <formula>0.659999999999</formula>
    </cfRule>
    <cfRule type="cellIs" dxfId="5125" priority="2290" operator="between">
      <formula>0</formula>
      <formula>0.4</formula>
    </cfRule>
  </conditionalFormatting>
  <conditionalFormatting sqref="AZ96:AZ127">
    <cfRule type="cellIs" dxfId="5124" priority="2281" operator="lessThan">
      <formula>0</formula>
    </cfRule>
    <cfRule type="cellIs" dxfId="5123" priority="2282" operator="greaterThan">
      <formula>100.00001%</formula>
    </cfRule>
    <cfRule type="cellIs" dxfId="5122" priority="2283" operator="between">
      <formula>0.66</formula>
      <formula>1</formula>
    </cfRule>
    <cfRule type="cellIs" dxfId="5121" priority="2284" operator="between">
      <formula>0.401</formula>
      <formula>0.659999999999</formula>
    </cfRule>
    <cfRule type="cellIs" dxfId="5120" priority="2285" operator="between">
      <formula>0</formula>
      <formula>0.4</formula>
    </cfRule>
  </conditionalFormatting>
  <conditionalFormatting sqref="BB96:BB127">
    <cfRule type="cellIs" dxfId="5119" priority="2276" operator="lessThan">
      <formula>0</formula>
    </cfRule>
    <cfRule type="cellIs" dxfId="5118" priority="2277" operator="greaterThan">
      <formula>100.00001%</formula>
    </cfRule>
    <cfRule type="cellIs" dxfId="5117" priority="2278" operator="between">
      <formula>0.66</formula>
      <formula>1</formula>
    </cfRule>
    <cfRule type="cellIs" dxfId="5116" priority="2279" operator="between">
      <formula>0.401</formula>
      <formula>0.659999999999</formula>
    </cfRule>
    <cfRule type="cellIs" dxfId="5115" priority="2280" operator="between">
      <formula>0</formula>
      <formula>0.4</formula>
    </cfRule>
  </conditionalFormatting>
  <conditionalFormatting sqref="AZ128:AZ131">
    <cfRule type="cellIs" dxfId="5114" priority="2271" operator="lessThan">
      <formula>0</formula>
    </cfRule>
    <cfRule type="cellIs" dxfId="5113" priority="2272" operator="greaterThan">
      <formula>100.00001%</formula>
    </cfRule>
    <cfRule type="cellIs" dxfId="5112" priority="2273" operator="between">
      <formula>0.66</formula>
      <formula>1</formula>
    </cfRule>
    <cfRule type="cellIs" dxfId="5111" priority="2274" operator="between">
      <formula>0.401</formula>
      <formula>0.659999999999</formula>
    </cfRule>
    <cfRule type="cellIs" dxfId="5110" priority="2275" operator="between">
      <formula>0</formula>
      <formula>0.4</formula>
    </cfRule>
  </conditionalFormatting>
  <conditionalFormatting sqref="BB128:BB131">
    <cfRule type="cellIs" dxfId="5109" priority="2266" operator="lessThan">
      <formula>0</formula>
    </cfRule>
    <cfRule type="cellIs" dxfId="5108" priority="2267" operator="greaterThan">
      <formula>100.00001%</formula>
    </cfRule>
    <cfRule type="cellIs" dxfId="5107" priority="2268" operator="between">
      <formula>0.66</formula>
      <formula>1</formula>
    </cfRule>
    <cfRule type="cellIs" dxfId="5106" priority="2269" operator="between">
      <formula>0.401</formula>
      <formula>0.659999999999</formula>
    </cfRule>
    <cfRule type="cellIs" dxfId="5105" priority="2270" operator="between">
      <formula>0</formula>
      <formula>0.4</formula>
    </cfRule>
  </conditionalFormatting>
  <conditionalFormatting sqref="AZ136">
    <cfRule type="cellIs" dxfId="5104" priority="2261" operator="lessThan">
      <formula>0</formula>
    </cfRule>
    <cfRule type="cellIs" dxfId="5103" priority="2262" operator="greaterThan">
      <formula>100.00001%</formula>
    </cfRule>
    <cfRule type="cellIs" dxfId="5102" priority="2263" operator="between">
      <formula>0.66</formula>
      <formula>1</formula>
    </cfRule>
    <cfRule type="cellIs" dxfId="5101" priority="2264" operator="between">
      <formula>0.401</formula>
      <formula>0.659999999999</formula>
    </cfRule>
    <cfRule type="cellIs" dxfId="5100" priority="2265" operator="between">
      <formula>0</formula>
      <formula>0.4</formula>
    </cfRule>
  </conditionalFormatting>
  <conditionalFormatting sqref="BB136">
    <cfRule type="cellIs" dxfId="5099" priority="2256" operator="lessThan">
      <formula>0</formula>
    </cfRule>
    <cfRule type="cellIs" dxfId="5098" priority="2257" operator="greaterThan">
      <formula>100.00001%</formula>
    </cfRule>
    <cfRule type="cellIs" dxfId="5097" priority="2258" operator="between">
      <formula>0.66</formula>
      <formula>1</formula>
    </cfRule>
    <cfRule type="cellIs" dxfId="5096" priority="2259" operator="between">
      <formula>0.401</formula>
      <formula>0.659999999999</formula>
    </cfRule>
    <cfRule type="cellIs" dxfId="5095" priority="2260" operator="between">
      <formula>0</formula>
      <formula>0.4</formula>
    </cfRule>
  </conditionalFormatting>
  <conditionalFormatting sqref="AZ137:AZ138">
    <cfRule type="cellIs" dxfId="5094" priority="2251" operator="lessThan">
      <formula>0</formula>
    </cfRule>
    <cfRule type="cellIs" dxfId="5093" priority="2252" operator="greaterThan">
      <formula>100.00001%</formula>
    </cfRule>
    <cfRule type="cellIs" dxfId="5092" priority="2253" operator="between">
      <formula>0.66</formula>
      <formula>1</formula>
    </cfRule>
    <cfRule type="cellIs" dxfId="5091" priority="2254" operator="between">
      <formula>0.401</formula>
      <formula>0.659999999999</formula>
    </cfRule>
    <cfRule type="cellIs" dxfId="5090" priority="2255" operator="between">
      <formula>0</formula>
      <formula>0.4</formula>
    </cfRule>
  </conditionalFormatting>
  <conditionalFormatting sqref="BB137:BB138">
    <cfRule type="cellIs" dxfId="5089" priority="2246" operator="lessThan">
      <formula>0</formula>
    </cfRule>
    <cfRule type="cellIs" dxfId="5088" priority="2247" operator="greaterThan">
      <formula>100.00001%</formula>
    </cfRule>
    <cfRule type="cellIs" dxfId="5087" priority="2248" operator="between">
      <formula>0.66</formula>
      <formula>1</formula>
    </cfRule>
    <cfRule type="cellIs" dxfId="5086" priority="2249" operator="between">
      <formula>0.401</formula>
      <formula>0.659999999999</formula>
    </cfRule>
    <cfRule type="cellIs" dxfId="5085" priority="2250" operator="between">
      <formula>0</formula>
      <formula>0.4</formula>
    </cfRule>
  </conditionalFormatting>
  <conditionalFormatting sqref="AZ139">
    <cfRule type="cellIs" dxfId="5084" priority="2241" operator="lessThan">
      <formula>0</formula>
    </cfRule>
    <cfRule type="cellIs" dxfId="5083" priority="2242" operator="greaterThan">
      <formula>100.00001%</formula>
    </cfRule>
    <cfRule type="cellIs" dxfId="5082" priority="2243" operator="between">
      <formula>0.66</formula>
      <formula>1</formula>
    </cfRule>
    <cfRule type="cellIs" dxfId="5081" priority="2244" operator="between">
      <formula>0.401</formula>
      <formula>0.659999999999</formula>
    </cfRule>
    <cfRule type="cellIs" dxfId="5080" priority="2245" operator="between">
      <formula>0</formula>
      <formula>0.4</formula>
    </cfRule>
  </conditionalFormatting>
  <conditionalFormatting sqref="BB139">
    <cfRule type="cellIs" dxfId="5079" priority="2236" operator="lessThan">
      <formula>0</formula>
    </cfRule>
    <cfRule type="cellIs" dxfId="5078" priority="2237" operator="greaterThan">
      <formula>100.00001%</formula>
    </cfRule>
    <cfRule type="cellIs" dxfId="5077" priority="2238" operator="between">
      <formula>0.66</formula>
      <formula>1</formula>
    </cfRule>
    <cfRule type="cellIs" dxfId="5076" priority="2239" operator="between">
      <formula>0.401</formula>
      <formula>0.659999999999</formula>
    </cfRule>
    <cfRule type="cellIs" dxfId="5075" priority="2240" operator="between">
      <formula>0</formula>
      <formula>0.4</formula>
    </cfRule>
  </conditionalFormatting>
  <conditionalFormatting sqref="AZ143:AZ148">
    <cfRule type="cellIs" dxfId="5074" priority="2231" operator="lessThan">
      <formula>0</formula>
    </cfRule>
    <cfRule type="cellIs" dxfId="5073" priority="2232" operator="greaterThan">
      <formula>100.00001%</formula>
    </cfRule>
    <cfRule type="cellIs" dxfId="5072" priority="2233" operator="between">
      <formula>0.66</formula>
      <formula>1</formula>
    </cfRule>
    <cfRule type="cellIs" dxfId="5071" priority="2234" operator="between">
      <formula>0.401</formula>
      <formula>0.659999999999</formula>
    </cfRule>
    <cfRule type="cellIs" dxfId="5070" priority="2235" operator="between">
      <formula>0</formula>
      <formula>0.4</formula>
    </cfRule>
  </conditionalFormatting>
  <conditionalFormatting sqref="BB143:BB148">
    <cfRule type="cellIs" dxfId="5069" priority="2226" operator="lessThan">
      <formula>0</formula>
    </cfRule>
    <cfRule type="cellIs" dxfId="5068" priority="2227" operator="greaterThan">
      <formula>100.00001%</formula>
    </cfRule>
    <cfRule type="cellIs" dxfId="5067" priority="2228" operator="between">
      <formula>0.66</formula>
      <formula>1</formula>
    </cfRule>
    <cfRule type="cellIs" dxfId="5066" priority="2229" operator="between">
      <formula>0.401</formula>
      <formula>0.659999999999</formula>
    </cfRule>
    <cfRule type="cellIs" dxfId="5065" priority="2230" operator="between">
      <formula>0</formula>
      <formula>0.4</formula>
    </cfRule>
  </conditionalFormatting>
  <conditionalFormatting sqref="AZ165:AZ179">
    <cfRule type="cellIs" dxfId="5064" priority="2211" operator="lessThan">
      <formula>0</formula>
    </cfRule>
    <cfRule type="cellIs" dxfId="5063" priority="2212" operator="greaterThan">
      <formula>100.00001%</formula>
    </cfRule>
    <cfRule type="cellIs" dxfId="5062" priority="2213" operator="between">
      <formula>0.66</formula>
      <formula>1</formula>
    </cfRule>
    <cfRule type="cellIs" dxfId="5061" priority="2214" operator="between">
      <formula>0.401</formula>
      <formula>0.659999999999</formula>
    </cfRule>
    <cfRule type="cellIs" dxfId="5060" priority="2215" operator="between">
      <formula>0</formula>
      <formula>0.4</formula>
    </cfRule>
  </conditionalFormatting>
  <conditionalFormatting sqref="BB165:BB179">
    <cfRule type="cellIs" dxfId="5059" priority="2206" operator="lessThan">
      <formula>0</formula>
    </cfRule>
    <cfRule type="cellIs" dxfId="5058" priority="2207" operator="greaterThan">
      <formula>100.00001%</formula>
    </cfRule>
    <cfRule type="cellIs" dxfId="5057" priority="2208" operator="between">
      <formula>0.66</formula>
      <formula>1</formula>
    </cfRule>
    <cfRule type="cellIs" dxfId="5056" priority="2209" operator="between">
      <formula>0.401</formula>
      <formula>0.659999999999</formula>
    </cfRule>
    <cfRule type="cellIs" dxfId="5055" priority="2210" operator="between">
      <formula>0</formula>
      <formula>0.4</formula>
    </cfRule>
  </conditionalFormatting>
  <conditionalFormatting sqref="AZ180:AZ194">
    <cfRule type="cellIs" dxfId="5054" priority="2201" operator="lessThan">
      <formula>0</formula>
    </cfRule>
    <cfRule type="cellIs" dxfId="5053" priority="2202" operator="greaterThan">
      <formula>100.00001%</formula>
    </cfRule>
    <cfRule type="cellIs" dxfId="5052" priority="2203" operator="between">
      <formula>0.66</formula>
      <formula>1</formula>
    </cfRule>
    <cfRule type="cellIs" dxfId="5051" priority="2204" operator="between">
      <formula>0.401</formula>
      <formula>0.659999999999</formula>
    </cfRule>
    <cfRule type="cellIs" dxfId="5050" priority="2205" operator="between">
      <formula>0</formula>
      <formula>0.4</formula>
    </cfRule>
  </conditionalFormatting>
  <conditionalFormatting sqref="BB180:BB194">
    <cfRule type="cellIs" dxfId="5049" priority="2196" operator="lessThan">
      <formula>0</formula>
    </cfRule>
    <cfRule type="cellIs" dxfId="5048" priority="2197" operator="greaterThan">
      <formula>100.00001%</formula>
    </cfRule>
    <cfRule type="cellIs" dxfId="5047" priority="2198" operator="between">
      <formula>0.66</formula>
      <formula>1</formula>
    </cfRule>
    <cfRule type="cellIs" dxfId="5046" priority="2199" operator="between">
      <formula>0.401</formula>
      <formula>0.659999999999</formula>
    </cfRule>
    <cfRule type="cellIs" dxfId="5045" priority="2200" operator="between">
      <formula>0</formula>
      <formula>0.4</formula>
    </cfRule>
  </conditionalFormatting>
  <conditionalFormatting sqref="AZ195:AZ204">
    <cfRule type="cellIs" dxfId="5044" priority="2191" operator="lessThan">
      <formula>0</formula>
    </cfRule>
    <cfRule type="cellIs" dxfId="5043" priority="2192" operator="greaterThan">
      <formula>100.00001%</formula>
    </cfRule>
    <cfRule type="cellIs" dxfId="5042" priority="2193" operator="between">
      <formula>0.66</formula>
      <formula>1</formula>
    </cfRule>
    <cfRule type="cellIs" dxfId="5041" priority="2194" operator="between">
      <formula>0.401</formula>
      <formula>0.659999999999</formula>
    </cfRule>
    <cfRule type="cellIs" dxfId="5040" priority="2195" operator="between">
      <formula>0</formula>
      <formula>0.4</formula>
    </cfRule>
  </conditionalFormatting>
  <conditionalFormatting sqref="BB195:BB204">
    <cfRule type="cellIs" dxfId="5039" priority="2186" operator="lessThan">
      <formula>0</formula>
    </cfRule>
    <cfRule type="cellIs" dxfId="5038" priority="2187" operator="greaterThan">
      <formula>100.00001%</formula>
    </cfRule>
    <cfRule type="cellIs" dxfId="5037" priority="2188" operator="between">
      <formula>0.66</formula>
      <formula>1</formula>
    </cfRule>
    <cfRule type="cellIs" dxfId="5036" priority="2189" operator="between">
      <formula>0.401</formula>
      <formula>0.659999999999</formula>
    </cfRule>
    <cfRule type="cellIs" dxfId="5035" priority="2190" operator="between">
      <formula>0</formula>
      <formula>0.4</formula>
    </cfRule>
  </conditionalFormatting>
  <conditionalFormatting sqref="AZ206:AZ212">
    <cfRule type="cellIs" dxfId="5034" priority="2181" operator="lessThan">
      <formula>0</formula>
    </cfRule>
    <cfRule type="cellIs" dxfId="5033" priority="2182" operator="greaterThan">
      <formula>100.00001%</formula>
    </cfRule>
    <cfRule type="cellIs" dxfId="5032" priority="2183" operator="between">
      <formula>0.66</formula>
      <formula>1</formula>
    </cfRule>
    <cfRule type="cellIs" dxfId="5031" priority="2184" operator="between">
      <formula>0.401</formula>
      <formula>0.659999999999</formula>
    </cfRule>
    <cfRule type="cellIs" dxfId="5030" priority="2185" operator="between">
      <formula>0</formula>
      <formula>0.4</formula>
    </cfRule>
  </conditionalFormatting>
  <conditionalFormatting sqref="BB206:BB212">
    <cfRule type="cellIs" dxfId="5029" priority="2176" operator="lessThan">
      <formula>0</formula>
    </cfRule>
    <cfRule type="cellIs" dxfId="5028" priority="2177" operator="greaterThan">
      <formula>100.00001%</formula>
    </cfRule>
    <cfRule type="cellIs" dxfId="5027" priority="2178" operator="between">
      <formula>0.66</formula>
      <formula>1</formula>
    </cfRule>
    <cfRule type="cellIs" dxfId="5026" priority="2179" operator="between">
      <formula>0.401</formula>
      <formula>0.659999999999</formula>
    </cfRule>
    <cfRule type="cellIs" dxfId="5025" priority="2180" operator="between">
      <formula>0</formula>
      <formula>0.4</formula>
    </cfRule>
  </conditionalFormatting>
  <conditionalFormatting sqref="AZ222:AZ225">
    <cfRule type="cellIs" dxfId="5024" priority="2171" operator="lessThan">
      <formula>0</formula>
    </cfRule>
    <cfRule type="cellIs" dxfId="5023" priority="2172" operator="greaterThan">
      <formula>100.00001%</formula>
    </cfRule>
    <cfRule type="cellIs" dxfId="5022" priority="2173" operator="between">
      <formula>0.66</formula>
      <formula>1</formula>
    </cfRule>
    <cfRule type="cellIs" dxfId="5021" priority="2174" operator="between">
      <formula>0.401</formula>
      <formula>0.659999999999</formula>
    </cfRule>
    <cfRule type="cellIs" dxfId="5020" priority="2175" operator="between">
      <formula>0</formula>
      <formula>0.4</formula>
    </cfRule>
  </conditionalFormatting>
  <conditionalFormatting sqref="BB222:BB225">
    <cfRule type="cellIs" dxfId="5019" priority="2166" operator="lessThan">
      <formula>0</formula>
    </cfRule>
    <cfRule type="cellIs" dxfId="5018" priority="2167" operator="greaterThan">
      <formula>100.00001%</formula>
    </cfRule>
    <cfRule type="cellIs" dxfId="5017" priority="2168" operator="between">
      <formula>0.66</formula>
      <formula>1</formula>
    </cfRule>
    <cfRule type="cellIs" dxfId="5016" priority="2169" operator="between">
      <formula>0.401</formula>
      <formula>0.659999999999</formula>
    </cfRule>
    <cfRule type="cellIs" dxfId="5015" priority="2170" operator="between">
      <formula>0</formula>
      <formula>0.4</formula>
    </cfRule>
  </conditionalFormatting>
  <conditionalFormatting sqref="AZ226">
    <cfRule type="cellIs" dxfId="5014" priority="2161" operator="lessThan">
      <formula>0</formula>
    </cfRule>
    <cfRule type="cellIs" dxfId="5013" priority="2162" operator="greaterThan">
      <formula>100.00001%</formula>
    </cfRule>
    <cfRule type="cellIs" dxfId="5012" priority="2163" operator="between">
      <formula>0.66</formula>
      <formula>1</formula>
    </cfRule>
    <cfRule type="cellIs" dxfId="5011" priority="2164" operator="between">
      <formula>0.401</formula>
      <formula>0.659999999999</formula>
    </cfRule>
    <cfRule type="cellIs" dxfId="5010" priority="2165" operator="between">
      <formula>0</formula>
      <formula>0.4</formula>
    </cfRule>
  </conditionalFormatting>
  <conditionalFormatting sqref="BB226">
    <cfRule type="cellIs" dxfId="5009" priority="2156" operator="lessThan">
      <formula>0</formula>
    </cfRule>
    <cfRule type="cellIs" dxfId="5008" priority="2157" operator="greaterThan">
      <formula>100.00001%</formula>
    </cfRule>
    <cfRule type="cellIs" dxfId="5007" priority="2158" operator="between">
      <formula>0.66</formula>
      <formula>1</formula>
    </cfRule>
    <cfRule type="cellIs" dxfId="5006" priority="2159" operator="between">
      <formula>0.401</formula>
      <formula>0.659999999999</formula>
    </cfRule>
    <cfRule type="cellIs" dxfId="5005" priority="2160" operator="between">
      <formula>0</formula>
      <formula>0.4</formula>
    </cfRule>
  </conditionalFormatting>
  <conditionalFormatting sqref="AZ252:AZ255">
    <cfRule type="cellIs" dxfId="5004" priority="2141" operator="lessThan">
      <formula>0</formula>
    </cfRule>
    <cfRule type="cellIs" dxfId="5003" priority="2142" operator="greaterThan">
      <formula>100.00001%</formula>
    </cfRule>
    <cfRule type="cellIs" dxfId="5002" priority="2143" operator="between">
      <formula>0.66</formula>
      <formula>1</formula>
    </cfRule>
    <cfRule type="cellIs" dxfId="5001" priority="2144" operator="between">
      <formula>0.401</formula>
      <formula>0.659999999999</formula>
    </cfRule>
    <cfRule type="cellIs" dxfId="5000" priority="2145" operator="between">
      <formula>0</formula>
      <formula>0.4</formula>
    </cfRule>
  </conditionalFormatting>
  <conditionalFormatting sqref="BB252:BB255">
    <cfRule type="cellIs" dxfId="4999" priority="2136" operator="lessThan">
      <formula>0</formula>
    </cfRule>
    <cfRule type="cellIs" dxfId="4998" priority="2137" operator="greaterThan">
      <formula>100.00001%</formula>
    </cfRule>
    <cfRule type="cellIs" dxfId="4997" priority="2138" operator="between">
      <formula>0.66</formula>
      <formula>1</formula>
    </cfRule>
    <cfRule type="cellIs" dxfId="4996" priority="2139" operator="between">
      <formula>0.401</formula>
      <formula>0.659999999999</formula>
    </cfRule>
    <cfRule type="cellIs" dxfId="4995" priority="2140" operator="between">
      <formula>0</formula>
      <formula>0.4</formula>
    </cfRule>
  </conditionalFormatting>
  <conditionalFormatting sqref="AZ256">
    <cfRule type="cellIs" dxfId="4994" priority="2131" operator="lessThan">
      <formula>0</formula>
    </cfRule>
    <cfRule type="cellIs" dxfId="4993" priority="2132" operator="greaterThan">
      <formula>100.00001%</formula>
    </cfRule>
    <cfRule type="cellIs" dxfId="4992" priority="2133" operator="between">
      <formula>0.66</formula>
      <formula>1</formula>
    </cfRule>
    <cfRule type="cellIs" dxfId="4991" priority="2134" operator="between">
      <formula>0.401</formula>
      <formula>0.659999999999</formula>
    </cfRule>
    <cfRule type="cellIs" dxfId="4990" priority="2135" operator="between">
      <formula>0</formula>
      <formula>0.4</formula>
    </cfRule>
  </conditionalFormatting>
  <conditionalFormatting sqref="BB256">
    <cfRule type="cellIs" dxfId="4989" priority="2126" operator="lessThan">
      <formula>0</formula>
    </cfRule>
    <cfRule type="cellIs" dxfId="4988" priority="2127" operator="greaterThan">
      <formula>100.00001%</formula>
    </cfRule>
    <cfRule type="cellIs" dxfId="4987" priority="2128" operator="between">
      <formula>0.66</formula>
      <formula>1</formula>
    </cfRule>
    <cfRule type="cellIs" dxfId="4986" priority="2129" operator="between">
      <formula>0.401</formula>
      <formula>0.659999999999</formula>
    </cfRule>
    <cfRule type="cellIs" dxfId="4985" priority="2130" operator="between">
      <formula>0</formula>
      <formula>0.4</formula>
    </cfRule>
  </conditionalFormatting>
  <conditionalFormatting sqref="AZ257:AZ259">
    <cfRule type="cellIs" dxfId="4984" priority="2121" operator="lessThan">
      <formula>0</formula>
    </cfRule>
    <cfRule type="cellIs" dxfId="4983" priority="2122" operator="greaterThan">
      <formula>100.00001%</formula>
    </cfRule>
    <cfRule type="cellIs" dxfId="4982" priority="2123" operator="between">
      <formula>0.66</formula>
      <formula>1</formula>
    </cfRule>
    <cfRule type="cellIs" dxfId="4981" priority="2124" operator="between">
      <formula>0.401</formula>
      <formula>0.659999999999</formula>
    </cfRule>
    <cfRule type="cellIs" dxfId="4980" priority="2125" operator="between">
      <formula>0</formula>
      <formula>0.4</formula>
    </cfRule>
  </conditionalFormatting>
  <conditionalFormatting sqref="BB257:BB259">
    <cfRule type="cellIs" dxfId="4979" priority="2116" operator="lessThan">
      <formula>0</formula>
    </cfRule>
    <cfRule type="cellIs" dxfId="4978" priority="2117" operator="greaterThan">
      <formula>100.00001%</formula>
    </cfRule>
    <cfRule type="cellIs" dxfId="4977" priority="2118" operator="between">
      <formula>0.66</formula>
      <formula>1</formula>
    </cfRule>
    <cfRule type="cellIs" dxfId="4976" priority="2119" operator="between">
      <formula>0.401</formula>
      <formula>0.659999999999</formula>
    </cfRule>
    <cfRule type="cellIs" dxfId="4975" priority="2120" operator="between">
      <formula>0</formula>
      <formula>0.4</formula>
    </cfRule>
  </conditionalFormatting>
  <conditionalFormatting sqref="AZ260">
    <cfRule type="cellIs" dxfId="4974" priority="2111" operator="lessThan">
      <formula>0</formula>
    </cfRule>
    <cfRule type="cellIs" dxfId="4973" priority="2112" operator="greaterThan">
      <formula>100.00001%</formula>
    </cfRule>
    <cfRule type="cellIs" dxfId="4972" priority="2113" operator="between">
      <formula>0.66</formula>
      <formula>1</formula>
    </cfRule>
    <cfRule type="cellIs" dxfId="4971" priority="2114" operator="between">
      <formula>0.401</formula>
      <formula>0.659999999999</formula>
    </cfRule>
    <cfRule type="cellIs" dxfId="4970" priority="2115" operator="between">
      <formula>0</formula>
      <formula>0.4</formula>
    </cfRule>
  </conditionalFormatting>
  <conditionalFormatting sqref="BB260">
    <cfRule type="cellIs" dxfId="4969" priority="2106" operator="lessThan">
      <formula>0</formula>
    </cfRule>
    <cfRule type="cellIs" dxfId="4968" priority="2107" operator="greaterThan">
      <formula>100.00001%</formula>
    </cfRule>
    <cfRule type="cellIs" dxfId="4967" priority="2108" operator="between">
      <formula>0.66</formula>
      <formula>1</formula>
    </cfRule>
    <cfRule type="cellIs" dxfId="4966" priority="2109" operator="between">
      <formula>0.401</formula>
      <formula>0.659999999999</formula>
    </cfRule>
    <cfRule type="cellIs" dxfId="4965" priority="2110" operator="between">
      <formula>0</formula>
      <formula>0.4</formula>
    </cfRule>
  </conditionalFormatting>
  <conditionalFormatting sqref="AZ261">
    <cfRule type="cellIs" dxfId="4964" priority="2101" operator="lessThan">
      <formula>0</formula>
    </cfRule>
    <cfRule type="cellIs" dxfId="4963" priority="2102" operator="greaterThan">
      <formula>100.00001%</formula>
    </cfRule>
    <cfRule type="cellIs" dxfId="4962" priority="2103" operator="between">
      <formula>0.66</formula>
      <formula>1</formula>
    </cfRule>
    <cfRule type="cellIs" dxfId="4961" priority="2104" operator="between">
      <formula>0.401</formula>
      <formula>0.659999999999</formula>
    </cfRule>
    <cfRule type="cellIs" dxfId="4960" priority="2105" operator="between">
      <formula>0</formula>
      <formula>0.4</formula>
    </cfRule>
  </conditionalFormatting>
  <conditionalFormatting sqref="BB261">
    <cfRule type="cellIs" dxfId="4959" priority="2096" operator="lessThan">
      <formula>0</formula>
    </cfRule>
    <cfRule type="cellIs" dxfId="4958" priority="2097" operator="greaterThan">
      <formula>100.00001%</formula>
    </cfRule>
    <cfRule type="cellIs" dxfId="4957" priority="2098" operator="between">
      <formula>0.66</formula>
      <formula>1</formula>
    </cfRule>
    <cfRule type="cellIs" dxfId="4956" priority="2099" operator="between">
      <formula>0.401</formula>
      <formula>0.659999999999</formula>
    </cfRule>
    <cfRule type="cellIs" dxfId="4955" priority="2100" operator="between">
      <formula>0</formula>
      <formula>0.4</formula>
    </cfRule>
  </conditionalFormatting>
  <conditionalFormatting sqref="AZ262:AZ263">
    <cfRule type="cellIs" dxfId="4954" priority="2091" operator="lessThan">
      <formula>0</formula>
    </cfRule>
    <cfRule type="cellIs" dxfId="4953" priority="2092" operator="greaterThan">
      <formula>100.00001%</formula>
    </cfRule>
    <cfRule type="cellIs" dxfId="4952" priority="2093" operator="between">
      <formula>0.66</formula>
      <formula>1</formula>
    </cfRule>
    <cfRule type="cellIs" dxfId="4951" priority="2094" operator="between">
      <formula>0.401</formula>
      <formula>0.659999999999</formula>
    </cfRule>
    <cfRule type="cellIs" dxfId="4950" priority="2095" operator="between">
      <formula>0</formula>
      <formula>0.4</formula>
    </cfRule>
  </conditionalFormatting>
  <conditionalFormatting sqref="BB262:BB263">
    <cfRule type="cellIs" dxfId="4949" priority="2086" operator="lessThan">
      <formula>0</formula>
    </cfRule>
    <cfRule type="cellIs" dxfId="4948" priority="2087" operator="greaterThan">
      <formula>100.00001%</formula>
    </cfRule>
    <cfRule type="cellIs" dxfId="4947" priority="2088" operator="between">
      <formula>0.66</formula>
      <formula>1</formula>
    </cfRule>
    <cfRule type="cellIs" dxfId="4946" priority="2089" operator="between">
      <formula>0.401</formula>
      <formula>0.659999999999</formula>
    </cfRule>
    <cfRule type="cellIs" dxfId="4945" priority="2090" operator="between">
      <formula>0</formula>
      <formula>0.4</formula>
    </cfRule>
  </conditionalFormatting>
  <conditionalFormatting sqref="AZ264:AZ265">
    <cfRule type="cellIs" dxfId="4944" priority="2081" operator="lessThan">
      <formula>0</formula>
    </cfRule>
    <cfRule type="cellIs" dxfId="4943" priority="2082" operator="greaterThan">
      <formula>100.00001%</formula>
    </cfRule>
    <cfRule type="cellIs" dxfId="4942" priority="2083" operator="between">
      <formula>0.66</formula>
      <formula>1</formula>
    </cfRule>
    <cfRule type="cellIs" dxfId="4941" priority="2084" operator="between">
      <formula>0.401</formula>
      <formula>0.659999999999</formula>
    </cfRule>
    <cfRule type="cellIs" dxfId="4940" priority="2085" operator="between">
      <formula>0</formula>
      <formula>0.4</formula>
    </cfRule>
  </conditionalFormatting>
  <conditionalFormatting sqref="BB264:BB265">
    <cfRule type="cellIs" dxfId="4939" priority="2076" operator="lessThan">
      <formula>0</formula>
    </cfRule>
    <cfRule type="cellIs" dxfId="4938" priority="2077" operator="greaterThan">
      <formula>100.00001%</formula>
    </cfRule>
    <cfRule type="cellIs" dxfId="4937" priority="2078" operator="between">
      <formula>0.66</formula>
      <formula>1</formula>
    </cfRule>
    <cfRule type="cellIs" dxfId="4936" priority="2079" operator="between">
      <formula>0.401</formula>
      <formula>0.659999999999</formula>
    </cfRule>
    <cfRule type="cellIs" dxfId="4935" priority="2080" operator="between">
      <formula>0</formula>
      <formula>0.4</formula>
    </cfRule>
  </conditionalFormatting>
  <conditionalFormatting sqref="AZ266">
    <cfRule type="cellIs" dxfId="4934" priority="2071" operator="lessThan">
      <formula>0</formula>
    </cfRule>
    <cfRule type="cellIs" dxfId="4933" priority="2072" operator="greaterThan">
      <formula>100.00001%</formula>
    </cfRule>
    <cfRule type="cellIs" dxfId="4932" priority="2073" operator="between">
      <formula>0.66</formula>
      <formula>1</formula>
    </cfRule>
    <cfRule type="cellIs" dxfId="4931" priority="2074" operator="between">
      <formula>0.401</formula>
      <formula>0.659999999999</formula>
    </cfRule>
    <cfRule type="cellIs" dxfId="4930" priority="2075" operator="between">
      <formula>0</formula>
      <formula>0.4</formula>
    </cfRule>
  </conditionalFormatting>
  <conditionalFormatting sqref="BB266">
    <cfRule type="cellIs" dxfId="4929" priority="2066" operator="lessThan">
      <formula>0</formula>
    </cfRule>
    <cfRule type="cellIs" dxfId="4928" priority="2067" operator="greaterThan">
      <formula>100.00001%</formula>
    </cfRule>
    <cfRule type="cellIs" dxfId="4927" priority="2068" operator="between">
      <formula>0.66</formula>
      <formula>1</formula>
    </cfRule>
    <cfRule type="cellIs" dxfId="4926" priority="2069" operator="between">
      <formula>0.401</formula>
      <formula>0.659999999999</formula>
    </cfRule>
    <cfRule type="cellIs" dxfId="4925" priority="2070" operator="between">
      <formula>0</formula>
      <formula>0.4</formula>
    </cfRule>
  </conditionalFormatting>
  <conditionalFormatting sqref="AZ267:AZ271">
    <cfRule type="cellIs" dxfId="4924" priority="2061" operator="lessThan">
      <formula>0</formula>
    </cfRule>
    <cfRule type="cellIs" dxfId="4923" priority="2062" operator="greaterThan">
      <formula>100.00001%</formula>
    </cfRule>
    <cfRule type="cellIs" dxfId="4922" priority="2063" operator="between">
      <formula>0.66</formula>
      <formula>1</formula>
    </cfRule>
    <cfRule type="cellIs" dxfId="4921" priority="2064" operator="between">
      <formula>0.401</formula>
      <formula>0.659999999999</formula>
    </cfRule>
    <cfRule type="cellIs" dxfId="4920" priority="2065" operator="between">
      <formula>0</formula>
      <formula>0.4</formula>
    </cfRule>
  </conditionalFormatting>
  <conditionalFormatting sqref="BB267:BB271">
    <cfRule type="cellIs" dxfId="4919" priority="2056" operator="lessThan">
      <formula>0</formula>
    </cfRule>
    <cfRule type="cellIs" dxfId="4918" priority="2057" operator="greaterThan">
      <formula>100.00001%</formula>
    </cfRule>
    <cfRule type="cellIs" dxfId="4917" priority="2058" operator="between">
      <formula>0.66</formula>
      <formula>1</formula>
    </cfRule>
    <cfRule type="cellIs" dxfId="4916" priority="2059" operator="between">
      <formula>0.401</formula>
      <formula>0.659999999999</formula>
    </cfRule>
    <cfRule type="cellIs" dxfId="4915" priority="2060" operator="between">
      <formula>0</formula>
      <formula>0.4</formula>
    </cfRule>
  </conditionalFormatting>
  <conditionalFormatting sqref="AZ275">
    <cfRule type="cellIs" dxfId="4914" priority="2051" operator="lessThan">
      <formula>0</formula>
    </cfRule>
    <cfRule type="cellIs" dxfId="4913" priority="2052" operator="greaterThan">
      <formula>100.00001%</formula>
    </cfRule>
    <cfRule type="cellIs" dxfId="4912" priority="2053" operator="between">
      <formula>0.66</formula>
      <formula>1</formula>
    </cfRule>
    <cfRule type="cellIs" dxfId="4911" priority="2054" operator="between">
      <formula>0.401</formula>
      <formula>0.659999999999</formula>
    </cfRule>
    <cfRule type="cellIs" dxfId="4910" priority="2055" operator="between">
      <formula>0</formula>
      <formula>0.4</formula>
    </cfRule>
  </conditionalFormatting>
  <conditionalFormatting sqref="BB275">
    <cfRule type="cellIs" dxfId="4909" priority="2046" operator="lessThan">
      <formula>0</formula>
    </cfRule>
    <cfRule type="cellIs" dxfId="4908" priority="2047" operator="greaterThan">
      <formula>100.00001%</formula>
    </cfRule>
    <cfRule type="cellIs" dxfId="4907" priority="2048" operator="between">
      <formula>0.66</formula>
      <formula>1</formula>
    </cfRule>
    <cfRule type="cellIs" dxfId="4906" priority="2049" operator="between">
      <formula>0.401</formula>
      <formula>0.659999999999</formula>
    </cfRule>
    <cfRule type="cellIs" dxfId="4905" priority="2050" operator="between">
      <formula>0</formula>
      <formula>0.4</formula>
    </cfRule>
  </conditionalFormatting>
  <conditionalFormatting sqref="AZ276">
    <cfRule type="cellIs" dxfId="4904" priority="2041" operator="lessThan">
      <formula>0</formula>
    </cfRule>
    <cfRule type="cellIs" dxfId="4903" priority="2042" operator="greaterThan">
      <formula>100.00001%</formula>
    </cfRule>
    <cfRule type="cellIs" dxfId="4902" priority="2043" operator="between">
      <formula>0.66</formula>
      <formula>1</formula>
    </cfRule>
    <cfRule type="cellIs" dxfId="4901" priority="2044" operator="between">
      <formula>0.401</formula>
      <formula>0.659999999999</formula>
    </cfRule>
    <cfRule type="cellIs" dxfId="4900" priority="2045" operator="between">
      <formula>0</formula>
      <formula>0.4</formula>
    </cfRule>
  </conditionalFormatting>
  <conditionalFormatting sqref="BB276">
    <cfRule type="cellIs" dxfId="4899" priority="2036" operator="lessThan">
      <formula>0</formula>
    </cfRule>
    <cfRule type="cellIs" dxfId="4898" priority="2037" operator="greaterThan">
      <formula>100.00001%</formula>
    </cfRule>
    <cfRule type="cellIs" dxfId="4897" priority="2038" operator="between">
      <formula>0.66</formula>
      <formula>1</formula>
    </cfRule>
    <cfRule type="cellIs" dxfId="4896" priority="2039" operator="between">
      <formula>0.401</formula>
      <formula>0.659999999999</formula>
    </cfRule>
    <cfRule type="cellIs" dxfId="4895" priority="2040" operator="between">
      <formula>0</formula>
      <formula>0.4</formula>
    </cfRule>
  </conditionalFormatting>
  <conditionalFormatting sqref="AZ277">
    <cfRule type="cellIs" dxfId="4894" priority="2031" operator="lessThan">
      <formula>0</formula>
    </cfRule>
    <cfRule type="cellIs" dxfId="4893" priority="2032" operator="greaterThan">
      <formula>100.00001%</formula>
    </cfRule>
    <cfRule type="cellIs" dxfId="4892" priority="2033" operator="between">
      <formula>0.66</formula>
      <formula>1</formula>
    </cfRule>
    <cfRule type="cellIs" dxfId="4891" priority="2034" operator="between">
      <formula>0.401</formula>
      <formula>0.659999999999</formula>
    </cfRule>
    <cfRule type="cellIs" dxfId="4890" priority="2035" operator="between">
      <formula>0</formula>
      <formula>0.4</formula>
    </cfRule>
  </conditionalFormatting>
  <conditionalFormatting sqref="BB277">
    <cfRule type="cellIs" dxfId="4889" priority="2026" operator="lessThan">
      <formula>0</formula>
    </cfRule>
    <cfRule type="cellIs" dxfId="4888" priority="2027" operator="greaterThan">
      <formula>100.00001%</formula>
    </cfRule>
    <cfRule type="cellIs" dxfId="4887" priority="2028" operator="between">
      <formula>0.66</formula>
      <formula>1</formula>
    </cfRule>
    <cfRule type="cellIs" dxfId="4886" priority="2029" operator="between">
      <formula>0.401</formula>
      <formula>0.659999999999</formula>
    </cfRule>
    <cfRule type="cellIs" dxfId="4885" priority="2030" operator="between">
      <formula>0</formula>
      <formula>0.4</formula>
    </cfRule>
  </conditionalFormatting>
  <conditionalFormatting sqref="AZ278:AZ279">
    <cfRule type="cellIs" dxfId="4884" priority="2021" operator="lessThan">
      <formula>0</formula>
    </cfRule>
    <cfRule type="cellIs" dxfId="4883" priority="2022" operator="greaterThan">
      <formula>100.00001%</formula>
    </cfRule>
    <cfRule type="cellIs" dxfId="4882" priority="2023" operator="between">
      <formula>0.66</formula>
      <formula>1</formula>
    </cfRule>
    <cfRule type="cellIs" dxfId="4881" priority="2024" operator="between">
      <formula>0.401</formula>
      <formula>0.659999999999</formula>
    </cfRule>
    <cfRule type="cellIs" dxfId="4880" priority="2025" operator="between">
      <formula>0</formula>
      <formula>0.4</formula>
    </cfRule>
  </conditionalFormatting>
  <conditionalFormatting sqref="BB278:BB279">
    <cfRule type="cellIs" dxfId="4879" priority="2016" operator="lessThan">
      <formula>0</formula>
    </cfRule>
    <cfRule type="cellIs" dxfId="4878" priority="2017" operator="greaterThan">
      <formula>100.00001%</formula>
    </cfRule>
    <cfRule type="cellIs" dxfId="4877" priority="2018" operator="between">
      <formula>0.66</formula>
      <formula>1</formula>
    </cfRule>
    <cfRule type="cellIs" dxfId="4876" priority="2019" operator="between">
      <formula>0.401</formula>
      <formula>0.659999999999</formula>
    </cfRule>
    <cfRule type="cellIs" dxfId="4875" priority="2020" operator="between">
      <formula>0</formula>
      <formula>0.4</formula>
    </cfRule>
  </conditionalFormatting>
  <conditionalFormatting sqref="AZ280:AZ281">
    <cfRule type="cellIs" dxfId="4874" priority="2011" operator="lessThan">
      <formula>0</formula>
    </cfRule>
    <cfRule type="cellIs" dxfId="4873" priority="2012" operator="greaterThan">
      <formula>100.00001%</formula>
    </cfRule>
    <cfRule type="cellIs" dxfId="4872" priority="2013" operator="between">
      <formula>0.66</formula>
      <formula>1</formula>
    </cfRule>
    <cfRule type="cellIs" dxfId="4871" priority="2014" operator="between">
      <formula>0.401</formula>
      <formula>0.659999999999</formula>
    </cfRule>
    <cfRule type="cellIs" dxfId="4870" priority="2015" operator="between">
      <formula>0</formula>
      <formula>0.4</formula>
    </cfRule>
  </conditionalFormatting>
  <conditionalFormatting sqref="BB280:BB281">
    <cfRule type="cellIs" dxfId="4869" priority="2006" operator="lessThan">
      <formula>0</formula>
    </cfRule>
    <cfRule type="cellIs" dxfId="4868" priority="2007" operator="greaterThan">
      <formula>100.00001%</formula>
    </cfRule>
    <cfRule type="cellIs" dxfId="4867" priority="2008" operator="between">
      <formula>0.66</formula>
      <formula>1</formula>
    </cfRule>
    <cfRule type="cellIs" dxfId="4866" priority="2009" operator="between">
      <formula>0.401</formula>
      <formula>0.659999999999</formula>
    </cfRule>
    <cfRule type="cellIs" dxfId="4865" priority="2010" operator="between">
      <formula>0</formula>
      <formula>0.4</formula>
    </cfRule>
  </conditionalFormatting>
  <conditionalFormatting sqref="AZ282:AZ286">
    <cfRule type="cellIs" dxfId="4864" priority="2001" operator="lessThan">
      <formula>0</formula>
    </cfRule>
    <cfRule type="cellIs" dxfId="4863" priority="2002" operator="greaterThan">
      <formula>100.00001%</formula>
    </cfRule>
    <cfRule type="cellIs" dxfId="4862" priority="2003" operator="between">
      <formula>0.66</formula>
      <formula>1</formula>
    </cfRule>
    <cfRule type="cellIs" dxfId="4861" priority="2004" operator="between">
      <formula>0.401</formula>
      <formula>0.659999999999</formula>
    </cfRule>
    <cfRule type="cellIs" dxfId="4860" priority="2005" operator="between">
      <formula>0</formula>
      <formula>0.4</formula>
    </cfRule>
  </conditionalFormatting>
  <conditionalFormatting sqref="BB282:BB286">
    <cfRule type="cellIs" dxfId="4859" priority="1996" operator="lessThan">
      <formula>0</formula>
    </cfRule>
    <cfRule type="cellIs" dxfId="4858" priority="1997" operator="greaterThan">
      <formula>100.00001%</formula>
    </cfRule>
    <cfRule type="cellIs" dxfId="4857" priority="1998" operator="between">
      <formula>0.66</formula>
      <formula>1</formula>
    </cfRule>
    <cfRule type="cellIs" dxfId="4856" priority="1999" operator="between">
      <formula>0.401</formula>
      <formula>0.659999999999</formula>
    </cfRule>
    <cfRule type="cellIs" dxfId="4855" priority="2000" operator="between">
      <formula>0</formula>
      <formula>0.4</formula>
    </cfRule>
  </conditionalFormatting>
  <conditionalFormatting sqref="AZ287:AZ289">
    <cfRule type="cellIs" dxfId="4854" priority="1991" operator="lessThan">
      <formula>0</formula>
    </cfRule>
    <cfRule type="cellIs" dxfId="4853" priority="1992" operator="greaterThan">
      <formula>100.00001%</formula>
    </cfRule>
    <cfRule type="cellIs" dxfId="4852" priority="1993" operator="between">
      <formula>0.66</formula>
      <formula>1</formula>
    </cfRule>
    <cfRule type="cellIs" dxfId="4851" priority="1994" operator="between">
      <formula>0.401</formula>
      <formula>0.659999999999</formula>
    </cfRule>
    <cfRule type="cellIs" dxfId="4850" priority="1995" operator="between">
      <formula>0</formula>
      <formula>0.4</formula>
    </cfRule>
  </conditionalFormatting>
  <conditionalFormatting sqref="BB287:BB289">
    <cfRule type="cellIs" dxfId="4849" priority="1986" operator="lessThan">
      <formula>0</formula>
    </cfRule>
    <cfRule type="cellIs" dxfId="4848" priority="1987" operator="greaterThan">
      <formula>100.00001%</formula>
    </cfRule>
    <cfRule type="cellIs" dxfId="4847" priority="1988" operator="between">
      <formula>0.66</formula>
      <formula>1</formula>
    </cfRule>
    <cfRule type="cellIs" dxfId="4846" priority="1989" operator="between">
      <formula>0.401</formula>
      <formula>0.659999999999</formula>
    </cfRule>
    <cfRule type="cellIs" dxfId="4845" priority="1990" operator="between">
      <formula>0</formula>
      <formula>0.4</formula>
    </cfRule>
  </conditionalFormatting>
  <conditionalFormatting sqref="AZ334:AZ345">
    <cfRule type="cellIs" dxfId="4844" priority="1971" operator="lessThan">
      <formula>0</formula>
    </cfRule>
    <cfRule type="cellIs" dxfId="4843" priority="1972" operator="greaterThan">
      <formula>100.00001%</formula>
    </cfRule>
    <cfRule type="cellIs" dxfId="4842" priority="1973" operator="between">
      <formula>0.66</formula>
      <formula>1</formula>
    </cfRule>
    <cfRule type="cellIs" dxfId="4841" priority="1974" operator="between">
      <formula>0.401</formula>
      <formula>0.659999999999</formula>
    </cfRule>
    <cfRule type="cellIs" dxfId="4840" priority="1975" operator="between">
      <formula>0</formula>
      <formula>0.4</formula>
    </cfRule>
  </conditionalFormatting>
  <conditionalFormatting sqref="BB334:BB345">
    <cfRule type="cellIs" dxfId="4839" priority="1966" operator="lessThan">
      <formula>0</formula>
    </cfRule>
    <cfRule type="cellIs" dxfId="4838" priority="1967" operator="greaterThan">
      <formula>100.00001%</formula>
    </cfRule>
    <cfRule type="cellIs" dxfId="4837" priority="1968" operator="between">
      <formula>0.66</formula>
      <formula>1</formula>
    </cfRule>
    <cfRule type="cellIs" dxfId="4836" priority="1969" operator="between">
      <formula>0.401</formula>
      <formula>0.659999999999</formula>
    </cfRule>
    <cfRule type="cellIs" dxfId="4835" priority="1970" operator="between">
      <formula>0</formula>
      <formula>0.4</formula>
    </cfRule>
  </conditionalFormatting>
  <conditionalFormatting sqref="AZ346:AZ357">
    <cfRule type="cellIs" dxfId="4834" priority="1961" operator="lessThan">
      <formula>0</formula>
    </cfRule>
    <cfRule type="cellIs" dxfId="4833" priority="1962" operator="greaterThan">
      <formula>100.00001%</formula>
    </cfRule>
    <cfRule type="cellIs" dxfId="4832" priority="1963" operator="between">
      <formula>0.66</formula>
      <formula>1</formula>
    </cfRule>
    <cfRule type="cellIs" dxfId="4831" priority="1964" operator="between">
      <formula>0.401</formula>
      <formula>0.659999999999</formula>
    </cfRule>
    <cfRule type="cellIs" dxfId="4830" priority="1965" operator="between">
      <formula>0</formula>
      <formula>0.4</formula>
    </cfRule>
  </conditionalFormatting>
  <conditionalFormatting sqref="BB346:BB357">
    <cfRule type="cellIs" dxfId="4829" priority="1956" operator="lessThan">
      <formula>0</formula>
    </cfRule>
    <cfRule type="cellIs" dxfId="4828" priority="1957" operator="greaterThan">
      <formula>100.00001%</formula>
    </cfRule>
    <cfRule type="cellIs" dxfId="4827" priority="1958" operator="between">
      <formula>0.66</formula>
      <formula>1</formula>
    </cfRule>
    <cfRule type="cellIs" dxfId="4826" priority="1959" operator="between">
      <formula>0.401</formula>
      <formula>0.659999999999</formula>
    </cfRule>
    <cfRule type="cellIs" dxfId="4825" priority="1960" operator="between">
      <formula>0</formula>
      <formula>0.4</formula>
    </cfRule>
  </conditionalFormatting>
  <conditionalFormatting sqref="AZ358:AZ359">
    <cfRule type="cellIs" dxfId="4824" priority="1951" operator="lessThan">
      <formula>0</formula>
    </cfRule>
    <cfRule type="cellIs" dxfId="4823" priority="1952" operator="greaterThan">
      <formula>100.00001%</formula>
    </cfRule>
    <cfRule type="cellIs" dxfId="4822" priority="1953" operator="between">
      <formula>0.66</formula>
      <formula>1</formula>
    </cfRule>
    <cfRule type="cellIs" dxfId="4821" priority="1954" operator="between">
      <formula>0.401</formula>
      <formula>0.659999999999</formula>
    </cfRule>
    <cfRule type="cellIs" dxfId="4820" priority="1955" operator="between">
      <formula>0</formula>
      <formula>0.4</formula>
    </cfRule>
  </conditionalFormatting>
  <conditionalFormatting sqref="BB358:BB359">
    <cfRule type="cellIs" dxfId="4819" priority="1946" operator="lessThan">
      <formula>0</formula>
    </cfRule>
    <cfRule type="cellIs" dxfId="4818" priority="1947" operator="greaterThan">
      <formula>100.00001%</formula>
    </cfRule>
    <cfRule type="cellIs" dxfId="4817" priority="1948" operator="between">
      <formula>0.66</formula>
      <formula>1</formula>
    </cfRule>
    <cfRule type="cellIs" dxfId="4816" priority="1949" operator="between">
      <formula>0.401</formula>
      <formula>0.659999999999</formula>
    </cfRule>
    <cfRule type="cellIs" dxfId="4815" priority="1950" operator="between">
      <formula>0</formula>
      <formula>0.4</formula>
    </cfRule>
  </conditionalFormatting>
  <conditionalFormatting sqref="AZ361:AZ394">
    <cfRule type="cellIs" dxfId="4814" priority="1941" operator="lessThan">
      <formula>0</formula>
    </cfRule>
    <cfRule type="cellIs" dxfId="4813" priority="1942" operator="greaterThan">
      <formula>100.00001%</formula>
    </cfRule>
    <cfRule type="cellIs" dxfId="4812" priority="1943" operator="between">
      <formula>0.66</formula>
      <formula>1</formula>
    </cfRule>
    <cfRule type="cellIs" dxfId="4811" priority="1944" operator="between">
      <formula>0.401</formula>
      <formula>0.659999999999</formula>
    </cfRule>
    <cfRule type="cellIs" dxfId="4810" priority="1945" operator="between">
      <formula>0</formula>
      <formula>0.4</formula>
    </cfRule>
  </conditionalFormatting>
  <conditionalFormatting sqref="BB361:BB394">
    <cfRule type="cellIs" dxfId="4809" priority="1936" operator="lessThan">
      <formula>0</formula>
    </cfRule>
    <cfRule type="cellIs" dxfId="4808" priority="1937" operator="greaterThan">
      <formula>100.00001%</formula>
    </cfRule>
    <cfRule type="cellIs" dxfId="4807" priority="1938" operator="between">
      <formula>0.66</formula>
      <formula>1</formula>
    </cfRule>
    <cfRule type="cellIs" dxfId="4806" priority="1939" operator="between">
      <formula>0.401</formula>
      <formula>0.659999999999</formula>
    </cfRule>
    <cfRule type="cellIs" dxfId="4805" priority="1940" operator="between">
      <formula>0</formula>
      <formula>0.4</formula>
    </cfRule>
  </conditionalFormatting>
  <conditionalFormatting sqref="AZ396">
    <cfRule type="cellIs" dxfId="4804" priority="1931" operator="lessThan">
      <formula>0</formula>
    </cfRule>
    <cfRule type="cellIs" dxfId="4803" priority="1932" operator="greaterThan">
      <formula>100.00001%</formula>
    </cfRule>
    <cfRule type="cellIs" dxfId="4802" priority="1933" operator="between">
      <formula>0.66</formula>
      <formula>1</formula>
    </cfRule>
    <cfRule type="cellIs" dxfId="4801" priority="1934" operator="between">
      <formula>0.401</formula>
      <formula>0.659999999999</formula>
    </cfRule>
    <cfRule type="cellIs" dxfId="4800" priority="1935" operator="between">
      <formula>0</formula>
      <formula>0.4</formula>
    </cfRule>
  </conditionalFormatting>
  <conditionalFormatting sqref="BB396">
    <cfRule type="cellIs" dxfId="4799" priority="1926" operator="lessThan">
      <formula>0</formula>
    </cfRule>
    <cfRule type="cellIs" dxfId="4798" priority="1927" operator="greaterThan">
      <formula>100.00001%</formula>
    </cfRule>
    <cfRule type="cellIs" dxfId="4797" priority="1928" operator="between">
      <formula>0.66</formula>
      <formula>1</formula>
    </cfRule>
    <cfRule type="cellIs" dxfId="4796" priority="1929" operator="between">
      <formula>0.401</formula>
      <formula>0.659999999999</formula>
    </cfRule>
    <cfRule type="cellIs" dxfId="4795" priority="1930" operator="between">
      <formula>0</formula>
      <formula>0.4</formula>
    </cfRule>
  </conditionalFormatting>
  <conditionalFormatting sqref="AZ395">
    <cfRule type="cellIs" dxfId="4794" priority="1921" operator="lessThan">
      <formula>0</formula>
    </cfRule>
    <cfRule type="cellIs" dxfId="4793" priority="1922" operator="greaterThan">
      <formula>100.00001%</formula>
    </cfRule>
    <cfRule type="cellIs" dxfId="4792" priority="1923" operator="between">
      <formula>0.66</formula>
      <formula>1</formula>
    </cfRule>
    <cfRule type="cellIs" dxfId="4791" priority="1924" operator="between">
      <formula>0.401</formula>
      <formula>0.659999999999</formula>
    </cfRule>
    <cfRule type="cellIs" dxfId="4790" priority="1925" operator="between">
      <formula>0</formula>
      <formula>0.4</formula>
    </cfRule>
  </conditionalFormatting>
  <conditionalFormatting sqref="BB395">
    <cfRule type="cellIs" dxfId="4789" priority="1916" operator="lessThan">
      <formula>0</formula>
    </cfRule>
    <cfRule type="cellIs" dxfId="4788" priority="1917" operator="greaterThan">
      <formula>100.00001%</formula>
    </cfRule>
    <cfRule type="cellIs" dxfId="4787" priority="1918" operator="between">
      <formula>0.66</formula>
      <formula>1</formula>
    </cfRule>
    <cfRule type="cellIs" dxfId="4786" priority="1919" operator="between">
      <formula>0.401</formula>
      <formula>0.659999999999</formula>
    </cfRule>
    <cfRule type="cellIs" dxfId="4785" priority="1920" operator="between">
      <formula>0</formula>
      <formula>0.4</formula>
    </cfRule>
  </conditionalFormatting>
  <conditionalFormatting sqref="AZ397">
    <cfRule type="cellIs" dxfId="4784" priority="1911" operator="lessThan">
      <formula>0</formula>
    </cfRule>
    <cfRule type="cellIs" dxfId="4783" priority="1912" operator="greaterThan">
      <formula>100.00001%</formula>
    </cfRule>
    <cfRule type="cellIs" dxfId="4782" priority="1913" operator="between">
      <formula>0.66</formula>
      <formula>1</formula>
    </cfRule>
    <cfRule type="cellIs" dxfId="4781" priority="1914" operator="between">
      <formula>0.401</formula>
      <formula>0.659999999999</formula>
    </cfRule>
    <cfRule type="cellIs" dxfId="4780" priority="1915" operator="between">
      <formula>0</formula>
      <formula>0.4</formula>
    </cfRule>
  </conditionalFormatting>
  <conditionalFormatting sqref="BB397">
    <cfRule type="cellIs" dxfId="4779" priority="1906" operator="lessThan">
      <formula>0</formula>
    </cfRule>
    <cfRule type="cellIs" dxfId="4778" priority="1907" operator="greaterThan">
      <formula>100.00001%</formula>
    </cfRule>
    <cfRule type="cellIs" dxfId="4777" priority="1908" operator="between">
      <formula>0.66</formula>
      <formula>1</formula>
    </cfRule>
    <cfRule type="cellIs" dxfId="4776" priority="1909" operator="between">
      <formula>0.401</formula>
      <formula>0.659999999999</formula>
    </cfRule>
    <cfRule type="cellIs" dxfId="4775" priority="1910" operator="between">
      <formula>0</formula>
      <formula>0.4</formula>
    </cfRule>
  </conditionalFormatting>
  <conditionalFormatting sqref="AZ400:AZ404">
    <cfRule type="cellIs" dxfId="4774" priority="1901" operator="lessThan">
      <formula>0</formula>
    </cfRule>
    <cfRule type="cellIs" dxfId="4773" priority="1902" operator="greaterThan">
      <formula>100.00001%</formula>
    </cfRule>
    <cfRule type="cellIs" dxfId="4772" priority="1903" operator="between">
      <formula>0.66</formula>
      <formula>1</formula>
    </cfRule>
    <cfRule type="cellIs" dxfId="4771" priority="1904" operator="between">
      <formula>0.401</formula>
      <formula>0.659999999999</formula>
    </cfRule>
    <cfRule type="cellIs" dxfId="4770" priority="1905" operator="between">
      <formula>0</formula>
      <formula>0.4</formula>
    </cfRule>
  </conditionalFormatting>
  <conditionalFormatting sqref="BB400:BB404">
    <cfRule type="cellIs" dxfId="4769" priority="1896" operator="lessThan">
      <formula>0</formula>
    </cfRule>
    <cfRule type="cellIs" dxfId="4768" priority="1897" operator="greaterThan">
      <formula>100.00001%</formula>
    </cfRule>
    <cfRule type="cellIs" dxfId="4767" priority="1898" operator="between">
      <formula>0.66</formula>
      <formula>1</formula>
    </cfRule>
    <cfRule type="cellIs" dxfId="4766" priority="1899" operator="between">
      <formula>0.401</formula>
      <formula>0.659999999999</formula>
    </cfRule>
    <cfRule type="cellIs" dxfId="4765" priority="1900" operator="between">
      <formula>0</formula>
      <formula>0.4</formula>
    </cfRule>
  </conditionalFormatting>
  <conditionalFormatting sqref="AZ405:AZ417">
    <cfRule type="cellIs" dxfId="4764" priority="1891" operator="lessThan">
      <formula>0</formula>
    </cfRule>
    <cfRule type="cellIs" dxfId="4763" priority="1892" operator="greaterThan">
      <formula>100.00001%</formula>
    </cfRule>
    <cfRule type="cellIs" dxfId="4762" priority="1893" operator="between">
      <formula>0.66</formula>
      <formula>1</formula>
    </cfRule>
    <cfRule type="cellIs" dxfId="4761" priority="1894" operator="between">
      <formula>0.401</formula>
      <formula>0.659999999999</formula>
    </cfRule>
    <cfRule type="cellIs" dxfId="4760" priority="1895" operator="between">
      <formula>0</formula>
      <formula>0.4</formula>
    </cfRule>
  </conditionalFormatting>
  <conditionalFormatting sqref="BB405:BB417">
    <cfRule type="cellIs" dxfId="4759" priority="1886" operator="lessThan">
      <formula>0</formula>
    </cfRule>
    <cfRule type="cellIs" dxfId="4758" priority="1887" operator="greaterThan">
      <formula>100.00001%</formula>
    </cfRule>
    <cfRule type="cellIs" dxfId="4757" priority="1888" operator="between">
      <formula>0.66</formula>
      <formula>1</formula>
    </cfRule>
    <cfRule type="cellIs" dxfId="4756" priority="1889" operator="between">
      <formula>0.401</formula>
      <formula>0.659999999999</formula>
    </cfRule>
    <cfRule type="cellIs" dxfId="4755" priority="1890" operator="between">
      <formula>0</formula>
      <formula>0.4</formula>
    </cfRule>
  </conditionalFormatting>
  <conditionalFormatting sqref="AZ418:AZ419">
    <cfRule type="cellIs" dxfId="4754" priority="1881" operator="lessThan">
      <formula>0</formula>
    </cfRule>
    <cfRule type="cellIs" dxfId="4753" priority="1882" operator="greaterThan">
      <formula>100.00001%</formula>
    </cfRule>
    <cfRule type="cellIs" dxfId="4752" priority="1883" operator="between">
      <formula>0.66</formula>
      <formula>1</formula>
    </cfRule>
    <cfRule type="cellIs" dxfId="4751" priority="1884" operator="between">
      <formula>0.401</formula>
      <formula>0.659999999999</formula>
    </cfRule>
    <cfRule type="cellIs" dxfId="4750" priority="1885" operator="between">
      <formula>0</formula>
      <formula>0.4</formula>
    </cfRule>
  </conditionalFormatting>
  <conditionalFormatting sqref="BB418:BB419">
    <cfRule type="cellIs" dxfId="4749" priority="1876" operator="lessThan">
      <formula>0</formula>
    </cfRule>
    <cfRule type="cellIs" dxfId="4748" priority="1877" operator="greaterThan">
      <formula>100.00001%</formula>
    </cfRule>
    <cfRule type="cellIs" dxfId="4747" priority="1878" operator="between">
      <formula>0.66</formula>
      <formula>1</formula>
    </cfRule>
    <cfRule type="cellIs" dxfId="4746" priority="1879" operator="between">
      <formula>0.401</formula>
      <formula>0.659999999999</formula>
    </cfRule>
    <cfRule type="cellIs" dxfId="4745" priority="1880" operator="between">
      <formula>0</formula>
      <formula>0.4</formula>
    </cfRule>
  </conditionalFormatting>
  <conditionalFormatting sqref="AZ420">
    <cfRule type="cellIs" dxfId="4744" priority="1871" operator="lessThan">
      <formula>0</formula>
    </cfRule>
    <cfRule type="cellIs" dxfId="4743" priority="1872" operator="greaterThan">
      <formula>100.00001%</formula>
    </cfRule>
    <cfRule type="cellIs" dxfId="4742" priority="1873" operator="between">
      <formula>0.66</formula>
      <formula>1</formula>
    </cfRule>
    <cfRule type="cellIs" dxfId="4741" priority="1874" operator="between">
      <formula>0.401</formula>
      <formula>0.659999999999</formula>
    </cfRule>
    <cfRule type="cellIs" dxfId="4740" priority="1875" operator="between">
      <formula>0</formula>
      <formula>0.4</formula>
    </cfRule>
  </conditionalFormatting>
  <conditionalFormatting sqref="BB420">
    <cfRule type="cellIs" dxfId="4739" priority="1866" operator="lessThan">
      <formula>0</formula>
    </cfRule>
    <cfRule type="cellIs" dxfId="4738" priority="1867" operator="greaterThan">
      <formula>100.00001%</formula>
    </cfRule>
    <cfRule type="cellIs" dxfId="4737" priority="1868" operator="between">
      <formula>0.66</formula>
      <formula>1</formula>
    </cfRule>
    <cfRule type="cellIs" dxfId="4736" priority="1869" operator="between">
      <formula>0.401</formula>
      <formula>0.659999999999</formula>
    </cfRule>
    <cfRule type="cellIs" dxfId="4735" priority="1870" operator="between">
      <formula>0</formula>
      <formula>0.4</formula>
    </cfRule>
  </conditionalFormatting>
  <conditionalFormatting sqref="AZ421:AZ428">
    <cfRule type="cellIs" dxfId="4734" priority="1861" operator="lessThan">
      <formula>0</formula>
    </cfRule>
    <cfRule type="cellIs" dxfId="4733" priority="1862" operator="greaterThan">
      <formula>100.00001%</formula>
    </cfRule>
    <cfRule type="cellIs" dxfId="4732" priority="1863" operator="between">
      <formula>0.66</formula>
      <formula>1</formula>
    </cfRule>
    <cfRule type="cellIs" dxfId="4731" priority="1864" operator="between">
      <formula>0.401</formula>
      <formula>0.659999999999</formula>
    </cfRule>
    <cfRule type="cellIs" dxfId="4730" priority="1865" operator="between">
      <formula>0</formula>
      <formula>0.4</formula>
    </cfRule>
  </conditionalFormatting>
  <conditionalFormatting sqref="BB421:BB428">
    <cfRule type="cellIs" dxfId="4729" priority="1856" operator="lessThan">
      <formula>0</formula>
    </cfRule>
    <cfRule type="cellIs" dxfId="4728" priority="1857" operator="greaterThan">
      <formula>100.00001%</formula>
    </cfRule>
    <cfRule type="cellIs" dxfId="4727" priority="1858" operator="between">
      <formula>0.66</formula>
      <formula>1</formula>
    </cfRule>
    <cfRule type="cellIs" dxfId="4726" priority="1859" operator="between">
      <formula>0.401</formula>
      <formula>0.659999999999</formula>
    </cfRule>
    <cfRule type="cellIs" dxfId="4725" priority="1860" operator="between">
      <formula>0</formula>
      <formula>0.4</formula>
    </cfRule>
  </conditionalFormatting>
  <conditionalFormatting sqref="AZ429">
    <cfRule type="cellIs" dxfId="4724" priority="1851" operator="lessThan">
      <formula>0</formula>
    </cfRule>
    <cfRule type="cellIs" dxfId="4723" priority="1852" operator="greaterThan">
      <formula>100.00001%</formula>
    </cfRule>
    <cfRule type="cellIs" dxfId="4722" priority="1853" operator="between">
      <formula>0.66</formula>
      <formula>1</formula>
    </cfRule>
    <cfRule type="cellIs" dxfId="4721" priority="1854" operator="between">
      <formula>0.401</formula>
      <formula>0.659999999999</formula>
    </cfRule>
    <cfRule type="cellIs" dxfId="4720" priority="1855" operator="between">
      <formula>0</formula>
      <formula>0.4</formula>
    </cfRule>
  </conditionalFormatting>
  <conditionalFormatting sqref="BB429">
    <cfRule type="cellIs" dxfId="4719" priority="1846" operator="lessThan">
      <formula>0</formula>
    </cfRule>
    <cfRule type="cellIs" dxfId="4718" priority="1847" operator="greaterThan">
      <formula>100.00001%</formula>
    </cfRule>
    <cfRule type="cellIs" dxfId="4717" priority="1848" operator="between">
      <formula>0.66</formula>
      <formula>1</formula>
    </cfRule>
    <cfRule type="cellIs" dxfId="4716" priority="1849" operator="between">
      <formula>0.401</formula>
      <formula>0.659999999999</formula>
    </cfRule>
    <cfRule type="cellIs" dxfId="4715" priority="1850" operator="between">
      <formula>0</formula>
      <formula>0.4</formula>
    </cfRule>
  </conditionalFormatting>
  <conditionalFormatting sqref="AZ431">
    <cfRule type="cellIs" dxfId="4714" priority="1841" operator="lessThan">
      <formula>0</formula>
    </cfRule>
    <cfRule type="cellIs" dxfId="4713" priority="1842" operator="greaterThan">
      <formula>100.00001%</formula>
    </cfRule>
    <cfRule type="cellIs" dxfId="4712" priority="1843" operator="between">
      <formula>0.66</formula>
      <formula>1</formula>
    </cfRule>
    <cfRule type="cellIs" dxfId="4711" priority="1844" operator="between">
      <formula>0.401</formula>
      <formula>0.659999999999</formula>
    </cfRule>
    <cfRule type="cellIs" dxfId="4710" priority="1845" operator="between">
      <formula>0</formula>
      <formula>0.4</formula>
    </cfRule>
  </conditionalFormatting>
  <conditionalFormatting sqref="BB431">
    <cfRule type="cellIs" dxfId="4709" priority="1836" operator="lessThan">
      <formula>0</formula>
    </cfRule>
    <cfRule type="cellIs" dxfId="4708" priority="1837" operator="greaterThan">
      <formula>100.00001%</formula>
    </cfRule>
    <cfRule type="cellIs" dxfId="4707" priority="1838" operator="between">
      <formula>0.66</formula>
      <formula>1</formula>
    </cfRule>
    <cfRule type="cellIs" dxfId="4706" priority="1839" operator="between">
      <formula>0.401</formula>
      <formula>0.659999999999</formula>
    </cfRule>
    <cfRule type="cellIs" dxfId="4705" priority="1840" operator="between">
      <formula>0</formula>
      <formula>0.4</formula>
    </cfRule>
  </conditionalFormatting>
  <conditionalFormatting sqref="AZ432:AZ447">
    <cfRule type="cellIs" dxfId="4704" priority="1831" operator="lessThan">
      <formula>0</formula>
    </cfRule>
    <cfRule type="cellIs" dxfId="4703" priority="1832" operator="greaterThan">
      <formula>100.00001%</formula>
    </cfRule>
    <cfRule type="cellIs" dxfId="4702" priority="1833" operator="between">
      <formula>0.66</formula>
      <formula>1</formula>
    </cfRule>
    <cfRule type="cellIs" dxfId="4701" priority="1834" operator="between">
      <formula>0.401</formula>
      <formula>0.659999999999</formula>
    </cfRule>
    <cfRule type="cellIs" dxfId="4700" priority="1835" operator="between">
      <formula>0</formula>
      <formula>0.4</formula>
    </cfRule>
  </conditionalFormatting>
  <conditionalFormatting sqref="BB432:BB447">
    <cfRule type="cellIs" dxfId="4699" priority="1826" operator="lessThan">
      <formula>0</formula>
    </cfRule>
    <cfRule type="cellIs" dxfId="4698" priority="1827" operator="greaterThan">
      <formula>100.00001%</formula>
    </cfRule>
    <cfRule type="cellIs" dxfId="4697" priority="1828" operator="between">
      <formula>0.66</formula>
      <formula>1</formula>
    </cfRule>
    <cfRule type="cellIs" dxfId="4696" priority="1829" operator="between">
      <formula>0.401</formula>
      <formula>0.659999999999</formula>
    </cfRule>
    <cfRule type="cellIs" dxfId="4695" priority="1830" operator="between">
      <formula>0</formula>
      <formula>0.4</formula>
    </cfRule>
  </conditionalFormatting>
  <conditionalFormatting sqref="AZ448:AZ452">
    <cfRule type="cellIs" dxfId="4694" priority="1821" operator="lessThan">
      <formula>0</formula>
    </cfRule>
    <cfRule type="cellIs" dxfId="4693" priority="1822" operator="greaterThan">
      <formula>100.00001%</formula>
    </cfRule>
    <cfRule type="cellIs" dxfId="4692" priority="1823" operator="between">
      <formula>0.66</formula>
      <formula>1</formula>
    </cfRule>
    <cfRule type="cellIs" dxfId="4691" priority="1824" operator="between">
      <formula>0.401</formula>
      <formula>0.659999999999</formula>
    </cfRule>
    <cfRule type="cellIs" dxfId="4690" priority="1825" operator="between">
      <formula>0</formula>
      <formula>0.4</formula>
    </cfRule>
  </conditionalFormatting>
  <conditionalFormatting sqref="BB448:BB452">
    <cfRule type="cellIs" dxfId="4689" priority="1816" operator="lessThan">
      <formula>0</formula>
    </cfRule>
    <cfRule type="cellIs" dxfId="4688" priority="1817" operator="greaterThan">
      <formula>100.00001%</formula>
    </cfRule>
    <cfRule type="cellIs" dxfId="4687" priority="1818" operator="between">
      <formula>0.66</formula>
      <formula>1</formula>
    </cfRule>
    <cfRule type="cellIs" dxfId="4686" priority="1819" operator="between">
      <formula>0.401</formula>
      <formula>0.659999999999</formula>
    </cfRule>
    <cfRule type="cellIs" dxfId="4685" priority="1820" operator="between">
      <formula>0</formula>
      <formula>0.4</formula>
    </cfRule>
  </conditionalFormatting>
  <conditionalFormatting sqref="AZ456:AZ457">
    <cfRule type="cellIs" dxfId="4684" priority="1811" operator="lessThan">
      <formula>0</formula>
    </cfRule>
    <cfRule type="cellIs" dxfId="4683" priority="1812" operator="greaterThan">
      <formula>100.00001%</formula>
    </cfRule>
    <cfRule type="cellIs" dxfId="4682" priority="1813" operator="between">
      <formula>0.66</formula>
      <formula>1</formula>
    </cfRule>
    <cfRule type="cellIs" dxfId="4681" priority="1814" operator="between">
      <formula>0.401</formula>
      <formula>0.659999999999</formula>
    </cfRule>
    <cfRule type="cellIs" dxfId="4680" priority="1815" operator="between">
      <formula>0</formula>
      <formula>0.4</formula>
    </cfRule>
  </conditionalFormatting>
  <conditionalFormatting sqref="BB456:BB457">
    <cfRule type="cellIs" dxfId="4679" priority="1806" operator="lessThan">
      <formula>0</formula>
    </cfRule>
    <cfRule type="cellIs" dxfId="4678" priority="1807" operator="greaterThan">
      <formula>100.00001%</formula>
    </cfRule>
    <cfRule type="cellIs" dxfId="4677" priority="1808" operator="between">
      <formula>0.66</formula>
      <formula>1</formula>
    </cfRule>
    <cfRule type="cellIs" dxfId="4676" priority="1809" operator="between">
      <formula>0.401</formula>
      <formula>0.659999999999</formula>
    </cfRule>
    <cfRule type="cellIs" dxfId="4675" priority="1810" operator="between">
      <formula>0</formula>
      <formula>0.4</formula>
    </cfRule>
  </conditionalFormatting>
  <conditionalFormatting sqref="AZ458">
    <cfRule type="cellIs" dxfId="4674" priority="1801" operator="lessThan">
      <formula>0</formula>
    </cfRule>
    <cfRule type="cellIs" dxfId="4673" priority="1802" operator="greaterThan">
      <formula>100.00001%</formula>
    </cfRule>
    <cfRule type="cellIs" dxfId="4672" priority="1803" operator="between">
      <formula>0.66</formula>
      <formula>1</formula>
    </cfRule>
    <cfRule type="cellIs" dxfId="4671" priority="1804" operator="between">
      <formula>0.401</formula>
      <formula>0.659999999999</formula>
    </cfRule>
    <cfRule type="cellIs" dxfId="4670" priority="1805" operator="between">
      <formula>0</formula>
      <formula>0.4</formula>
    </cfRule>
  </conditionalFormatting>
  <conditionalFormatting sqref="BB458">
    <cfRule type="cellIs" dxfId="4669" priority="1796" operator="lessThan">
      <formula>0</formula>
    </cfRule>
    <cfRule type="cellIs" dxfId="4668" priority="1797" operator="greaterThan">
      <formula>100.00001%</formula>
    </cfRule>
    <cfRule type="cellIs" dxfId="4667" priority="1798" operator="between">
      <formula>0.66</formula>
      <formula>1</formula>
    </cfRule>
    <cfRule type="cellIs" dxfId="4666" priority="1799" operator="between">
      <formula>0.401</formula>
      <formula>0.659999999999</formula>
    </cfRule>
    <cfRule type="cellIs" dxfId="4665" priority="1800" operator="between">
      <formula>0</formula>
      <formula>0.4</formula>
    </cfRule>
  </conditionalFormatting>
  <conditionalFormatting sqref="AZ462">
    <cfRule type="cellIs" dxfId="4664" priority="1791" operator="lessThan">
      <formula>0</formula>
    </cfRule>
    <cfRule type="cellIs" dxfId="4663" priority="1792" operator="greaterThan">
      <formula>100.00001%</formula>
    </cfRule>
    <cfRule type="cellIs" dxfId="4662" priority="1793" operator="between">
      <formula>0.66</formula>
      <formula>1</formula>
    </cfRule>
    <cfRule type="cellIs" dxfId="4661" priority="1794" operator="between">
      <formula>0.401</formula>
      <formula>0.659999999999</formula>
    </cfRule>
    <cfRule type="cellIs" dxfId="4660" priority="1795" operator="between">
      <formula>0</formula>
      <formula>0.4</formula>
    </cfRule>
  </conditionalFormatting>
  <conditionalFormatting sqref="BB462">
    <cfRule type="cellIs" dxfId="4659" priority="1786" operator="lessThan">
      <formula>0</formula>
    </cfRule>
    <cfRule type="cellIs" dxfId="4658" priority="1787" operator="greaterThan">
      <formula>100.00001%</formula>
    </cfRule>
    <cfRule type="cellIs" dxfId="4657" priority="1788" operator="between">
      <formula>0.66</formula>
      <formula>1</formula>
    </cfRule>
    <cfRule type="cellIs" dxfId="4656" priority="1789" operator="between">
      <formula>0.401</formula>
      <formula>0.659999999999</formula>
    </cfRule>
    <cfRule type="cellIs" dxfId="4655" priority="1790" operator="between">
      <formula>0</formula>
      <formula>0.4</formula>
    </cfRule>
  </conditionalFormatting>
  <conditionalFormatting sqref="AZ463">
    <cfRule type="cellIs" dxfId="4654" priority="1781" operator="lessThan">
      <formula>0</formula>
    </cfRule>
    <cfRule type="cellIs" dxfId="4653" priority="1782" operator="greaterThan">
      <formula>100.00001%</formula>
    </cfRule>
    <cfRule type="cellIs" dxfId="4652" priority="1783" operator="between">
      <formula>0.66</formula>
      <formula>1</formula>
    </cfRule>
    <cfRule type="cellIs" dxfId="4651" priority="1784" operator="between">
      <formula>0.401</formula>
      <formula>0.659999999999</formula>
    </cfRule>
    <cfRule type="cellIs" dxfId="4650" priority="1785" operator="between">
      <formula>0</formula>
      <formula>0.4</formula>
    </cfRule>
  </conditionalFormatting>
  <conditionalFormatting sqref="BB463">
    <cfRule type="cellIs" dxfId="4649" priority="1776" operator="lessThan">
      <formula>0</formula>
    </cfRule>
    <cfRule type="cellIs" dxfId="4648" priority="1777" operator="greaterThan">
      <formula>100.00001%</formula>
    </cfRule>
    <cfRule type="cellIs" dxfId="4647" priority="1778" operator="between">
      <formula>0.66</formula>
      <formula>1</formula>
    </cfRule>
    <cfRule type="cellIs" dxfId="4646" priority="1779" operator="between">
      <formula>0.401</formula>
      <formula>0.659999999999</formula>
    </cfRule>
    <cfRule type="cellIs" dxfId="4645" priority="1780" operator="between">
      <formula>0</formula>
      <formula>0.4</formula>
    </cfRule>
  </conditionalFormatting>
  <conditionalFormatting sqref="AZ478:AZ485">
    <cfRule type="cellIs" dxfId="4644" priority="1771" operator="lessThan">
      <formula>0</formula>
    </cfRule>
    <cfRule type="cellIs" dxfId="4643" priority="1772" operator="greaterThan">
      <formula>100.00001%</formula>
    </cfRule>
    <cfRule type="cellIs" dxfId="4642" priority="1773" operator="between">
      <formula>0.66</formula>
      <formula>1</formula>
    </cfRule>
    <cfRule type="cellIs" dxfId="4641" priority="1774" operator="between">
      <formula>0.401</formula>
      <formula>0.659999999999</formula>
    </cfRule>
    <cfRule type="cellIs" dxfId="4640" priority="1775" operator="between">
      <formula>0</formula>
      <formula>0.4</formula>
    </cfRule>
  </conditionalFormatting>
  <conditionalFormatting sqref="BB478:BB485">
    <cfRule type="cellIs" dxfId="4639" priority="1766" operator="lessThan">
      <formula>0</formula>
    </cfRule>
    <cfRule type="cellIs" dxfId="4638" priority="1767" operator="greaterThan">
      <formula>100.00001%</formula>
    </cfRule>
    <cfRule type="cellIs" dxfId="4637" priority="1768" operator="between">
      <formula>0.66</formula>
      <formula>1</formula>
    </cfRule>
    <cfRule type="cellIs" dxfId="4636" priority="1769" operator="between">
      <formula>0.401</formula>
      <formula>0.659999999999</formula>
    </cfRule>
    <cfRule type="cellIs" dxfId="4635" priority="1770" operator="between">
      <formula>0</formula>
      <formula>0.4</formula>
    </cfRule>
  </conditionalFormatting>
  <conditionalFormatting sqref="AZ486">
    <cfRule type="cellIs" dxfId="4634" priority="1761" operator="lessThan">
      <formula>0</formula>
    </cfRule>
    <cfRule type="cellIs" dxfId="4633" priority="1762" operator="greaterThan">
      <formula>100.00001%</formula>
    </cfRule>
    <cfRule type="cellIs" dxfId="4632" priority="1763" operator="between">
      <formula>0.66</formula>
      <formula>1</formula>
    </cfRule>
    <cfRule type="cellIs" dxfId="4631" priority="1764" operator="between">
      <formula>0.401</formula>
      <formula>0.659999999999</formula>
    </cfRule>
    <cfRule type="cellIs" dxfId="4630" priority="1765" operator="between">
      <formula>0</formula>
      <formula>0.4</formula>
    </cfRule>
  </conditionalFormatting>
  <conditionalFormatting sqref="BB486">
    <cfRule type="cellIs" dxfId="4629" priority="1756" operator="lessThan">
      <formula>0</formula>
    </cfRule>
    <cfRule type="cellIs" dxfId="4628" priority="1757" operator="greaterThan">
      <formula>100.00001%</formula>
    </cfRule>
    <cfRule type="cellIs" dxfId="4627" priority="1758" operator="between">
      <formula>0.66</formula>
      <formula>1</formula>
    </cfRule>
    <cfRule type="cellIs" dxfId="4626" priority="1759" operator="between">
      <formula>0.401</formula>
      <formula>0.659999999999</formula>
    </cfRule>
    <cfRule type="cellIs" dxfId="4625" priority="1760" operator="between">
      <formula>0</formula>
      <formula>0.4</formula>
    </cfRule>
  </conditionalFormatting>
  <conditionalFormatting sqref="AZ487:AZ490">
    <cfRule type="cellIs" dxfId="4624" priority="1751" operator="lessThan">
      <formula>0</formula>
    </cfRule>
    <cfRule type="cellIs" dxfId="4623" priority="1752" operator="greaterThan">
      <formula>100.00001%</formula>
    </cfRule>
    <cfRule type="cellIs" dxfId="4622" priority="1753" operator="between">
      <formula>0.66</formula>
      <formula>1</formula>
    </cfRule>
    <cfRule type="cellIs" dxfId="4621" priority="1754" operator="between">
      <formula>0.401</formula>
      <formula>0.659999999999</formula>
    </cfRule>
    <cfRule type="cellIs" dxfId="4620" priority="1755" operator="between">
      <formula>0</formula>
      <formula>0.4</formula>
    </cfRule>
  </conditionalFormatting>
  <conditionalFormatting sqref="BB487:BB490">
    <cfRule type="cellIs" dxfId="4619" priority="1746" operator="lessThan">
      <formula>0</formula>
    </cfRule>
    <cfRule type="cellIs" dxfId="4618" priority="1747" operator="greaterThan">
      <formula>100.00001%</formula>
    </cfRule>
    <cfRule type="cellIs" dxfId="4617" priority="1748" operator="between">
      <formula>0.66</formula>
      <formula>1</formula>
    </cfRule>
    <cfRule type="cellIs" dxfId="4616" priority="1749" operator="between">
      <formula>0.401</formula>
      <formula>0.659999999999</formula>
    </cfRule>
    <cfRule type="cellIs" dxfId="4615" priority="1750" operator="between">
      <formula>0</formula>
      <formula>0.4</formula>
    </cfRule>
  </conditionalFormatting>
  <conditionalFormatting sqref="AZ491:AZ545">
    <cfRule type="cellIs" dxfId="4614" priority="1741" operator="lessThan">
      <formula>0</formula>
    </cfRule>
    <cfRule type="cellIs" dxfId="4613" priority="1742" operator="greaterThan">
      <formula>100.00001%</formula>
    </cfRule>
    <cfRule type="cellIs" dxfId="4612" priority="1743" operator="between">
      <formula>0.66</formula>
      <formula>1</formula>
    </cfRule>
    <cfRule type="cellIs" dxfId="4611" priority="1744" operator="between">
      <formula>0.401</formula>
      <formula>0.659999999999</formula>
    </cfRule>
    <cfRule type="cellIs" dxfId="4610" priority="1745" operator="between">
      <formula>0</formula>
      <formula>0.4</formula>
    </cfRule>
  </conditionalFormatting>
  <conditionalFormatting sqref="BB491:BB545">
    <cfRule type="cellIs" dxfId="4609" priority="1736" operator="lessThan">
      <formula>0</formula>
    </cfRule>
    <cfRule type="cellIs" dxfId="4608" priority="1737" operator="greaterThan">
      <formula>100.00001%</formula>
    </cfRule>
    <cfRule type="cellIs" dxfId="4607" priority="1738" operator="between">
      <formula>0.66</formula>
      <formula>1</formula>
    </cfRule>
    <cfRule type="cellIs" dxfId="4606" priority="1739" operator="between">
      <formula>0.401</formula>
      <formula>0.659999999999</formula>
    </cfRule>
    <cfRule type="cellIs" dxfId="4605" priority="1740" operator="between">
      <formula>0</formula>
      <formula>0.4</formula>
    </cfRule>
  </conditionalFormatting>
  <conditionalFormatting sqref="AZ554">
    <cfRule type="cellIs" dxfId="4604" priority="1731" operator="lessThan">
      <formula>0</formula>
    </cfRule>
    <cfRule type="cellIs" dxfId="4603" priority="1732" operator="greaterThan">
      <formula>100.00001%</formula>
    </cfRule>
    <cfRule type="cellIs" dxfId="4602" priority="1733" operator="between">
      <formula>0.66</formula>
      <formula>1</formula>
    </cfRule>
    <cfRule type="cellIs" dxfId="4601" priority="1734" operator="between">
      <formula>0.401</formula>
      <formula>0.659999999999</formula>
    </cfRule>
    <cfRule type="cellIs" dxfId="4600" priority="1735" operator="between">
      <formula>0</formula>
      <formula>0.4</formula>
    </cfRule>
  </conditionalFormatting>
  <conditionalFormatting sqref="BB554">
    <cfRule type="cellIs" dxfId="4599" priority="1726" operator="lessThan">
      <formula>0</formula>
    </cfRule>
    <cfRule type="cellIs" dxfId="4598" priority="1727" operator="greaterThan">
      <formula>100.00001%</formula>
    </cfRule>
    <cfRule type="cellIs" dxfId="4597" priority="1728" operator="between">
      <formula>0.66</formula>
      <formula>1</formula>
    </cfRule>
    <cfRule type="cellIs" dxfId="4596" priority="1729" operator="between">
      <formula>0.401</formula>
      <formula>0.659999999999</formula>
    </cfRule>
    <cfRule type="cellIs" dxfId="4595" priority="1730" operator="between">
      <formula>0</formula>
      <formula>0.4</formula>
    </cfRule>
  </conditionalFormatting>
  <conditionalFormatting sqref="AZ546">
    <cfRule type="cellIs" dxfId="4594" priority="1721" operator="lessThan">
      <formula>0</formula>
    </cfRule>
    <cfRule type="cellIs" dxfId="4593" priority="1722" operator="greaterThan">
      <formula>100.00001%</formula>
    </cfRule>
    <cfRule type="cellIs" dxfId="4592" priority="1723" operator="between">
      <formula>0.66</formula>
      <formula>1</formula>
    </cfRule>
    <cfRule type="cellIs" dxfId="4591" priority="1724" operator="between">
      <formula>0.401</formula>
      <formula>0.659999999999</formula>
    </cfRule>
    <cfRule type="cellIs" dxfId="4590" priority="1725" operator="between">
      <formula>0</formula>
      <formula>0.4</formula>
    </cfRule>
  </conditionalFormatting>
  <conditionalFormatting sqref="BB546">
    <cfRule type="cellIs" dxfId="4589" priority="1716" operator="lessThan">
      <formula>0</formula>
    </cfRule>
    <cfRule type="cellIs" dxfId="4588" priority="1717" operator="greaterThan">
      <formula>100.00001%</formula>
    </cfRule>
    <cfRule type="cellIs" dxfId="4587" priority="1718" operator="between">
      <formula>0.66</formula>
      <formula>1</formula>
    </cfRule>
    <cfRule type="cellIs" dxfId="4586" priority="1719" operator="between">
      <formula>0.401</formula>
      <formula>0.659999999999</formula>
    </cfRule>
    <cfRule type="cellIs" dxfId="4585" priority="1720" operator="between">
      <formula>0</formula>
      <formula>0.4</formula>
    </cfRule>
  </conditionalFormatting>
  <conditionalFormatting sqref="AZ565:AZ574">
    <cfRule type="cellIs" dxfId="4584" priority="1711" operator="lessThan">
      <formula>0</formula>
    </cfRule>
    <cfRule type="cellIs" dxfId="4583" priority="1712" operator="greaterThan">
      <formula>100.00001%</formula>
    </cfRule>
    <cfRule type="cellIs" dxfId="4582" priority="1713" operator="between">
      <formula>0.66</formula>
      <formula>1</formula>
    </cfRule>
    <cfRule type="cellIs" dxfId="4581" priority="1714" operator="between">
      <formula>0.401</formula>
      <formula>0.659999999999</formula>
    </cfRule>
    <cfRule type="cellIs" dxfId="4580" priority="1715" operator="between">
      <formula>0</formula>
      <formula>0.4</formula>
    </cfRule>
  </conditionalFormatting>
  <conditionalFormatting sqref="BB565:BB574">
    <cfRule type="cellIs" dxfId="4579" priority="1706" operator="lessThan">
      <formula>0</formula>
    </cfRule>
    <cfRule type="cellIs" dxfId="4578" priority="1707" operator="greaterThan">
      <formula>100.00001%</formula>
    </cfRule>
    <cfRule type="cellIs" dxfId="4577" priority="1708" operator="between">
      <formula>0.66</formula>
      <formula>1</formula>
    </cfRule>
    <cfRule type="cellIs" dxfId="4576" priority="1709" operator="between">
      <formula>0.401</formula>
      <formula>0.659999999999</formula>
    </cfRule>
    <cfRule type="cellIs" dxfId="4575" priority="1710" operator="between">
      <formula>0</formula>
      <formula>0.4</formula>
    </cfRule>
  </conditionalFormatting>
  <conditionalFormatting sqref="AZ575:AZ627">
    <cfRule type="cellIs" dxfId="4574" priority="1701" operator="lessThan">
      <formula>0</formula>
    </cfRule>
    <cfRule type="cellIs" dxfId="4573" priority="1702" operator="greaterThan">
      <formula>100.00001%</formula>
    </cfRule>
    <cfRule type="cellIs" dxfId="4572" priority="1703" operator="between">
      <formula>0.66</formula>
      <formula>1</formula>
    </cfRule>
    <cfRule type="cellIs" dxfId="4571" priority="1704" operator="between">
      <formula>0.401</formula>
      <formula>0.659999999999</formula>
    </cfRule>
    <cfRule type="cellIs" dxfId="4570" priority="1705" operator="between">
      <formula>0</formula>
      <formula>0.4</formula>
    </cfRule>
  </conditionalFormatting>
  <conditionalFormatting sqref="BB575:BB627">
    <cfRule type="cellIs" dxfId="4569" priority="1696" operator="lessThan">
      <formula>0</formula>
    </cfRule>
    <cfRule type="cellIs" dxfId="4568" priority="1697" operator="greaterThan">
      <formula>100.00001%</formula>
    </cfRule>
    <cfRule type="cellIs" dxfId="4567" priority="1698" operator="between">
      <formula>0.66</formula>
      <formula>1</formula>
    </cfRule>
    <cfRule type="cellIs" dxfId="4566" priority="1699" operator="between">
      <formula>0.401</formula>
      <formula>0.659999999999</formula>
    </cfRule>
    <cfRule type="cellIs" dxfId="4565" priority="1700" operator="between">
      <formula>0</formula>
      <formula>0.4</formula>
    </cfRule>
  </conditionalFormatting>
  <conditionalFormatting sqref="AZ702">
    <cfRule type="cellIs" dxfId="4564" priority="1651" operator="lessThan">
      <formula>0</formula>
    </cfRule>
    <cfRule type="cellIs" dxfId="4563" priority="1652" operator="greaterThan">
      <formula>100.00001%</formula>
    </cfRule>
    <cfRule type="cellIs" dxfId="4562" priority="1653" operator="between">
      <formula>0.66</formula>
      <formula>1</formula>
    </cfRule>
    <cfRule type="cellIs" dxfId="4561" priority="1654" operator="between">
      <formula>0.401</formula>
      <formula>0.659999999999</formula>
    </cfRule>
    <cfRule type="cellIs" dxfId="4560" priority="1655" operator="between">
      <formula>0</formula>
      <formula>0.4</formula>
    </cfRule>
  </conditionalFormatting>
  <conditionalFormatting sqref="BB702">
    <cfRule type="cellIs" dxfId="4559" priority="1646" operator="lessThan">
      <formula>0</formula>
    </cfRule>
    <cfRule type="cellIs" dxfId="4558" priority="1647" operator="greaterThan">
      <formula>100.00001%</formula>
    </cfRule>
    <cfRule type="cellIs" dxfId="4557" priority="1648" operator="between">
      <formula>0.66</formula>
      <formula>1</formula>
    </cfRule>
    <cfRule type="cellIs" dxfId="4556" priority="1649" operator="between">
      <formula>0.401</formula>
      <formula>0.659999999999</formula>
    </cfRule>
    <cfRule type="cellIs" dxfId="4555" priority="1650" operator="between">
      <formula>0</formula>
      <formula>0.4</formula>
    </cfRule>
  </conditionalFormatting>
  <conditionalFormatting sqref="AZ646:AZ678">
    <cfRule type="cellIs" dxfId="4554" priority="1681" operator="lessThan">
      <formula>0</formula>
    </cfRule>
    <cfRule type="cellIs" dxfId="4553" priority="1682" operator="greaterThan">
      <formula>100.00001%</formula>
    </cfRule>
    <cfRule type="cellIs" dxfId="4552" priority="1683" operator="between">
      <formula>0.66</formula>
      <formula>1</formula>
    </cfRule>
    <cfRule type="cellIs" dxfId="4551" priority="1684" operator="between">
      <formula>0.401</formula>
      <formula>0.659999999999</formula>
    </cfRule>
    <cfRule type="cellIs" dxfId="4550" priority="1685" operator="between">
      <formula>0</formula>
      <formula>0.4</formula>
    </cfRule>
  </conditionalFormatting>
  <conditionalFormatting sqref="BB646:BB678">
    <cfRule type="cellIs" dxfId="4549" priority="1676" operator="lessThan">
      <formula>0</formula>
    </cfRule>
    <cfRule type="cellIs" dxfId="4548" priority="1677" operator="greaterThan">
      <formula>100.00001%</formula>
    </cfRule>
    <cfRule type="cellIs" dxfId="4547" priority="1678" operator="between">
      <formula>0.66</formula>
      <formula>1</formula>
    </cfRule>
    <cfRule type="cellIs" dxfId="4546" priority="1679" operator="between">
      <formula>0.401</formula>
      <formula>0.659999999999</formula>
    </cfRule>
    <cfRule type="cellIs" dxfId="4545" priority="1680" operator="between">
      <formula>0</formula>
      <formula>0.4</formula>
    </cfRule>
  </conditionalFormatting>
  <conditionalFormatting sqref="AZ679:AZ693">
    <cfRule type="cellIs" dxfId="4544" priority="1671" operator="lessThan">
      <formula>0</formula>
    </cfRule>
    <cfRule type="cellIs" dxfId="4543" priority="1672" operator="greaterThan">
      <formula>100.00001%</formula>
    </cfRule>
    <cfRule type="cellIs" dxfId="4542" priority="1673" operator="between">
      <formula>0.66</formula>
      <formula>1</formula>
    </cfRule>
    <cfRule type="cellIs" dxfId="4541" priority="1674" operator="between">
      <formula>0.401</formula>
      <formula>0.659999999999</formula>
    </cfRule>
    <cfRule type="cellIs" dxfId="4540" priority="1675" operator="between">
      <formula>0</formula>
      <formula>0.4</formula>
    </cfRule>
  </conditionalFormatting>
  <conditionalFormatting sqref="BB679:BB693">
    <cfRule type="cellIs" dxfId="4539" priority="1666" operator="lessThan">
      <formula>0</formula>
    </cfRule>
    <cfRule type="cellIs" dxfId="4538" priority="1667" operator="greaterThan">
      <formula>100.00001%</formula>
    </cfRule>
    <cfRule type="cellIs" dxfId="4537" priority="1668" operator="between">
      <formula>0.66</formula>
      <formula>1</formula>
    </cfRule>
    <cfRule type="cellIs" dxfId="4536" priority="1669" operator="between">
      <formula>0.401</formula>
      <formula>0.659999999999</formula>
    </cfRule>
    <cfRule type="cellIs" dxfId="4535" priority="1670" operator="between">
      <formula>0</formula>
      <formula>0.4</formula>
    </cfRule>
  </conditionalFormatting>
  <conditionalFormatting sqref="AZ694:AZ701">
    <cfRule type="cellIs" dxfId="4534" priority="1661" operator="lessThan">
      <formula>0</formula>
    </cfRule>
    <cfRule type="cellIs" dxfId="4533" priority="1662" operator="greaterThan">
      <formula>100.00001%</formula>
    </cfRule>
    <cfRule type="cellIs" dxfId="4532" priority="1663" operator="between">
      <formula>0.66</formula>
      <formula>1</formula>
    </cfRule>
    <cfRule type="cellIs" dxfId="4531" priority="1664" operator="between">
      <formula>0.401</formula>
      <formula>0.659999999999</formula>
    </cfRule>
    <cfRule type="cellIs" dxfId="4530" priority="1665" operator="between">
      <formula>0</formula>
      <formula>0.4</formula>
    </cfRule>
  </conditionalFormatting>
  <conditionalFormatting sqref="BB694:BB701">
    <cfRule type="cellIs" dxfId="4529" priority="1656" operator="lessThan">
      <formula>0</formula>
    </cfRule>
    <cfRule type="cellIs" dxfId="4528" priority="1657" operator="greaterThan">
      <formula>100.00001%</formula>
    </cfRule>
    <cfRule type="cellIs" dxfId="4527" priority="1658" operator="between">
      <formula>0.66</formula>
      <formula>1</formula>
    </cfRule>
    <cfRule type="cellIs" dxfId="4526" priority="1659" operator="between">
      <formula>0.401</formula>
      <formula>0.659999999999</formula>
    </cfRule>
    <cfRule type="cellIs" dxfId="4525" priority="1660" operator="between">
      <formula>0</formula>
      <formula>0.4</formula>
    </cfRule>
  </conditionalFormatting>
  <conditionalFormatting sqref="BB741:BB743">
    <cfRule type="cellIs" dxfId="4524" priority="1556" operator="lessThan">
      <formula>0</formula>
    </cfRule>
    <cfRule type="cellIs" dxfId="4523" priority="1557" operator="greaterThan">
      <formula>100.00001%</formula>
    </cfRule>
    <cfRule type="cellIs" dxfId="4522" priority="1558" operator="between">
      <formula>0.66</formula>
      <formula>1</formula>
    </cfRule>
    <cfRule type="cellIs" dxfId="4521" priority="1559" operator="between">
      <formula>0.401</formula>
      <formula>0.659999999999</formula>
    </cfRule>
    <cfRule type="cellIs" dxfId="4520" priority="1560" operator="between">
      <formula>0</formula>
      <formula>0.4</formula>
    </cfRule>
  </conditionalFormatting>
  <conditionalFormatting sqref="BB775:BB779">
    <cfRule type="cellIs" dxfId="4519" priority="1516" operator="lessThan">
      <formula>0</formula>
    </cfRule>
    <cfRule type="cellIs" dxfId="4518" priority="1517" operator="greaterThan">
      <formula>100.00001%</formula>
    </cfRule>
    <cfRule type="cellIs" dxfId="4517" priority="1518" operator="between">
      <formula>0.66</formula>
      <formula>1</formula>
    </cfRule>
    <cfRule type="cellIs" dxfId="4516" priority="1519" operator="between">
      <formula>0.401</formula>
      <formula>0.659999999999</formula>
    </cfRule>
    <cfRule type="cellIs" dxfId="4515" priority="1520" operator="between">
      <formula>0</formula>
      <formula>0.4</formula>
    </cfRule>
  </conditionalFormatting>
  <conditionalFormatting sqref="AZ741:AZ743">
    <cfRule type="cellIs" dxfId="4514" priority="1561" operator="lessThan">
      <formula>0</formula>
    </cfRule>
    <cfRule type="cellIs" dxfId="4513" priority="1562" operator="greaterThan">
      <formula>100.00001%</formula>
    </cfRule>
    <cfRule type="cellIs" dxfId="4512" priority="1563" operator="between">
      <formula>0.66</formula>
      <formula>1</formula>
    </cfRule>
    <cfRule type="cellIs" dxfId="4511" priority="1564" operator="between">
      <formula>0.401</formula>
      <formula>0.659999999999</formula>
    </cfRule>
    <cfRule type="cellIs" dxfId="4510" priority="1565" operator="between">
      <formula>0</formula>
      <formula>0.4</formula>
    </cfRule>
  </conditionalFormatting>
  <conditionalFormatting sqref="BK33:BK36">
    <cfRule type="cellIs" dxfId="4509" priority="1376" operator="lessThan">
      <formula>0</formula>
    </cfRule>
    <cfRule type="cellIs" dxfId="4508" priority="1377" operator="greaterThan">
      <formula>100.00001%</formula>
    </cfRule>
    <cfRule type="cellIs" dxfId="4507" priority="1378" operator="between">
      <formula>0.66</formula>
      <formula>1</formula>
    </cfRule>
    <cfRule type="cellIs" dxfId="4506" priority="1379" operator="between">
      <formula>0.401</formula>
      <formula>0.659999999999</formula>
    </cfRule>
    <cfRule type="cellIs" dxfId="4505" priority="1380" operator="between">
      <formula>0</formula>
      <formula>0.4</formula>
    </cfRule>
  </conditionalFormatting>
  <conditionalFormatting sqref="AZ713">
    <cfRule type="cellIs" dxfId="4504" priority="1641" operator="lessThan">
      <formula>0</formula>
    </cfRule>
    <cfRule type="cellIs" dxfId="4503" priority="1642" operator="greaterThan">
      <formula>100.00001%</formula>
    </cfRule>
    <cfRule type="cellIs" dxfId="4502" priority="1643" operator="between">
      <formula>0.66</formula>
      <formula>1</formula>
    </cfRule>
    <cfRule type="cellIs" dxfId="4501" priority="1644" operator="between">
      <formula>0.401</formula>
      <formula>0.659999999999</formula>
    </cfRule>
    <cfRule type="cellIs" dxfId="4500" priority="1645" operator="between">
      <formula>0</formula>
      <formula>0.4</formula>
    </cfRule>
  </conditionalFormatting>
  <conditionalFormatting sqref="BB713">
    <cfRule type="cellIs" dxfId="4499" priority="1636" operator="lessThan">
      <formula>0</formula>
    </cfRule>
    <cfRule type="cellIs" dxfId="4498" priority="1637" operator="greaterThan">
      <formula>100.00001%</formula>
    </cfRule>
    <cfRule type="cellIs" dxfId="4497" priority="1638" operator="between">
      <formula>0.66</formula>
      <formula>1</formula>
    </cfRule>
    <cfRule type="cellIs" dxfId="4496" priority="1639" operator="between">
      <formula>0.401</formula>
      <formula>0.659999999999</formula>
    </cfRule>
    <cfRule type="cellIs" dxfId="4495" priority="1640" operator="between">
      <formula>0</formula>
      <formula>0.4</formula>
    </cfRule>
  </conditionalFormatting>
  <conditionalFormatting sqref="AZ714:AZ726">
    <cfRule type="cellIs" dxfId="4494" priority="1631" operator="lessThan">
      <formula>0</formula>
    </cfRule>
    <cfRule type="cellIs" dxfId="4493" priority="1632" operator="greaterThan">
      <formula>100.00001%</formula>
    </cfRule>
    <cfRule type="cellIs" dxfId="4492" priority="1633" operator="between">
      <formula>0.66</formula>
      <formula>1</formula>
    </cfRule>
    <cfRule type="cellIs" dxfId="4491" priority="1634" operator="between">
      <formula>0.401</formula>
      <formula>0.659999999999</formula>
    </cfRule>
    <cfRule type="cellIs" dxfId="4490" priority="1635" operator="between">
      <formula>0</formula>
      <formula>0.4</formula>
    </cfRule>
  </conditionalFormatting>
  <conditionalFormatting sqref="BB714:BB726">
    <cfRule type="cellIs" dxfId="4489" priority="1626" operator="lessThan">
      <formula>0</formula>
    </cfRule>
    <cfRule type="cellIs" dxfId="4488" priority="1627" operator="greaterThan">
      <formula>100.00001%</formula>
    </cfRule>
    <cfRule type="cellIs" dxfId="4487" priority="1628" operator="between">
      <formula>0.66</formula>
      <formula>1</formula>
    </cfRule>
    <cfRule type="cellIs" dxfId="4486" priority="1629" operator="between">
      <formula>0.401</formula>
      <formula>0.659999999999</formula>
    </cfRule>
    <cfRule type="cellIs" dxfId="4485" priority="1630" operator="between">
      <formula>0</formula>
      <formula>0.4</formula>
    </cfRule>
  </conditionalFormatting>
  <conditionalFormatting sqref="AZ727:AZ728">
    <cfRule type="cellIs" dxfId="4484" priority="1621" operator="lessThan">
      <formula>0</formula>
    </cfRule>
    <cfRule type="cellIs" dxfId="4483" priority="1622" operator="greaterThan">
      <formula>100.00001%</formula>
    </cfRule>
    <cfRule type="cellIs" dxfId="4482" priority="1623" operator="between">
      <formula>0.66</formula>
      <formula>1</formula>
    </cfRule>
    <cfRule type="cellIs" dxfId="4481" priority="1624" operator="between">
      <formula>0.401</formula>
      <formula>0.659999999999</formula>
    </cfRule>
    <cfRule type="cellIs" dxfId="4480" priority="1625" operator="between">
      <formula>0</formula>
      <formula>0.4</formula>
    </cfRule>
  </conditionalFormatting>
  <conditionalFormatting sqref="BB727:BB728">
    <cfRule type="cellIs" dxfId="4479" priority="1616" operator="lessThan">
      <formula>0</formula>
    </cfRule>
    <cfRule type="cellIs" dxfId="4478" priority="1617" operator="greaterThan">
      <formula>100.00001%</formula>
    </cfRule>
    <cfRule type="cellIs" dxfId="4477" priority="1618" operator="between">
      <formula>0.66</formula>
      <formula>1</formula>
    </cfRule>
    <cfRule type="cellIs" dxfId="4476" priority="1619" operator="between">
      <formula>0.401</formula>
      <formula>0.659999999999</formula>
    </cfRule>
    <cfRule type="cellIs" dxfId="4475" priority="1620" operator="between">
      <formula>0</formula>
      <formula>0.4</formula>
    </cfRule>
  </conditionalFormatting>
  <conditionalFormatting sqref="AZ729:AZ730">
    <cfRule type="cellIs" dxfId="4474" priority="1611" operator="lessThan">
      <formula>0</formula>
    </cfRule>
    <cfRule type="cellIs" dxfId="4473" priority="1612" operator="greaterThan">
      <formula>100.00001%</formula>
    </cfRule>
    <cfRule type="cellIs" dxfId="4472" priority="1613" operator="between">
      <formula>0.66</formula>
      <formula>1</formula>
    </cfRule>
    <cfRule type="cellIs" dxfId="4471" priority="1614" operator="between">
      <formula>0.401</formula>
      <formula>0.659999999999</formula>
    </cfRule>
    <cfRule type="cellIs" dxfId="4470" priority="1615" operator="between">
      <formula>0</formula>
      <formula>0.4</formula>
    </cfRule>
  </conditionalFormatting>
  <conditionalFormatting sqref="BB729:BB730">
    <cfRule type="cellIs" dxfId="4469" priority="1606" operator="lessThan">
      <formula>0</formula>
    </cfRule>
    <cfRule type="cellIs" dxfId="4468" priority="1607" operator="greaterThan">
      <formula>100.00001%</formula>
    </cfRule>
    <cfRule type="cellIs" dxfId="4467" priority="1608" operator="between">
      <formula>0.66</formula>
      <formula>1</formula>
    </cfRule>
    <cfRule type="cellIs" dxfId="4466" priority="1609" operator="between">
      <formula>0.401</formula>
      <formula>0.659999999999</formula>
    </cfRule>
    <cfRule type="cellIs" dxfId="4465" priority="1610" operator="between">
      <formula>0</formula>
      <formula>0.4</formula>
    </cfRule>
  </conditionalFormatting>
  <conditionalFormatting sqref="AZ731:AZ732">
    <cfRule type="cellIs" dxfId="4464" priority="1601" operator="lessThan">
      <formula>0</formula>
    </cfRule>
    <cfRule type="cellIs" dxfId="4463" priority="1602" operator="greaterThan">
      <formula>100.00001%</formula>
    </cfRule>
    <cfRule type="cellIs" dxfId="4462" priority="1603" operator="between">
      <formula>0.66</formula>
      <formula>1</formula>
    </cfRule>
    <cfRule type="cellIs" dxfId="4461" priority="1604" operator="between">
      <formula>0.401</formula>
      <formula>0.659999999999</formula>
    </cfRule>
    <cfRule type="cellIs" dxfId="4460" priority="1605" operator="between">
      <formula>0</formula>
      <formula>0.4</formula>
    </cfRule>
  </conditionalFormatting>
  <conditionalFormatting sqref="BB731:BB732">
    <cfRule type="cellIs" dxfId="4459" priority="1596" operator="lessThan">
      <formula>0</formula>
    </cfRule>
    <cfRule type="cellIs" dxfId="4458" priority="1597" operator="greaterThan">
      <formula>100.00001%</formula>
    </cfRule>
    <cfRule type="cellIs" dxfId="4457" priority="1598" operator="between">
      <formula>0.66</formula>
      <formula>1</formula>
    </cfRule>
    <cfRule type="cellIs" dxfId="4456" priority="1599" operator="between">
      <formula>0.401</formula>
      <formula>0.659999999999</formula>
    </cfRule>
    <cfRule type="cellIs" dxfId="4455" priority="1600" operator="between">
      <formula>0</formula>
      <formula>0.4</formula>
    </cfRule>
  </conditionalFormatting>
  <conditionalFormatting sqref="AZ733:AZ734">
    <cfRule type="cellIs" dxfId="4454" priority="1591" operator="lessThan">
      <formula>0</formula>
    </cfRule>
    <cfRule type="cellIs" dxfId="4453" priority="1592" operator="greaterThan">
      <formula>100.00001%</formula>
    </cfRule>
    <cfRule type="cellIs" dxfId="4452" priority="1593" operator="between">
      <formula>0.66</formula>
      <formula>1</formula>
    </cfRule>
    <cfRule type="cellIs" dxfId="4451" priority="1594" operator="between">
      <formula>0.401</formula>
      <formula>0.659999999999</formula>
    </cfRule>
    <cfRule type="cellIs" dxfId="4450" priority="1595" operator="between">
      <formula>0</formula>
      <formula>0.4</formula>
    </cfRule>
  </conditionalFormatting>
  <conditionalFormatting sqref="BB733:BB734">
    <cfRule type="cellIs" dxfId="4449" priority="1586" operator="lessThan">
      <formula>0</formula>
    </cfRule>
    <cfRule type="cellIs" dxfId="4448" priority="1587" operator="greaterThan">
      <formula>100.00001%</formula>
    </cfRule>
    <cfRule type="cellIs" dxfId="4447" priority="1588" operator="between">
      <formula>0.66</formula>
      <formula>1</formula>
    </cfRule>
    <cfRule type="cellIs" dxfId="4446" priority="1589" operator="between">
      <formula>0.401</formula>
      <formula>0.659999999999</formula>
    </cfRule>
    <cfRule type="cellIs" dxfId="4445" priority="1590" operator="between">
      <formula>0</formula>
      <formula>0.4</formula>
    </cfRule>
  </conditionalFormatting>
  <conditionalFormatting sqref="AZ737:AZ738">
    <cfRule type="cellIs" dxfId="4444" priority="1581" operator="lessThan">
      <formula>0</formula>
    </cfRule>
    <cfRule type="cellIs" dxfId="4443" priority="1582" operator="greaterThan">
      <formula>100.00001%</formula>
    </cfRule>
    <cfRule type="cellIs" dxfId="4442" priority="1583" operator="between">
      <formula>0.66</formula>
      <formula>1</formula>
    </cfRule>
    <cfRule type="cellIs" dxfId="4441" priority="1584" operator="between">
      <formula>0.401</formula>
      <formula>0.659999999999</formula>
    </cfRule>
    <cfRule type="cellIs" dxfId="4440" priority="1585" operator="between">
      <formula>0</formula>
      <formula>0.4</formula>
    </cfRule>
  </conditionalFormatting>
  <conditionalFormatting sqref="BB737:BB738">
    <cfRule type="cellIs" dxfId="4439" priority="1576" operator="lessThan">
      <formula>0</formula>
    </cfRule>
    <cfRule type="cellIs" dxfId="4438" priority="1577" operator="greaterThan">
      <formula>100.00001%</formula>
    </cfRule>
    <cfRule type="cellIs" dxfId="4437" priority="1578" operator="between">
      <formula>0.66</formula>
      <formula>1</formula>
    </cfRule>
    <cfRule type="cellIs" dxfId="4436" priority="1579" operator="between">
      <formula>0.401</formula>
      <formula>0.659999999999</formula>
    </cfRule>
    <cfRule type="cellIs" dxfId="4435" priority="1580" operator="between">
      <formula>0</formula>
      <formula>0.4</formula>
    </cfRule>
  </conditionalFormatting>
  <conditionalFormatting sqref="AZ739:AZ740">
    <cfRule type="cellIs" dxfId="4434" priority="1571" operator="lessThan">
      <formula>0</formula>
    </cfRule>
    <cfRule type="cellIs" dxfId="4433" priority="1572" operator="greaterThan">
      <formula>100.00001%</formula>
    </cfRule>
    <cfRule type="cellIs" dxfId="4432" priority="1573" operator="between">
      <formula>0.66</formula>
      <formula>1</formula>
    </cfRule>
    <cfRule type="cellIs" dxfId="4431" priority="1574" operator="between">
      <formula>0.401</formula>
      <formula>0.659999999999</formula>
    </cfRule>
    <cfRule type="cellIs" dxfId="4430" priority="1575" operator="between">
      <formula>0</formula>
      <formula>0.4</formula>
    </cfRule>
  </conditionalFormatting>
  <conditionalFormatting sqref="BB739:BB740">
    <cfRule type="cellIs" dxfId="4429" priority="1566" operator="lessThan">
      <formula>0</formula>
    </cfRule>
    <cfRule type="cellIs" dxfId="4428" priority="1567" operator="greaterThan">
      <formula>100.00001%</formula>
    </cfRule>
    <cfRule type="cellIs" dxfId="4427" priority="1568" operator="between">
      <formula>0.66</formula>
      <formula>1</formula>
    </cfRule>
    <cfRule type="cellIs" dxfId="4426" priority="1569" operator="between">
      <formula>0.401</formula>
      <formula>0.659999999999</formula>
    </cfRule>
    <cfRule type="cellIs" dxfId="4425" priority="1570" operator="between">
      <formula>0</formula>
      <formula>0.4</formula>
    </cfRule>
  </conditionalFormatting>
  <conditionalFormatting sqref="AZ775:AZ779">
    <cfRule type="cellIs" dxfId="4424" priority="1521" operator="lessThan">
      <formula>0</formula>
    </cfRule>
    <cfRule type="cellIs" dxfId="4423" priority="1522" operator="greaterThan">
      <formula>100.00001%</formula>
    </cfRule>
    <cfRule type="cellIs" dxfId="4422" priority="1523" operator="between">
      <formula>0.66</formula>
      <formula>1</formula>
    </cfRule>
    <cfRule type="cellIs" dxfId="4421" priority="1524" operator="between">
      <formula>0.401</formula>
      <formula>0.659999999999</formula>
    </cfRule>
    <cfRule type="cellIs" dxfId="4420" priority="1525" operator="between">
      <formula>0</formula>
      <formula>0.4</formula>
    </cfRule>
  </conditionalFormatting>
  <conditionalFormatting sqref="BK12">
    <cfRule type="cellIs" dxfId="4419" priority="1391" operator="lessThan">
      <formula>0</formula>
    </cfRule>
    <cfRule type="cellIs" dxfId="4418" priority="1392" operator="greaterThan">
      <formula>100.00001%</formula>
    </cfRule>
    <cfRule type="cellIs" dxfId="4417" priority="1393" operator="between">
      <formula>0.66</formula>
      <formula>1</formula>
    </cfRule>
    <cfRule type="cellIs" dxfId="4416" priority="1394" operator="between">
      <formula>0.401</formula>
      <formula>0.659999999999</formula>
    </cfRule>
    <cfRule type="cellIs" dxfId="4415" priority="1395" operator="between">
      <formula>0</formula>
      <formula>0.4</formula>
    </cfRule>
  </conditionalFormatting>
  <conditionalFormatting sqref="AZ770">
    <cfRule type="cellIs" dxfId="4414" priority="1551" operator="lessThan">
      <formula>0</formula>
    </cfRule>
    <cfRule type="cellIs" dxfId="4413" priority="1552" operator="greaterThan">
      <formula>100.00001%</formula>
    </cfRule>
    <cfRule type="cellIs" dxfId="4412" priority="1553" operator="between">
      <formula>0.66</formula>
      <formula>1</formula>
    </cfRule>
    <cfRule type="cellIs" dxfId="4411" priority="1554" operator="between">
      <formula>0.401</formula>
      <formula>0.659999999999</formula>
    </cfRule>
    <cfRule type="cellIs" dxfId="4410" priority="1555" operator="between">
      <formula>0</formula>
      <formula>0.4</formula>
    </cfRule>
  </conditionalFormatting>
  <conditionalFormatting sqref="BB770">
    <cfRule type="cellIs" dxfId="4409" priority="1546" operator="lessThan">
      <formula>0</formula>
    </cfRule>
    <cfRule type="cellIs" dxfId="4408" priority="1547" operator="greaterThan">
      <formula>100.00001%</formula>
    </cfRule>
    <cfRule type="cellIs" dxfId="4407" priority="1548" operator="between">
      <formula>0.66</formula>
      <formula>1</formula>
    </cfRule>
    <cfRule type="cellIs" dxfId="4406" priority="1549" operator="between">
      <formula>0.401</formula>
      <formula>0.659999999999</formula>
    </cfRule>
    <cfRule type="cellIs" dxfId="4405" priority="1550" operator="between">
      <formula>0</formula>
      <formula>0.4</formula>
    </cfRule>
  </conditionalFormatting>
  <conditionalFormatting sqref="AZ771">
    <cfRule type="cellIs" dxfId="4404" priority="1541" operator="lessThan">
      <formula>0</formula>
    </cfRule>
    <cfRule type="cellIs" dxfId="4403" priority="1542" operator="greaterThan">
      <formula>100.00001%</formula>
    </cfRule>
    <cfRule type="cellIs" dxfId="4402" priority="1543" operator="between">
      <formula>0.66</formula>
      <formula>1</formula>
    </cfRule>
    <cfRule type="cellIs" dxfId="4401" priority="1544" operator="between">
      <formula>0.401</formula>
      <formula>0.659999999999</formula>
    </cfRule>
    <cfRule type="cellIs" dxfId="4400" priority="1545" operator="between">
      <formula>0</formula>
      <formula>0.4</formula>
    </cfRule>
  </conditionalFormatting>
  <conditionalFormatting sqref="BB771">
    <cfRule type="cellIs" dxfId="4399" priority="1536" operator="lessThan">
      <formula>0</formula>
    </cfRule>
    <cfRule type="cellIs" dxfId="4398" priority="1537" operator="greaterThan">
      <formula>100.00001%</formula>
    </cfRule>
    <cfRule type="cellIs" dxfId="4397" priority="1538" operator="between">
      <formula>0.66</formula>
      <formula>1</formula>
    </cfRule>
    <cfRule type="cellIs" dxfId="4396" priority="1539" operator="between">
      <formula>0.401</formula>
      <formula>0.659999999999</formula>
    </cfRule>
    <cfRule type="cellIs" dxfId="4395" priority="1540" operator="between">
      <formula>0</formula>
      <formula>0.4</formula>
    </cfRule>
  </conditionalFormatting>
  <conditionalFormatting sqref="AZ772:AZ774">
    <cfRule type="cellIs" dxfId="4394" priority="1531" operator="lessThan">
      <formula>0</formula>
    </cfRule>
    <cfRule type="cellIs" dxfId="4393" priority="1532" operator="greaterThan">
      <formula>100.00001%</formula>
    </cfRule>
    <cfRule type="cellIs" dxfId="4392" priority="1533" operator="between">
      <formula>0.66</formula>
      <formula>1</formula>
    </cfRule>
    <cfRule type="cellIs" dxfId="4391" priority="1534" operator="between">
      <formula>0.401</formula>
      <formula>0.659999999999</formula>
    </cfRule>
    <cfRule type="cellIs" dxfId="4390" priority="1535" operator="between">
      <formula>0</formula>
      <formula>0.4</formula>
    </cfRule>
  </conditionalFormatting>
  <conditionalFormatting sqref="BB772:BB774">
    <cfRule type="cellIs" dxfId="4389" priority="1526" operator="lessThan">
      <formula>0</formula>
    </cfRule>
    <cfRule type="cellIs" dxfId="4388" priority="1527" operator="greaterThan">
      <formula>100.00001%</formula>
    </cfRule>
    <cfRule type="cellIs" dxfId="4387" priority="1528" operator="between">
      <formula>0.66</formula>
      <formula>1</formula>
    </cfRule>
    <cfRule type="cellIs" dxfId="4386" priority="1529" operator="between">
      <formula>0.401</formula>
      <formula>0.659999999999</formula>
    </cfRule>
    <cfRule type="cellIs" dxfId="4385" priority="1530" operator="between">
      <formula>0</formula>
      <formula>0.4</formula>
    </cfRule>
  </conditionalFormatting>
  <conditionalFormatting sqref="BB932:BB1010">
    <cfRule type="cellIs" dxfId="4384" priority="1416" operator="lessThan">
      <formula>0</formula>
    </cfRule>
    <cfRule type="cellIs" dxfId="4383" priority="1417" operator="greaterThan">
      <formula>100.00001%</formula>
    </cfRule>
    <cfRule type="cellIs" dxfId="4382" priority="1418" operator="between">
      <formula>0.66</formula>
      <formula>1</formula>
    </cfRule>
    <cfRule type="cellIs" dxfId="4381" priority="1419" operator="between">
      <formula>0.401</formula>
      <formula>0.659999999999</formula>
    </cfRule>
    <cfRule type="cellIs" dxfId="4380" priority="1420" operator="between">
      <formula>0</formula>
      <formula>0.4</formula>
    </cfRule>
  </conditionalFormatting>
  <conditionalFormatting sqref="BK20:BK21">
    <cfRule type="cellIs" dxfId="4379" priority="1386" operator="lessThan">
      <formula>0</formula>
    </cfRule>
    <cfRule type="cellIs" dxfId="4378" priority="1387" operator="greaterThan">
      <formula>100.00001%</formula>
    </cfRule>
    <cfRule type="cellIs" dxfId="4377" priority="1388" operator="between">
      <formula>0.66</formula>
      <formula>1</formula>
    </cfRule>
    <cfRule type="cellIs" dxfId="4376" priority="1389" operator="between">
      <formula>0.401</formula>
      <formula>0.659999999999</formula>
    </cfRule>
    <cfRule type="cellIs" dxfId="4375" priority="1390" operator="between">
      <formula>0</formula>
      <formula>0.4</formula>
    </cfRule>
  </conditionalFormatting>
  <conditionalFormatting sqref="AZ870:AZ872">
    <cfRule type="cellIs" dxfId="4374" priority="1501" operator="lessThan">
      <formula>0</formula>
    </cfRule>
    <cfRule type="cellIs" dxfId="4373" priority="1502" operator="greaterThan">
      <formula>100.00001%</formula>
    </cfRule>
    <cfRule type="cellIs" dxfId="4372" priority="1503" operator="between">
      <formula>0.66</formula>
      <formula>1</formula>
    </cfRule>
    <cfRule type="cellIs" dxfId="4371" priority="1504" operator="between">
      <formula>0.401</formula>
      <formula>0.659999999999</formula>
    </cfRule>
    <cfRule type="cellIs" dxfId="4370" priority="1505" operator="between">
      <formula>0</formula>
      <formula>0.4</formula>
    </cfRule>
  </conditionalFormatting>
  <conditionalFormatting sqref="BB870:BB872">
    <cfRule type="cellIs" dxfId="4369" priority="1496" operator="lessThan">
      <formula>0</formula>
    </cfRule>
    <cfRule type="cellIs" dxfId="4368" priority="1497" operator="greaterThan">
      <formula>100.00001%</formula>
    </cfRule>
    <cfRule type="cellIs" dxfId="4367" priority="1498" operator="between">
      <formula>0.66</formula>
      <formula>1</formula>
    </cfRule>
    <cfRule type="cellIs" dxfId="4366" priority="1499" operator="between">
      <formula>0.401</formula>
      <formula>0.659999999999</formula>
    </cfRule>
    <cfRule type="cellIs" dxfId="4365" priority="1500" operator="between">
      <formula>0</formula>
      <formula>0.4</formula>
    </cfRule>
  </conditionalFormatting>
  <conditionalFormatting sqref="AZ896:AZ897">
    <cfRule type="cellIs" dxfId="4364" priority="1481" operator="lessThan">
      <formula>0</formula>
    </cfRule>
    <cfRule type="cellIs" dxfId="4363" priority="1482" operator="greaterThan">
      <formula>100.00001%</formula>
    </cfRule>
    <cfRule type="cellIs" dxfId="4362" priority="1483" operator="between">
      <formula>0.66</formula>
      <formula>1</formula>
    </cfRule>
    <cfRule type="cellIs" dxfId="4361" priority="1484" operator="between">
      <formula>0.401</formula>
      <formula>0.659999999999</formula>
    </cfRule>
    <cfRule type="cellIs" dxfId="4360" priority="1485" operator="between">
      <formula>0</formula>
      <formula>0.4</formula>
    </cfRule>
  </conditionalFormatting>
  <conditionalFormatting sqref="BB896:BB897">
    <cfRule type="cellIs" dxfId="4359" priority="1476" operator="lessThan">
      <formula>0</formula>
    </cfRule>
    <cfRule type="cellIs" dxfId="4358" priority="1477" operator="greaterThan">
      <formula>100.00001%</formula>
    </cfRule>
    <cfRule type="cellIs" dxfId="4357" priority="1478" operator="between">
      <formula>0.66</formula>
      <formula>1</formula>
    </cfRule>
    <cfRule type="cellIs" dxfId="4356" priority="1479" operator="between">
      <formula>0.401</formula>
      <formula>0.659999999999</formula>
    </cfRule>
    <cfRule type="cellIs" dxfId="4355" priority="1480" operator="between">
      <formula>0</formula>
      <formula>0.4</formula>
    </cfRule>
  </conditionalFormatting>
  <conditionalFormatting sqref="L898:L905">
    <cfRule type="cellIs" dxfId="4354" priority="1471" operator="lessThan">
      <formula>0</formula>
    </cfRule>
    <cfRule type="cellIs" dxfId="4353" priority="1472" operator="greaterThan">
      <formula>100.00001%</formula>
    </cfRule>
    <cfRule type="cellIs" dxfId="4352" priority="1473" operator="between">
      <formula>0.66</formula>
      <formula>1</formula>
    </cfRule>
    <cfRule type="cellIs" dxfId="4351" priority="1474" operator="between">
      <formula>0.401</formula>
      <formula>0.659999999999</formula>
    </cfRule>
    <cfRule type="cellIs" dxfId="4350" priority="1475" operator="between">
      <formula>0</formula>
      <formula>0.4</formula>
    </cfRule>
  </conditionalFormatting>
  <conditionalFormatting sqref="AZ898:AZ899">
    <cfRule type="cellIs" dxfId="4349" priority="1441" operator="lessThan">
      <formula>0</formula>
    </cfRule>
    <cfRule type="cellIs" dxfId="4348" priority="1442" operator="greaterThan">
      <formula>100.00001%</formula>
    </cfRule>
    <cfRule type="cellIs" dxfId="4347" priority="1443" operator="between">
      <formula>0.66</formula>
      <formula>1</formula>
    </cfRule>
    <cfRule type="cellIs" dxfId="4346" priority="1444" operator="between">
      <formula>0.401</formula>
      <formula>0.659999999999</formula>
    </cfRule>
    <cfRule type="cellIs" dxfId="4345" priority="1445" operator="between">
      <formula>0</formula>
      <formula>0.4</formula>
    </cfRule>
  </conditionalFormatting>
  <conditionalFormatting sqref="BB898:BB899">
    <cfRule type="cellIs" dxfId="4344" priority="1436" operator="lessThan">
      <formula>0</formula>
    </cfRule>
    <cfRule type="cellIs" dxfId="4343" priority="1437" operator="greaterThan">
      <formula>100.00001%</formula>
    </cfRule>
    <cfRule type="cellIs" dxfId="4342" priority="1438" operator="between">
      <formula>0.66</formula>
      <formula>1</formula>
    </cfRule>
    <cfRule type="cellIs" dxfId="4341" priority="1439" operator="between">
      <formula>0.401</formula>
      <formula>0.659999999999</formula>
    </cfRule>
    <cfRule type="cellIs" dxfId="4340" priority="1440" operator="between">
      <formula>0</formula>
      <formula>0.4</formula>
    </cfRule>
  </conditionalFormatting>
  <conditionalFormatting sqref="BK13">
    <cfRule type="cellIs" dxfId="4339" priority="1396" operator="lessThan">
      <formula>0</formula>
    </cfRule>
    <cfRule type="cellIs" dxfId="4338" priority="1397" operator="greaterThan">
      <formula>100.00001%</formula>
    </cfRule>
    <cfRule type="cellIs" dxfId="4337" priority="1398" operator="between">
      <formula>0.66</formula>
      <formula>1</formula>
    </cfRule>
    <cfRule type="cellIs" dxfId="4336" priority="1399" operator="between">
      <formula>0.401</formula>
      <formula>0.659999999999</formula>
    </cfRule>
    <cfRule type="cellIs" dxfId="4335" priority="1400" operator="between">
      <formula>0</formula>
      <formula>0.4</formula>
    </cfRule>
  </conditionalFormatting>
  <conditionalFormatting sqref="AZ900:AZ931">
    <cfRule type="cellIs" dxfId="4334" priority="1431" operator="lessThan">
      <formula>0</formula>
    </cfRule>
    <cfRule type="cellIs" dxfId="4333" priority="1432" operator="greaterThan">
      <formula>100.00001%</formula>
    </cfRule>
    <cfRule type="cellIs" dxfId="4332" priority="1433" operator="between">
      <formula>0.66</formula>
      <formula>1</formula>
    </cfRule>
    <cfRule type="cellIs" dxfId="4331" priority="1434" operator="between">
      <formula>0.401</formula>
      <formula>0.659999999999</formula>
    </cfRule>
    <cfRule type="cellIs" dxfId="4330" priority="1435" operator="between">
      <formula>0</formula>
      <formula>0.4</formula>
    </cfRule>
  </conditionalFormatting>
  <conditionalFormatting sqref="AZ932:AZ1010">
    <cfRule type="cellIs" dxfId="4329" priority="1421" operator="lessThan">
      <formula>0</formula>
    </cfRule>
    <cfRule type="cellIs" dxfId="4328" priority="1422" operator="greaterThan">
      <formula>100.00001%</formula>
    </cfRule>
    <cfRule type="cellIs" dxfId="4327" priority="1423" operator="between">
      <formula>0.66</formula>
      <formula>1</formula>
    </cfRule>
    <cfRule type="cellIs" dxfId="4326" priority="1424" operator="between">
      <formula>0.401</formula>
      <formula>0.659999999999</formula>
    </cfRule>
    <cfRule type="cellIs" dxfId="4325" priority="1425" operator="between">
      <formula>0</formula>
      <formula>0.4</formula>
    </cfRule>
  </conditionalFormatting>
  <conditionalFormatting sqref="BK83">
    <cfRule type="cellIs" dxfId="4324" priority="1301" operator="lessThan">
      <formula>0</formula>
    </cfRule>
    <cfRule type="cellIs" dxfId="4323" priority="1302" operator="greaterThan">
      <formula>100.00001%</formula>
    </cfRule>
    <cfRule type="cellIs" dxfId="4322" priority="1303" operator="between">
      <formula>0.66</formula>
      <formula>1</formula>
    </cfRule>
    <cfRule type="cellIs" dxfId="4321" priority="1304" operator="between">
      <formula>0.401</formula>
      <formula>0.659999999999</formula>
    </cfRule>
    <cfRule type="cellIs" dxfId="4320" priority="1305" operator="between">
      <formula>0</formula>
      <formula>0.4</formula>
    </cfRule>
  </conditionalFormatting>
  <conditionalFormatting sqref="BK5">
    <cfRule type="cellIs" dxfId="4319" priority="1406" operator="lessThan">
      <formula>0</formula>
    </cfRule>
    <cfRule type="cellIs" dxfId="4318" priority="1407" operator="greaterThan">
      <formula>100.00001%</formula>
    </cfRule>
    <cfRule type="cellIs" dxfId="4317" priority="1408" operator="between">
      <formula>0.66</formula>
      <formula>1</formula>
    </cfRule>
    <cfRule type="cellIs" dxfId="4316" priority="1409" operator="between">
      <formula>0.401</formula>
      <formula>0.659999999999</formula>
    </cfRule>
    <cfRule type="cellIs" dxfId="4315" priority="1410" operator="between">
      <formula>0</formula>
      <formula>0.4</formula>
    </cfRule>
  </conditionalFormatting>
  <conditionalFormatting sqref="BB900:BB931">
    <cfRule type="cellIs" dxfId="4314" priority="1426" operator="lessThan">
      <formula>0</formula>
    </cfRule>
    <cfRule type="cellIs" dxfId="4313" priority="1427" operator="greaterThan">
      <formula>100.00001%</formula>
    </cfRule>
    <cfRule type="cellIs" dxfId="4312" priority="1428" operator="between">
      <formula>0.66</formula>
      <formula>1</formula>
    </cfRule>
    <cfRule type="cellIs" dxfId="4311" priority="1429" operator="between">
      <formula>0.401</formula>
      <formula>0.659999999999</formula>
    </cfRule>
    <cfRule type="cellIs" dxfId="4310" priority="1430" operator="between">
      <formula>0</formula>
      <formula>0.4</formula>
    </cfRule>
  </conditionalFormatting>
  <conditionalFormatting sqref="BK8:BK9">
    <cfRule type="cellIs" dxfId="4309" priority="1401" operator="lessThan">
      <formula>0</formula>
    </cfRule>
    <cfRule type="cellIs" dxfId="4308" priority="1402" operator="greaterThan">
      <formula>100.00001%</formula>
    </cfRule>
    <cfRule type="cellIs" dxfId="4307" priority="1403" operator="between">
      <formula>0.66</formula>
      <formula>1</formula>
    </cfRule>
    <cfRule type="cellIs" dxfId="4306" priority="1404" operator="between">
      <formula>0.401</formula>
      <formula>0.659999999999</formula>
    </cfRule>
    <cfRule type="cellIs" dxfId="4305" priority="1405" operator="between">
      <formula>0</formula>
      <formula>0.4</formula>
    </cfRule>
  </conditionalFormatting>
  <conditionalFormatting sqref="BK96">
    <cfRule type="cellIs" dxfId="4304" priority="1276" operator="lessThan">
      <formula>0</formula>
    </cfRule>
    <cfRule type="cellIs" dxfId="4303" priority="1277" operator="greaterThan">
      <formula>100.00001%</formula>
    </cfRule>
    <cfRule type="cellIs" dxfId="4302" priority="1278" operator="between">
      <formula>0.66</formula>
      <formula>1</formula>
    </cfRule>
    <cfRule type="cellIs" dxfId="4301" priority="1279" operator="between">
      <formula>0.401</formula>
      <formula>0.659999999999</formula>
    </cfRule>
    <cfRule type="cellIs" dxfId="4300" priority="1280" operator="between">
      <formula>0</formula>
      <formula>0.4</formula>
    </cfRule>
  </conditionalFormatting>
  <conditionalFormatting sqref="BK38:BK50">
    <cfRule type="cellIs" dxfId="4299" priority="1371" operator="lessThan">
      <formula>0</formula>
    </cfRule>
    <cfRule type="cellIs" dxfId="4298" priority="1372" operator="greaterThan">
      <formula>100.00001%</formula>
    </cfRule>
    <cfRule type="cellIs" dxfId="4297" priority="1373" operator="between">
      <formula>0.66</formula>
      <formula>1</formula>
    </cfRule>
    <cfRule type="cellIs" dxfId="4296" priority="1374" operator="between">
      <formula>0.401</formula>
      <formula>0.659999999999</formula>
    </cfRule>
    <cfRule type="cellIs" dxfId="4295" priority="1375" operator="between">
      <formula>0</formula>
      <formula>0.4</formula>
    </cfRule>
  </conditionalFormatting>
  <conditionalFormatting sqref="BK84">
    <cfRule type="cellIs" dxfId="4294" priority="1296" operator="lessThan">
      <formula>0</formula>
    </cfRule>
    <cfRule type="cellIs" dxfId="4293" priority="1297" operator="greaterThan">
      <formula>100.00001%</formula>
    </cfRule>
    <cfRule type="cellIs" dxfId="4292" priority="1298" operator="between">
      <formula>0.66</formula>
      <formula>1</formula>
    </cfRule>
    <cfRule type="cellIs" dxfId="4291" priority="1299" operator="between">
      <formula>0.401</formula>
      <formula>0.659999999999</formula>
    </cfRule>
    <cfRule type="cellIs" dxfId="4290" priority="1300" operator="between">
      <formula>0</formula>
      <formula>0.4</formula>
    </cfRule>
  </conditionalFormatting>
  <conditionalFormatting sqref="BK81">
    <cfRule type="cellIs" dxfId="4289" priority="1306" operator="lessThan">
      <formula>0</formula>
    </cfRule>
    <cfRule type="cellIs" dxfId="4288" priority="1307" operator="greaterThan">
      <formula>100.00001%</formula>
    </cfRule>
    <cfRule type="cellIs" dxfId="4287" priority="1308" operator="between">
      <formula>0.66</formula>
      <formula>1</formula>
    </cfRule>
    <cfRule type="cellIs" dxfId="4286" priority="1309" operator="between">
      <formula>0.401</formula>
      <formula>0.659999999999</formula>
    </cfRule>
    <cfRule type="cellIs" dxfId="4285" priority="1310" operator="between">
      <formula>0</formula>
      <formula>0.4</formula>
    </cfRule>
  </conditionalFormatting>
  <conditionalFormatting sqref="BK64">
    <cfRule type="cellIs" dxfId="4284" priority="1351" operator="lessThan">
      <formula>0</formula>
    </cfRule>
    <cfRule type="cellIs" dxfId="4283" priority="1352" operator="greaterThan">
      <formula>100.00001%</formula>
    </cfRule>
    <cfRule type="cellIs" dxfId="4282" priority="1353" operator="between">
      <formula>0.66</formula>
      <formula>1</formula>
    </cfRule>
    <cfRule type="cellIs" dxfId="4281" priority="1354" operator="between">
      <formula>0.401</formula>
      <formula>0.659999999999</formula>
    </cfRule>
    <cfRule type="cellIs" dxfId="4280" priority="1355" operator="between">
      <formula>0</formula>
      <formula>0.4</formula>
    </cfRule>
  </conditionalFormatting>
  <conditionalFormatting sqref="BK102:BK103">
    <cfRule type="cellIs" dxfId="4279" priority="1256" operator="lessThan">
      <formula>0</formula>
    </cfRule>
    <cfRule type="cellIs" dxfId="4278" priority="1257" operator="greaterThan">
      <formula>100.00001%</formula>
    </cfRule>
    <cfRule type="cellIs" dxfId="4277" priority="1258" operator="between">
      <formula>0.66</formula>
      <formula>1</formula>
    </cfRule>
    <cfRule type="cellIs" dxfId="4276" priority="1259" operator="between">
      <formula>0.401</formula>
      <formula>0.659999999999</formula>
    </cfRule>
    <cfRule type="cellIs" dxfId="4275" priority="1260" operator="between">
      <formula>0</formula>
      <formula>0.4</formula>
    </cfRule>
  </conditionalFormatting>
  <conditionalFormatting sqref="BK104:BK111">
    <cfRule type="cellIs" dxfId="4274" priority="1251" operator="lessThan">
      <formula>0</formula>
    </cfRule>
    <cfRule type="cellIs" dxfId="4273" priority="1252" operator="greaterThan">
      <formula>100.00001%</formula>
    </cfRule>
    <cfRule type="cellIs" dxfId="4272" priority="1253" operator="between">
      <formula>0.66</formula>
      <formula>1</formula>
    </cfRule>
    <cfRule type="cellIs" dxfId="4271" priority="1254" operator="between">
      <formula>0.401</formula>
      <formula>0.659999999999</formula>
    </cfRule>
    <cfRule type="cellIs" dxfId="4270" priority="1255" operator="between">
      <formula>0</formula>
      <formula>0.4</formula>
    </cfRule>
  </conditionalFormatting>
  <conditionalFormatting sqref="BK22:BK32">
    <cfRule type="cellIs" dxfId="4269" priority="1381" operator="lessThan">
      <formula>0</formula>
    </cfRule>
    <cfRule type="cellIs" dxfId="4268" priority="1382" operator="greaterThan">
      <formula>100.00001%</formula>
    </cfRule>
    <cfRule type="cellIs" dxfId="4267" priority="1383" operator="between">
      <formula>0.66</formula>
      <formula>1</formula>
    </cfRule>
    <cfRule type="cellIs" dxfId="4266" priority="1384" operator="between">
      <formula>0.401</formula>
      <formula>0.659999999999</formula>
    </cfRule>
    <cfRule type="cellIs" dxfId="4265" priority="1385" operator="between">
      <formula>0</formula>
      <formula>0.4</formula>
    </cfRule>
  </conditionalFormatting>
  <conditionalFormatting sqref="BK76">
    <cfRule type="cellIs" dxfId="4264" priority="1281" operator="lessThan">
      <formula>0</formula>
    </cfRule>
    <cfRule type="cellIs" dxfId="4263" priority="1282" operator="greaterThan">
      <formula>100.00001%</formula>
    </cfRule>
    <cfRule type="cellIs" dxfId="4262" priority="1283" operator="between">
      <formula>0.66</formula>
      <formula>1</formula>
    </cfRule>
    <cfRule type="cellIs" dxfId="4261" priority="1284" operator="between">
      <formula>0.401</formula>
      <formula>0.659999999999</formula>
    </cfRule>
    <cfRule type="cellIs" dxfId="4260" priority="1285" operator="between">
      <formula>0</formula>
      <formula>0.4</formula>
    </cfRule>
  </conditionalFormatting>
  <conditionalFormatting sqref="BK118:BK127">
    <cfRule type="cellIs" dxfId="4259" priority="1231" operator="lessThan">
      <formula>0</formula>
    </cfRule>
    <cfRule type="cellIs" dxfId="4258" priority="1232" operator="greaterThan">
      <formula>100.00001%</formula>
    </cfRule>
    <cfRule type="cellIs" dxfId="4257" priority="1233" operator="between">
      <formula>0.66</formula>
      <formula>1</formula>
    </cfRule>
    <cfRule type="cellIs" dxfId="4256" priority="1234" operator="between">
      <formula>0.401</formula>
      <formula>0.659999999999</formula>
    </cfRule>
    <cfRule type="cellIs" dxfId="4255" priority="1235" operator="between">
      <formula>0</formula>
      <formula>0.4</formula>
    </cfRule>
  </conditionalFormatting>
  <conditionalFormatting sqref="BK53:BK61">
    <cfRule type="cellIs" dxfId="4254" priority="1366" operator="lessThan">
      <formula>0</formula>
    </cfRule>
    <cfRule type="cellIs" dxfId="4253" priority="1367" operator="greaterThan">
      <formula>100.00001%</formula>
    </cfRule>
    <cfRule type="cellIs" dxfId="4252" priority="1368" operator="between">
      <formula>0.66</formula>
      <formula>1</formula>
    </cfRule>
    <cfRule type="cellIs" dxfId="4251" priority="1369" operator="between">
      <formula>0.401</formula>
      <formula>0.659999999999</formula>
    </cfRule>
    <cfRule type="cellIs" dxfId="4250" priority="1370" operator="between">
      <formula>0</formula>
      <formula>0.4</formula>
    </cfRule>
  </conditionalFormatting>
  <conditionalFormatting sqref="BK63">
    <cfRule type="cellIs" dxfId="4249" priority="1361" operator="lessThan">
      <formula>0</formula>
    </cfRule>
    <cfRule type="cellIs" dxfId="4248" priority="1362" operator="greaterThan">
      <formula>100.00001%</formula>
    </cfRule>
    <cfRule type="cellIs" dxfId="4247" priority="1363" operator="between">
      <formula>0.66</formula>
      <formula>1</formula>
    </cfRule>
    <cfRule type="cellIs" dxfId="4246" priority="1364" operator="between">
      <formula>0.401</formula>
      <formula>0.659999999999</formula>
    </cfRule>
    <cfRule type="cellIs" dxfId="4245" priority="1365" operator="between">
      <formula>0</formula>
      <formula>0.4</formula>
    </cfRule>
  </conditionalFormatting>
  <conditionalFormatting sqref="BK62">
    <cfRule type="cellIs" dxfId="4244" priority="1356" operator="lessThan">
      <formula>0</formula>
    </cfRule>
    <cfRule type="cellIs" dxfId="4243" priority="1357" operator="greaterThan">
      <formula>100.00001%</formula>
    </cfRule>
    <cfRule type="cellIs" dxfId="4242" priority="1358" operator="between">
      <formula>0.66</formula>
      <formula>1</formula>
    </cfRule>
    <cfRule type="cellIs" dxfId="4241" priority="1359" operator="between">
      <formula>0.401</formula>
      <formula>0.659999999999</formula>
    </cfRule>
    <cfRule type="cellIs" dxfId="4240" priority="1360" operator="between">
      <formula>0</formula>
      <formula>0.4</formula>
    </cfRule>
  </conditionalFormatting>
  <conditionalFormatting sqref="BK67:BK68">
    <cfRule type="cellIs" dxfId="4239" priority="1336" operator="lessThan">
      <formula>0</formula>
    </cfRule>
    <cfRule type="cellIs" dxfId="4238" priority="1337" operator="greaterThan">
      <formula>100.00001%</formula>
    </cfRule>
    <cfRule type="cellIs" dxfId="4237" priority="1338" operator="between">
      <formula>0.66</formula>
      <formula>1</formula>
    </cfRule>
    <cfRule type="cellIs" dxfId="4236" priority="1339" operator="between">
      <formula>0.401</formula>
      <formula>0.659999999999</formula>
    </cfRule>
    <cfRule type="cellIs" dxfId="4235" priority="1340" operator="between">
      <formula>0</formula>
      <formula>0.4</formula>
    </cfRule>
  </conditionalFormatting>
  <conditionalFormatting sqref="BK65:BK66">
    <cfRule type="cellIs" dxfId="4234" priority="1346" operator="lessThan">
      <formula>0</formula>
    </cfRule>
    <cfRule type="cellIs" dxfId="4233" priority="1347" operator="greaterThan">
      <formula>100.00001%</formula>
    </cfRule>
    <cfRule type="cellIs" dxfId="4232" priority="1348" operator="between">
      <formula>0.66</formula>
      <formula>1</formula>
    </cfRule>
    <cfRule type="cellIs" dxfId="4231" priority="1349" operator="between">
      <formula>0.401</formula>
      <formula>0.659999999999</formula>
    </cfRule>
    <cfRule type="cellIs" dxfId="4230" priority="1350" operator="between">
      <formula>0</formula>
      <formula>0.4</formula>
    </cfRule>
  </conditionalFormatting>
  <conditionalFormatting sqref="BK71">
    <cfRule type="cellIs" dxfId="4229" priority="1341" operator="lessThan">
      <formula>0</formula>
    </cfRule>
    <cfRule type="cellIs" dxfId="4228" priority="1342" operator="greaterThan">
      <formula>100.00001%</formula>
    </cfRule>
    <cfRule type="cellIs" dxfId="4227" priority="1343" operator="between">
      <formula>0.66</formula>
      <formula>1</formula>
    </cfRule>
    <cfRule type="cellIs" dxfId="4226" priority="1344" operator="between">
      <formula>0.401</formula>
      <formula>0.659999999999</formula>
    </cfRule>
    <cfRule type="cellIs" dxfId="4225" priority="1345" operator="between">
      <formula>0</formula>
      <formula>0.4</formula>
    </cfRule>
  </conditionalFormatting>
  <conditionalFormatting sqref="BK73">
    <cfRule type="cellIs" dxfId="4224" priority="1331" operator="lessThan">
      <formula>0</formula>
    </cfRule>
    <cfRule type="cellIs" dxfId="4223" priority="1332" operator="greaterThan">
      <formula>100.00001%</formula>
    </cfRule>
    <cfRule type="cellIs" dxfId="4222" priority="1333" operator="between">
      <formula>0.66</formula>
      <formula>1</formula>
    </cfRule>
    <cfRule type="cellIs" dxfId="4221" priority="1334" operator="between">
      <formula>0.401</formula>
      <formula>0.659999999999</formula>
    </cfRule>
    <cfRule type="cellIs" dxfId="4220" priority="1335" operator="between">
      <formula>0</formula>
      <formula>0.4</formula>
    </cfRule>
  </conditionalFormatting>
  <conditionalFormatting sqref="BK70">
    <cfRule type="cellIs" dxfId="4219" priority="1326" operator="lessThan">
      <formula>0</formula>
    </cfRule>
    <cfRule type="cellIs" dxfId="4218" priority="1327" operator="greaterThan">
      <formula>100.00001%</formula>
    </cfRule>
    <cfRule type="cellIs" dxfId="4217" priority="1328" operator="between">
      <formula>0.66</formula>
      <formula>1</formula>
    </cfRule>
    <cfRule type="cellIs" dxfId="4216" priority="1329" operator="between">
      <formula>0.401</formula>
      <formula>0.659999999999</formula>
    </cfRule>
    <cfRule type="cellIs" dxfId="4215" priority="1330" operator="between">
      <formula>0</formula>
      <formula>0.4</formula>
    </cfRule>
  </conditionalFormatting>
  <conditionalFormatting sqref="BK75">
    <cfRule type="cellIs" dxfId="4214" priority="1321" operator="lessThan">
      <formula>0</formula>
    </cfRule>
    <cfRule type="cellIs" dxfId="4213" priority="1322" operator="greaterThan">
      <formula>100.00001%</formula>
    </cfRule>
    <cfRule type="cellIs" dxfId="4212" priority="1323" operator="between">
      <formula>0.66</formula>
      <formula>1</formula>
    </cfRule>
    <cfRule type="cellIs" dxfId="4211" priority="1324" operator="between">
      <formula>0.401</formula>
      <formula>0.659999999999</formula>
    </cfRule>
    <cfRule type="cellIs" dxfId="4210" priority="1325" operator="between">
      <formula>0</formula>
      <formula>0.4</formula>
    </cfRule>
  </conditionalFormatting>
  <conditionalFormatting sqref="BK78">
    <cfRule type="cellIs" dxfId="4209" priority="1316" operator="lessThan">
      <formula>0</formula>
    </cfRule>
    <cfRule type="cellIs" dxfId="4208" priority="1317" operator="greaterThan">
      <formula>100.00001%</formula>
    </cfRule>
    <cfRule type="cellIs" dxfId="4207" priority="1318" operator="between">
      <formula>0.66</formula>
      <formula>1</formula>
    </cfRule>
    <cfRule type="cellIs" dxfId="4206" priority="1319" operator="between">
      <formula>0.401</formula>
      <formula>0.659999999999</formula>
    </cfRule>
    <cfRule type="cellIs" dxfId="4205" priority="1320" operator="between">
      <formula>0</formula>
      <formula>0.4</formula>
    </cfRule>
  </conditionalFormatting>
  <conditionalFormatting sqref="BK82">
    <cfRule type="cellIs" dxfId="4204" priority="1311" operator="lessThan">
      <formula>0</formula>
    </cfRule>
    <cfRule type="cellIs" dxfId="4203" priority="1312" operator="greaterThan">
      <formula>100.00001%</formula>
    </cfRule>
    <cfRule type="cellIs" dxfId="4202" priority="1313" operator="between">
      <formula>0.66</formula>
      <formula>1</formula>
    </cfRule>
    <cfRule type="cellIs" dxfId="4201" priority="1314" operator="between">
      <formula>0.401</formula>
      <formula>0.659999999999</formula>
    </cfRule>
    <cfRule type="cellIs" dxfId="4200" priority="1315" operator="between">
      <formula>0</formula>
      <formula>0.4</formula>
    </cfRule>
  </conditionalFormatting>
  <conditionalFormatting sqref="BK101">
    <cfRule type="cellIs" dxfId="4199" priority="1261" operator="lessThan">
      <formula>0</formula>
    </cfRule>
    <cfRule type="cellIs" dxfId="4198" priority="1262" operator="greaterThan">
      <formula>100.00001%</formula>
    </cfRule>
    <cfRule type="cellIs" dxfId="4197" priority="1263" operator="between">
      <formula>0.66</formula>
      <formula>1</formula>
    </cfRule>
    <cfRule type="cellIs" dxfId="4196" priority="1264" operator="between">
      <formula>0.401</formula>
      <formula>0.659999999999</formula>
    </cfRule>
    <cfRule type="cellIs" dxfId="4195" priority="1265" operator="between">
      <formula>0</formula>
      <formula>0.4</formula>
    </cfRule>
  </conditionalFormatting>
  <conditionalFormatting sqref="BK128:BK131">
    <cfRule type="cellIs" dxfId="4194" priority="1226" operator="lessThan">
      <formula>0</formula>
    </cfRule>
    <cfRule type="cellIs" dxfId="4193" priority="1227" operator="greaterThan">
      <formula>100.00001%</formula>
    </cfRule>
    <cfRule type="cellIs" dxfId="4192" priority="1228" operator="between">
      <formula>0.66</formula>
      <formula>1</formula>
    </cfRule>
    <cfRule type="cellIs" dxfId="4191" priority="1229" operator="between">
      <formula>0.401</formula>
      <formula>0.659999999999</formula>
    </cfRule>
    <cfRule type="cellIs" dxfId="4190" priority="1230" operator="between">
      <formula>0</formula>
      <formula>0.4</formula>
    </cfRule>
  </conditionalFormatting>
  <conditionalFormatting sqref="BK97:BK99">
    <cfRule type="cellIs" dxfId="4189" priority="1271" operator="lessThan">
      <formula>0</formula>
    </cfRule>
    <cfRule type="cellIs" dxfId="4188" priority="1272" operator="greaterThan">
      <formula>100.00001%</formula>
    </cfRule>
    <cfRule type="cellIs" dxfId="4187" priority="1273" operator="between">
      <formula>0.66</formula>
      <formula>1</formula>
    </cfRule>
    <cfRule type="cellIs" dxfId="4186" priority="1274" operator="between">
      <formula>0.401</formula>
      <formula>0.659999999999</formula>
    </cfRule>
    <cfRule type="cellIs" dxfId="4185" priority="1275" operator="between">
      <formula>0</formula>
      <formula>0.4</formula>
    </cfRule>
  </conditionalFormatting>
  <conditionalFormatting sqref="BK86">
    <cfRule type="cellIs" dxfId="4184" priority="1291" operator="lessThan">
      <formula>0</formula>
    </cfRule>
    <cfRule type="cellIs" dxfId="4183" priority="1292" operator="greaterThan">
      <formula>100.00001%</formula>
    </cfRule>
    <cfRule type="cellIs" dxfId="4182" priority="1293" operator="between">
      <formula>0.66</formula>
      <formula>1</formula>
    </cfRule>
    <cfRule type="cellIs" dxfId="4181" priority="1294" operator="between">
      <formula>0.401</formula>
      <formula>0.659999999999</formula>
    </cfRule>
    <cfRule type="cellIs" dxfId="4180" priority="1295" operator="between">
      <formula>0</formula>
      <formula>0.4</formula>
    </cfRule>
  </conditionalFormatting>
  <conditionalFormatting sqref="BK77">
    <cfRule type="cellIs" dxfId="4179" priority="1286" operator="lessThan">
      <formula>0</formula>
    </cfRule>
    <cfRule type="cellIs" dxfId="4178" priority="1287" operator="greaterThan">
      <formula>100.00001%</formula>
    </cfRule>
    <cfRule type="cellIs" dxfId="4177" priority="1288" operator="between">
      <formula>0.66</formula>
      <formula>1</formula>
    </cfRule>
    <cfRule type="cellIs" dxfId="4176" priority="1289" operator="between">
      <formula>0.401</formula>
      <formula>0.659999999999</formula>
    </cfRule>
    <cfRule type="cellIs" dxfId="4175" priority="1290" operator="between">
      <formula>0</formula>
      <formula>0.4</formula>
    </cfRule>
  </conditionalFormatting>
  <conditionalFormatting sqref="BK141">
    <cfRule type="cellIs" dxfId="4174" priority="1201" operator="lessThan">
      <formula>0</formula>
    </cfRule>
    <cfRule type="cellIs" dxfId="4173" priority="1202" operator="greaterThan">
      <formula>100.00001%</formula>
    </cfRule>
    <cfRule type="cellIs" dxfId="4172" priority="1203" operator="between">
      <formula>0.66</formula>
      <formula>1</formula>
    </cfRule>
    <cfRule type="cellIs" dxfId="4171" priority="1204" operator="between">
      <formula>0.401</formula>
      <formula>0.659999999999</formula>
    </cfRule>
    <cfRule type="cellIs" dxfId="4170" priority="1205" operator="between">
      <formula>0</formula>
      <formula>0.4</formula>
    </cfRule>
  </conditionalFormatting>
  <conditionalFormatting sqref="BK199:BK202">
    <cfRule type="cellIs" dxfId="4169" priority="1146" operator="lessThan">
      <formula>0</formula>
    </cfRule>
    <cfRule type="cellIs" dxfId="4168" priority="1147" operator="greaterThan">
      <formula>100.00001%</formula>
    </cfRule>
    <cfRule type="cellIs" dxfId="4167" priority="1148" operator="between">
      <formula>0.66</formula>
      <formula>1</formula>
    </cfRule>
    <cfRule type="cellIs" dxfId="4166" priority="1149" operator="between">
      <formula>0.401</formula>
      <formula>0.659999999999</formula>
    </cfRule>
    <cfRule type="cellIs" dxfId="4165" priority="1150" operator="between">
      <formula>0</formula>
      <formula>0.4</formula>
    </cfRule>
  </conditionalFormatting>
  <conditionalFormatting sqref="BK144:BK148">
    <cfRule type="cellIs" dxfId="4164" priority="1221" operator="lessThan">
      <formula>0</formula>
    </cfRule>
    <cfRule type="cellIs" dxfId="4163" priority="1222" operator="greaterThan">
      <formula>100.00001%</formula>
    </cfRule>
    <cfRule type="cellIs" dxfId="4162" priority="1223" operator="between">
      <formula>0.66</formula>
      <formula>1</formula>
    </cfRule>
    <cfRule type="cellIs" dxfId="4161" priority="1224" operator="between">
      <formula>0.401</formula>
      <formula>0.659999999999</formula>
    </cfRule>
    <cfRule type="cellIs" dxfId="4160" priority="1225" operator="between">
      <formula>0</formula>
      <formula>0.4</formula>
    </cfRule>
  </conditionalFormatting>
  <conditionalFormatting sqref="BK100">
    <cfRule type="cellIs" dxfId="4159" priority="1266" operator="lessThan">
      <formula>0</formula>
    </cfRule>
    <cfRule type="cellIs" dxfId="4158" priority="1267" operator="greaterThan">
      <formula>100.00001%</formula>
    </cfRule>
    <cfRule type="cellIs" dxfId="4157" priority="1268" operator="between">
      <formula>0.66</formula>
      <formula>1</formula>
    </cfRule>
    <cfRule type="cellIs" dxfId="4156" priority="1269" operator="between">
      <formula>0.401</formula>
      <formula>0.659999999999</formula>
    </cfRule>
    <cfRule type="cellIs" dxfId="4155" priority="1270" operator="between">
      <formula>0</formula>
      <formula>0.4</formula>
    </cfRule>
  </conditionalFormatting>
  <conditionalFormatting sqref="BK140">
    <cfRule type="cellIs" dxfId="4154" priority="1206" operator="lessThan">
      <formula>0</formula>
    </cfRule>
    <cfRule type="cellIs" dxfId="4153" priority="1207" operator="greaterThan">
      <formula>100.00001%</formula>
    </cfRule>
    <cfRule type="cellIs" dxfId="4152" priority="1208" operator="between">
      <formula>0.66</formula>
      <formula>1</formula>
    </cfRule>
    <cfRule type="cellIs" dxfId="4151" priority="1209" operator="between">
      <formula>0.401</formula>
      <formula>0.659999999999</formula>
    </cfRule>
    <cfRule type="cellIs" dxfId="4150" priority="1210" operator="between">
      <formula>0</formula>
      <formula>0.4</formula>
    </cfRule>
  </conditionalFormatting>
  <conditionalFormatting sqref="BK116:BK117">
    <cfRule type="cellIs" dxfId="4149" priority="1236" operator="lessThan">
      <formula>0</formula>
    </cfRule>
    <cfRule type="cellIs" dxfId="4148" priority="1237" operator="greaterThan">
      <formula>100.00001%</formula>
    </cfRule>
    <cfRule type="cellIs" dxfId="4147" priority="1238" operator="between">
      <formula>0.66</formula>
      <formula>1</formula>
    </cfRule>
    <cfRule type="cellIs" dxfId="4146" priority="1239" operator="between">
      <formula>0.401</formula>
      <formula>0.659999999999</formula>
    </cfRule>
    <cfRule type="cellIs" dxfId="4145" priority="1240" operator="between">
      <formula>0</formula>
      <formula>0.4</formula>
    </cfRule>
  </conditionalFormatting>
  <conditionalFormatting sqref="BK158:BK164">
    <cfRule type="cellIs" dxfId="4144" priority="1176" operator="lessThan">
      <formula>0</formula>
    </cfRule>
    <cfRule type="cellIs" dxfId="4143" priority="1177" operator="greaterThan">
      <formula>100.00001%</formula>
    </cfRule>
    <cfRule type="cellIs" dxfId="4142" priority="1178" operator="between">
      <formula>0.66</formula>
      <formula>1</formula>
    </cfRule>
    <cfRule type="cellIs" dxfId="4141" priority="1179" operator="between">
      <formula>0.401</formula>
      <formula>0.659999999999</formula>
    </cfRule>
    <cfRule type="cellIs" dxfId="4140" priority="1180" operator="between">
      <formula>0</formula>
      <formula>0.4</formula>
    </cfRule>
  </conditionalFormatting>
  <conditionalFormatting sqref="BK112:BK114">
    <cfRule type="cellIs" dxfId="4139" priority="1246" operator="lessThan">
      <formula>0</formula>
    </cfRule>
    <cfRule type="cellIs" dxfId="4138" priority="1247" operator="greaterThan">
      <formula>100.00001%</formula>
    </cfRule>
    <cfRule type="cellIs" dxfId="4137" priority="1248" operator="between">
      <formula>0.66</formula>
      <formula>1</formula>
    </cfRule>
    <cfRule type="cellIs" dxfId="4136" priority="1249" operator="between">
      <formula>0.401</formula>
      <formula>0.659999999999</formula>
    </cfRule>
    <cfRule type="cellIs" dxfId="4135" priority="1250" operator="between">
      <formula>0</formula>
      <formula>0.4</formula>
    </cfRule>
  </conditionalFormatting>
  <conditionalFormatting sqref="BK115">
    <cfRule type="cellIs" dxfId="4134" priority="1241" operator="lessThan">
      <formula>0</formula>
    </cfRule>
    <cfRule type="cellIs" dxfId="4133" priority="1242" operator="greaterThan">
      <formula>100.00001%</formula>
    </cfRule>
    <cfRule type="cellIs" dxfId="4132" priority="1243" operator="between">
      <formula>0.66</formula>
      <formula>1</formula>
    </cfRule>
    <cfRule type="cellIs" dxfId="4131" priority="1244" operator="between">
      <formula>0.401</formula>
      <formula>0.659999999999</formula>
    </cfRule>
    <cfRule type="cellIs" dxfId="4130" priority="1245" operator="between">
      <formula>0</formula>
      <formula>0.4</formula>
    </cfRule>
  </conditionalFormatting>
  <conditionalFormatting sqref="BK187:BK196">
    <cfRule type="cellIs" dxfId="4129" priority="1151" operator="lessThan">
      <formula>0</formula>
    </cfRule>
    <cfRule type="cellIs" dxfId="4128" priority="1152" operator="greaterThan">
      <formula>100.00001%</formula>
    </cfRule>
    <cfRule type="cellIs" dxfId="4127" priority="1153" operator="between">
      <formula>0.66</formula>
      <formula>1</formula>
    </cfRule>
    <cfRule type="cellIs" dxfId="4126" priority="1154" operator="between">
      <formula>0.401</formula>
      <formula>0.659999999999</formula>
    </cfRule>
    <cfRule type="cellIs" dxfId="4125" priority="1155" operator="between">
      <formula>0</formula>
      <formula>0.4</formula>
    </cfRule>
  </conditionalFormatting>
  <conditionalFormatting sqref="BK223:BK225">
    <cfRule type="cellIs" dxfId="4124" priority="1121" operator="lessThan">
      <formula>0</formula>
    </cfRule>
    <cfRule type="cellIs" dxfId="4123" priority="1122" operator="greaterThan">
      <formula>100.00001%</formula>
    </cfRule>
    <cfRule type="cellIs" dxfId="4122" priority="1123" operator="between">
      <formula>0.66</formula>
      <formula>1</formula>
    </cfRule>
    <cfRule type="cellIs" dxfId="4121" priority="1124" operator="between">
      <formula>0.401</formula>
      <formula>0.659999999999</formula>
    </cfRule>
    <cfRule type="cellIs" dxfId="4120" priority="1125" operator="between">
      <formula>0</formula>
      <formula>0.4</formula>
    </cfRule>
  </conditionalFormatting>
  <conditionalFormatting sqref="BK226">
    <cfRule type="cellIs" dxfId="4119" priority="1131" operator="lessThan">
      <formula>0</formula>
    </cfRule>
    <cfRule type="cellIs" dxfId="4118" priority="1132" operator="greaterThan">
      <formula>100.00001%</formula>
    </cfRule>
    <cfRule type="cellIs" dxfId="4117" priority="1133" operator="between">
      <formula>0.66</formula>
      <formula>1</formula>
    </cfRule>
    <cfRule type="cellIs" dxfId="4116" priority="1134" operator="between">
      <formula>0.401</formula>
      <formula>0.659999999999</formula>
    </cfRule>
    <cfRule type="cellIs" dxfId="4115" priority="1135" operator="between">
      <formula>0</formula>
      <formula>0.4</formula>
    </cfRule>
  </conditionalFormatting>
  <conditionalFormatting sqref="BK154">
    <cfRule type="cellIs" dxfId="4114" priority="1196" operator="lessThan">
      <formula>0</formula>
    </cfRule>
    <cfRule type="cellIs" dxfId="4113" priority="1197" operator="greaterThan">
      <formula>100.00001%</formula>
    </cfRule>
    <cfRule type="cellIs" dxfId="4112" priority="1198" operator="between">
      <formula>0.66</formula>
      <formula>1</formula>
    </cfRule>
    <cfRule type="cellIs" dxfId="4111" priority="1199" operator="between">
      <formula>0.401</formula>
      <formula>0.659999999999</formula>
    </cfRule>
    <cfRule type="cellIs" dxfId="4110" priority="1200" operator="between">
      <formula>0</formula>
      <formula>0.4</formula>
    </cfRule>
  </conditionalFormatting>
  <conditionalFormatting sqref="BK137:BK138">
    <cfRule type="cellIs" dxfId="4109" priority="1216" operator="lessThan">
      <formula>0</formula>
    </cfRule>
    <cfRule type="cellIs" dxfId="4108" priority="1217" operator="greaterThan">
      <formula>100.00001%</formula>
    </cfRule>
    <cfRule type="cellIs" dxfId="4107" priority="1218" operator="between">
      <formula>0.66</formula>
      <formula>1</formula>
    </cfRule>
    <cfRule type="cellIs" dxfId="4106" priority="1219" operator="between">
      <formula>0.401</formula>
      <formula>0.659999999999</formula>
    </cfRule>
    <cfRule type="cellIs" dxfId="4105" priority="1220" operator="between">
      <formula>0</formula>
      <formula>0.4</formula>
    </cfRule>
  </conditionalFormatting>
  <conditionalFormatting sqref="BK139">
    <cfRule type="cellIs" dxfId="4104" priority="1211" operator="lessThan">
      <formula>0</formula>
    </cfRule>
    <cfRule type="cellIs" dxfId="4103" priority="1212" operator="greaterThan">
      <formula>100.00001%</formula>
    </cfRule>
    <cfRule type="cellIs" dxfId="4102" priority="1213" operator="between">
      <formula>0.66</formula>
      <formula>1</formula>
    </cfRule>
    <cfRule type="cellIs" dxfId="4101" priority="1214" operator="between">
      <formula>0.401</formula>
      <formula>0.659999999999</formula>
    </cfRule>
    <cfRule type="cellIs" dxfId="4100" priority="1215" operator="between">
      <formula>0</formula>
      <formula>0.4</formula>
    </cfRule>
  </conditionalFormatting>
  <conditionalFormatting sqref="BK218">
    <cfRule type="cellIs" dxfId="4099" priority="1136" operator="lessThan">
      <formula>0</formula>
    </cfRule>
    <cfRule type="cellIs" dxfId="4098" priority="1137" operator="greaterThan">
      <formula>100.00001%</formula>
    </cfRule>
    <cfRule type="cellIs" dxfId="4097" priority="1138" operator="between">
      <formula>0.66</formula>
      <formula>1</formula>
    </cfRule>
    <cfRule type="cellIs" dxfId="4096" priority="1139" operator="between">
      <formula>0.401</formula>
      <formula>0.659999999999</formula>
    </cfRule>
    <cfRule type="cellIs" dxfId="4095" priority="1140" operator="between">
      <formula>0</formula>
      <formula>0.4</formula>
    </cfRule>
  </conditionalFormatting>
  <conditionalFormatting sqref="BK155">
    <cfRule type="cellIs" dxfId="4094" priority="1191" operator="lessThan">
      <formula>0</formula>
    </cfRule>
    <cfRule type="cellIs" dxfId="4093" priority="1192" operator="greaterThan">
      <formula>100.00001%</formula>
    </cfRule>
    <cfRule type="cellIs" dxfId="4092" priority="1193" operator="between">
      <formula>0.66</formula>
      <formula>1</formula>
    </cfRule>
    <cfRule type="cellIs" dxfId="4091" priority="1194" operator="between">
      <formula>0.401</formula>
      <formula>0.659999999999</formula>
    </cfRule>
    <cfRule type="cellIs" dxfId="4090" priority="1195" operator="between">
      <formula>0</formula>
      <formula>0.4</formula>
    </cfRule>
  </conditionalFormatting>
  <conditionalFormatting sqref="BK156:BK157">
    <cfRule type="cellIs" dxfId="4089" priority="1186" operator="lessThan">
      <formula>0</formula>
    </cfRule>
    <cfRule type="cellIs" dxfId="4088" priority="1187" operator="greaterThan">
      <formula>100.00001%</formula>
    </cfRule>
    <cfRule type="cellIs" dxfId="4087" priority="1188" operator="between">
      <formula>0.66</formula>
      <formula>1</formula>
    </cfRule>
    <cfRule type="cellIs" dxfId="4086" priority="1189" operator="between">
      <formula>0.401</formula>
      <formula>0.659999999999</formula>
    </cfRule>
    <cfRule type="cellIs" dxfId="4085" priority="1190" operator="between">
      <formula>0</formula>
      <formula>0.4</formula>
    </cfRule>
  </conditionalFormatting>
  <conditionalFormatting sqref="BK222">
    <cfRule type="cellIs" dxfId="4084" priority="1126" operator="lessThan">
      <formula>0</formula>
    </cfRule>
    <cfRule type="cellIs" dxfId="4083" priority="1127" operator="greaterThan">
      <formula>100.00001%</formula>
    </cfRule>
    <cfRule type="cellIs" dxfId="4082" priority="1128" operator="between">
      <formula>0.66</formula>
      <formula>1</formula>
    </cfRule>
    <cfRule type="cellIs" dxfId="4081" priority="1129" operator="between">
      <formula>0.401</formula>
      <formula>0.659999999999</formula>
    </cfRule>
    <cfRule type="cellIs" dxfId="4080" priority="1130" operator="between">
      <formula>0</formula>
      <formula>0.4</formula>
    </cfRule>
  </conditionalFormatting>
  <conditionalFormatting sqref="BK197:BK198">
    <cfRule type="cellIs" dxfId="4079" priority="1106" operator="lessThan">
      <formula>0</formula>
    </cfRule>
    <cfRule type="cellIs" dxfId="4078" priority="1107" operator="greaterThan">
      <formula>100.00001%</formula>
    </cfRule>
    <cfRule type="cellIs" dxfId="4077" priority="1108" operator="between">
      <formula>0.66</formula>
      <formula>1</formula>
    </cfRule>
    <cfRule type="cellIs" dxfId="4076" priority="1109" operator="between">
      <formula>0.401</formula>
      <formula>0.659999999999</formula>
    </cfRule>
    <cfRule type="cellIs" dxfId="4075" priority="1110" operator="between">
      <formula>0</formula>
      <formula>0.4</formula>
    </cfRule>
  </conditionalFormatting>
  <conditionalFormatting sqref="BK167:BK177">
    <cfRule type="cellIs" dxfId="4074" priority="1171" operator="lessThan">
      <formula>0</formula>
    </cfRule>
    <cfRule type="cellIs" dxfId="4073" priority="1172" operator="greaterThan">
      <formula>100.00001%</formula>
    </cfRule>
    <cfRule type="cellIs" dxfId="4072" priority="1173" operator="between">
      <formula>0.66</formula>
      <formula>1</formula>
    </cfRule>
    <cfRule type="cellIs" dxfId="4071" priority="1174" operator="between">
      <formula>0.401</formula>
      <formula>0.659999999999</formula>
    </cfRule>
    <cfRule type="cellIs" dxfId="4070" priority="1175" operator="between">
      <formula>0</formula>
      <formula>0.4</formula>
    </cfRule>
  </conditionalFormatting>
  <conditionalFormatting sqref="BK165">
    <cfRule type="cellIs" dxfId="4069" priority="1166" operator="lessThan">
      <formula>0</formula>
    </cfRule>
    <cfRule type="cellIs" dxfId="4068" priority="1167" operator="greaterThan">
      <formula>100.00001%</formula>
    </cfRule>
    <cfRule type="cellIs" dxfId="4067" priority="1168" operator="between">
      <formula>0.66</formula>
      <formula>1</formula>
    </cfRule>
    <cfRule type="cellIs" dxfId="4066" priority="1169" operator="between">
      <formula>0.401</formula>
      <formula>0.659999999999</formula>
    </cfRule>
    <cfRule type="cellIs" dxfId="4065" priority="1170" operator="between">
      <formula>0</formula>
      <formula>0.4</formula>
    </cfRule>
  </conditionalFormatting>
  <conditionalFormatting sqref="BK178:BK179">
    <cfRule type="cellIs" dxfId="4064" priority="1161" operator="lessThan">
      <formula>0</formula>
    </cfRule>
    <cfRule type="cellIs" dxfId="4063" priority="1162" operator="greaterThan">
      <formula>100.00001%</formula>
    </cfRule>
    <cfRule type="cellIs" dxfId="4062" priority="1163" operator="between">
      <formula>0.66</formula>
      <formula>1</formula>
    </cfRule>
    <cfRule type="cellIs" dxfId="4061" priority="1164" operator="between">
      <formula>0.401</formula>
      <formula>0.659999999999</formula>
    </cfRule>
    <cfRule type="cellIs" dxfId="4060" priority="1165" operator="between">
      <formula>0</formula>
      <formula>0.4</formula>
    </cfRule>
  </conditionalFormatting>
  <conditionalFormatting sqref="BK180:BK185">
    <cfRule type="cellIs" dxfId="4059" priority="1156" operator="lessThan">
      <formula>0</formula>
    </cfRule>
    <cfRule type="cellIs" dxfId="4058" priority="1157" operator="greaterThan">
      <formula>100.00001%</formula>
    </cfRule>
    <cfRule type="cellIs" dxfId="4057" priority="1158" operator="between">
      <formula>0.66</formula>
      <formula>1</formula>
    </cfRule>
    <cfRule type="cellIs" dxfId="4056" priority="1159" operator="between">
      <formula>0.401</formula>
      <formula>0.659999999999</formula>
    </cfRule>
    <cfRule type="cellIs" dxfId="4055" priority="1160" operator="between">
      <formula>0</formula>
      <formula>0.4</formula>
    </cfRule>
  </conditionalFormatting>
  <conditionalFormatting sqref="BK248:BK251">
    <cfRule type="cellIs" dxfId="4054" priority="1111" operator="lessThan">
      <formula>0</formula>
    </cfRule>
    <cfRule type="cellIs" dxfId="4053" priority="1112" operator="greaterThan">
      <formula>100.00001%</formula>
    </cfRule>
    <cfRule type="cellIs" dxfId="4052" priority="1113" operator="between">
      <formula>0.66</formula>
      <formula>1</formula>
    </cfRule>
    <cfRule type="cellIs" dxfId="4051" priority="1114" operator="between">
      <formula>0.401</formula>
      <formula>0.659999999999</formula>
    </cfRule>
    <cfRule type="cellIs" dxfId="4050" priority="1115" operator="between">
      <formula>0</formula>
      <formula>0.4</formula>
    </cfRule>
  </conditionalFormatting>
  <conditionalFormatting sqref="BK252:BK256">
    <cfRule type="cellIs" dxfId="4049" priority="1101" operator="lessThan">
      <formula>0</formula>
    </cfRule>
    <cfRule type="cellIs" dxfId="4048" priority="1102" operator="greaterThan">
      <formula>100.00001%</formula>
    </cfRule>
    <cfRule type="cellIs" dxfId="4047" priority="1103" operator="between">
      <formula>0.66</formula>
      <formula>1</formula>
    </cfRule>
    <cfRule type="cellIs" dxfId="4046" priority="1104" operator="between">
      <formula>0.401</formula>
      <formula>0.659999999999</formula>
    </cfRule>
    <cfRule type="cellIs" dxfId="4045" priority="1105" operator="between">
      <formula>0</formula>
      <formula>0.4</formula>
    </cfRule>
  </conditionalFormatting>
  <conditionalFormatting sqref="BK257:BK259">
    <cfRule type="cellIs" dxfId="4044" priority="1096" operator="lessThan">
      <formula>0</formula>
    </cfRule>
    <cfRule type="cellIs" dxfId="4043" priority="1097" operator="greaterThan">
      <formula>100.00001%</formula>
    </cfRule>
    <cfRule type="cellIs" dxfId="4042" priority="1098" operator="between">
      <formula>0.66</formula>
      <formula>1</formula>
    </cfRule>
    <cfRule type="cellIs" dxfId="4041" priority="1099" operator="between">
      <formula>0.401</formula>
      <formula>0.659999999999</formula>
    </cfRule>
    <cfRule type="cellIs" dxfId="4040" priority="1100" operator="between">
      <formula>0</formula>
      <formula>0.4</formula>
    </cfRule>
  </conditionalFormatting>
  <conditionalFormatting sqref="BK260">
    <cfRule type="cellIs" dxfId="4039" priority="1091" operator="lessThan">
      <formula>0</formula>
    </cfRule>
    <cfRule type="cellIs" dxfId="4038" priority="1092" operator="greaterThan">
      <formula>100.00001%</formula>
    </cfRule>
    <cfRule type="cellIs" dxfId="4037" priority="1093" operator="between">
      <formula>0.66</formula>
      <formula>1</formula>
    </cfRule>
    <cfRule type="cellIs" dxfId="4036" priority="1094" operator="between">
      <formula>0.401</formula>
      <formula>0.659999999999</formula>
    </cfRule>
    <cfRule type="cellIs" dxfId="4035" priority="1095" operator="between">
      <formula>0</formula>
      <formula>0.4</formula>
    </cfRule>
  </conditionalFormatting>
  <conditionalFormatting sqref="BK277">
    <cfRule type="cellIs" dxfId="4034" priority="1086" operator="lessThan">
      <formula>0</formula>
    </cfRule>
    <cfRule type="cellIs" dxfId="4033" priority="1087" operator="greaterThan">
      <formula>100.00001%</formula>
    </cfRule>
    <cfRule type="cellIs" dxfId="4032" priority="1088" operator="between">
      <formula>0.66</formula>
      <formula>1</formula>
    </cfRule>
    <cfRule type="cellIs" dxfId="4031" priority="1089" operator="between">
      <formula>0.401</formula>
      <formula>0.659999999999</formula>
    </cfRule>
    <cfRule type="cellIs" dxfId="4030" priority="1090" operator="between">
      <formula>0</formula>
      <formula>0.4</formula>
    </cfRule>
  </conditionalFormatting>
  <conditionalFormatting sqref="BK280:BK281">
    <cfRule type="cellIs" dxfId="4029" priority="1081" operator="lessThan">
      <formula>0</formula>
    </cfRule>
    <cfRule type="cellIs" dxfId="4028" priority="1082" operator="greaterThan">
      <formula>100.00001%</formula>
    </cfRule>
    <cfRule type="cellIs" dxfId="4027" priority="1083" operator="between">
      <formula>0.66</formula>
      <formula>1</formula>
    </cfRule>
    <cfRule type="cellIs" dxfId="4026" priority="1084" operator="between">
      <formula>0.401</formula>
      <formula>0.659999999999</formula>
    </cfRule>
    <cfRule type="cellIs" dxfId="4025" priority="1085" operator="between">
      <formula>0</formula>
      <formula>0.4</formula>
    </cfRule>
  </conditionalFormatting>
  <conditionalFormatting sqref="BK263">
    <cfRule type="cellIs" dxfId="4024" priority="1076" operator="lessThan">
      <formula>0</formula>
    </cfRule>
    <cfRule type="cellIs" dxfId="4023" priority="1077" operator="greaterThan">
      <formula>100.00001%</formula>
    </cfRule>
    <cfRule type="cellIs" dxfId="4022" priority="1078" operator="between">
      <formula>0.66</formula>
      <formula>1</formula>
    </cfRule>
    <cfRule type="cellIs" dxfId="4021" priority="1079" operator="between">
      <formula>0.401</formula>
      <formula>0.659999999999</formula>
    </cfRule>
    <cfRule type="cellIs" dxfId="4020" priority="1080" operator="between">
      <formula>0</formula>
      <formula>0.4</formula>
    </cfRule>
  </conditionalFormatting>
  <conditionalFormatting sqref="BK282:BK285">
    <cfRule type="cellIs" dxfId="4019" priority="1071" operator="lessThan">
      <formula>0</formula>
    </cfRule>
    <cfRule type="cellIs" dxfId="4018" priority="1072" operator="greaterThan">
      <formula>100.00001%</formula>
    </cfRule>
    <cfRule type="cellIs" dxfId="4017" priority="1073" operator="between">
      <formula>0.66</formula>
      <formula>1</formula>
    </cfRule>
    <cfRule type="cellIs" dxfId="4016" priority="1074" operator="between">
      <formula>0.401</formula>
      <formula>0.659999999999</formula>
    </cfRule>
    <cfRule type="cellIs" dxfId="4015" priority="1075" operator="between">
      <formula>0</formula>
      <formula>0.4</formula>
    </cfRule>
  </conditionalFormatting>
  <conditionalFormatting sqref="BK286">
    <cfRule type="cellIs" dxfId="4014" priority="1066" operator="lessThan">
      <formula>0</formula>
    </cfRule>
    <cfRule type="cellIs" dxfId="4013" priority="1067" operator="greaterThan">
      <formula>100.00001%</formula>
    </cfRule>
    <cfRule type="cellIs" dxfId="4012" priority="1068" operator="between">
      <formula>0.66</formula>
      <formula>1</formula>
    </cfRule>
    <cfRule type="cellIs" dxfId="4011" priority="1069" operator="between">
      <formula>0.401</formula>
      <formula>0.659999999999</formula>
    </cfRule>
    <cfRule type="cellIs" dxfId="4010" priority="1070" operator="between">
      <formula>0</formula>
      <formula>0.4</formula>
    </cfRule>
  </conditionalFormatting>
  <conditionalFormatting sqref="BK264:BK265">
    <cfRule type="cellIs" dxfId="4009" priority="1061" operator="lessThan">
      <formula>0</formula>
    </cfRule>
    <cfRule type="cellIs" dxfId="4008" priority="1062" operator="greaterThan">
      <formula>100.00001%</formula>
    </cfRule>
    <cfRule type="cellIs" dxfId="4007" priority="1063" operator="between">
      <formula>0.66</formula>
      <formula>1</formula>
    </cfRule>
    <cfRule type="cellIs" dxfId="4006" priority="1064" operator="between">
      <formula>0.401</formula>
      <formula>0.659999999999</formula>
    </cfRule>
    <cfRule type="cellIs" dxfId="4005" priority="1065" operator="between">
      <formula>0</formula>
      <formula>0.4</formula>
    </cfRule>
  </conditionalFormatting>
  <conditionalFormatting sqref="BK287:BK289">
    <cfRule type="cellIs" dxfId="4004" priority="1056" operator="lessThan">
      <formula>0</formula>
    </cfRule>
    <cfRule type="cellIs" dxfId="4003" priority="1057" operator="greaterThan">
      <formula>100.00001%</formula>
    </cfRule>
    <cfRule type="cellIs" dxfId="4002" priority="1058" operator="between">
      <formula>0.66</formula>
      <formula>1</formula>
    </cfRule>
    <cfRule type="cellIs" dxfId="4001" priority="1059" operator="between">
      <formula>0.401</formula>
      <formula>0.659999999999</formula>
    </cfRule>
    <cfRule type="cellIs" dxfId="4000" priority="1060" operator="between">
      <formula>0</formula>
      <formula>0.4</formula>
    </cfRule>
  </conditionalFormatting>
  <conditionalFormatting sqref="BK266">
    <cfRule type="cellIs" dxfId="3999" priority="1051" operator="lessThan">
      <formula>0</formula>
    </cfRule>
    <cfRule type="cellIs" dxfId="3998" priority="1052" operator="greaterThan">
      <formula>100.00001%</formula>
    </cfRule>
    <cfRule type="cellIs" dxfId="3997" priority="1053" operator="between">
      <formula>0.66</formula>
      <formula>1</formula>
    </cfRule>
    <cfRule type="cellIs" dxfId="3996" priority="1054" operator="between">
      <formula>0.401</formula>
      <formula>0.659999999999</formula>
    </cfRule>
    <cfRule type="cellIs" dxfId="3995" priority="1055" operator="between">
      <formula>0</formula>
      <formula>0.4</formula>
    </cfRule>
  </conditionalFormatting>
  <conditionalFormatting sqref="BK290:BK292">
    <cfRule type="cellIs" dxfId="3994" priority="1046" operator="lessThan">
      <formula>0</formula>
    </cfRule>
    <cfRule type="cellIs" dxfId="3993" priority="1047" operator="greaterThan">
      <formula>100.00001%</formula>
    </cfRule>
    <cfRule type="cellIs" dxfId="3992" priority="1048" operator="between">
      <formula>0.66</formula>
      <formula>1</formula>
    </cfRule>
    <cfRule type="cellIs" dxfId="3991" priority="1049" operator="between">
      <formula>0.401</formula>
      <formula>0.659999999999</formula>
    </cfRule>
    <cfRule type="cellIs" dxfId="3990" priority="1050" operator="between">
      <formula>0</formula>
      <formula>0.4</formula>
    </cfRule>
  </conditionalFormatting>
  <conditionalFormatting sqref="BK307">
    <cfRule type="cellIs" dxfId="3989" priority="1041" operator="lessThan">
      <formula>0</formula>
    </cfRule>
    <cfRule type="cellIs" dxfId="3988" priority="1042" operator="greaterThan">
      <formula>100.00001%</formula>
    </cfRule>
    <cfRule type="cellIs" dxfId="3987" priority="1043" operator="between">
      <formula>0.66</formula>
      <formula>1</formula>
    </cfRule>
    <cfRule type="cellIs" dxfId="3986" priority="1044" operator="between">
      <formula>0.401</formula>
      <formula>0.659999999999</formula>
    </cfRule>
    <cfRule type="cellIs" dxfId="3985" priority="1045" operator="between">
      <formula>0</formula>
      <formula>0.4</formula>
    </cfRule>
  </conditionalFormatting>
  <conditionalFormatting sqref="BK308:BK309">
    <cfRule type="cellIs" dxfId="3984" priority="1036" operator="lessThan">
      <formula>0</formula>
    </cfRule>
    <cfRule type="cellIs" dxfId="3983" priority="1037" operator="greaterThan">
      <formula>100.00001%</formula>
    </cfRule>
    <cfRule type="cellIs" dxfId="3982" priority="1038" operator="between">
      <formula>0.66</formula>
      <formula>1</formula>
    </cfRule>
    <cfRule type="cellIs" dxfId="3981" priority="1039" operator="between">
      <formula>0.401</formula>
      <formula>0.659999999999</formula>
    </cfRule>
    <cfRule type="cellIs" dxfId="3980" priority="1040" operator="between">
      <formula>0</formula>
      <formula>0.4</formula>
    </cfRule>
  </conditionalFormatting>
  <conditionalFormatting sqref="BK262">
    <cfRule type="cellIs" dxfId="3979" priority="1031" operator="lessThan">
      <formula>0</formula>
    </cfRule>
    <cfRule type="cellIs" dxfId="3978" priority="1032" operator="greaterThan">
      <formula>100.00001%</formula>
    </cfRule>
    <cfRule type="cellIs" dxfId="3977" priority="1033" operator="between">
      <formula>0.66</formula>
      <formula>1</formula>
    </cfRule>
    <cfRule type="cellIs" dxfId="3976" priority="1034" operator="between">
      <formula>0.401</formula>
      <formula>0.659999999999</formula>
    </cfRule>
    <cfRule type="cellIs" dxfId="3975" priority="1035" operator="between">
      <formula>0</formula>
      <formula>0.4</formula>
    </cfRule>
  </conditionalFormatting>
  <conditionalFormatting sqref="BK261">
    <cfRule type="cellIs" dxfId="3974" priority="1026" operator="lessThan">
      <formula>0</formula>
    </cfRule>
    <cfRule type="cellIs" dxfId="3973" priority="1027" operator="greaterThan">
      <formula>100.00001%</formula>
    </cfRule>
    <cfRule type="cellIs" dxfId="3972" priority="1028" operator="between">
      <formula>0.66</formula>
      <formula>1</formula>
    </cfRule>
    <cfRule type="cellIs" dxfId="3971" priority="1029" operator="between">
      <formula>0.401</formula>
      <formula>0.659999999999</formula>
    </cfRule>
    <cfRule type="cellIs" dxfId="3970" priority="1030" operator="between">
      <formula>0</formula>
      <formula>0.4</formula>
    </cfRule>
  </conditionalFormatting>
  <conditionalFormatting sqref="BK267:BK271">
    <cfRule type="cellIs" dxfId="3969" priority="1021" operator="lessThan">
      <formula>0</formula>
    </cfRule>
    <cfRule type="cellIs" dxfId="3968" priority="1022" operator="greaterThan">
      <formula>100.00001%</formula>
    </cfRule>
    <cfRule type="cellIs" dxfId="3967" priority="1023" operator="between">
      <formula>0.66</formula>
      <formula>1</formula>
    </cfRule>
    <cfRule type="cellIs" dxfId="3966" priority="1024" operator="between">
      <formula>0.401</formula>
      <formula>0.659999999999</formula>
    </cfRule>
    <cfRule type="cellIs" dxfId="3965" priority="1025" operator="between">
      <formula>0</formula>
      <formula>0.4</formula>
    </cfRule>
  </conditionalFormatting>
  <conditionalFormatting sqref="BK348:BK353">
    <cfRule type="cellIs" dxfId="3964" priority="971" operator="lessThan">
      <formula>0</formula>
    </cfRule>
    <cfRule type="cellIs" dxfId="3963" priority="972" operator="greaterThan">
      <formula>100.00001%</formula>
    </cfRule>
    <cfRule type="cellIs" dxfId="3962" priority="973" operator="between">
      <formula>0.66</formula>
      <formula>1</formula>
    </cfRule>
    <cfRule type="cellIs" dxfId="3961" priority="974" operator="between">
      <formula>0.401</formula>
      <formula>0.659999999999</formula>
    </cfRule>
    <cfRule type="cellIs" dxfId="3960" priority="975" operator="between">
      <formula>0</formula>
      <formula>0.4</formula>
    </cfRule>
  </conditionalFormatting>
  <conditionalFormatting sqref="BK342:BK343">
    <cfRule type="cellIs" dxfId="3959" priority="1011" operator="lessThan">
      <formula>0</formula>
    </cfRule>
    <cfRule type="cellIs" dxfId="3958" priority="1012" operator="greaterThan">
      <formula>100.00001%</formula>
    </cfRule>
    <cfRule type="cellIs" dxfId="3957" priority="1013" operator="between">
      <formula>0.66</formula>
      <formula>1</formula>
    </cfRule>
    <cfRule type="cellIs" dxfId="3956" priority="1014" operator="between">
      <formula>0.401</formula>
      <formula>0.659999999999</formula>
    </cfRule>
    <cfRule type="cellIs" dxfId="3955" priority="1015" operator="between">
      <formula>0</formula>
      <formula>0.4</formula>
    </cfRule>
  </conditionalFormatting>
  <conditionalFormatting sqref="AR333">
    <cfRule type="cellIs" dxfId="3954" priority="1006" operator="lessThan">
      <formula>0</formula>
    </cfRule>
    <cfRule type="cellIs" dxfId="3953" priority="1007" operator="greaterThan">
      <formula>100.00001%</formula>
    </cfRule>
    <cfRule type="cellIs" dxfId="3952" priority="1008" operator="between">
      <formula>0.66</formula>
      <formula>1</formula>
    </cfRule>
    <cfRule type="cellIs" dxfId="3951" priority="1009" operator="between">
      <formula>0.401</formula>
      <formula>0.659999999999</formula>
    </cfRule>
    <cfRule type="cellIs" dxfId="3950" priority="1010" operator="between">
      <formula>0</formula>
      <formula>0.4</formula>
    </cfRule>
  </conditionalFormatting>
  <conditionalFormatting sqref="AZ333">
    <cfRule type="cellIs" dxfId="3949" priority="1001" operator="lessThan">
      <formula>0</formula>
    </cfRule>
    <cfRule type="cellIs" dxfId="3948" priority="1002" operator="greaterThan">
      <formula>100.00001%</formula>
    </cfRule>
    <cfRule type="cellIs" dxfId="3947" priority="1003" operator="between">
      <formula>0.66</formula>
      <formula>1</formula>
    </cfRule>
    <cfRule type="cellIs" dxfId="3946" priority="1004" operator="between">
      <formula>0.401</formula>
      <formula>0.659999999999</formula>
    </cfRule>
    <cfRule type="cellIs" dxfId="3945" priority="1005" operator="between">
      <formula>0</formula>
      <formula>0.4</formula>
    </cfRule>
  </conditionalFormatting>
  <conditionalFormatting sqref="BB333">
    <cfRule type="cellIs" dxfId="3944" priority="996" operator="lessThan">
      <formula>0</formula>
    </cfRule>
    <cfRule type="cellIs" dxfId="3943" priority="997" operator="greaterThan">
      <formula>100.00001%</formula>
    </cfRule>
    <cfRule type="cellIs" dxfId="3942" priority="998" operator="between">
      <formula>0.66</formula>
      <formula>1</formula>
    </cfRule>
    <cfRule type="cellIs" dxfId="3941" priority="999" operator="between">
      <formula>0.401</formula>
      <formula>0.659999999999</formula>
    </cfRule>
    <cfRule type="cellIs" dxfId="3940" priority="1000" operator="between">
      <formula>0</formula>
      <formula>0.4</formula>
    </cfRule>
  </conditionalFormatting>
  <conditionalFormatting sqref="BK333">
    <cfRule type="cellIs" dxfId="3939" priority="986" operator="lessThan">
      <formula>0</formula>
    </cfRule>
    <cfRule type="cellIs" dxfId="3938" priority="987" operator="greaterThan">
      <formula>100.00001%</formula>
    </cfRule>
    <cfRule type="cellIs" dxfId="3937" priority="988" operator="between">
      <formula>0.66</formula>
      <formula>1</formula>
    </cfRule>
    <cfRule type="cellIs" dxfId="3936" priority="989" operator="between">
      <formula>0.401</formula>
      <formula>0.659999999999</formula>
    </cfRule>
    <cfRule type="cellIs" dxfId="3935" priority="990" operator="between">
      <formula>0</formula>
      <formula>0.4</formula>
    </cfRule>
  </conditionalFormatting>
  <conditionalFormatting sqref="BK358:BK359">
    <cfRule type="cellIs" dxfId="3934" priority="961" operator="lessThan">
      <formula>0</formula>
    </cfRule>
    <cfRule type="cellIs" dxfId="3933" priority="962" operator="greaterThan">
      <formula>100.00001%</formula>
    </cfRule>
    <cfRule type="cellIs" dxfId="3932" priority="963" operator="between">
      <formula>0.66</formula>
      <formula>1</formula>
    </cfRule>
    <cfRule type="cellIs" dxfId="3931" priority="964" operator="between">
      <formula>0.401</formula>
      <formula>0.659999999999</formula>
    </cfRule>
    <cfRule type="cellIs" dxfId="3930" priority="965" operator="between">
      <formula>0</formula>
      <formula>0.4</formula>
    </cfRule>
  </conditionalFormatting>
  <conditionalFormatting sqref="BK310:BK332">
    <cfRule type="cellIs" dxfId="3929" priority="981" operator="lessThan">
      <formula>0</formula>
    </cfRule>
    <cfRule type="cellIs" dxfId="3928" priority="982" operator="greaterThan">
      <formula>100.00001%</formula>
    </cfRule>
    <cfRule type="cellIs" dxfId="3927" priority="983" operator="between">
      <formula>0.66</formula>
      <formula>1</formula>
    </cfRule>
    <cfRule type="cellIs" dxfId="3926" priority="984" operator="between">
      <formula>0.401</formula>
      <formula>0.659999999999</formula>
    </cfRule>
    <cfRule type="cellIs" dxfId="3925" priority="985" operator="between">
      <formula>0</formula>
      <formula>0.4</formula>
    </cfRule>
  </conditionalFormatting>
  <conditionalFormatting sqref="BK345">
    <cfRule type="cellIs" dxfId="3924" priority="976" operator="lessThan">
      <formula>0</formula>
    </cfRule>
    <cfRule type="cellIs" dxfId="3923" priority="977" operator="greaterThan">
      <formula>100.00001%</formula>
    </cfRule>
    <cfRule type="cellIs" dxfId="3922" priority="978" operator="between">
      <formula>0.66</formula>
      <formula>1</formula>
    </cfRule>
    <cfRule type="cellIs" dxfId="3921" priority="979" operator="between">
      <formula>0.401</formula>
      <formula>0.659999999999</formula>
    </cfRule>
    <cfRule type="cellIs" dxfId="3920" priority="980" operator="between">
      <formula>0</formula>
      <formula>0.4</formula>
    </cfRule>
  </conditionalFormatting>
  <conditionalFormatting sqref="BK372">
    <cfRule type="cellIs" dxfId="3919" priority="951" operator="lessThan">
      <formula>0</formula>
    </cfRule>
    <cfRule type="cellIs" dxfId="3918" priority="952" operator="greaterThan">
      <formula>100.00001%</formula>
    </cfRule>
    <cfRule type="cellIs" dxfId="3917" priority="953" operator="between">
      <formula>0.66</formula>
      <formula>1</formula>
    </cfRule>
    <cfRule type="cellIs" dxfId="3916" priority="954" operator="between">
      <formula>0.401</formula>
      <formula>0.659999999999</formula>
    </cfRule>
    <cfRule type="cellIs" dxfId="3915" priority="955" operator="between">
      <formula>0</formula>
      <formula>0.4</formula>
    </cfRule>
  </conditionalFormatting>
  <conditionalFormatting sqref="BK354">
    <cfRule type="cellIs" dxfId="3914" priority="966" operator="lessThan">
      <formula>0</formula>
    </cfRule>
    <cfRule type="cellIs" dxfId="3913" priority="967" operator="greaterThan">
      <formula>100.00001%</formula>
    </cfRule>
    <cfRule type="cellIs" dxfId="3912" priority="968" operator="between">
      <formula>0.66</formula>
      <formula>1</formula>
    </cfRule>
    <cfRule type="cellIs" dxfId="3911" priority="969" operator="between">
      <formula>0.401</formula>
      <formula>0.659999999999</formula>
    </cfRule>
    <cfRule type="cellIs" dxfId="3910" priority="970" operator="between">
      <formula>0</formula>
      <formula>0.4</formula>
    </cfRule>
  </conditionalFormatting>
  <conditionalFormatting sqref="BK375:BK377">
    <cfRule type="cellIs" dxfId="3909" priority="941" operator="lessThan">
      <formula>0</formula>
    </cfRule>
    <cfRule type="cellIs" dxfId="3908" priority="942" operator="greaterThan">
      <formula>100.00001%</formula>
    </cfRule>
    <cfRule type="cellIs" dxfId="3907" priority="943" operator="between">
      <formula>0.66</formula>
      <formula>1</formula>
    </cfRule>
    <cfRule type="cellIs" dxfId="3906" priority="944" operator="between">
      <formula>0.401</formula>
      <formula>0.659999999999</formula>
    </cfRule>
    <cfRule type="cellIs" dxfId="3905" priority="945" operator="between">
      <formula>0</formula>
      <formula>0.4</formula>
    </cfRule>
  </conditionalFormatting>
  <conditionalFormatting sqref="BK365:BK371">
    <cfRule type="cellIs" dxfId="3904" priority="956" operator="lessThan">
      <formula>0</formula>
    </cfRule>
    <cfRule type="cellIs" dxfId="3903" priority="957" operator="greaterThan">
      <formula>100.00001%</formula>
    </cfRule>
    <cfRule type="cellIs" dxfId="3902" priority="958" operator="between">
      <formula>0.66</formula>
      <formula>1</formula>
    </cfRule>
    <cfRule type="cellIs" dxfId="3901" priority="959" operator="between">
      <formula>0.401</formula>
      <formula>0.659999999999</formula>
    </cfRule>
    <cfRule type="cellIs" dxfId="3900" priority="960" operator="between">
      <formula>0</formula>
      <formula>0.4</formula>
    </cfRule>
  </conditionalFormatting>
  <conditionalFormatting sqref="BK405:BK410">
    <cfRule type="cellIs" dxfId="3899" priority="921" operator="lessThan">
      <formula>0</formula>
    </cfRule>
    <cfRule type="cellIs" dxfId="3898" priority="922" operator="greaterThan">
      <formula>100.00001%</formula>
    </cfRule>
    <cfRule type="cellIs" dxfId="3897" priority="923" operator="between">
      <formula>0.66</formula>
      <formula>1</formula>
    </cfRule>
    <cfRule type="cellIs" dxfId="3896" priority="924" operator="between">
      <formula>0.401</formula>
      <formula>0.659999999999</formula>
    </cfRule>
    <cfRule type="cellIs" dxfId="3895" priority="925" operator="between">
      <formula>0</formula>
      <formula>0.4</formula>
    </cfRule>
  </conditionalFormatting>
  <conditionalFormatting sqref="BK373:BK374">
    <cfRule type="cellIs" dxfId="3894" priority="946" operator="lessThan">
      <formula>0</formula>
    </cfRule>
    <cfRule type="cellIs" dxfId="3893" priority="947" operator="greaterThan">
      <formula>100.00001%</formula>
    </cfRule>
    <cfRule type="cellIs" dxfId="3892" priority="948" operator="between">
      <formula>0.66</formula>
      <formula>1</formula>
    </cfRule>
    <cfRule type="cellIs" dxfId="3891" priority="949" operator="between">
      <formula>0.401</formula>
      <formula>0.659999999999</formula>
    </cfRule>
    <cfRule type="cellIs" dxfId="3890" priority="950" operator="between">
      <formula>0</formula>
      <formula>0.4</formula>
    </cfRule>
  </conditionalFormatting>
  <conditionalFormatting sqref="BK414:BK417">
    <cfRule type="cellIs" dxfId="3889" priority="911" operator="lessThan">
      <formula>0</formula>
    </cfRule>
    <cfRule type="cellIs" dxfId="3888" priority="912" operator="greaterThan">
      <formula>100.00001%</formula>
    </cfRule>
    <cfRule type="cellIs" dxfId="3887" priority="913" operator="between">
      <formula>0.66</formula>
      <formula>1</formula>
    </cfRule>
    <cfRule type="cellIs" dxfId="3886" priority="914" operator="between">
      <formula>0.401</formula>
      <formula>0.659999999999</formula>
    </cfRule>
    <cfRule type="cellIs" dxfId="3885" priority="915" operator="between">
      <formula>0</formula>
      <formula>0.4</formula>
    </cfRule>
  </conditionalFormatting>
  <conditionalFormatting sqref="BK378:BK394">
    <cfRule type="cellIs" dxfId="3884" priority="936" operator="lessThan">
      <formula>0</formula>
    </cfRule>
    <cfRule type="cellIs" dxfId="3883" priority="937" operator="greaterThan">
      <formula>100.00001%</formula>
    </cfRule>
    <cfRule type="cellIs" dxfId="3882" priority="938" operator="between">
      <formula>0.66</formula>
      <formula>1</formula>
    </cfRule>
    <cfRule type="cellIs" dxfId="3881" priority="939" operator="between">
      <formula>0.401</formula>
      <formula>0.659999999999</formula>
    </cfRule>
    <cfRule type="cellIs" dxfId="3880" priority="940" operator="between">
      <formula>0</formula>
      <formula>0.4</formula>
    </cfRule>
  </conditionalFormatting>
  <conditionalFormatting sqref="BK400:BK404">
    <cfRule type="cellIs" dxfId="3879" priority="931" operator="lessThan">
      <formula>0</formula>
    </cfRule>
    <cfRule type="cellIs" dxfId="3878" priority="932" operator="greaterThan">
      <formula>100.00001%</formula>
    </cfRule>
    <cfRule type="cellIs" dxfId="3877" priority="933" operator="between">
      <formula>0.66</formula>
      <formula>1</formula>
    </cfRule>
    <cfRule type="cellIs" dxfId="3876" priority="934" operator="between">
      <formula>0.401</formula>
      <formula>0.659999999999</formula>
    </cfRule>
    <cfRule type="cellIs" dxfId="3875" priority="935" operator="between">
      <formula>0</formula>
      <formula>0.4</formula>
    </cfRule>
  </conditionalFormatting>
  <conditionalFormatting sqref="BK395">
    <cfRule type="cellIs" dxfId="3874" priority="926" operator="lessThan">
      <formula>0</formula>
    </cfRule>
    <cfRule type="cellIs" dxfId="3873" priority="927" operator="greaterThan">
      <formula>100.00001%</formula>
    </cfRule>
    <cfRule type="cellIs" dxfId="3872" priority="928" operator="between">
      <formula>0.66</formula>
      <formula>1</formula>
    </cfRule>
    <cfRule type="cellIs" dxfId="3871" priority="929" operator="between">
      <formula>0.401</formula>
      <formula>0.659999999999</formula>
    </cfRule>
    <cfRule type="cellIs" dxfId="3870" priority="930" operator="between">
      <formula>0</formula>
      <formula>0.4</formula>
    </cfRule>
  </conditionalFormatting>
  <conditionalFormatting sqref="BK448:BK451">
    <cfRule type="cellIs" dxfId="3869" priority="876" operator="lessThan">
      <formula>0</formula>
    </cfRule>
    <cfRule type="cellIs" dxfId="3868" priority="877" operator="greaterThan">
      <formula>100.00001%</formula>
    </cfRule>
    <cfRule type="cellIs" dxfId="3867" priority="878" operator="between">
      <formula>0.66</formula>
      <formula>1</formula>
    </cfRule>
    <cfRule type="cellIs" dxfId="3866" priority="879" operator="between">
      <formula>0.401</formula>
      <formula>0.659999999999</formula>
    </cfRule>
    <cfRule type="cellIs" dxfId="3865" priority="880" operator="between">
      <formula>0</formula>
      <formula>0.4</formula>
    </cfRule>
  </conditionalFormatting>
  <conditionalFormatting sqref="BK412:BK413">
    <cfRule type="cellIs" dxfId="3864" priority="916" operator="lessThan">
      <formula>0</formula>
    </cfRule>
    <cfRule type="cellIs" dxfId="3863" priority="917" operator="greaterThan">
      <formula>100.00001%</formula>
    </cfRule>
    <cfRule type="cellIs" dxfId="3862" priority="918" operator="between">
      <formula>0.66</formula>
      <formula>1</formula>
    </cfRule>
    <cfRule type="cellIs" dxfId="3861" priority="919" operator="between">
      <formula>0.401</formula>
      <formula>0.659999999999</formula>
    </cfRule>
    <cfRule type="cellIs" dxfId="3860" priority="920" operator="between">
      <formula>0</formula>
      <formula>0.4</formula>
    </cfRule>
  </conditionalFormatting>
  <conditionalFormatting sqref="BK431">
    <cfRule type="cellIs" dxfId="3859" priority="891" operator="lessThan">
      <formula>0</formula>
    </cfRule>
    <cfRule type="cellIs" dxfId="3858" priority="892" operator="greaterThan">
      <formula>100.00001%</formula>
    </cfRule>
    <cfRule type="cellIs" dxfId="3857" priority="893" operator="between">
      <formula>0.66</formula>
      <formula>1</formula>
    </cfRule>
    <cfRule type="cellIs" dxfId="3856" priority="894" operator="between">
      <formula>0.401</formula>
      <formula>0.659999999999</formula>
    </cfRule>
    <cfRule type="cellIs" dxfId="3855" priority="895" operator="between">
      <formula>0</formula>
      <formula>0.4</formula>
    </cfRule>
  </conditionalFormatting>
  <conditionalFormatting sqref="BK418:BK419">
    <cfRule type="cellIs" dxfId="3854" priority="906" operator="lessThan">
      <formula>0</formula>
    </cfRule>
    <cfRule type="cellIs" dxfId="3853" priority="907" operator="greaterThan">
      <formula>100.00001%</formula>
    </cfRule>
    <cfRule type="cellIs" dxfId="3852" priority="908" operator="between">
      <formula>0.66</formula>
      <formula>1</formula>
    </cfRule>
    <cfRule type="cellIs" dxfId="3851" priority="909" operator="between">
      <formula>0.401</formula>
      <formula>0.659999999999</formula>
    </cfRule>
    <cfRule type="cellIs" dxfId="3850" priority="910" operator="between">
      <formula>0</formula>
      <formula>0.4</formula>
    </cfRule>
  </conditionalFormatting>
  <conditionalFormatting sqref="BK420">
    <cfRule type="cellIs" dxfId="3849" priority="901" operator="lessThan">
      <formula>0</formula>
    </cfRule>
    <cfRule type="cellIs" dxfId="3848" priority="902" operator="greaterThan">
      <formula>100.00001%</formula>
    </cfRule>
    <cfRule type="cellIs" dxfId="3847" priority="903" operator="between">
      <formula>0.66</formula>
      <formula>1</formula>
    </cfRule>
    <cfRule type="cellIs" dxfId="3846" priority="904" operator="between">
      <formula>0.401</formula>
      <formula>0.659999999999</formula>
    </cfRule>
    <cfRule type="cellIs" dxfId="3845" priority="905" operator="between">
      <formula>0</formula>
      <formula>0.4</formula>
    </cfRule>
  </conditionalFormatting>
  <conditionalFormatting sqref="BK422">
    <cfRule type="cellIs" dxfId="3844" priority="896" operator="lessThan">
      <formula>0</formula>
    </cfRule>
    <cfRule type="cellIs" dxfId="3843" priority="897" operator="greaterThan">
      <formula>100.00001%</formula>
    </cfRule>
    <cfRule type="cellIs" dxfId="3842" priority="898" operator="between">
      <formula>0.66</formula>
      <formula>1</formula>
    </cfRule>
    <cfRule type="cellIs" dxfId="3841" priority="899" operator="between">
      <formula>0.401</formula>
      <formula>0.659999999999</formula>
    </cfRule>
    <cfRule type="cellIs" dxfId="3840" priority="900" operator="between">
      <formula>0</formula>
      <formula>0.4</formula>
    </cfRule>
  </conditionalFormatting>
  <conditionalFormatting sqref="BK439:BK447">
    <cfRule type="cellIs" dxfId="3839" priority="881" operator="lessThan">
      <formula>0</formula>
    </cfRule>
    <cfRule type="cellIs" dxfId="3838" priority="882" operator="greaterThan">
      <formula>100.00001%</formula>
    </cfRule>
    <cfRule type="cellIs" dxfId="3837" priority="883" operator="between">
      <formula>0.66</formula>
      <formula>1</formula>
    </cfRule>
    <cfRule type="cellIs" dxfId="3836" priority="884" operator="between">
      <formula>0.401</formula>
      <formula>0.659999999999</formula>
    </cfRule>
    <cfRule type="cellIs" dxfId="3835" priority="885" operator="between">
      <formula>0</formula>
      <formula>0.4</formula>
    </cfRule>
  </conditionalFormatting>
  <conditionalFormatting sqref="BK438">
    <cfRule type="cellIs" dxfId="3834" priority="886" operator="lessThan">
      <formula>0</formula>
    </cfRule>
    <cfRule type="cellIs" dxfId="3833" priority="887" operator="greaterThan">
      <formula>100.00001%</formula>
    </cfRule>
    <cfRule type="cellIs" dxfId="3832" priority="888" operator="between">
      <formula>0.66</formula>
      <formula>1</formula>
    </cfRule>
    <cfRule type="cellIs" dxfId="3831" priority="889" operator="between">
      <formula>0.401</formula>
      <formula>0.659999999999</formula>
    </cfRule>
    <cfRule type="cellIs" dxfId="3830" priority="890" operator="between">
      <formula>0</formula>
      <formula>0.4</formula>
    </cfRule>
  </conditionalFormatting>
  <conditionalFormatting sqref="BK487:BK488">
    <cfRule type="cellIs" dxfId="3829" priority="846" operator="lessThan">
      <formula>0</formula>
    </cfRule>
    <cfRule type="cellIs" dxfId="3828" priority="847" operator="greaterThan">
      <formula>100.00001%</formula>
    </cfRule>
    <cfRule type="cellIs" dxfId="3827" priority="848" operator="between">
      <formula>0.66</formula>
      <formula>1</formula>
    </cfRule>
    <cfRule type="cellIs" dxfId="3826" priority="849" operator="between">
      <formula>0.401</formula>
      <formula>0.659999999999</formula>
    </cfRule>
    <cfRule type="cellIs" dxfId="3825" priority="850" operator="between">
      <formula>0</formula>
      <formula>0.4</formula>
    </cfRule>
  </conditionalFormatting>
  <conditionalFormatting sqref="BK458">
    <cfRule type="cellIs" dxfId="3824" priority="866" operator="lessThan">
      <formula>0</formula>
    </cfRule>
    <cfRule type="cellIs" dxfId="3823" priority="867" operator="greaterThan">
      <formula>100.00001%</formula>
    </cfRule>
    <cfRule type="cellIs" dxfId="3822" priority="868" operator="between">
      <formula>0.66</formula>
      <formula>1</formula>
    </cfRule>
    <cfRule type="cellIs" dxfId="3821" priority="869" operator="between">
      <formula>0.401</formula>
      <formula>0.659999999999</formula>
    </cfRule>
    <cfRule type="cellIs" dxfId="3820" priority="870" operator="between">
      <formula>0</formula>
      <formula>0.4</formula>
    </cfRule>
  </conditionalFormatting>
  <conditionalFormatting sqref="BK456:BK457">
    <cfRule type="cellIs" dxfId="3819" priority="871" operator="lessThan">
      <formula>0</formula>
    </cfRule>
    <cfRule type="cellIs" dxfId="3818" priority="872" operator="greaterThan">
      <formula>100.00001%</formula>
    </cfRule>
    <cfRule type="cellIs" dxfId="3817" priority="873" operator="between">
      <formula>0.66</formula>
      <formula>1</formula>
    </cfRule>
    <cfRule type="cellIs" dxfId="3816" priority="874" operator="between">
      <formula>0.401</formula>
      <formula>0.659999999999</formula>
    </cfRule>
    <cfRule type="cellIs" dxfId="3815" priority="875" operator="between">
      <formula>0</formula>
      <formula>0.4</formula>
    </cfRule>
  </conditionalFormatting>
  <conditionalFormatting sqref="BK526:BK545">
    <cfRule type="cellIs" dxfId="3814" priority="831" operator="lessThan">
      <formula>0</formula>
    </cfRule>
    <cfRule type="cellIs" dxfId="3813" priority="832" operator="greaterThan">
      <formula>100.00001%</formula>
    </cfRule>
    <cfRule type="cellIs" dxfId="3812" priority="833" operator="between">
      <formula>0.66</formula>
      <formula>1</formula>
    </cfRule>
    <cfRule type="cellIs" dxfId="3811" priority="834" operator="between">
      <formula>0.401</formula>
      <formula>0.659999999999</formula>
    </cfRule>
    <cfRule type="cellIs" dxfId="3810" priority="835" operator="between">
      <formula>0</formula>
      <formula>0.4</formula>
    </cfRule>
  </conditionalFormatting>
  <conditionalFormatting sqref="BK462:BK463">
    <cfRule type="cellIs" dxfId="3809" priority="861" operator="lessThan">
      <formula>0</formula>
    </cfRule>
    <cfRule type="cellIs" dxfId="3808" priority="862" operator="greaterThan">
      <formula>100.00001%</formula>
    </cfRule>
    <cfRule type="cellIs" dxfId="3807" priority="863" operator="between">
      <formula>0.66</formula>
      <formula>1</formula>
    </cfRule>
    <cfRule type="cellIs" dxfId="3806" priority="864" operator="between">
      <formula>0.401</formula>
      <formula>0.659999999999</formula>
    </cfRule>
    <cfRule type="cellIs" dxfId="3805" priority="865" operator="between">
      <formula>0</formula>
      <formula>0.4</formula>
    </cfRule>
  </conditionalFormatting>
  <conditionalFormatting sqref="BK478:BK485">
    <cfRule type="cellIs" dxfId="3804" priority="856" operator="lessThan">
      <formula>0</formula>
    </cfRule>
    <cfRule type="cellIs" dxfId="3803" priority="857" operator="greaterThan">
      <formula>100.00001%</formula>
    </cfRule>
    <cfRule type="cellIs" dxfId="3802" priority="858" operator="between">
      <formula>0.66</formula>
      <formula>1</formula>
    </cfRule>
    <cfRule type="cellIs" dxfId="3801" priority="859" operator="between">
      <formula>0.401</formula>
      <formula>0.659999999999</formula>
    </cfRule>
    <cfRule type="cellIs" dxfId="3800" priority="860" operator="between">
      <formula>0</formula>
      <formula>0.4</formula>
    </cfRule>
  </conditionalFormatting>
  <conditionalFormatting sqref="BK486">
    <cfRule type="cellIs" dxfId="3799" priority="851" operator="lessThan">
      <formula>0</formula>
    </cfRule>
    <cfRule type="cellIs" dxfId="3798" priority="852" operator="greaterThan">
      <formula>100.00001%</formula>
    </cfRule>
    <cfRule type="cellIs" dxfId="3797" priority="853" operator="between">
      <formula>0.66</formula>
      <formula>1</formula>
    </cfRule>
    <cfRule type="cellIs" dxfId="3796" priority="854" operator="between">
      <formula>0.401</formula>
      <formula>0.659999999999</formula>
    </cfRule>
    <cfRule type="cellIs" dxfId="3795" priority="855" operator="between">
      <formula>0</formula>
      <formula>0.4</formula>
    </cfRule>
  </conditionalFormatting>
  <conditionalFormatting sqref="BK525">
    <cfRule type="cellIs" dxfId="3794" priority="836" operator="lessThan">
      <formula>0</formula>
    </cfRule>
    <cfRule type="cellIs" dxfId="3793" priority="837" operator="greaterThan">
      <formula>100.00001%</formula>
    </cfRule>
    <cfRule type="cellIs" dxfId="3792" priority="838" operator="between">
      <formula>0.66</formula>
      <formula>1</formula>
    </cfRule>
    <cfRule type="cellIs" dxfId="3791" priority="839" operator="between">
      <formula>0.401</formula>
      <formula>0.659999999999</formula>
    </cfRule>
    <cfRule type="cellIs" dxfId="3790" priority="840" operator="between">
      <formula>0</formula>
      <formula>0.4</formula>
    </cfRule>
  </conditionalFormatting>
  <conditionalFormatting sqref="BK524">
    <cfRule type="cellIs" dxfId="3789" priority="841" operator="lessThan">
      <formula>0</formula>
    </cfRule>
    <cfRule type="cellIs" dxfId="3788" priority="842" operator="greaterThan">
      <formula>100.00001%</formula>
    </cfRule>
    <cfRule type="cellIs" dxfId="3787" priority="843" operator="between">
      <formula>0.66</formula>
      <formula>1</formula>
    </cfRule>
    <cfRule type="cellIs" dxfId="3786" priority="844" operator="between">
      <formula>0.401</formula>
      <formula>0.659999999999</formula>
    </cfRule>
    <cfRule type="cellIs" dxfId="3785" priority="845" operator="between">
      <formula>0</formula>
      <formula>0.4</formula>
    </cfRule>
  </conditionalFormatting>
  <conditionalFormatting sqref="BK558">
    <cfRule type="cellIs" dxfId="3784" priority="801" operator="lessThan">
      <formula>0</formula>
    </cfRule>
    <cfRule type="cellIs" dxfId="3783" priority="802" operator="greaterThan">
      <formula>100.00001%</formula>
    </cfRule>
    <cfRule type="cellIs" dxfId="3782" priority="803" operator="between">
      <formula>0.66</formula>
      <formula>1</formula>
    </cfRule>
    <cfRule type="cellIs" dxfId="3781" priority="804" operator="between">
      <formula>0.401</formula>
      <formula>0.659999999999</formula>
    </cfRule>
    <cfRule type="cellIs" dxfId="3780" priority="805" operator="between">
      <formula>0</formula>
      <formula>0.4</formula>
    </cfRule>
  </conditionalFormatting>
  <conditionalFormatting sqref="BK556">
    <cfRule type="cellIs" dxfId="3779" priority="806" operator="lessThan">
      <formula>0</formula>
    </cfRule>
    <cfRule type="cellIs" dxfId="3778" priority="807" operator="greaterThan">
      <formula>100.00001%</formula>
    </cfRule>
    <cfRule type="cellIs" dxfId="3777" priority="808" operator="between">
      <formula>0.66</formula>
      <formula>1</formula>
    </cfRule>
    <cfRule type="cellIs" dxfId="3776" priority="809" operator="between">
      <formula>0.401</formula>
      <formula>0.659999999999</formula>
    </cfRule>
    <cfRule type="cellIs" dxfId="3775" priority="810" operator="between">
      <formula>0</formula>
      <formula>0.4</formula>
    </cfRule>
  </conditionalFormatting>
  <conditionalFormatting sqref="BK546:BK547">
    <cfRule type="cellIs" dxfId="3774" priority="826" operator="lessThan">
      <formula>0</formula>
    </cfRule>
    <cfRule type="cellIs" dxfId="3773" priority="827" operator="greaterThan">
      <formula>100.00001%</formula>
    </cfRule>
    <cfRule type="cellIs" dxfId="3772" priority="828" operator="between">
      <formula>0.66</formula>
      <formula>1</formula>
    </cfRule>
    <cfRule type="cellIs" dxfId="3771" priority="829" operator="between">
      <formula>0.401</formula>
      <formula>0.659999999999</formula>
    </cfRule>
    <cfRule type="cellIs" dxfId="3770" priority="830" operator="between">
      <formula>0</formula>
      <formula>0.4</formula>
    </cfRule>
  </conditionalFormatting>
  <conditionalFormatting sqref="BK548:BK549">
    <cfRule type="cellIs" dxfId="3769" priority="821" operator="lessThan">
      <formula>0</formula>
    </cfRule>
    <cfRule type="cellIs" dxfId="3768" priority="822" operator="greaterThan">
      <formula>100.00001%</formula>
    </cfRule>
    <cfRule type="cellIs" dxfId="3767" priority="823" operator="between">
      <formula>0.66</formula>
      <formula>1</formula>
    </cfRule>
    <cfRule type="cellIs" dxfId="3766" priority="824" operator="between">
      <formula>0.401</formula>
      <formula>0.659999999999</formula>
    </cfRule>
    <cfRule type="cellIs" dxfId="3765" priority="825" operator="between">
      <formula>0</formula>
      <formula>0.4</formula>
    </cfRule>
  </conditionalFormatting>
  <conditionalFormatting sqref="BK551:BK552">
    <cfRule type="cellIs" dxfId="3764" priority="816" operator="lessThan">
      <formula>0</formula>
    </cfRule>
    <cfRule type="cellIs" dxfId="3763" priority="817" operator="greaterThan">
      <formula>100.00001%</formula>
    </cfRule>
    <cfRule type="cellIs" dxfId="3762" priority="818" operator="between">
      <formula>0.66</formula>
      <formula>1</formula>
    </cfRule>
    <cfRule type="cellIs" dxfId="3761" priority="819" operator="between">
      <formula>0.401</formula>
      <formula>0.659999999999</formula>
    </cfRule>
    <cfRule type="cellIs" dxfId="3760" priority="820" operator="between">
      <formula>0</formula>
      <formula>0.4</formula>
    </cfRule>
  </conditionalFormatting>
  <conditionalFormatting sqref="BK554:BK555">
    <cfRule type="cellIs" dxfId="3759" priority="811" operator="lessThan">
      <formula>0</formula>
    </cfRule>
    <cfRule type="cellIs" dxfId="3758" priority="812" operator="greaterThan">
      <formula>100.00001%</formula>
    </cfRule>
    <cfRule type="cellIs" dxfId="3757" priority="813" operator="between">
      <formula>0.66</formula>
      <formula>1</formula>
    </cfRule>
    <cfRule type="cellIs" dxfId="3756" priority="814" operator="between">
      <formula>0.401</formula>
      <formula>0.659999999999</formula>
    </cfRule>
    <cfRule type="cellIs" dxfId="3755" priority="815" operator="between">
      <formula>0</formula>
      <formula>0.4</formula>
    </cfRule>
  </conditionalFormatting>
  <conditionalFormatting sqref="BK628:BK629">
    <cfRule type="cellIs" dxfId="3754" priority="766" operator="lessThan">
      <formula>0</formula>
    </cfRule>
    <cfRule type="cellIs" dxfId="3753" priority="767" operator="greaterThan">
      <formula>100.00001%</formula>
    </cfRule>
    <cfRule type="cellIs" dxfId="3752" priority="768" operator="between">
      <formula>0.66</formula>
      <formula>1</formula>
    </cfRule>
    <cfRule type="cellIs" dxfId="3751" priority="769" operator="between">
      <formula>0.401</formula>
      <formula>0.659999999999</formula>
    </cfRule>
    <cfRule type="cellIs" dxfId="3750" priority="770" operator="between">
      <formula>0</formula>
      <formula>0.4</formula>
    </cfRule>
  </conditionalFormatting>
  <conditionalFormatting sqref="BK596:BK597">
    <cfRule type="cellIs" dxfId="3749" priority="776" operator="lessThan">
      <formula>0</formula>
    </cfRule>
    <cfRule type="cellIs" dxfId="3748" priority="777" operator="greaterThan">
      <formula>100.00001%</formula>
    </cfRule>
    <cfRule type="cellIs" dxfId="3747" priority="778" operator="between">
      <formula>0.66</formula>
      <formula>1</formula>
    </cfRule>
    <cfRule type="cellIs" dxfId="3746" priority="779" operator="between">
      <formula>0.401</formula>
      <formula>0.659999999999</formula>
    </cfRule>
    <cfRule type="cellIs" dxfId="3745" priority="780" operator="between">
      <formula>0</formula>
      <formula>0.4</formula>
    </cfRule>
  </conditionalFormatting>
  <conditionalFormatting sqref="BK589:BK590">
    <cfRule type="cellIs" dxfId="3744" priority="796" operator="lessThan">
      <formula>0</formula>
    </cfRule>
    <cfRule type="cellIs" dxfId="3743" priority="797" operator="greaterThan">
      <formula>100.00001%</formula>
    </cfRule>
    <cfRule type="cellIs" dxfId="3742" priority="798" operator="between">
      <formula>0.66</formula>
      <formula>1</formula>
    </cfRule>
    <cfRule type="cellIs" dxfId="3741" priority="799" operator="between">
      <formula>0.401</formula>
      <formula>0.659999999999</formula>
    </cfRule>
    <cfRule type="cellIs" dxfId="3740" priority="800" operator="between">
      <formula>0</formula>
      <formula>0.4</formula>
    </cfRule>
  </conditionalFormatting>
  <conditionalFormatting sqref="BK591:BK592">
    <cfRule type="cellIs" dxfId="3739" priority="791" operator="lessThan">
      <formula>0</formula>
    </cfRule>
    <cfRule type="cellIs" dxfId="3738" priority="792" operator="greaterThan">
      <formula>100.00001%</formula>
    </cfRule>
    <cfRule type="cellIs" dxfId="3737" priority="793" operator="between">
      <formula>0.66</formula>
      <formula>1</formula>
    </cfRule>
    <cfRule type="cellIs" dxfId="3736" priority="794" operator="between">
      <formula>0.401</formula>
      <formula>0.659999999999</formula>
    </cfRule>
    <cfRule type="cellIs" dxfId="3735" priority="795" operator="between">
      <formula>0</formula>
      <formula>0.4</formula>
    </cfRule>
  </conditionalFormatting>
  <conditionalFormatting sqref="BK593">
    <cfRule type="cellIs" dxfId="3734" priority="786" operator="lessThan">
      <formula>0</formula>
    </cfRule>
    <cfRule type="cellIs" dxfId="3733" priority="787" operator="greaterThan">
      <formula>100.00001%</formula>
    </cfRule>
    <cfRule type="cellIs" dxfId="3732" priority="788" operator="between">
      <formula>0.66</formula>
      <formula>1</formula>
    </cfRule>
    <cfRule type="cellIs" dxfId="3731" priority="789" operator="between">
      <formula>0.401</formula>
      <formula>0.659999999999</formula>
    </cfRule>
    <cfRule type="cellIs" dxfId="3730" priority="790" operator="between">
      <formula>0</formula>
      <formula>0.4</formula>
    </cfRule>
  </conditionalFormatting>
  <conditionalFormatting sqref="BK594:BK595">
    <cfRule type="cellIs" dxfId="3729" priority="781" operator="lessThan">
      <formula>0</formula>
    </cfRule>
    <cfRule type="cellIs" dxfId="3728" priority="782" operator="greaterThan">
      <formula>100.00001%</formula>
    </cfRule>
    <cfRule type="cellIs" dxfId="3727" priority="783" operator="between">
      <formula>0.66</formula>
      <formula>1</formula>
    </cfRule>
    <cfRule type="cellIs" dxfId="3726" priority="784" operator="between">
      <formula>0.401</formula>
      <formula>0.659999999999</formula>
    </cfRule>
    <cfRule type="cellIs" dxfId="3725" priority="785" operator="between">
      <formula>0</formula>
      <formula>0.4</formula>
    </cfRule>
  </conditionalFormatting>
  <conditionalFormatting sqref="BK644:BK645">
    <cfRule type="cellIs" dxfId="3724" priority="736" operator="lessThan">
      <formula>0</formula>
    </cfRule>
    <cfRule type="cellIs" dxfId="3723" priority="737" operator="greaterThan">
      <formula>100.00001%</formula>
    </cfRule>
    <cfRule type="cellIs" dxfId="3722" priority="738" operator="between">
      <formula>0.66</formula>
      <formula>1</formula>
    </cfRule>
    <cfRule type="cellIs" dxfId="3721" priority="739" operator="between">
      <formula>0.401</formula>
      <formula>0.659999999999</formula>
    </cfRule>
    <cfRule type="cellIs" dxfId="3720" priority="740" operator="between">
      <formula>0</formula>
      <formula>0.4</formula>
    </cfRule>
  </conditionalFormatting>
  <conditionalFormatting sqref="BK598:BK627">
    <cfRule type="cellIs" dxfId="3719" priority="771" operator="lessThan">
      <formula>0</formula>
    </cfRule>
    <cfRule type="cellIs" dxfId="3718" priority="772" operator="greaterThan">
      <formula>100.00001%</formula>
    </cfRule>
    <cfRule type="cellIs" dxfId="3717" priority="773" operator="between">
      <formula>0.66</formula>
      <formula>1</formula>
    </cfRule>
    <cfRule type="cellIs" dxfId="3716" priority="774" operator="between">
      <formula>0.401</formula>
      <formula>0.659999999999</formula>
    </cfRule>
    <cfRule type="cellIs" dxfId="3715" priority="775" operator="between">
      <formula>0</formula>
      <formula>0.4</formula>
    </cfRule>
  </conditionalFormatting>
  <conditionalFormatting sqref="BK634:BK642">
    <cfRule type="cellIs" dxfId="3714" priority="746" operator="lessThan">
      <formula>0</formula>
    </cfRule>
    <cfRule type="cellIs" dxfId="3713" priority="747" operator="greaterThan">
      <formula>100.00001%</formula>
    </cfRule>
    <cfRule type="cellIs" dxfId="3712" priority="748" operator="between">
      <formula>0.66</formula>
      <formula>1</formula>
    </cfRule>
    <cfRule type="cellIs" dxfId="3711" priority="749" operator="between">
      <formula>0.401</formula>
      <formula>0.659999999999</formula>
    </cfRule>
    <cfRule type="cellIs" dxfId="3710" priority="750" operator="between">
      <formula>0</formula>
      <formula>0.4</formula>
    </cfRule>
  </conditionalFormatting>
  <conditionalFormatting sqref="BK630">
    <cfRule type="cellIs" dxfId="3709" priority="761" operator="lessThan">
      <formula>0</formula>
    </cfRule>
    <cfRule type="cellIs" dxfId="3708" priority="762" operator="greaterThan">
      <formula>100.00001%</formula>
    </cfRule>
    <cfRule type="cellIs" dxfId="3707" priority="763" operator="between">
      <formula>0.66</formula>
      <formula>1</formula>
    </cfRule>
    <cfRule type="cellIs" dxfId="3706" priority="764" operator="between">
      <formula>0.401</formula>
      <formula>0.659999999999</formula>
    </cfRule>
    <cfRule type="cellIs" dxfId="3705" priority="765" operator="between">
      <formula>0</formula>
      <formula>0.4</formula>
    </cfRule>
  </conditionalFormatting>
  <conditionalFormatting sqref="BK631">
    <cfRule type="cellIs" dxfId="3704" priority="756" operator="lessThan">
      <formula>0</formula>
    </cfRule>
    <cfRule type="cellIs" dxfId="3703" priority="757" operator="greaterThan">
      <formula>100.00001%</formula>
    </cfRule>
    <cfRule type="cellIs" dxfId="3702" priority="758" operator="between">
      <formula>0.66</formula>
      <formula>1</formula>
    </cfRule>
    <cfRule type="cellIs" dxfId="3701" priority="759" operator="between">
      <formula>0.401</formula>
      <formula>0.659999999999</formula>
    </cfRule>
    <cfRule type="cellIs" dxfId="3700" priority="760" operator="between">
      <formula>0</formula>
      <formula>0.4</formula>
    </cfRule>
  </conditionalFormatting>
  <conditionalFormatting sqref="BK632">
    <cfRule type="cellIs" dxfId="3699" priority="751" operator="lessThan">
      <formula>0</formula>
    </cfRule>
    <cfRule type="cellIs" dxfId="3698" priority="752" operator="greaterThan">
      <formula>100.00001%</formula>
    </cfRule>
    <cfRule type="cellIs" dxfId="3697" priority="753" operator="between">
      <formula>0.66</formula>
      <formula>1</formula>
    </cfRule>
    <cfRule type="cellIs" dxfId="3696" priority="754" operator="between">
      <formula>0.401</formula>
      <formula>0.659999999999</formula>
    </cfRule>
    <cfRule type="cellIs" dxfId="3695" priority="755" operator="between">
      <formula>0</formula>
      <formula>0.4</formula>
    </cfRule>
  </conditionalFormatting>
  <conditionalFormatting sqref="BK671:BK678">
    <cfRule type="cellIs" dxfId="3694" priority="711" operator="lessThan">
      <formula>0</formula>
    </cfRule>
    <cfRule type="cellIs" dxfId="3693" priority="712" operator="greaterThan">
      <formula>100.00001%</formula>
    </cfRule>
    <cfRule type="cellIs" dxfId="3692" priority="713" operator="between">
      <formula>0.66</formula>
      <formula>1</formula>
    </cfRule>
    <cfRule type="cellIs" dxfId="3691" priority="714" operator="between">
      <formula>0.401</formula>
      <formula>0.659999999999</formula>
    </cfRule>
    <cfRule type="cellIs" dxfId="3690" priority="715" operator="between">
      <formula>0</formula>
      <formula>0.4</formula>
    </cfRule>
  </conditionalFormatting>
  <conditionalFormatting sqref="BK643">
    <cfRule type="cellIs" dxfId="3689" priority="741" operator="lessThan">
      <formula>0</formula>
    </cfRule>
    <cfRule type="cellIs" dxfId="3688" priority="742" operator="greaterThan">
      <formula>100.00001%</formula>
    </cfRule>
    <cfRule type="cellIs" dxfId="3687" priority="743" operator="between">
      <formula>0.66</formula>
      <formula>1</formula>
    </cfRule>
    <cfRule type="cellIs" dxfId="3686" priority="744" operator="between">
      <formula>0.401</formula>
      <formula>0.659999999999</formula>
    </cfRule>
    <cfRule type="cellIs" dxfId="3685" priority="745" operator="between">
      <formula>0</formula>
      <formula>0.4</formula>
    </cfRule>
  </conditionalFormatting>
  <conditionalFormatting sqref="BK670">
    <cfRule type="cellIs" dxfId="3684" priority="716" operator="lessThan">
      <formula>0</formula>
    </cfRule>
    <cfRule type="cellIs" dxfId="3683" priority="717" operator="greaterThan">
      <formula>100.00001%</formula>
    </cfRule>
    <cfRule type="cellIs" dxfId="3682" priority="718" operator="between">
      <formula>0.66</formula>
      <formula>1</formula>
    </cfRule>
    <cfRule type="cellIs" dxfId="3681" priority="719" operator="between">
      <formula>0.401</formula>
      <formula>0.659999999999</formula>
    </cfRule>
    <cfRule type="cellIs" dxfId="3680" priority="720" operator="between">
      <formula>0</formula>
      <formula>0.4</formula>
    </cfRule>
  </conditionalFormatting>
  <conditionalFormatting sqref="BK667">
    <cfRule type="cellIs" dxfId="3679" priority="731" operator="lessThan">
      <formula>0</formula>
    </cfRule>
    <cfRule type="cellIs" dxfId="3678" priority="732" operator="greaterThan">
      <formula>100.00001%</formula>
    </cfRule>
    <cfRule type="cellIs" dxfId="3677" priority="733" operator="between">
      <formula>0.66</formula>
      <formula>1</formula>
    </cfRule>
    <cfRule type="cellIs" dxfId="3676" priority="734" operator="between">
      <formula>0.401</formula>
      <formula>0.659999999999</formula>
    </cfRule>
    <cfRule type="cellIs" dxfId="3675" priority="735" operator="between">
      <formula>0</formula>
      <formula>0.4</formula>
    </cfRule>
  </conditionalFormatting>
  <conditionalFormatting sqref="BK668">
    <cfRule type="cellIs" dxfId="3674" priority="726" operator="lessThan">
      <formula>0</formula>
    </cfRule>
    <cfRule type="cellIs" dxfId="3673" priority="727" operator="greaterThan">
      <formula>100.00001%</formula>
    </cfRule>
    <cfRule type="cellIs" dxfId="3672" priority="728" operator="between">
      <formula>0.66</formula>
      <formula>1</formula>
    </cfRule>
    <cfRule type="cellIs" dxfId="3671" priority="729" operator="between">
      <formula>0.401</formula>
      <formula>0.659999999999</formula>
    </cfRule>
    <cfRule type="cellIs" dxfId="3670" priority="730" operator="between">
      <formula>0</formula>
      <formula>0.4</formula>
    </cfRule>
  </conditionalFormatting>
  <conditionalFormatting sqref="BK669">
    <cfRule type="cellIs" dxfId="3669" priority="721" operator="lessThan">
      <formula>0</formula>
    </cfRule>
    <cfRule type="cellIs" dxfId="3668" priority="722" operator="greaterThan">
      <formula>100.00001%</formula>
    </cfRule>
    <cfRule type="cellIs" dxfId="3667" priority="723" operator="between">
      <formula>0.66</formula>
      <formula>1</formula>
    </cfRule>
    <cfRule type="cellIs" dxfId="3666" priority="724" operator="between">
      <formula>0.401</formula>
      <formula>0.659999999999</formula>
    </cfRule>
    <cfRule type="cellIs" dxfId="3665" priority="725" operator="between">
      <formula>0</formula>
      <formula>0.4</formula>
    </cfRule>
  </conditionalFormatting>
  <conditionalFormatting sqref="BK713">
    <cfRule type="cellIs" dxfId="3664" priority="681" operator="lessThan">
      <formula>0</formula>
    </cfRule>
    <cfRule type="cellIs" dxfId="3663" priority="682" operator="greaterThan">
      <formula>100.00001%</formula>
    </cfRule>
    <cfRule type="cellIs" dxfId="3662" priority="683" operator="between">
      <formula>0.66</formula>
      <formula>1</formula>
    </cfRule>
    <cfRule type="cellIs" dxfId="3661" priority="684" operator="between">
      <formula>0.401</formula>
      <formula>0.659999999999</formula>
    </cfRule>
    <cfRule type="cellIs" dxfId="3660" priority="685" operator="between">
      <formula>0</formula>
      <formula>0.4</formula>
    </cfRule>
  </conditionalFormatting>
  <conditionalFormatting sqref="BK729:BK731">
    <cfRule type="cellIs" dxfId="3659" priority="666" operator="lessThan">
      <formula>0</formula>
    </cfRule>
    <cfRule type="cellIs" dxfId="3658" priority="667" operator="greaterThan">
      <formula>100.00001%</formula>
    </cfRule>
    <cfRule type="cellIs" dxfId="3657" priority="668" operator="between">
      <formula>0.66</formula>
      <formula>1</formula>
    </cfRule>
    <cfRule type="cellIs" dxfId="3656" priority="669" operator="between">
      <formula>0.401</formula>
      <formula>0.659999999999</formula>
    </cfRule>
    <cfRule type="cellIs" dxfId="3655" priority="670" operator="between">
      <formula>0</formula>
      <formula>0.4</formula>
    </cfRule>
  </conditionalFormatting>
  <conditionalFormatting sqref="BK679:BK691">
    <cfRule type="cellIs" dxfId="3654" priority="706" operator="lessThan">
      <formula>0</formula>
    </cfRule>
    <cfRule type="cellIs" dxfId="3653" priority="707" operator="greaterThan">
      <formula>100.00001%</formula>
    </cfRule>
    <cfRule type="cellIs" dxfId="3652" priority="708" operator="between">
      <formula>0.66</formula>
      <formula>1</formula>
    </cfRule>
    <cfRule type="cellIs" dxfId="3651" priority="709" operator="between">
      <formula>0.401</formula>
      <formula>0.659999999999</formula>
    </cfRule>
    <cfRule type="cellIs" dxfId="3650" priority="710" operator="between">
      <formula>0</formula>
      <formula>0.4</formula>
    </cfRule>
  </conditionalFormatting>
  <conditionalFormatting sqref="BB744:BB748">
    <cfRule type="cellIs" dxfId="3649" priority="636" operator="lessThan">
      <formula>0</formula>
    </cfRule>
    <cfRule type="cellIs" dxfId="3648" priority="637" operator="greaterThan">
      <formula>100.00001%</formula>
    </cfRule>
    <cfRule type="cellIs" dxfId="3647" priority="638" operator="between">
      <formula>0.66</formula>
      <formula>1</formula>
    </cfRule>
    <cfRule type="cellIs" dxfId="3646" priority="639" operator="between">
      <formula>0.401</formula>
      <formula>0.659999999999</formula>
    </cfRule>
    <cfRule type="cellIs" dxfId="3645" priority="640" operator="between">
      <formula>0</formula>
      <formula>0.4</formula>
    </cfRule>
  </conditionalFormatting>
  <conditionalFormatting sqref="BK692:BK700">
    <cfRule type="cellIs" dxfId="3644" priority="691" operator="lessThan">
      <formula>0</formula>
    </cfRule>
    <cfRule type="cellIs" dxfId="3643" priority="692" operator="greaterThan">
      <formula>100.00001%</formula>
    </cfRule>
    <cfRule type="cellIs" dxfId="3642" priority="693" operator="between">
      <formula>0.66</formula>
      <formula>1</formula>
    </cfRule>
    <cfRule type="cellIs" dxfId="3641" priority="694" operator="between">
      <formula>0.401</formula>
      <formula>0.659999999999</formula>
    </cfRule>
    <cfRule type="cellIs" dxfId="3640" priority="695" operator="between">
      <formula>0</formula>
      <formula>0.4</formula>
    </cfRule>
  </conditionalFormatting>
  <conditionalFormatting sqref="BK744:BK748">
    <cfRule type="cellIs" dxfId="3639" priority="646" operator="lessThan">
      <formula>0</formula>
    </cfRule>
    <cfRule type="cellIs" dxfId="3638" priority="647" operator="greaterThan">
      <formula>100.00001%</formula>
    </cfRule>
    <cfRule type="cellIs" dxfId="3637" priority="648" operator="between">
      <formula>0.66</formula>
      <formula>1</formula>
    </cfRule>
    <cfRule type="cellIs" dxfId="3636" priority="649" operator="between">
      <formula>0.401</formula>
      <formula>0.659999999999</formula>
    </cfRule>
    <cfRule type="cellIs" dxfId="3635" priority="650" operator="between">
      <formula>0</formula>
      <formula>0.4</formula>
    </cfRule>
  </conditionalFormatting>
  <conditionalFormatting sqref="BK701">
    <cfRule type="cellIs" dxfId="3634" priority="686" operator="lessThan">
      <formula>0</formula>
    </cfRule>
    <cfRule type="cellIs" dxfId="3633" priority="687" operator="greaterThan">
      <formula>100.00001%</formula>
    </cfRule>
    <cfRule type="cellIs" dxfId="3632" priority="688" operator="between">
      <formula>0.66</formula>
      <formula>1</formula>
    </cfRule>
    <cfRule type="cellIs" dxfId="3631" priority="689" operator="between">
      <formula>0.401</formula>
      <formula>0.659999999999</formula>
    </cfRule>
    <cfRule type="cellIs" dxfId="3630" priority="690" operator="between">
      <formula>0</formula>
      <formula>0.4</formula>
    </cfRule>
  </conditionalFormatting>
  <conditionalFormatting sqref="BK716:BK726">
    <cfRule type="cellIs" dxfId="3629" priority="676" operator="lessThan">
      <formula>0</formula>
    </cfRule>
    <cfRule type="cellIs" dxfId="3628" priority="677" operator="greaterThan">
      <formula>100.00001%</formula>
    </cfRule>
    <cfRule type="cellIs" dxfId="3627" priority="678" operator="between">
      <formula>0.66</formula>
      <formula>1</formula>
    </cfRule>
    <cfRule type="cellIs" dxfId="3626" priority="679" operator="between">
      <formula>0.401</formula>
      <formula>0.659999999999</formula>
    </cfRule>
    <cfRule type="cellIs" dxfId="3625" priority="680" operator="between">
      <formula>0</formula>
      <formula>0.4</formula>
    </cfRule>
  </conditionalFormatting>
  <conditionalFormatting sqref="BK727:BK728">
    <cfRule type="cellIs" dxfId="3624" priority="671" operator="lessThan">
      <formula>0</formula>
    </cfRule>
    <cfRule type="cellIs" dxfId="3623" priority="672" operator="greaterThan">
      <formula>100.00001%</formula>
    </cfRule>
    <cfRule type="cellIs" dxfId="3622" priority="673" operator="between">
      <formula>0.66</formula>
      <formula>1</formula>
    </cfRule>
    <cfRule type="cellIs" dxfId="3621" priority="674" operator="between">
      <formula>0.401</formula>
      <formula>0.659999999999</formula>
    </cfRule>
    <cfRule type="cellIs" dxfId="3620" priority="675" operator="between">
      <formula>0</formula>
      <formula>0.4</formula>
    </cfRule>
  </conditionalFormatting>
  <conditionalFormatting sqref="BK733:BK734">
    <cfRule type="cellIs" dxfId="3619" priority="661" operator="lessThan">
      <formula>0</formula>
    </cfRule>
    <cfRule type="cellIs" dxfId="3618" priority="662" operator="greaterThan">
      <formula>100.00001%</formula>
    </cfRule>
    <cfRule type="cellIs" dxfId="3617" priority="663" operator="between">
      <formula>0.66</formula>
      <formula>1</formula>
    </cfRule>
    <cfRule type="cellIs" dxfId="3616" priority="664" operator="between">
      <formula>0.401</formula>
      <formula>0.659999999999</formula>
    </cfRule>
    <cfRule type="cellIs" dxfId="3615" priority="665" operator="between">
      <formula>0</formula>
      <formula>0.4</formula>
    </cfRule>
  </conditionalFormatting>
  <conditionalFormatting sqref="BK737:BK738">
    <cfRule type="cellIs" dxfId="3614" priority="656" operator="lessThan">
      <formula>0</formula>
    </cfRule>
    <cfRule type="cellIs" dxfId="3613" priority="657" operator="greaterThan">
      <formula>100.00001%</formula>
    </cfRule>
    <cfRule type="cellIs" dxfId="3612" priority="658" operator="between">
      <formula>0.66</formula>
      <formula>1</formula>
    </cfRule>
    <cfRule type="cellIs" dxfId="3611" priority="659" operator="between">
      <formula>0.401</formula>
      <formula>0.659999999999</formula>
    </cfRule>
    <cfRule type="cellIs" dxfId="3610" priority="660" operator="between">
      <formula>0</formula>
      <formula>0.4</formula>
    </cfRule>
  </conditionalFormatting>
  <conditionalFormatting sqref="BK780">
    <cfRule type="cellIs" dxfId="3609" priority="651" operator="lessThan">
      <formula>0</formula>
    </cfRule>
    <cfRule type="cellIs" dxfId="3608" priority="652" operator="greaterThan">
      <formula>100.00001%</formula>
    </cfRule>
    <cfRule type="cellIs" dxfId="3607" priority="653" operator="between">
      <formula>0.66</formula>
      <formula>1</formula>
    </cfRule>
    <cfRule type="cellIs" dxfId="3606" priority="654" operator="between">
      <formula>0.401</formula>
      <formula>0.659999999999</formula>
    </cfRule>
    <cfRule type="cellIs" dxfId="3605" priority="655" operator="between">
      <formula>0</formula>
      <formula>0.4</formula>
    </cfRule>
  </conditionalFormatting>
  <conditionalFormatting sqref="AZ744:AZ748">
    <cfRule type="cellIs" dxfId="3604" priority="641" operator="lessThan">
      <formula>0</formula>
    </cfRule>
    <cfRule type="cellIs" dxfId="3603" priority="642" operator="greaterThan">
      <formula>100.00001%</formula>
    </cfRule>
    <cfRule type="cellIs" dxfId="3602" priority="643" operator="between">
      <formula>0.66</formula>
      <formula>1</formula>
    </cfRule>
    <cfRule type="cellIs" dxfId="3601" priority="644" operator="between">
      <formula>0.401</formula>
      <formula>0.659999999999</formula>
    </cfRule>
    <cfRule type="cellIs" dxfId="3600" priority="645" operator="between">
      <formula>0</formula>
      <formula>0.4</formula>
    </cfRule>
  </conditionalFormatting>
  <conditionalFormatting sqref="BK787:BK792">
    <cfRule type="cellIs" dxfId="3599" priority="606" operator="lessThan">
      <formula>0</formula>
    </cfRule>
    <cfRule type="cellIs" dxfId="3598" priority="607" operator="greaterThan">
      <formula>100.00001%</formula>
    </cfRule>
    <cfRule type="cellIs" dxfId="3597" priority="608" operator="between">
      <formula>0.66</formula>
      <formula>1</formula>
    </cfRule>
    <cfRule type="cellIs" dxfId="3596" priority="609" operator="between">
      <formula>0.401</formula>
      <formula>0.659999999999</formula>
    </cfRule>
    <cfRule type="cellIs" dxfId="3595" priority="610" operator="between">
      <formula>0</formula>
      <formula>0.4</formula>
    </cfRule>
  </conditionalFormatting>
  <conditionalFormatting sqref="BK783">
    <cfRule type="cellIs" dxfId="3594" priority="631" operator="lessThan">
      <formula>0</formula>
    </cfRule>
    <cfRule type="cellIs" dxfId="3593" priority="632" operator="greaterThan">
      <formula>100.00001%</formula>
    </cfRule>
    <cfRule type="cellIs" dxfId="3592" priority="633" operator="between">
      <formula>0.66</formula>
      <formula>1</formula>
    </cfRule>
    <cfRule type="cellIs" dxfId="3591" priority="634" operator="between">
      <formula>0.401</formula>
      <formula>0.659999999999</formula>
    </cfRule>
    <cfRule type="cellIs" dxfId="3590" priority="635" operator="between">
      <formula>0</formula>
      <formula>0.4</formula>
    </cfRule>
  </conditionalFormatting>
  <conditionalFormatting sqref="BK784:BK785">
    <cfRule type="cellIs" dxfId="3589" priority="626" operator="lessThan">
      <formula>0</formula>
    </cfRule>
    <cfRule type="cellIs" dxfId="3588" priority="627" operator="greaterThan">
      <formula>100.00001%</formula>
    </cfRule>
    <cfRule type="cellIs" dxfId="3587" priority="628" operator="between">
      <formula>0.66</formula>
      <formula>1</formula>
    </cfRule>
    <cfRule type="cellIs" dxfId="3586" priority="629" operator="between">
      <formula>0.401</formula>
      <formula>0.659999999999</formula>
    </cfRule>
    <cfRule type="cellIs" dxfId="3585" priority="630" operator="between">
      <formula>0</formula>
      <formula>0.4</formula>
    </cfRule>
  </conditionalFormatting>
  <conditionalFormatting sqref="BK772:BK774">
    <cfRule type="cellIs" dxfId="3584" priority="621" operator="lessThan">
      <formula>0</formula>
    </cfRule>
    <cfRule type="cellIs" dxfId="3583" priority="622" operator="greaterThan">
      <formula>100.00001%</formula>
    </cfRule>
    <cfRule type="cellIs" dxfId="3582" priority="623" operator="between">
      <formula>0.66</formula>
      <formula>1</formula>
    </cfRule>
    <cfRule type="cellIs" dxfId="3581" priority="624" operator="between">
      <formula>0.401</formula>
      <formula>0.659999999999</formula>
    </cfRule>
    <cfRule type="cellIs" dxfId="3580" priority="625" operator="between">
      <formula>0</formula>
      <formula>0.4</formula>
    </cfRule>
  </conditionalFormatting>
  <conditionalFormatting sqref="BK776:BK778">
    <cfRule type="cellIs" dxfId="3579" priority="616" operator="lessThan">
      <formula>0</formula>
    </cfRule>
    <cfRule type="cellIs" dxfId="3578" priority="617" operator="greaterThan">
      <formula>100.00001%</formula>
    </cfRule>
    <cfRule type="cellIs" dxfId="3577" priority="618" operator="between">
      <formula>0.66</formula>
      <formula>1</formula>
    </cfRule>
    <cfRule type="cellIs" dxfId="3576" priority="619" operator="between">
      <formula>0.401</formula>
      <formula>0.659999999999</formula>
    </cfRule>
    <cfRule type="cellIs" dxfId="3575" priority="620" operator="between">
      <formula>0</formula>
      <formula>0.4</formula>
    </cfRule>
  </conditionalFormatting>
  <conditionalFormatting sqref="BK786">
    <cfRule type="cellIs" dxfId="3574" priority="611" operator="lessThan">
      <formula>0</formula>
    </cfRule>
    <cfRule type="cellIs" dxfId="3573" priority="612" operator="greaterThan">
      <formula>100.00001%</formula>
    </cfRule>
    <cfRule type="cellIs" dxfId="3572" priority="613" operator="between">
      <formula>0.66</formula>
      <formula>1</formula>
    </cfRule>
    <cfRule type="cellIs" dxfId="3571" priority="614" operator="between">
      <formula>0.401</formula>
      <formula>0.659999999999</formula>
    </cfRule>
    <cfRule type="cellIs" dxfId="3570" priority="615" operator="between">
      <formula>0</formula>
      <formula>0.4</formula>
    </cfRule>
  </conditionalFormatting>
  <conditionalFormatting sqref="BK870:BK872">
    <cfRule type="cellIs" dxfId="3569" priority="576" operator="lessThan">
      <formula>0</formula>
    </cfRule>
    <cfRule type="cellIs" dxfId="3568" priority="577" operator="greaterThan">
      <formula>100.00001%</formula>
    </cfRule>
    <cfRule type="cellIs" dxfId="3567" priority="578" operator="between">
      <formula>0.66</formula>
      <formula>1</formula>
    </cfRule>
    <cfRule type="cellIs" dxfId="3566" priority="579" operator="between">
      <formula>0.401</formula>
      <formula>0.659999999999</formula>
    </cfRule>
    <cfRule type="cellIs" dxfId="3565" priority="580" operator="between">
      <formula>0</formula>
      <formula>0.4</formula>
    </cfRule>
  </conditionalFormatting>
  <conditionalFormatting sqref="BK793:BK866">
    <cfRule type="cellIs" dxfId="3564" priority="601" operator="lessThan">
      <formula>0</formula>
    </cfRule>
    <cfRule type="cellIs" dxfId="3563" priority="602" operator="greaterThan">
      <formula>100.00001%</formula>
    </cfRule>
    <cfRule type="cellIs" dxfId="3562" priority="603" operator="between">
      <formula>0.66</formula>
      <formula>1</formula>
    </cfRule>
    <cfRule type="cellIs" dxfId="3561" priority="604" operator="between">
      <formula>0.401</formula>
      <formula>0.659999999999</formula>
    </cfRule>
    <cfRule type="cellIs" dxfId="3560" priority="605" operator="between">
      <formula>0</formula>
      <formula>0.4</formula>
    </cfRule>
  </conditionalFormatting>
  <conditionalFormatting sqref="BK1011:BK1030">
    <cfRule type="cellIs" dxfId="3559" priority="596" operator="lessThan">
      <formula>0</formula>
    </cfRule>
    <cfRule type="cellIs" dxfId="3558" priority="597" operator="greaterThan">
      <formula>100.00001%</formula>
    </cfRule>
    <cfRule type="cellIs" dxfId="3557" priority="598" operator="between">
      <formula>0.66</formula>
      <formula>1</formula>
    </cfRule>
    <cfRule type="cellIs" dxfId="3556" priority="599" operator="between">
      <formula>0.401</formula>
      <formula>0.659999999999</formula>
    </cfRule>
    <cfRule type="cellIs" dxfId="3555" priority="600" operator="between">
      <formula>0</formula>
      <formula>0.4</formula>
    </cfRule>
  </conditionalFormatting>
  <conditionalFormatting sqref="BK912:BK913">
    <cfRule type="cellIs" dxfId="3554" priority="571" operator="lessThan">
      <formula>0</formula>
    </cfRule>
    <cfRule type="cellIs" dxfId="3553" priority="572" operator="greaterThan">
      <formula>100.00001%</formula>
    </cfRule>
    <cfRule type="cellIs" dxfId="3552" priority="573" operator="between">
      <formula>0.66</formula>
      <formula>1</formula>
    </cfRule>
    <cfRule type="cellIs" dxfId="3551" priority="574" operator="between">
      <formula>0.401</formula>
      <formula>0.659999999999</formula>
    </cfRule>
    <cfRule type="cellIs" dxfId="3550" priority="575" operator="between">
      <formula>0</formula>
      <formula>0.4</formula>
    </cfRule>
  </conditionalFormatting>
  <conditionalFormatting sqref="BK1031:BK1035">
    <cfRule type="cellIs" dxfId="3549" priority="591" operator="lessThan">
      <formula>0</formula>
    </cfRule>
    <cfRule type="cellIs" dxfId="3548" priority="592" operator="greaterThan">
      <formula>100.00001%</formula>
    </cfRule>
    <cfRule type="cellIs" dxfId="3547" priority="593" operator="between">
      <formula>0.66</formula>
      <formula>1</formula>
    </cfRule>
    <cfRule type="cellIs" dxfId="3546" priority="594" operator="between">
      <formula>0.401</formula>
      <formula>0.659999999999</formula>
    </cfRule>
    <cfRule type="cellIs" dxfId="3545" priority="595" operator="between">
      <formula>0</formula>
      <formula>0.4</formula>
    </cfRule>
  </conditionalFormatting>
  <conditionalFormatting sqref="BK1037:BK1058">
    <cfRule type="cellIs" dxfId="3544" priority="586" operator="lessThan">
      <formula>0</formula>
    </cfRule>
    <cfRule type="cellIs" dxfId="3543" priority="587" operator="greaterThan">
      <formula>100.00001%</formula>
    </cfRule>
    <cfRule type="cellIs" dxfId="3542" priority="588" operator="between">
      <formula>0.66</formula>
      <formula>1</formula>
    </cfRule>
    <cfRule type="cellIs" dxfId="3541" priority="589" operator="between">
      <formula>0.401</formula>
      <formula>0.659999999999</formula>
    </cfRule>
    <cfRule type="cellIs" dxfId="3540" priority="590" operator="between">
      <formula>0</formula>
      <formula>0.4</formula>
    </cfRule>
  </conditionalFormatting>
  <conditionalFormatting sqref="BK1036">
    <cfRule type="cellIs" dxfId="3539" priority="581" operator="lessThan">
      <formula>0</formula>
    </cfRule>
    <cfRule type="cellIs" dxfId="3538" priority="582" operator="greaterThan">
      <formula>100.00001%</formula>
    </cfRule>
    <cfRule type="cellIs" dxfId="3537" priority="583" operator="between">
      <formula>0.66</formula>
      <formula>1</formula>
    </cfRule>
    <cfRule type="cellIs" dxfId="3536" priority="584" operator="between">
      <formula>0.401</formula>
      <formula>0.659999999999</formula>
    </cfRule>
    <cfRule type="cellIs" dxfId="3535" priority="585" operator="between">
      <formula>0</formula>
      <formula>0.4</formula>
    </cfRule>
  </conditionalFormatting>
  <conditionalFormatting sqref="BK914:BK931">
    <cfRule type="cellIs" dxfId="3534" priority="566" operator="lessThan">
      <formula>0</formula>
    </cfRule>
    <cfRule type="cellIs" dxfId="3533" priority="567" operator="greaterThan">
      <formula>100.00001%</formula>
    </cfRule>
    <cfRule type="cellIs" dxfId="3532" priority="568" operator="between">
      <formula>0.66</formula>
      <formula>1</formula>
    </cfRule>
    <cfRule type="cellIs" dxfId="3531" priority="569" operator="between">
      <formula>0.401</formula>
      <formula>0.659999999999</formula>
    </cfRule>
    <cfRule type="cellIs" dxfId="3530" priority="570" operator="between">
      <formula>0</formula>
      <formula>0.4</formula>
    </cfRule>
  </conditionalFormatting>
  <conditionalFormatting sqref="BK1059:BK1070">
    <cfRule type="cellIs" dxfId="3529" priority="561" operator="lessThan">
      <formula>0</formula>
    </cfRule>
    <cfRule type="cellIs" dxfId="3528" priority="562" operator="greaterThan">
      <formula>100.00001%</formula>
    </cfRule>
    <cfRule type="cellIs" dxfId="3527" priority="563" operator="between">
      <formula>0.66</formula>
      <formula>1</formula>
    </cfRule>
    <cfRule type="cellIs" dxfId="3526" priority="564" operator="between">
      <formula>0.401</formula>
      <formula>0.659999999999</formula>
    </cfRule>
    <cfRule type="cellIs" dxfId="3525" priority="565" operator="between">
      <formula>0</formula>
      <formula>0.4</formula>
    </cfRule>
  </conditionalFormatting>
  <conditionalFormatting sqref="BS4">
    <cfRule type="cellIs" dxfId="3524" priority="556" operator="lessThan">
      <formula>0</formula>
    </cfRule>
    <cfRule type="cellIs" dxfId="3523" priority="557" operator="greaterThan">
      <formula>100.00001%</formula>
    </cfRule>
    <cfRule type="cellIs" dxfId="3522" priority="558" operator="between">
      <formula>0.66</formula>
      <formula>1</formula>
    </cfRule>
    <cfRule type="cellIs" dxfId="3521" priority="559" operator="between">
      <formula>0.401</formula>
      <formula>0.659999999999</formula>
    </cfRule>
    <cfRule type="cellIs" dxfId="3520" priority="560" operator="between">
      <formula>0</formula>
      <formula>0.4</formula>
    </cfRule>
  </conditionalFormatting>
  <conditionalFormatting sqref="BS5">
    <cfRule type="cellIs" dxfId="3519" priority="551" operator="lessThan">
      <formula>0</formula>
    </cfRule>
    <cfRule type="cellIs" dxfId="3518" priority="552" operator="greaterThan">
      <formula>100.00001%</formula>
    </cfRule>
    <cfRule type="cellIs" dxfId="3517" priority="553" operator="between">
      <formula>0.66</formula>
      <formula>1</formula>
    </cfRule>
    <cfRule type="cellIs" dxfId="3516" priority="554" operator="between">
      <formula>0.401</formula>
      <formula>0.659999999999</formula>
    </cfRule>
    <cfRule type="cellIs" dxfId="3515" priority="555" operator="between">
      <formula>0</formula>
      <formula>0.4</formula>
    </cfRule>
  </conditionalFormatting>
  <conditionalFormatting sqref="BS7:BS10">
    <cfRule type="cellIs" dxfId="3514" priority="546" operator="lessThan">
      <formula>0</formula>
    </cfRule>
    <cfRule type="cellIs" dxfId="3513" priority="547" operator="greaterThan">
      <formula>100.00001%</formula>
    </cfRule>
    <cfRule type="cellIs" dxfId="3512" priority="548" operator="between">
      <formula>0.66</formula>
      <formula>1</formula>
    </cfRule>
    <cfRule type="cellIs" dxfId="3511" priority="549" operator="between">
      <formula>0.401</formula>
      <formula>0.659999999999</formula>
    </cfRule>
    <cfRule type="cellIs" dxfId="3510" priority="550" operator="between">
      <formula>0</formula>
      <formula>0.4</formula>
    </cfRule>
  </conditionalFormatting>
  <conditionalFormatting sqref="BS13">
    <cfRule type="cellIs" dxfId="3509" priority="541" operator="lessThan">
      <formula>0</formula>
    </cfRule>
    <cfRule type="cellIs" dxfId="3508" priority="542" operator="greaterThan">
      <formula>100.00001%</formula>
    </cfRule>
    <cfRule type="cellIs" dxfId="3507" priority="543" operator="between">
      <formula>0.66</formula>
      <formula>1</formula>
    </cfRule>
    <cfRule type="cellIs" dxfId="3506" priority="544" operator="between">
      <formula>0.401</formula>
      <formula>0.659999999999</formula>
    </cfRule>
    <cfRule type="cellIs" dxfId="3505" priority="545" operator="between">
      <formula>0</formula>
      <formula>0.4</formula>
    </cfRule>
  </conditionalFormatting>
  <conditionalFormatting sqref="BS33:BS36">
    <cfRule type="cellIs" dxfId="3504" priority="536" operator="lessThan">
      <formula>0</formula>
    </cfRule>
    <cfRule type="cellIs" dxfId="3503" priority="537" operator="greaterThan">
      <formula>100.00001%</formula>
    </cfRule>
    <cfRule type="cellIs" dxfId="3502" priority="538" operator="between">
      <formula>0.66</formula>
      <formula>1</formula>
    </cfRule>
    <cfRule type="cellIs" dxfId="3501" priority="539" operator="between">
      <formula>0.401</formula>
      <formula>0.659999999999</formula>
    </cfRule>
    <cfRule type="cellIs" dxfId="3500" priority="540" operator="between">
      <formula>0</formula>
      <formula>0.4</formula>
    </cfRule>
  </conditionalFormatting>
  <conditionalFormatting sqref="BS38:BS41">
    <cfRule type="cellIs" dxfId="3499" priority="531" operator="lessThan">
      <formula>0</formula>
    </cfRule>
    <cfRule type="cellIs" dxfId="3498" priority="532" operator="greaterThan">
      <formula>100.00001%</formula>
    </cfRule>
    <cfRule type="cellIs" dxfId="3497" priority="533" operator="between">
      <formula>0.66</formula>
      <formula>1</formula>
    </cfRule>
    <cfRule type="cellIs" dxfId="3496" priority="534" operator="between">
      <formula>0.401</formula>
      <formula>0.659999999999</formula>
    </cfRule>
    <cfRule type="cellIs" dxfId="3495" priority="535" operator="between">
      <formula>0</formula>
      <formula>0.4</formula>
    </cfRule>
  </conditionalFormatting>
  <conditionalFormatting sqref="BS42:BS47">
    <cfRule type="cellIs" dxfId="3494" priority="526" operator="lessThan">
      <formula>0</formula>
    </cfRule>
    <cfRule type="cellIs" dxfId="3493" priority="527" operator="greaterThan">
      <formula>100.00001%</formula>
    </cfRule>
    <cfRule type="cellIs" dxfId="3492" priority="528" operator="between">
      <formula>0.66</formula>
      <formula>1</formula>
    </cfRule>
    <cfRule type="cellIs" dxfId="3491" priority="529" operator="between">
      <formula>0.401</formula>
      <formula>0.659999999999</formula>
    </cfRule>
    <cfRule type="cellIs" dxfId="3490" priority="530" operator="between">
      <formula>0</formula>
      <formula>0.4</formula>
    </cfRule>
  </conditionalFormatting>
  <conditionalFormatting sqref="BS48:BS50">
    <cfRule type="cellIs" dxfId="3489" priority="521" operator="lessThan">
      <formula>0</formula>
    </cfRule>
    <cfRule type="cellIs" dxfId="3488" priority="522" operator="greaterThan">
      <formula>100.00001%</formula>
    </cfRule>
    <cfRule type="cellIs" dxfId="3487" priority="523" operator="between">
      <formula>0.66</formula>
      <formula>1</formula>
    </cfRule>
    <cfRule type="cellIs" dxfId="3486" priority="524" operator="between">
      <formula>0.401</formula>
      <formula>0.659999999999</formula>
    </cfRule>
    <cfRule type="cellIs" dxfId="3485" priority="525" operator="between">
      <formula>0</formula>
      <formula>0.4</formula>
    </cfRule>
  </conditionalFormatting>
  <conditionalFormatting sqref="BS61">
    <cfRule type="cellIs" dxfId="3484" priority="516" operator="lessThan">
      <formula>0</formula>
    </cfRule>
    <cfRule type="cellIs" dxfId="3483" priority="517" operator="greaterThan">
      <formula>100.00001%</formula>
    </cfRule>
    <cfRule type="cellIs" dxfId="3482" priority="518" operator="between">
      <formula>0.66</formula>
      <formula>1</formula>
    </cfRule>
    <cfRule type="cellIs" dxfId="3481" priority="519" operator="between">
      <formula>0.401</formula>
      <formula>0.659999999999</formula>
    </cfRule>
    <cfRule type="cellIs" dxfId="3480" priority="520" operator="between">
      <formula>0</formula>
      <formula>0.4</formula>
    </cfRule>
  </conditionalFormatting>
  <conditionalFormatting sqref="BS62:BS68">
    <cfRule type="cellIs" dxfId="3479" priority="511" operator="lessThan">
      <formula>0</formula>
    </cfRule>
    <cfRule type="cellIs" dxfId="3478" priority="512" operator="greaterThan">
      <formula>100.00001%</formula>
    </cfRule>
    <cfRule type="cellIs" dxfId="3477" priority="513" operator="between">
      <formula>0.66</formula>
      <formula>1</formula>
    </cfRule>
    <cfRule type="cellIs" dxfId="3476" priority="514" operator="between">
      <formula>0.401</formula>
      <formula>0.659999999999</formula>
    </cfRule>
    <cfRule type="cellIs" dxfId="3475" priority="515" operator="between">
      <formula>0</formula>
      <formula>0.4</formula>
    </cfRule>
  </conditionalFormatting>
  <conditionalFormatting sqref="BS71:BS75">
    <cfRule type="cellIs" dxfId="3474" priority="506" operator="lessThan">
      <formula>0</formula>
    </cfRule>
    <cfRule type="cellIs" dxfId="3473" priority="507" operator="greaterThan">
      <formula>100.00001%</formula>
    </cfRule>
    <cfRule type="cellIs" dxfId="3472" priority="508" operator="between">
      <formula>0.66</formula>
      <formula>1</formula>
    </cfRule>
    <cfRule type="cellIs" dxfId="3471" priority="509" operator="between">
      <formula>0.401</formula>
      <formula>0.659999999999</formula>
    </cfRule>
    <cfRule type="cellIs" dxfId="3470" priority="510" operator="between">
      <formula>0</formula>
      <formula>0.4</formula>
    </cfRule>
  </conditionalFormatting>
  <conditionalFormatting sqref="BS76:BS86">
    <cfRule type="cellIs" dxfId="3469" priority="501" operator="lessThan">
      <formula>0</formula>
    </cfRule>
    <cfRule type="cellIs" dxfId="3468" priority="502" operator="greaterThan">
      <formula>100.00001%</formula>
    </cfRule>
    <cfRule type="cellIs" dxfId="3467" priority="503" operator="between">
      <formula>0.66</formula>
      <formula>1</formula>
    </cfRule>
    <cfRule type="cellIs" dxfId="3466" priority="504" operator="between">
      <formula>0.401</formula>
      <formula>0.659999999999</formula>
    </cfRule>
    <cfRule type="cellIs" dxfId="3465" priority="505" operator="between">
      <formula>0</formula>
      <formula>0.4</formula>
    </cfRule>
  </conditionalFormatting>
  <conditionalFormatting sqref="BS88">
    <cfRule type="cellIs" dxfId="3464" priority="496" operator="lessThan">
      <formula>0</formula>
    </cfRule>
    <cfRule type="cellIs" dxfId="3463" priority="497" operator="greaterThan">
      <formula>100.00001%</formula>
    </cfRule>
    <cfRule type="cellIs" dxfId="3462" priority="498" operator="between">
      <formula>0.66</formula>
      <formula>1</formula>
    </cfRule>
    <cfRule type="cellIs" dxfId="3461" priority="499" operator="between">
      <formula>0.401</formula>
      <formula>0.659999999999</formula>
    </cfRule>
    <cfRule type="cellIs" dxfId="3460" priority="500" operator="between">
      <formula>0</formula>
      <formula>0.4</formula>
    </cfRule>
  </conditionalFormatting>
  <conditionalFormatting sqref="BS122:BS123">
    <cfRule type="cellIs" dxfId="3459" priority="491" operator="lessThan">
      <formula>0</formula>
    </cfRule>
    <cfRule type="cellIs" dxfId="3458" priority="492" operator="greaterThan">
      <formula>100.00001%</formula>
    </cfRule>
    <cfRule type="cellIs" dxfId="3457" priority="493" operator="between">
      <formula>0.66</formula>
      <formula>1</formula>
    </cfRule>
    <cfRule type="cellIs" dxfId="3456" priority="494" operator="between">
      <formula>0.401</formula>
      <formula>0.659999999999</formula>
    </cfRule>
    <cfRule type="cellIs" dxfId="3455" priority="495" operator="between">
      <formula>0</formula>
      <formula>0.4</formula>
    </cfRule>
  </conditionalFormatting>
  <conditionalFormatting sqref="BS124">
    <cfRule type="cellIs" dxfId="3454" priority="486" operator="lessThan">
      <formula>0</formula>
    </cfRule>
    <cfRule type="cellIs" dxfId="3453" priority="487" operator="greaterThan">
      <formula>100.00001%</formula>
    </cfRule>
    <cfRule type="cellIs" dxfId="3452" priority="488" operator="between">
      <formula>0.66</formula>
      <formula>1</formula>
    </cfRule>
    <cfRule type="cellIs" dxfId="3451" priority="489" operator="between">
      <formula>0.401</formula>
      <formula>0.659999999999</formula>
    </cfRule>
    <cfRule type="cellIs" dxfId="3450" priority="490" operator="between">
      <formula>0</formula>
      <formula>0.4</formula>
    </cfRule>
  </conditionalFormatting>
  <conditionalFormatting sqref="BS125">
    <cfRule type="cellIs" dxfId="3449" priority="481" operator="lessThan">
      <formula>0</formula>
    </cfRule>
    <cfRule type="cellIs" dxfId="3448" priority="482" operator="greaterThan">
      <formula>100.00001%</formula>
    </cfRule>
    <cfRule type="cellIs" dxfId="3447" priority="483" operator="between">
      <formula>0.66</formula>
      <formula>1</formula>
    </cfRule>
    <cfRule type="cellIs" dxfId="3446" priority="484" operator="between">
      <formula>0.401</formula>
      <formula>0.659999999999</formula>
    </cfRule>
    <cfRule type="cellIs" dxfId="3445" priority="485" operator="between">
      <formula>0</formula>
      <formula>0.4</formula>
    </cfRule>
  </conditionalFormatting>
  <conditionalFormatting sqref="BS126:BS127">
    <cfRule type="cellIs" dxfId="3444" priority="476" operator="lessThan">
      <formula>0</formula>
    </cfRule>
    <cfRule type="cellIs" dxfId="3443" priority="477" operator="greaterThan">
      <formula>100.00001%</formula>
    </cfRule>
    <cfRule type="cellIs" dxfId="3442" priority="478" operator="between">
      <formula>0.66</formula>
      <formula>1</formula>
    </cfRule>
    <cfRule type="cellIs" dxfId="3441" priority="479" operator="between">
      <formula>0.401</formula>
      <formula>0.659999999999</formula>
    </cfRule>
    <cfRule type="cellIs" dxfId="3440" priority="480" operator="between">
      <formula>0</formula>
      <formula>0.4</formula>
    </cfRule>
  </conditionalFormatting>
  <conditionalFormatting sqref="BS128:BS131">
    <cfRule type="cellIs" dxfId="3439" priority="471" operator="lessThan">
      <formula>0</formula>
    </cfRule>
    <cfRule type="cellIs" dxfId="3438" priority="472" operator="greaterThan">
      <formula>100.00001%</formula>
    </cfRule>
    <cfRule type="cellIs" dxfId="3437" priority="473" operator="between">
      <formula>0.66</formula>
      <formula>1</formula>
    </cfRule>
    <cfRule type="cellIs" dxfId="3436" priority="474" operator="between">
      <formula>0.401</formula>
      <formula>0.659999999999</formula>
    </cfRule>
    <cfRule type="cellIs" dxfId="3435" priority="475" operator="between">
      <formula>0</formula>
      <formula>0.4</formula>
    </cfRule>
  </conditionalFormatting>
  <conditionalFormatting sqref="BS143:BS146">
    <cfRule type="cellIs" dxfId="3434" priority="466" operator="lessThan">
      <formula>0</formula>
    </cfRule>
    <cfRule type="cellIs" dxfId="3433" priority="467" operator="greaterThan">
      <formula>100.00001%</formula>
    </cfRule>
    <cfRule type="cellIs" dxfId="3432" priority="468" operator="between">
      <formula>0.66</formula>
      <formula>1</formula>
    </cfRule>
    <cfRule type="cellIs" dxfId="3431" priority="469" operator="between">
      <formula>0.401</formula>
      <formula>0.659999999999</formula>
    </cfRule>
    <cfRule type="cellIs" dxfId="3430" priority="470" operator="between">
      <formula>0</formula>
      <formula>0.4</formula>
    </cfRule>
  </conditionalFormatting>
  <conditionalFormatting sqref="BS147:BS148">
    <cfRule type="cellIs" dxfId="3429" priority="461" operator="lessThan">
      <formula>0</formula>
    </cfRule>
    <cfRule type="cellIs" dxfId="3428" priority="462" operator="greaterThan">
      <formula>100.00001%</formula>
    </cfRule>
    <cfRule type="cellIs" dxfId="3427" priority="463" operator="between">
      <formula>0.66</formula>
      <formula>1</formula>
    </cfRule>
    <cfRule type="cellIs" dxfId="3426" priority="464" operator="between">
      <formula>0.401</formula>
      <formula>0.659999999999</formula>
    </cfRule>
    <cfRule type="cellIs" dxfId="3425" priority="465" operator="between">
      <formula>0</formula>
      <formula>0.4</formula>
    </cfRule>
  </conditionalFormatting>
  <conditionalFormatting sqref="BS136:BS139">
    <cfRule type="cellIs" dxfId="3424" priority="456" operator="lessThan">
      <formula>0</formula>
    </cfRule>
    <cfRule type="cellIs" dxfId="3423" priority="457" operator="greaterThan">
      <formula>100.00001%</formula>
    </cfRule>
    <cfRule type="cellIs" dxfId="3422" priority="458" operator="between">
      <formula>0.66</formula>
      <formula>1</formula>
    </cfRule>
    <cfRule type="cellIs" dxfId="3421" priority="459" operator="between">
      <formula>0.401</formula>
      <formula>0.659999999999</formula>
    </cfRule>
    <cfRule type="cellIs" dxfId="3420" priority="460" operator="between">
      <formula>0</formula>
      <formula>0.4</formula>
    </cfRule>
  </conditionalFormatting>
  <conditionalFormatting sqref="BS149:BS150">
    <cfRule type="cellIs" dxfId="3419" priority="451" operator="lessThan">
      <formula>0</formula>
    </cfRule>
    <cfRule type="cellIs" dxfId="3418" priority="452" operator="greaterThan">
      <formula>100.00001%</formula>
    </cfRule>
    <cfRule type="cellIs" dxfId="3417" priority="453" operator="between">
      <formula>0.66</formula>
      <formula>1</formula>
    </cfRule>
    <cfRule type="cellIs" dxfId="3416" priority="454" operator="between">
      <formula>0.401</formula>
      <formula>0.659999999999</formula>
    </cfRule>
    <cfRule type="cellIs" dxfId="3415" priority="455" operator="between">
      <formula>0</formula>
      <formula>0.4</formula>
    </cfRule>
  </conditionalFormatting>
  <conditionalFormatting sqref="BS140">
    <cfRule type="cellIs" dxfId="3414" priority="441" operator="lessThan">
      <formula>0</formula>
    </cfRule>
    <cfRule type="cellIs" dxfId="3413" priority="442" operator="greaterThan">
      <formula>100.00001%</formula>
    </cfRule>
    <cfRule type="cellIs" dxfId="3412" priority="443" operator="between">
      <formula>0.66</formula>
      <formula>1</formula>
    </cfRule>
    <cfRule type="cellIs" dxfId="3411" priority="444" operator="between">
      <formula>0.401</formula>
      <formula>0.659999999999</formula>
    </cfRule>
    <cfRule type="cellIs" dxfId="3410" priority="445" operator="between">
      <formula>0</formula>
      <formula>0.4</formula>
    </cfRule>
  </conditionalFormatting>
  <conditionalFormatting sqref="BS141">
    <cfRule type="cellIs" dxfId="3409" priority="436" operator="lessThan">
      <formula>0</formula>
    </cfRule>
    <cfRule type="cellIs" dxfId="3408" priority="437" operator="greaterThan">
      <formula>100.00001%</formula>
    </cfRule>
    <cfRule type="cellIs" dxfId="3407" priority="438" operator="between">
      <formula>0.66</formula>
      <formula>1</formula>
    </cfRule>
    <cfRule type="cellIs" dxfId="3406" priority="439" operator="between">
      <formula>0.401</formula>
      <formula>0.659999999999</formula>
    </cfRule>
    <cfRule type="cellIs" dxfId="3405" priority="440" operator="between">
      <formula>0</formula>
      <formula>0.4</formula>
    </cfRule>
  </conditionalFormatting>
  <conditionalFormatting sqref="BS164">
    <cfRule type="cellIs" dxfId="3404" priority="431" operator="lessThan">
      <formula>0</formula>
    </cfRule>
    <cfRule type="cellIs" dxfId="3403" priority="432" operator="greaterThan">
      <formula>100.00001%</formula>
    </cfRule>
    <cfRule type="cellIs" dxfId="3402" priority="433" operator="between">
      <formula>0.66</formula>
      <formula>1</formula>
    </cfRule>
    <cfRule type="cellIs" dxfId="3401" priority="434" operator="between">
      <formula>0.401</formula>
      <formula>0.659999999999</formula>
    </cfRule>
    <cfRule type="cellIs" dxfId="3400" priority="435" operator="between">
      <formula>0</formula>
      <formula>0.4</formula>
    </cfRule>
  </conditionalFormatting>
  <conditionalFormatting sqref="BS165">
    <cfRule type="cellIs" dxfId="3399" priority="426" operator="lessThan">
      <formula>0</formula>
    </cfRule>
    <cfRule type="cellIs" dxfId="3398" priority="427" operator="greaterThan">
      <formula>100.00001%</formula>
    </cfRule>
    <cfRule type="cellIs" dxfId="3397" priority="428" operator="between">
      <formula>0.66</formula>
      <formula>1</formula>
    </cfRule>
    <cfRule type="cellIs" dxfId="3396" priority="429" operator="between">
      <formula>0.401</formula>
      <formula>0.659999999999</formula>
    </cfRule>
    <cfRule type="cellIs" dxfId="3395" priority="430" operator="between">
      <formula>0</formula>
      <formula>0.4</formula>
    </cfRule>
  </conditionalFormatting>
  <conditionalFormatting sqref="BS167:BS179">
    <cfRule type="cellIs" dxfId="3394" priority="421" operator="lessThan">
      <formula>0</formula>
    </cfRule>
    <cfRule type="cellIs" dxfId="3393" priority="422" operator="greaterThan">
      <formula>100.00001%</formula>
    </cfRule>
    <cfRule type="cellIs" dxfId="3392" priority="423" operator="between">
      <formula>0.66</formula>
      <formula>1</formula>
    </cfRule>
    <cfRule type="cellIs" dxfId="3391" priority="424" operator="between">
      <formula>0.401</formula>
      <formula>0.659999999999</formula>
    </cfRule>
    <cfRule type="cellIs" dxfId="3390" priority="425" operator="between">
      <formula>0</formula>
      <formula>0.4</formula>
    </cfRule>
  </conditionalFormatting>
  <conditionalFormatting sqref="BS222:BS225">
    <cfRule type="cellIs" dxfId="3389" priority="416" operator="lessThan">
      <formula>0</formula>
    </cfRule>
    <cfRule type="cellIs" dxfId="3388" priority="417" operator="greaterThan">
      <formula>100.00001%</formula>
    </cfRule>
    <cfRule type="cellIs" dxfId="3387" priority="418" operator="between">
      <formula>0.66</formula>
      <formula>1</formula>
    </cfRule>
    <cfRule type="cellIs" dxfId="3386" priority="419" operator="between">
      <formula>0.401</formula>
      <formula>0.659999999999</formula>
    </cfRule>
    <cfRule type="cellIs" dxfId="3385" priority="420" operator="between">
      <formula>0</formula>
      <formula>0.4</formula>
    </cfRule>
  </conditionalFormatting>
  <conditionalFormatting sqref="BS180:BS189">
    <cfRule type="cellIs" dxfId="3384" priority="411" operator="lessThan">
      <formula>0</formula>
    </cfRule>
    <cfRule type="cellIs" dxfId="3383" priority="412" operator="greaterThan">
      <formula>100.00001%</formula>
    </cfRule>
    <cfRule type="cellIs" dxfId="3382" priority="413" operator="between">
      <formula>0.66</formula>
      <formula>1</formula>
    </cfRule>
    <cfRule type="cellIs" dxfId="3381" priority="414" operator="between">
      <formula>0.401</formula>
      <formula>0.659999999999</formula>
    </cfRule>
    <cfRule type="cellIs" dxfId="3380" priority="415" operator="between">
      <formula>0</formula>
      <formula>0.4</formula>
    </cfRule>
  </conditionalFormatting>
  <conditionalFormatting sqref="BS190:BS202">
    <cfRule type="cellIs" dxfId="3379" priority="406" operator="lessThan">
      <formula>0</formula>
    </cfRule>
    <cfRule type="cellIs" dxfId="3378" priority="407" operator="greaterThan">
      <formula>100.00001%</formula>
    </cfRule>
    <cfRule type="cellIs" dxfId="3377" priority="408" operator="between">
      <formula>0.66</formula>
      <formula>1</formula>
    </cfRule>
    <cfRule type="cellIs" dxfId="3376" priority="409" operator="between">
      <formula>0.401</formula>
      <formula>0.659999999999</formula>
    </cfRule>
    <cfRule type="cellIs" dxfId="3375" priority="410" operator="between">
      <formula>0</formula>
      <formula>0.4</formula>
    </cfRule>
  </conditionalFormatting>
  <conditionalFormatting sqref="BS203:BS212">
    <cfRule type="cellIs" dxfId="3374" priority="401" operator="lessThan">
      <formula>0</formula>
    </cfRule>
    <cfRule type="cellIs" dxfId="3373" priority="402" operator="greaterThan">
      <formula>100.00001%</formula>
    </cfRule>
    <cfRule type="cellIs" dxfId="3372" priority="403" operator="between">
      <formula>0.66</formula>
      <formula>1</formula>
    </cfRule>
    <cfRule type="cellIs" dxfId="3371" priority="404" operator="between">
      <formula>0.401</formula>
      <formula>0.659999999999</formula>
    </cfRule>
    <cfRule type="cellIs" dxfId="3370" priority="405" operator="between">
      <formula>0</formula>
      <formula>0.4</formula>
    </cfRule>
  </conditionalFormatting>
  <conditionalFormatting sqref="BS252:BS255">
    <cfRule type="cellIs" dxfId="3369" priority="396" operator="lessThan">
      <formula>0</formula>
    </cfRule>
    <cfRule type="cellIs" dxfId="3368" priority="397" operator="greaterThan">
      <formula>100.00001%</formula>
    </cfRule>
    <cfRule type="cellIs" dxfId="3367" priority="398" operator="between">
      <formula>0.66</formula>
      <formula>1</formula>
    </cfRule>
    <cfRule type="cellIs" dxfId="3366" priority="399" operator="between">
      <formula>0.401</formula>
      <formula>0.659999999999</formula>
    </cfRule>
    <cfRule type="cellIs" dxfId="3365" priority="400" operator="between">
      <formula>0</formula>
      <formula>0.4</formula>
    </cfRule>
  </conditionalFormatting>
  <conditionalFormatting sqref="BS256">
    <cfRule type="cellIs" dxfId="3364" priority="391" operator="lessThan">
      <formula>0</formula>
    </cfRule>
    <cfRule type="cellIs" dxfId="3363" priority="392" operator="greaterThan">
      <formula>100.00001%</formula>
    </cfRule>
    <cfRule type="cellIs" dxfId="3362" priority="393" operator="between">
      <formula>0.66</formula>
      <formula>1</formula>
    </cfRule>
    <cfRule type="cellIs" dxfId="3361" priority="394" operator="between">
      <formula>0.401</formula>
      <formula>0.659999999999</formula>
    </cfRule>
    <cfRule type="cellIs" dxfId="3360" priority="395" operator="between">
      <formula>0</formula>
      <formula>0.4</formula>
    </cfRule>
  </conditionalFormatting>
  <conditionalFormatting sqref="BS257:BS259">
    <cfRule type="cellIs" dxfId="3359" priority="386" operator="lessThan">
      <formula>0</formula>
    </cfRule>
    <cfRule type="cellIs" dxfId="3358" priority="387" operator="greaterThan">
      <formula>100.00001%</formula>
    </cfRule>
    <cfRule type="cellIs" dxfId="3357" priority="388" operator="between">
      <formula>0.66</formula>
      <formula>1</formula>
    </cfRule>
    <cfRule type="cellIs" dxfId="3356" priority="389" operator="between">
      <formula>0.401</formula>
      <formula>0.659999999999</formula>
    </cfRule>
    <cfRule type="cellIs" dxfId="3355" priority="390" operator="between">
      <formula>0</formula>
      <formula>0.4</formula>
    </cfRule>
  </conditionalFormatting>
  <conditionalFormatting sqref="BS260">
    <cfRule type="cellIs" dxfId="3354" priority="381" operator="lessThan">
      <formula>0</formula>
    </cfRule>
    <cfRule type="cellIs" dxfId="3353" priority="382" operator="greaterThan">
      <formula>100.00001%</formula>
    </cfRule>
    <cfRule type="cellIs" dxfId="3352" priority="383" operator="between">
      <formula>0.66</formula>
      <formula>1</formula>
    </cfRule>
    <cfRule type="cellIs" dxfId="3351" priority="384" operator="between">
      <formula>0.401</formula>
      <formula>0.659999999999</formula>
    </cfRule>
    <cfRule type="cellIs" dxfId="3350" priority="385" operator="between">
      <formula>0</formula>
      <formula>0.4</formula>
    </cfRule>
  </conditionalFormatting>
  <conditionalFormatting sqref="BS261">
    <cfRule type="cellIs" dxfId="3349" priority="376" operator="lessThan">
      <formula>0</formula>
    </cfRule>
    <cfRule type="cellIs" dxfId="3348" priority="377" operator="greaterThan">
      <formula>100.00001%</formula>
    </cfRule>
    <cfRule type="cellIs" dxfId="3347" priority="378" operator="between">
      <formula>0.66</formula>
      <formula>1</formula>
    </cfRule>
    <cfRule type="cellIs" dxfId="3346" priority="379" operator="between">
      <formula>0.401</formula>
      <formula>0.659999999999</formula>
    </cfRule>
    <cfRule type="cellIs" dxfId="3345" priority="380" operator="between">
      <formula>0</formula>
      <formula>0.4</formula>
    </cfRule>
  </conditionalFormatting>
  <conditionalFormatting sqref="BS262:BS263">
    <cfRule type="cellIs" dxfId="3344" priority="371" operator="lessThan">
      <formula>0</formula>
    </cfRule>
    <cfRule type="cellIs" dxfId="3343" priority="372" operator="greaterThan">
      <formula>100.00001%</formula>
    </cfRule>
    <cfRule type="cellIs" dxfId="3342" priority="373" operator="between">
      <formula>0.66</formula>
      <formula>1</formula>
    </cfRule>
    <cfRule type="cellIs" dxfId="3341" priority="374" operator="between">
      <formula>0.401</formula>
      <formula>0.659999999999</formula>
    </cfRule>
    <cfRule type="cellIs" dxfId="3340" priority="375" operator="between">
      <formula>0</formula>
      <formula>0.4</formula>
    </cfRule>
  </conditionalFormatting>
  <conditionalFormatting sqref="BS264:BS265">
    <cfRule type="cellIs" dxfId="3339" priority="366" operator="lessThan">
      <formula>0</formula>
    </cfRule>
    <cfRule type="cellIs" dxfId="3338" priority="367" operator="greaterThan">
      <formula>100.00001%</formula>
    </cfRule>
    <cfRule type="cellIs" dxfId="3337" priority="368" operator="between">
      <formula>0.66</formula>
      <formula>1</formula>
    </cfRule>
    <cfRule type="cellIs" dxfId="3336" priority="369" operator="between">
      <formula>0.401</formula>
      <formula>0.659999999999</formula>
    </cfRule>
    <cfRule type="cellIs" dxfId="3335" priority="370" operator="between">
      <formula>0</formula>
      <formula>0.4</formula>
    </cfRule>
  </conditionalFormatting>
  <conditionalFormatting sqref="BS266">
    <cfRule type="cellIs" dxfId="3334" priority="361" operator="lessThan">
      <formula>0</formula>
    </cfRule>
    <cfRule type="cellIs" dxfId="3333" priority="362" operator="greaterThan">
      <formula>100.00001%</formula>
    </cfRule>
    <cfRule type="cellIs" dxfId="3332" priority="363" operator="between">
      <formula>0.66</formula>
      <formula>1</formula>
    </cfRule>
    <cfRule type="cellIs" dxfId="3331" priority="364" operator="between">
      <formula>0.401</formula>
      <formula>0.659999999999</formula>
    </cfRule>
    <cfRule type="cellIs" dxfId="3330" priority="365" operator="between">
      <formula>0</formula>
      <formula>0.4</formula>
    </cfRule>
  </conditionalFormatting>
  <conditionalFormatting sqref="BS267:BS271">
    <cfRule type="cellIs" dxfId="3329" priority="356" operator="lessThan">
      <formula>0</formula>
    </cfRule>
    <cfRule type="cellIs" dxfId="3328" priority="357" operator="greaterThan">
      <formula>100.00001%</formula>
    </cfRule>
    <cfRule type="cellIs" dxfId="3327" priority="358" operator="between">
      <formula>0.66</formula>
      <formula>1</formula>
    </cfRule>
    <cfRule type="cellIs" dxfId="3326" priority="359" operator="between">
      <formula>0.401</formula>
      <formula>0.659999999999</formula>
    </cfRule>
    <cfRule type="cellIs" dxfId="3325" priority="360" operator="between">
      <formula>0</formula>
      <formula>0.4</formula>
    </cfRule>
  </conditionalFormatting>
  <conditionalFormatting sqref="BS307">
    <cfRule type="cellIs" dxfId="3324" priority="351" operator="lessThan">
      <formula>0</formula>
    </cfRule>
    <cfRule type="cellIs" dxfId="3323" priority="352" operator="greaterThan">
      <formula>100.00001%</formula>
    </cfRule>
    <cfRule type="cellIs" dxfId="3322" priority="353" operator="between">
      <formula>0.66</formula>
      <formula>1</formula>
    </cfRule>
    <cfRule type="cellIs" dxfId="3321" priority="354" operator="between">
      <formula>0.401</formula>
      <formula>0.659999999999</formula>
    </cfRule>
    <cfRule type="cellIs" dxfId="3320" priority="355" operator="between">
      <formula>0</formula>
      <formula>0.4</formula>
    </cfRule>
  </conditionalFormatting>
  <conditionalFormatting sqref="BS275">
    <cfRule type="cellIs" dxfId="3319" priority="346" operator="lessThan">
      <formula>0</formula>
    </cfRule>
    <cfRule type="cellIs" dxfId="3318" priority="347" operator="greaterThan">
      <formula>100.00001%</formula>
    </cfRule>
    <cfRule type="cellIs" dxfId="3317" priority="348" operator="between">
      <formula>0.66</formula>
      <formula>1</formula>
    </cfRule>
    <cfRule type="cellIs" dxfId="3316" priority="349" operator="between">
      <formula>0.401</formula>
      <formula>0.659999999999</formula>
    </cfRule>
    <cfRule type="cellIs" dxfId="3315" priority="350" operator="between">
      <formula>0</formula>
      <formula>0.4</formula>
    </cfRule>
  </conditionalFormatting>
  <conditionalFormatting sqref="BS277">
    <cfRule type="cellIs" dxfId="3314" priority="341" operator="lessThan">
      <formula>0</formula>
    </cfRule>
    <cfRule type="cellIs" dxfId="3313" priority="342" operator="greaterThan">
      <formula>100.00001%</formula>
    </cfRule>
    <cfRule type="cellIs" dxfId="3312" priority="343" operator="between">
      <formula>0.66</formula>
      <formula>1</formula>
    </cfRule>
    <cfRule type="cellIs" dxfId="3311" priority="344" operator="between">
      <formula>0.401</formula>
      <formula>0.659999999999</formula>
    </cfRule>
    <cfRule type="cellIs" dxfId="3310" priority="345" operator="between">
      <formula>0</formula>
      <formula>0.4</formula>
    </cfRule>
  </conditionalFormatting>
  <conditionalFormatting sqref="BS278:BS279">
    <cfRule type="cellIs" dxfId="3309" priority="336" operator="lessThan">
      <formula>0</formula>
    </cfRule>
    <cfRule type="cellIs" dxfId="3308" priority="337" operator="greaterThan">
      <formula>100.00001%</formula>
    </cfRule>
    <cfRule type="cellIs" dxfId="3307" priority="338" operator="between">
      <formula>0.66</formula>
      <formula>1</formula>
    </cfRule>
    <cfRule type="cellIs" dxfId="3306" priority="339" operator="between">
      <formula>0.401</formula>
      <formula>0.659999999999</formula>
    </cfRule>
    <cfRule type="cellIs" dxfId="3305" priority="340" operator="between">
      <formula>0</formula>
      <formula>0.4</formula>
    </cfRule>
  </conditionalFormatting>
  <conditionalFormatting sqref="BS280:BS281">
    <cfRule type="cellIs" dxfId="3304" priority="331" operator="lessThan">
      <formula>0</formula>
    </cfRule>
    <cfRule type="cellIs" dxfId="3303" priority="332" operator="greaterThan">
      <formula>100.00001%</formula>
    </cfRule>
    <cfRule type="cellIs" dxfId="3302" priority="333" operator="between">
      <formula>0.66</formula>
      <formula>1</formula>
    </cfRule>
    <cfRule type="cellIs" dxfId="3301" priority="334" operator="between">
      <formula>0.401</formula>
      <formula>0.659999999999</formula>
    </cfRule>
    <cfRule type="cellIs" dxfId="3300" priority="335" operator="between">
      <formula>0</formula>
      <formula>0.4</formula>
    </cfRule>
  </conditionalFormatting>
  <conditionalFormatting sqref="BS282:BS286">
    <cfRule type="cellIs" dxfId="3299" priority="326" operator="lessThan">
      <formula>0</formula>
    </cfRule>
    <cfRule type="cellIs" dxfId="3298" priority="327" operator="greaterThan">
      <formula>100.00001%</formula>
    </cfRule>
    <cfRule type="cellIs" dxfId="3297" priority="328" operator="between">
      <formula>0.66</formula>
      <formula>1</formula>
    </cfRule>
    <cfRule type="cellIs" dxfId="3296" priority="329" operator="between">
      <formula>0.401</formula>
      <formula>0.659999999999</formula>
    </cfRule>
    <cfRule type="cellIs" dxfId="3295" priority="330" operator="between">
      <formula>0</formula>
      <formula>0.4</formula>
    </cfRule>
  </conditionalFormatting>
  <conditionalFormatting sqref="BS287:BS289">
    <cfRule type="cellIs" dxfId="3294" priority="321" operator="lessThan">
      <formula>0</formula>
    </cfRule>
    <cfRule type="cellIs" dxfId="3293" priority="322" operator="greaterThan">
      <formula>100.00001%</formula>
    </cfRule>
    <cfRule type="cellIs" dxfId="3292" priority="323" operator="between">
      <formula>0.66</formula>
      <formula>1</formula>
    </cfRule>
    <cfRule type="cellIs" dxfId="3291" priority="324" operator="between">
      <formula>0.401</formula>
      <formula>0.659999999999</formula>
    </cfRule>
    <cfRule type="cellIs" dxfId="3290" priority="325" operator="between">
      <formula>0</formula>
      <formula>0.4</formula>
    </cfRule>
  </conditionalFormatting>
  <conditionalFormatting sqref="BS290:BS292">
    <cfRule type="cellIs" dxfId="3289" priority="316" operator="lessThan">
      <formula>0</formula>
    </cfRule>
    <cfRule type="cellIs" dxfId="3288" priority="317" operator="greaterThan">
      <formula>100.00001%</formula>
    </cfRule>
    <cfRule type="cellIs" dxfId="3287" priority="318" operator="between">
      <formula>0.66</formula>
      <formula>1</formula>
    </cfRule>
    <cfRule type="cellIs" dxfId="3286" priority="319" operator="between">
      <formula>0.401</formula>
      <formula>0.659999999999</formula>
    </cfRule>
    <cfRule type="cellIs" dxfId="3285" priority="320" operator="between">
      <formula>0</formula>
      <formula>0.4</formula>
    </cfRule>
  </conditionalFormatting>
  <conditionalFormatting sqref="BS333:BS344">
    <cfRule type="cellIs" dxfId="3284" priority="311" operator="lessThan">
      <formula>0</formula>
    </cfRule>
    <cfRule type="cellIs" dxfId="3283" priority="312" operator="greaterThan">
      <formula>100.00001%</formula>
    </cfRule>
    <cfRule type="cellIs" dxfId="3282" priority="313" operator="between">
      <formula>0.66</formula>
      <formula>1</formula>
    </cfRule>
    <cfRule type="cellIs" dxfId="3281" priority="314" operator="between">
      <formula>0.401</formula>
      <formula>0.659999999999</formula>
    </cfRule>
    <cfRule type="cellIs" dxfId="3280" priority="315" operator="between">
      <formula>0</formula>
      <formula>0.4</formula>
    </cfRule>
  </conditionalFormatting>
  <conditionalFormatting sqref="BS345:BS356">
    <cfRule type="cellIs" dxfId="3279" priority="306" operator="lessThan">
      <formula>0</formula>
    </cfRule>
    <cfRule type="cellIs" dxfId="3278" priority="307" operator="greaterThan">
      <formula>100.00001%</formula>
    </cfRule>
    <cfRule type="cellIs" dxfId="3277" priority="308" operator="between">
      <formula>0.66</formula>
      <formula>1</formula>
    </cfRule>
    <cfRule type="cellIs" dxfId="3276" priority="309" operator="between">
      <formula>0.401</formula>
      <formula>0.659999999999</formula>
    </cfRule>
    <cfRule type="cellIs" dxfId="3275" priority="310" operator="between">
      <formula>0</formula>
      <formula>0.4</formula>
    </cfRule>
  </conditionalFormatting>
  <conditionalFormatting sqref="BS357:BS359">
    <cfRule type="cellIs" dxfId="3274" priority="301" operator="lessThan">
      <formula>0</formula>
    </cfRule>
    <cfRule type="cellIs" dxfId="3273" priority="302" operator="greaterThan">
      <formula>100.00001%</formula>
    </cfRule>
    <cfRule type="cellIs" dxfId="3272" priority="303" operator="between">
      <formula>0.66</formula>
      <formula>1</formula>
    </cfRule>
    <cfRule type="cellIs" dxfId="3271" priority="304" operator="between">
      <formula>0.401</formula>
      <formula>0.659999999999</formula>
    </cfRule>
    <cfRule type="cellIs" dxfId="3270" priority="305" operator="between">
      <formula>0</formula>
      <formula>0.4</formula>
    </cfRule>
  </conditionalFormatting>
  <conditionalFormatting sqref="BS400:BS404">
    <cfRule type="cellIs" dxfId="3269" priority="296" operator="lessThan">
      <formula>0</formula>
    </cfRule>
    <cfRule type="cellIs" dxfId="3268" priority="297" operator="greaterThan">
      <formula>100.00001%</formula>
    </cfRule>
    <cfRule type="cellIs" dxfId="3267" priority="298" operator="between">
      <formula>0.66</formula>
      <formula>1</formula>
    </cfRule>
    <cfRule type="cellIs" dxfId="3266" priority="299" operator="between">
      <formula>0.401</formula>
      <formula>0.659999999999</formula>
    </cfRule>
    <cfRule type="cellIs" dxfId="3265" priority="300" operator="between">
      <formula>0</formula>
      <formula>0.4</formula>
    </cfRule>
  </conditionalFormatting>
  <conditionalFormatting sqref="BS396:BS397">
    <cfRule type="cellIs" dxfId="3264" priority="291" operator="lessThan">
      <formula>0</formula>
    </cfRule>
    <cfRule type="cellIs" dxfId="3263" priority="292" operator="greaterThan">
      <formula>100.00001%</formula>
    </cfRule>
    <cfRule type="cellIs" dxfId="3262" priority="293" operator="between">
      <formula>0.66</formula>
      <formula>1</formula>
    </cfRule>
    <cfRule type="cellIs" dxfId="3261" priority="294" operator="between">
      <formula>0.401</formula>
      <formula>0.659999999999</formula>
    </cfRule>
    <cfRule type="cellIs" dxfId="3260" priority="295" operator="between">
      <formula>0</formula>
      <formula>0.4</formula>
    </cfRule>
  </conditionalFormatting>
  <conditionalFormatting sqref="BS395">
    <cfRule type="cellIs" dxfId="3259" priority="286" operator="lessThan">
      <formula>0</formula>
    </cfRule>
    <cfRule type="cellIs" dxfId="3258" priority="287" operator="greaterThan">
      <formula>100.00001%</formula>
    </cfRule>
    <cfRule type="cellIs" dxfId="3257" priority="288" operator="between">
      <formula>0.66</formula>
      <formula>1</formula>
    </cfRule>
    <cfRule type="cellIs" dxfId="3256" priority="289" operator="between">
      <formula>0.401</formula>
      <formula>0.659999999999</formula>
    </cfRule>
    <cfRule type="cellIs" dxfId="3255" priority="290" operator="between">
      <formula>0</formula>
      <formula>0.4</formula>
    </cfRule>
  </conditionalFormatting>
  <conditionalFormatting sqref="BS398">
    <cfRule type="cellIs" dxfId="3254" priority="281" operator="lessThan">
      <formula>0</formula>
    </cfRule>
    <cfRule type="cellIs" dxfId="3253" priority="282" operator="greaterThan">
      <formula>100.00001%</formula>
    </cfRule>
    <cfRule type="cellIs" dxfId="3252" priority="283" operator="between">
      <formula>0.66</formula>
      <formula>1</formula>
    </cfRule>
    <cfRule type="cellIs" dxfId="3251" priority="284" operator="between">
      <formula>0.401</formula>
      <formula>0.659999999999</formula>
    </cfRule>
    <cfRule type="cellIs" dxfId="3250" priority="285" operator="between">
      <formula>0</formula>
      <formula>0.4</formula>
    </cfRule>
  </conditionalFormatting>
  <conditionalFormatting sqref="BS405:BS410">
    <cfRule type="cellIs" dxfId="3249" priority="276" operator="lessThan">
      <formula>0</formula>
    </cfRule>
    <cfRule type="cellIs" dxfId="3248" priority="277" operator="greaterThan">
      <formula>100.00001%</formula>
    </cfRule>
    <cfRule type="cellIs" dxfId="3247" priority="278" operator="between">
      <formula>0.66</formula>
      <formula>1</formula>
    </cfRule>
    <cfRule type="cellIs" dxfId="3246" priority="279" operator="between">
      <formula>0.401</formula>
      <formula>0.659999999999</formula>
    </cfRule>
    <cfRule type="cellIs" dxfId="3245" priority="280" operator="between">
      <formula>0</formula>
      <formula>0.4</formula>
    </cfRule>
  </conditionalFormatting>
  <conditionalFormatting sqref="BS418:BS419">
    <cfRule type="cellIs" dxfId="3244" priority="271" operator="lessThan">
      <formula>0</formula>
    </cfRule>
    <cfRule type="cellIs" dxfId="3243" priority="272" operator="greaterThan">
      <formula>100.00001%</formula>
    </cfRule>
    <cfRule type="cellIs" dxfId="3242" priority="273" operator="between">
      <formula>0.66</formula>
      <formula>1</formula>
    </cfRule>
    <cfRule type="cellIs" dxfId="3241" priority="274" operator="between">
      <formula>0.401</formula>
      <formula>0.659999999999</formula>
    </cfRule>
    <cfRule type="cellIs" dxfId="3240" priority="275" operator="between">
      <formula>0</formula>
      <formula>0.4</formula>
    </cfRule>
  </conditionalFormatting>
  <conditionalFormatting sqref="BS420">
    <cfRule type="cellIs" dxfId="3239" priority="266" operator="lessThan">
      <formula>0</formula>
    </cfRule>
    <cfRule type="cellIs" dxfId="3238" priority="267" operator="greaterThan">
      <formula>100.00001%</formula>
    </cfRule>
    <cfRule type="cellIs" dxfId="3237" priority="268" operator="between">
      <formula>0.66</formula>
      <formula>1</formula>
    </cfRule>
    <cfRule type="cellIs" dxfId="3236" priority="269" operator="between">
      <formula>0.401</formula>
      <formula>0.659999999999</formula>
    </cfRule>
    <cfRule type="cellIs" dxfId="3235" priority="270" operator="between">
      <formula>0</formula>
      <formula>0.4</formula>
    </cfRule>
  </conditionalFormatting>
  <conditionalFormatting sqref="BS421:BS426">
    <cfRule type="cellIs" dxfId="3234" priority="261" operator="lessThan">
      <formula>0</formula>
    </cfRule>
    <cfRule type="cellIs" dxfId="3233" priority="262" operator="greaterThan">
      <formula>100.00001%</formula>
    </cfRule>
    <cfRule type="cellIs" dxfId="3232" priority="263" operator="between">
      <formula>0.66</formula>
      <formula>1</formula>
    </cfRule>
    <cfRule type="cellIs" dxfId="3231" priority="264" operator="between">
      <formula>0.401</formula>
      <formula>0.659999999999</formula>
    </cfRule>
    <cfRule type="cellIs" dxfId="3230" priority="265" operator="between">
      <formula>0</formula>
      <formula>0.4</formula>
    </cfRule>
  </conditionalFormatting>
  <conditionalFormatting sqref="BS427:BS429">
    <cfRule type="cellIs" dxfId="3229" priority="256" operator="lessThan">
      <formula>0</formula>
    </cfRule>
    <cfRule type="cellIs" dxfId="3228" priority="257" operator="greaterThan">
      <formula>100.00001%</formula>
    </cfRule>
    <cfRule type="cellIs" dxfId="3227" priority="258" operator="between">
      <formula>0.66</formula>
      <formula>1</formula>
    </cfRule>
    <cfRule type="cellIs" dxfId="3226" priority="259" operator="between">
      <formula>0.401</formula>
      <formula>0.659999999999</formula>
    </cfRule>
    <cfRule type="cellIs" dxfId="3225" priority="260" operator="between">
      <formula>0</formula>
      <formula>0.4</formula>
    </cfRule>
  </conditionalFormatting>
  <conditionalFormatting sqref="BS431">
    <cfRule type="cellIs" dxfId="3224" priority="251" operator="lessThan">
      <formula>0</formula>
    </cfRule>
    <cfRule type="cellIs" dxfId="3223" priority="252" operator="greaterThan">
      <formula>100.00001%</formula>
    </cfRule>
    <cfRule type="cellIs" dxfId="3222" priority="253" operator="between">
      <formula>0.66</formula>
      <formula>1</formula>
    </cfRule>
    <cfRule type="cellIs" dxfId="3221" priority="254" operator="between">
      <formula>0.401</formula>
      <formula>0.659999999999</formula>
    </cfRule>
    <cfRule type="cellIs" dxfId="3220" priority="255" operator="between">
      <formula>0</formula>
      <formula>0.4</formula>
    </cfRule>
  </conditionalFormatting>
  <conditionalFormatting sqref="BS448:BS452">
    <cfRule type="cellIs" dxfId="3219" priority="246" operator="lessThan">
      <formula>0</formula>
    </cfRule>
    <cfRule type="cellIs" dxfId="3218" priority="247" operator="greaterThan">
      <formula>100.00001%</formula>
    </cfRule>
    <cfRule type="cellIs" dxfId="3217" priority="248" operator="between">
      <formula>0.66</formula>
      <formula>1</formula>
    </cfRule>
    <cfRule type="cellIs" dxfId="3216" priority="249" operator="between">
      <formula>0.401</formula>
      <formula>0.659999999999</formula>
    </cfRule>
    <cfRule type="cellIs" dxfId="3215" priority="250" operator="between">
      <formula>0</formula>
      <formula>0.4</formula>
    </cfRule>
  </conditionalFormatting>
  <conditionalFormatting sqref="BS456:BS457">
    <cfRule type="cellIs" dxfId="3214" priority="241" operator="lessThan">
      <formula>0</formula>
    </cfRule>
    <cfRule type="cellIs" dxfId="3213" priority="242" operator="greaterThan">
      <formula>100.00001%</formula>
    </cfRule>
    <cfRule type="cellIs" dxfId="3212" priority="243" operator="between">
      <formula>0.66</formula>
      <formula>1</formula>
    </cfRule>
    <cfRule type="cellIs" dxfId="3211" priority="244" operator="between">
      <formula>0.401</formula>
      <formula>0.659999999999</formula>
    </cfRule>
    <cfRule type="cellIs" dxfId="3210" priority="245" operator="between">
      <formula>0</formula>
      <formula>0.4</formula>
    </cfRule>
  </conditionalFormatting>
  <conditionalFormatting sqref="BS458">
    <cfRule type="cellIs" dxfId="3209" priority="236" operator="lessThan">
      <formula>0</formula>
    </cfRule>
    <cfRule type="cellIs" dxfId="3208" priority="237" operator="greaterThan">
      <formula>100.00001%</formula>
    </cfRule>
    <cfRule type="cellIs" dxfId="3207" priority="238" operator="between">
      <formula>0.66</formula>
      <formula>1</formula>
    </cfRule>
    <cfRule type="cellIs" dxfId="3206" priority="239" operator="between">
      <formula>0.401</formula>
      <formula>0.659999999999</formula>
    </cfRule>
    <cfRule type="cellIs" dxfId="3205" priority="240" operator="between">
      <formula>0</formula>
      <formula>0.4</formula>
    </cfRule>
  </conditionalFormatting>
  <conditionalFormatting sqref="BS478:BS484">
    <cfRule type="cellIs" dxfId="3204" priority="231" operator="lessThan">
      <formula>0</formula>
    </cfRule>
    <cfRule type="cellIs" dxfId="3203" priority="232" operator="greaterThan">
      <formula>100.00001%</formula>
    </cfRule>
    <cfRule type="cellIs" dxfId="3202" priority="233" operator="between">
      <formula>0.66</formula>
      <formula>1</formula>
    </cfRule>
    <cfRule type="cellIs" dxfId="3201" priority="234" operator="between">
      <formula>0.401</formula>
      <formula>0.659999999999</formula>
    </cfRule>
    <cfRule type="cellIs" dxfId="3200" priority="235" operator="between">
      <formula>0</formula>
      <formula>0.4</formula>
    </cfRule>
  </conditionalFormatting>
  <conditionalFormatting sqref="BS485">
    <cfRule type="cellIs" dxfId="3199" priority="226" operator="lessThan">
      <formula>0</formula>
    </cfRule>
    <cfRule type="cellIs" dxfId="3198" priority="227" operator="greaterThan">
      <formula>100.00001%</formula>
    </cfRule>
    <cfRule type="cellIs" dxfId="3197" priority="228" operator="between">
      <formula>0.66</formula>
      <formula>1</formula>
    </cfRule>
    <cfRule type="cellIs" dxfId="3196" priority="229" operator="between">
      <formula>0.401</formula>
      <formula>0.659999999999</formula>
    </cfRule>
    <cfRule type="cellIs" dxfId="3195" priority="230" operator="between">
      <formula>0</formula>
      <formula>0.4</formula>
    </cfRule>
  </conditionalFormatting>
  <conditionalFormatting sqref="BS486">
    <cfRule type="cellIs" dxfId="3194" priority="221" operator="lessThan">
      <formula>0</formula>
    </cfRule>
    <cfRule type="cellIs" dxfId="3193" priority="222" operator="greaterThan">
      <formula>100.00001%</formula>
    </cfRule>
    <cfRule type="cellIs" dxfId="3192" priority="223" operator="between">
      <formula>0.66</formula>
      <formula>1</formula>
    </cfRule>
    <cfRule type="cellIs" dxfId="3191" priority="224" operator="between">
      <formula>0.401</formula>
      <formula>0.659999999999</formula>
    </cfRule>
    <cfRule type="cellIs" dxfId="3190" priority="225" operator="between">
      <formula>0</formula>
      <formula>0.4</formula>
    </cfRule>
  </conditionalFormatting>
  <conditionalFormatting sqref="BS487:BS490">
    <cfRule type="cellIs" dxfId="3189" priority="216" operator="lessThan">
      <formula>0</formula>
    </cfRule>
    <cfRule type="cellIs" dxfId="3188" priority="217" operator="greaterThan">
      <formula>100.00001%</formula>
    </cfRule>
    <cfRule type="cellIs" dxfId="3187" priority="218" operator="between">
      <formula>0.66</formula>
      <formula>1</formula>
    </cfRule>
    <cfRule type="cellIs" dxfId="3186" priority="219" operator="between">
      <formula>0.401</formula>
      <formula>0.659999999999</formula>
    </cfRule>
    <cfRule type="cellIs" dxfId="3185" priority="220" operator="between">
      <formula>0</formula>
      <formula>0.4</formula>
    </cfRule>
  </conditionalFormatting>
  <conditionalFormatting sqref="BS462:BS463">
    <cfRule type="cellIs" dxfId="3184" priority="211" operator="lessThan">
      <formula>0</formula>
    </cfRule>
    <cfRule type="cellIs" dxfId="3183" priority="212" operator="greaterThan">
      <formula>100.00001%</formula>
    </cfRule>
    <cfRule type="cellIs" dxfId="3182" priority="213" operator="between">
      <formula>0.66</formula>
      <formula>1</formula>
    </cfRule>
    <cfRule type="cellIs" dxfId="3181" priority="214" operator="between">
      <formula>0.401</formula>
      <formula>0.659999999999</formula>
    </cfRule>
    <cfRule type="cellIs" dxfId="3180" priority="215" operator="between">
      <formula>0</formula>
      <formula>0.4</formula>
    </cfRule>
  </conditionalFormatting>
  <conditionalFormatting sqref="BS524">
    <cfRule type="cellIs" dxfId="3179" priority="206" operator="lessThan">
      <formula>0</formula>
    </cfRule>
    <cfRule type="cellIs" dxfId="3178" priority="207" operator="greaterThan">
      <formula>100.00001%</formula>
    </cfRule>
    <cfRule type="cellIs" dxfId="3177" priority="208" operator="between">
      <formula>0.66</formula>
      <formula>1</formula>
    </cfRule>
    <cfRule type="cellIs" dxfId="3176" priority="209" operator="between">
      <formula>0.401</formula>
      <formula>0.659999999999</formula>
    </cfRule>
    <cfRule type="cellIs" dxfId="3175" priority="210" operator="between">
      <formula>0</formula>
      <formula>0.4</formula>
    </cfRule>
  </conditionalFormatting>
  <conditionalFormatting sqref="BS541:BS545">
    <cfRule type="cellIs" dxfId="3174" priority="201" operator="lessThan">
      <formula>0</formula>
    </cfRule>
    <cfRule type="cellIs" dxfId="3173" priority="202" operator="greaterThan">
      <formula>100.00001%</formula>
    </cfRule>
    <cfRule type="cellIs" dxfId="3172" priority="203" operator="between">
      <formula>0.66</formula>
      <formula>1</formula>
    </cfRule>
    <cfRule type="cellIs" dxfId="3171" priority="204" operator="between">
      <formula>0.401</formula>
      <formula>0.659999999999</formula>
    </cfRule>
    <cfRule type="cellIs" dxfId="3170" priority="205" operator="between">
      <formula>0</formula>
      <formula>0.4</formula>
    </cfRule>
  </conditionalFormatting>
  <conditionalFormatting sqref="BS546:BS547">
    <cfRule type="cellIs" dxfId="3169" priority="196" operator="lessThan">
      <formula>0</formula>
    </cfRule>
    <cfRule type="cellIs" dxfId="3168" priority="197" operator="greaterThan">
      <formula>100.00001%</formula>
    </cfRule>
    <cfRule type="cellIs" dxfId="3167" priority="198" operator="between">
      <formula>0.66</formula>
      <formula>1</formula>
    </cfRule>
    <cfRule type="cellIs" dxfId="3166" priority="199" operator="between">
      <formula>0.401</formula>
      <formula>0.659999999999</formula>
    </cfRule>
    <cfRule type="cellIs" dxfId="3165" priority="200" operator="between">
      <formula>0</formula>
      <formula>0.4</formula>
    </cfRule>
  </conditionalFormatting>
  <conditionalFormatting sqref="BS548:BS549">
    <cfRule type="cellIs" dxfId="3164" priority="191" operator="lessThan">
      <formula>0</formula>
    </cfRule>
    <cfRule type="cellIs" dxfId="3163" priority="192" operator="greaterThan">
      <formula>100.00001%</formula>
    </cfRule>
    <cfRule type="cellIs" dxfId="3162" priority="193" operator="between">
      <formula>0.66</formula>
      <formula>1</formula>
    </cfRule>
    <cfRule type="cellIs" dxfId="3161" priority="194" operator="between">
      <formula>0.401</formula>
      <formula>0.659999999999</formula>
    </cfRule>
    <cfRule type="cellIs" dxfId="3160" priority="195" operator="between">
      <formula>0</formula>
      <formula>0.4</formula>
    </cfRule>
  </conditionalFormatting>
  <conditionalFormatting sqref="BS550:BS555">
    <cfRule type="cellIs" dxfId="3159" priority="186" operator="lessThan">
      <formula>0</formula>
    </cfRule>
    <cfRule type="cellIs" dxfId="3158" priority="187" operator="greaterThan">
      <formula>100.00001%</formula>
    </cfRule>
    <cfRule type="cellIs" dxfId="3157" priority="188" operator="between">
      <formula>0.66</formula>
      <formula>1</formula>
    </cfRule>
    <cfRule type="cellIs" dxfId="3156" priority="189" operator="between">
      <formula>0.401</formula>
      <formula>0.659999999999</formula>
    </cfRule>
    <cfRule type="cellIs" dxfId="3155" priority="190" operator="between">
      <formula>0</formula>
      <formula>0.4</formula>
    </cfRule>
  </conditionalFormatting>
  <conditionalFormatting sqref="BS589:BS590">
    <cfRule type="cellIs" dxfId="3154" priority="181" operator="lessThan">
      <formula>0</formula>
    </cfRule>
    <cfRule type="cellIs" dxfId="3153" priority="182" operator="greaterThan">
      <formula>100.00001%</formula>
    </cfRule>
    <cfRule type="cellIs" dxfId="3152" priority="183" operator="between">
      <formula>0.66</formula>
      <formula>1</formula>
    </cfRule>
    <cfRule type="cellIs" dxfId="3151" priority="184" operator="between">
      <formula>0.401</formula>
      <formula>0.659999999999</formula>
    </cfRule>
    <cfRule type="cellIs" dxfId="3150" priority="185" operator="between">
      <formula>0</formula>
      <formula>0.4</formula>
    </cfRule>
  </conditionalFormatting>
  <conditionalFormatting sqref="BS591">
    <cfRule type="cellIs" dxfId="3149" priority="176" operator="lessThan">
      <formula>0</formula>
    </cfRule>
    <cfRule type="cellIs" dxfId="3148" priority="177" operator="greaterThan">
      <formula>100.00001%</formula>
    </cfRule>
    <cfRule type="cellIs" dxfId="3147" priority="178" operator="between">
      <formula>0.66</formula>
      <formula>1</formula>
    </cfRule>
    <cfRule type="cellIs" dxfId="3146" priority="179" operator="between">
      <formula>0.401</formula>
      <formula>0.659999999999</formula>
    </cfRule>
    <cfRule type="cellIs" dxfId="3145" priority="180" operator="between">
      <formula>0</formula>
      <formula>0.4</formula>
    </cfRule>
  </conditionalFormatting>
  <conditionalFormatting sqref="BS594:BS595">
    <cfRule type="cellIs" dxfId="3144" priority="171" operator="lessThan">
      <formula>0</formula>
    </cfRule>
    <cfRule type="cellIs" dxfId="3143" priority="172" operator="greaterThan">
      <formula>100.00001%</formula>
    </cfRule>
    <cfRule type="cellIs" dxfId="3142" priority="173" operator="between">
      <formula>0.66</formula>
      <formula>1</formula>
    </cfRule>
    <cfRule type="cellIs" dxfId="3141" priority="174" operator="between">
      <formula>0.401</formula>
      <formula>0.659999999999</formula>
    </cfRule>
    <cfRule type="cellIs" dxfId="3140" priority="175" operator="between">
      <formula>0</formula>
      <formula>0.4</formula>
    </cfRule>
  </conditionalFormatting>
  <conditionalFormatting sqref="BS596:BS597">
    <cfRule type="cellIs" dxfId="3139" priority="166" operator="lessThan">
      <formula>0</formula>
    </cfRule>
    <cfRule type="cellIs" dxfId="3138" priority="167" operator="greaterThan">
      <formula>100.00001%</formula>
    </cfRule>
    <cfRule type="cellIs" dxfId="3137" priority="168" operator="between">
      <formula>0.66</formula>
      <formula>1</formula>
    </cfRule>
    <cfRule type="cellIs" dxfId="3136" priority="169" operator="between">
      <formula>0.401</formula>
      <formula>0.659999999999</formula>
    </cfRule>
    <cfRule type="cellIs" dxfId="3135" priority="170" operator="between">
      <formula>0</formula>
      <formula>0.4</formula>
    </cfRule>
  </conditionalFormatting>
  <conditionalFormatting sqref="BS598:BS599">
    <cfRule type="cellIs" dxfId="3134" priority="161" operator="lessThan">
      <formula>0</formula>
    </cfRule>
    <cfRule type="cellIs" dxfId="3133" priority="162" operator="greaterThan">
      <formula>100.00001%</formula>
    </cfRule>
    <cfRule type="cellIs" dxfId="3132" priority="163" operator="between">
      <formula>0.66</formula>
      <formula>1</formula>
    </cfRule>
    <cfRule type="cellIs" dxfId="3131" priority="164" operator="between">
      <formula>0.401</formula>
      <formula>0.659999999999</formula>
    </cfRule>
    <cfRule type="cellIs" dxfId="3130" priority="165" operator="between">
      <formula>0</formula>
      <formula>0.4</formula>
    </cfRule>
  </conditionalFormatting>
  <conditionalFormatting sqref="BS608">
    <cfRule type="cellIs" dxfId="3129" priority="156" operator="lessThan">
      <formula>0</formula>
    </cfRule>
    <cfRule type="cellIs" dxfId="3128" priority="157" operator="greaterThan">
      <formula>100.00001%</formula>
    </cfRule>
    <cfRule type="cellIs" dxfId="3127" priority="158" operator="between">
      <formula>0.66</formula>
      <formula>1</formula>
    </cfRule>
    <cfRule type="cellIs" dxfId="3126" priority="159" operator="between">
      <formula>0.401</formula>
      <formula>0.659999999999</formula>
    </cfRule>
    <cfRule type="cellIs" dxfId="3125" priority="160" operator="between">
      <formula>0</formula>
      <formula>0.4</formula>
    </cfRule>
  </conditionalFormatting>
  <conditionalFormatting sqref="BS622">
    <cfRule type="cellIs" dxfId="3124" priority="151" operator="lessThan">
      <formula>0</formula>
    </cfRule>
    <cfRule type="cellIs" dxfId="3123" priority="152" operator="greaterThan">
      <formula>100.00001%</formula>
    </cfRule>
    <cfRule type="cellIs" dxfId="3122" priority="153" operator="between">
      <formula>0.66</formula>
      <formula>1</formula>
    </cfRule>
    <cfRule type="cellIs" dxfId="3121" priority="154" operator="between">
      <formula>0.401</formula>
      <formula>0.659999999999</formula>
    </cfRule>
    <cfRule type="cellIs" dxfId="3120" priority="155" operator="between">
      <formula>0</formula>
      <formula>0.4</formula>
    </cfRule>
  </conditionalFormatting>
  <conditionalFormatting sqref="BS623">
    <cfRule type="cellIs" dxfId="3119" priority="146" operator="lessThan">
      <formula>0</formula>
    </cfRule>
    <cfRule type="cellIs" dxfId="3118" priority="147" operator="greaterThan">
      <formula>100.00001%</formula>
    </cfRule>
    <cfRule type="cellIs" dxfId="3117" priority="148" operator="between">
      <formula>0.66</formula>
      <formula>1</formula>
    </cfRule>
    <cfRule type="cellIs" dxfId="3116" priority="149" operator="between">
      <formula>0.401</formula>
      <formula>0.659999999999</formula>
    </cfRule>
    <cfRule type="cellIs" dxfId="3115" priority="150" operator="between">
      <formula>0</formula>
      <formula>0.4</formula>
    </cfRule>
  </conditionalFormatting>
  <conditionalFormatting sqref="BS624:BS626">
    <cfRule type="cellIs" dxfId="3114" priority="141" operator="lessThan">
      <formula>0</formula>
    </cfRule>
    <cfRule type="cellIs" dxfId="3113" priority="142" operator="greaterThan">
      <formula>100.00001%</formula>
    </cfRule>
    <cfRule type="cellIs" dxfId="3112" priority="143" operator="between">
      <formula>0.66</formula>
      <formula>1</formula>
    </cfRule>
    <cfRule type="cellIs" dxfId="3111" priority="144" operator="between">
      <formula>0.401</formula>
      <formula>0.659999999999</formula>
    </cfRule>
    <cfRule type="cellIs" dxfId="3110" priority="145" operator="between">
      <formula>0</formula>
      <formula>0.4</formula>
    </cfRule>
  </conditionalFormatting>
  <conditionalFormatting sqref="BS627">
    <cfRule type="cellIs" dxfId="3109" priority="136" operator="lessThan">
      <formula>0</formula>
    </cfRule>
    <cfRule type="cellIs" dxfId="3108" priority="137" operator="greaterThan">
      <formula>100.00001%</formula>
    </cfRule>
    <cfRule type="cellIs" dxfId="3107" priority="138" operator="between">
      <formula>0.66</formula>
      <formula>1</formula>
    </cfRule>
    <cfRule type="cellIs" dxfId="3106" priority="139" operator="between">
      <formula>0.401</formula>
      <formula>0.659999999999</formula>
    </cfRule>
    <cfRule type="cellIs" dxfId="3105" priority="140" operator="between">
      <formula>0</formula>
      <formula>0.4</formula>
    </cfRule>
  </conditionalFormatting>
  <conditionalFormatting sqref="BS628:BS629">
    <cfRule type="cellIs" dxfId="3104" priority="131" operator="lessThan">
      <formula>0</formula>
    </cfRule>
    <cfRule type="cellIs" dxfId="3103" priority="132" operator="greaterThan">
      <formula>100.00001%</formula>
    </cfRule>
    <cfRule type="cellIs" dxfId="3102" priority="133" operator="between">
      <formula>0.66</formula>
      <formula>1</formula>
    </cfRule>
    <cfRule type="cellIs" dxfId="3101" priority="134" operator="between">
      <formula>0.401</formula>
      <formula>0.659999999999</formula>
    </cfRule>
    <cfRule type="cellIs" dxfId="3100" priority="135" operator="between">
      <formula>0</formula>
      <formula>0.4</formula>
    </cfRule>
  </conditionalFormatting>
  <conditionalFormatting sqref="BS630">
    <cfRule type="cellIs" dxfId="3099" priority="126" operator="lessThan">
      <formula>0</formula>
    </cfRule>
    <cfRule type="cellIs" dxfId="3098" priority="127" operator="greaterThan">
      <formula>100.00001%</formula>
    </cfRule>
    <cfRule type="cellIs" dxfId="3097" priority="128" operator="between">
      <formula>0.66</formula>
      <formula>1</formula>
    </cfRule>
    <cfRule type="cellIs" dxfId="3096" priority="129" operator="between">
      <formula>0.401</formula>
      <formula>0.659999999999</formula>
    </cfRule>
    <cfRule type="cellIs" dxfId="3095" priority="130" operator="between">
      <formula>0</formula>
      <formula>0.4</formula>
    </cfRule>
  </conditionalFormatting>
  <conditionalFormatting sqref="BS631:BS643">
    <cfRule type="cellIs" dxfId="3094" priority="121" operator="lessThan">
      <formula>0</formula>
    </cfRule>
    <cfRule type="cellIs" dxfId="3093" priority="122" operator="greaterThan">
      <formula>100.00001%</formula>
    </cfRule>
    <cfRule type="cellIs" dxfId="3092" priority="123" operator="between">
      <formula>0.66</formula>
      <formula>1</formula>
    </cfRule>
    <cfRule type="cellIs" dxfId="3091" priority="124" operator="between">
      <formula>0.401</formula>
      <formula>0.659999999999</formula>
    </cfRule>
    <cfRule type="cellIs" dxfId="3090" priority="125" operator="between">
      <formula>0</formula>
      <formula>0.4</formula>
    </cfRule>
  </conditionalFormatting>
  <conditionalFormatting sqref="BS644:BS645">
    <cfRule type="cellIs" dxfId="3089" priority="116" operator="lessThan">
      <formula>0</formula>
    </cfRule>
    <cfRule type="cellIs" dxfId="3088" priority="117" operator="greaterThan">
      <formula>100.00001%</formula>
    </cfRule>
    <cfRule type="cellIs" dxfId="3087" priority="118" operator="between">
      <formula>0.66</formula>
      <formula>1</formula>
    </cfRule>
    <cfRule type="cellIs" dxfId="3086" priority="119" operator="between">
      <formula>0.401</formula>
      <formula>0.659999999999</formula>
    </cfRule>
    <cfRule type="cellIs" dxfId="3085" priority="120" operator="between">
      <formula>0</formula>
      <formula>0.4</formula>
    </cfRule>
  </conditionalFormatting>
  <conditionalFormatting sqref="BS667">
    <cfRule type="cellIs" dxfId="3084" priority="111" operator="lessThan">
      <formula>0</formula>
    </cfRule>
    <cfRule type="cellIs" dxfId="3083" priority="112" operator="greaterThan">
      <formula>100.00001%</formula>
    </cfRule>
    <cfRule type="cellIs" dxfId="3082" priority="113" operator="between">
      <formula>0.66</formula>
      <formula>1</formula>
    </cfRule>
    <cfRule type="cellIs" dxfId="3081" priority="114" operator="between">
      <formula>0.401</formula>
      <formula>0.659999999999</formula>
    </cfRule>
    <cfRule type="cellIs" dxfId="3080" priority="115" operator="between">
      <formula>0</formula>
      <formula>0.4</formula>
    </cfRule>
  </conditionalFormatting>
  <conditionalFormatting sqref="BS670">
    <cfRule type="cellIs" dxfId="3079" priority="106" operator="lessThan">
      <formula>0</formula>
    </cfRule>
    <cfRule type="cellIs" dxfId="3078" priority="107" operator="greaterThan">
      <formula>100.00001%</formula>
    </cfRule>
    <cfRule type="cellIs" dxfId="3077" priority="108" operator="between">
      <formula>0.66</formula>
      <formula>1</formula>
    </cfRule>
    <cfRule type="cellIs" dxfId="3076" priority="109" operator="between">
      <formula>0.401</formula>
      <formula>0.659999999999</formula>
    </cfRule>
    <cfRule type="cellIs" dxfId="3075" priority="110" operator="between">
      <formula>0</formula>
      <formula>0.4</formula>
    </cfRule>
  </conditionalFormatting>
  <conditionalFormatting sqref="BS679:BS692">
    <cfRule type="cellIs" dxfId="3074" priority="101" operator="lessThan">
      <formula>0</formula>
    </cfRule>
    <cfRule type="cellIs" dxfId="3073" priority="102" operator="greaterThan">
      <formula>100.00001%</formula>
    </cfRule>
    <cfRule type="cellIs" dxfId="3072" priority="103" operator="between">
      <formula>0.66</formula>
      <formula>1</formula>
    </cfRule>
    <cfRule type="cellIs" dxfId="3071" priority="104" operator="between">
      <formula>0.401</formula>
      <formula>0.659999999999</formula>
    </cfRule>
    <cfRule type="cellIs" dxfId="3070" priority="105" operator="between">
      <formula>0</formula>
      <formula>0.4</formula>
    </cfRule>
  </conditionalFormatting>
  <conditionalFormatting sqref="BS693:BS700">
    <cfRule type="cellIs" dxfId="3069" priority="96" operator="lessThan">
      <formula>0</formula>
    </cfRule>
    <cfRule type="cellIs" dxfId="3068" priority="97" operator="greaterThan">
      <formula>100.00001%</formula>
    </cfRule>
    <cfRule type="cellIs" dxfId="3067" priority="98" operator="between">
      <formula>0.66</formula>
      <formula>1</formula>
    </cfRule>
    <cfRule type="cellIs" dxfId="3066" priority="99" operator="between">
      <formula>0.401</formula>
      <formula>0.659999999999</formula>
    </cfRule>
    <cfRule type="cellIs" dxfId="3065" priority="100" operator="between">
      <formula>0</formula>
      <formula>0.4</formula>
    </cfRule>
  </conditionalFormatting>
  <conditionalFormatting sqref="BS701">
    <cfRule type="cellIs" dxfId="3064" priority="91" operator="lessThan">
      <formula>0</formula>
    </cfRule>
    <cfRule type="cellIs" dxfId="3063" priority="92" operator="greaterThan">
      <formula>100.00001%</formula>
    </cfRule>
    <cfRule type="cellIs" dxfId="3062" priority="93" operator="between">
      <formula>0.66</formula>
      <formula>1</formula>
    </cfRule>
    <cfRule type="cellIs" dxfId="3061" priority="94" operator="between">
      <formula>0.401</formula>
      <formula>0.659999999999</formula>
    </cfRule>
    <cfRule type="cellIs" dxfId="3060" priority="95" operator="between">
      <formula>0</formula>
      <formula>0.4</formula>
    </cfRule>
  </conditionalFormatting>
  <conditionalFormatting sqref="BS713">
    <cfRule type="cellIs" dxfId="3059" priority="86" operator="lessThan">
      <formula>0</formula>
    </cfRule>
    <cfRule type="cellIs" dxfId="3058" priority="87" operator="greaterThan">
      <formula>100.00001%</formula>
    </cfRule>
    <cfRule type="cellIs" dxfId="3057" priority="88" operator="between">
      <formula>0.66</formula>
      <formula>1</formula>
    </cfRule>
    <cfRule type="cellIs" dxfId="3056" priority="89" operator="between">
      <formula>0.401</formula>
      <formula>0.659999999999</formula>
    </cfRule>
    <cfRule type="cellIs" dxfId="3055" priority="90" operator="between">
      <formula>0</formula>
      <formula>0.4</formula>
    </cfRule>
  </conditionalFormatting>
  <conditionalFormatting sqref="BS727:BS728">
    <cfRule type="cellIs" dxfId="3054" priority="81" operator="lessThan">
      <formula>0</formula>
    </cfRule>
    <cfRule type="cellIs" dxfId="3053" priority="82" operator="greaterThan">
      <formula>100.00001%</formula>
    </cfRule>
    <cfRule type="cellIs" dxfId="3052" priority="83" operator="between">
      <formula>0.66</formula>
      <formula>1</formula>
    </cfRule>
    <cfRule type="cellIs" dxfId="3051" priority="84" operator="between">
      <formula>0.401</formula>
      <formula>0.659999999999</formula>
    </cfRule>
    <cfRule type="cellIs" dxfId="3050" priority="85" operator="between">
      <formula>0</formula>
      <formula>0.4</formula>
    </cfRule>
  </conditionalFormatting>
  <conditionalFormatting sqref="BS729:BS731">
    <cfRule type="cellIs" dxfId="3049" priority="76" operator="lessThan">
      <formula>0</formula>
    </cfRule>
    <cfRule type="cellIs" dxfId="3048" priority="77" operator="greaterThan">
      <formula>100.00001%</formula>
    </cfRule>
    <cfRule type="cellIs" dxfId="3047" priority="78" operator="between">
      <formula>0.66</formula>
      <formula>1</formula>
    </cfRule>
    <cfRule type="cellIs" dxfId="3046" priority="79" operator="between">
      <formula>0.401</formula>
      <formula>0.659999999999</formula>
    </cfRule>
    <cfRule type="cellIs" dxfId="3045" priority="80" operator="between">
      <formula>0</formula>
      <formula>0.4</formula>
    </cfRule>
  </conditionalFormatting>
  <conditionalFormatting sqref="BS732">
    <cfRule type="cellIs" dxfId="3044" priority="71" operator="lessThan">
      <formula>0</formula>
    </cfRule>
    <cfRule type="cellIs" dxfId="3043" priority="72" operator="greaterThan">
      <formula>100.00001%</formula>
    </cfRule>
    <cfRule type="cellIs" dxfId="3042" priority="73" operator="between">
      <formula>0.66</formula>
      <formula>1</formula>
    </cfRule>
    <cfRule type="cellIs" dxfId="3041" priority="74" operator="between">
      <formula>0.401</formula>
      <formula>0.659999999999</formula>
    </cfRule>
    <cfRule type="cellIs" dxfId="3040" priority="75" operator="between">
      <formula>0</formula>
      <formula>0.4</formula>
    </cfRule>
  </conditionalFormatting>
  <conditionalFormatting sqref="BS733:BS734">
    <cfRule type="cellIs" dxfId="3039" priority="66" operator="lessThan">
      <formula>0</formula>
    </cfRule>
    <cfRule type="cellIs" dxfId="3038" priority="67" operator="greaterThan">
      <formula>100.00001%</formula>
    </cfRule>
    <cfRule type="cellIs" dxfId="3037" priority="68" operator="between">
      <formula>0.66</formula>
      <formula>1</formula>
    </cfRule>
    <cfRule type="cellIs" dxfId="3036" priority="69" operator="between">
      <formula>0.401</formula>
      <formula>0.659999999999</formula>
    </cfRule>
    <cfRule type="cellIs" dxfId="3035" priority="70" operator="between">
      <formula>0</formula>
      <formula>0.4</formula>
    </cfRule>
  </conditionalFormatting>
  <conditionalFormatting sqref="BS737:BS738">
    <cfRule type="cellIs" dxfId="3034" priority="61" operator="lessThan">
      <formula>0</formula>
    </cfRule>
    <cfRule type="cellIs" dxfId="3033" priority="62" operator="greaterThan">
      <formula>100.00001%</formula>
    </cfRule>
    <cfRule type="cellIs" dxfId="3032" priority="63" operator="between">
      <formula>0.66</formula>
      <formula>1</formula>
    </cfRule>
    <cfRule type="cellIs" dxfId="3031" priority="64" operator="between">
      <formula>0.401</formula>
      <formula>0.659999999999</formula>
    </cfRule>
    <cfRule type="cellIs" dxfId="3030" priority="65" operator="between">
      <formula>0</formula>
      <formula>0.4</formula>
    </cfRule>
  </conditionalFormatting>
  <conditionalFormatting sqref="BS770">
    <cfRule type="cellIs" dxfId="3029" priority="56" operator="lessThan">
      <formula>0</formula>
    </cfRule>
    <cfRule type="cellIs" dxfId="3028" priority="57" operator="greaterThan">
      <formula>100.00001%</formula>
    </cfRule>
    <cfRule type="cellIs" dxfId="3027" priority="58" operator="between">
      <formula>0.66</formula>
      <formula>1</formula>
    </cfRule>
    <cfRule type="cellIs" dxfId="3026" priority="59" operator="between">
      <formula>0.401</formula>
      <formula>0.659999999999</formula>
    </cfRule>
    <cfRule type="cellIs" dxfId="3025" priority="60" operator="between">
      <formula>0</formula>
      <formula>0.4</formula>
    </cfRule>
  </conditionalFormatting>
  <conditionalFormatting sqref="BS771">
    <cfRule type="cellIs" dxfId="3024" priority="51" operator="lessThan">
      <formula>0</formula>
    </cfRule>
    <cfRule type="cellIs" dxfId="3023" priority="52" operator="greaterThan">
      <formula>100.00001%</formula>
    </cfRule>
    <cfRule type="cellIs" dxfId="3022" priority="53" operator="between">
      <formula>0.66</formula>
      <formula>1</formula>
    </cfRule>
    <cfRule type="cellIs" dxfId="3021" priority="54" operator="between">
      <formula>0.401</formula>
      <formula>0.659999999999</formula>
    </cfRule>
    <cfRule type="cellIs" dxfId="3020" priority="55" operator="between">
      <formula>0</formula>
      <formula>0.4</formula>
    </cfRule>
  </conditionalFormatting>
  <conditionalFormatting sqref="BS772:BS774">
    <cfRule type="cellIs" dxfId="3019" priority="46" operator="lessThan">
      <formula>0</formula>
    </cfRule>
    <cfRule type="cellIs" dxfId="3018" priority="47" operator="greaterThan">
      <formula>100.00001%</formula>
    </cfRule>
    <cfRule type="cellIs" dxfId="3017" priority="48" operator="between">
      <formula>0.66</formula>
      <formula>1</formula>
    </cfRule>
    <cfRule type="cellIs" dxfId="3016" priority="49" operator="between">
      <formula>0.401</formula>
      <formula>0.659999999999</formula>
    </cfRule>
    <cfRule type="cellIs" dxfId="3015" priority="50" operator="between">
      <formula>0</formula>
      <formula>0.4</formula>
    </cfRule>
  </conditionalFormatting>
  <conditionalFormatting sqref="BS775:BS779">
    <cfRule type="cellIs" dxfId="3014" priority="41" operator="lessThan">
      <formula>0</formula>
    </cfRule>
    <cfRule type="cellIs" dxfId="3013" priority="42" operator="greaterThan">
      <formula>100.00001%</formula>
    </cfRule>
    <cfRule type="cellIs" dxfId="3012" priority="43" operator="between">
      <formula>0.66</formula>
      <formula>1</formula>
    </cfRule>
    <cfRule type="cellIs" dxfId="3011" priority="44" operator="between">
      <formula>0.401</formula>
      <formula>0.659999999999</formula>
    </cfRule>
    <cfRule type="cellIs" dxfId="3010" priority="45" operator="between">
      <formula>0</formula>
      <formula>0.4</formula>
    </cfRule>
  </conditionalFormatting>
  <conditionalFormatting sqref="BS780">
    <cfRule type="cellIs" dxfId="3009" priority="36" operator="lessThan">
      <formula>0</formula>
    </cfRule>
    <cfRule type="cellIs" dxfId="3008" priority="37" operator="greaterThan">
      <formula>100.00001%</formula>
    </cfRule>
    <cfRule type="cellIs" dxfId="3007" priority="38" operator="between">
      <formula>0.66</formula>
      <formula>1</formula>
    </cfRule>
    <cfRule type="cellIs" dxfId="3006" priority="39" operator="between">
      <formula>0.401</formula>
      <formula>0.659999999999</formula>
    </cfRule>
    <cfRule type="cellIs" dxfId="3005" priority="40" operator="between">
      <formula>0</formula>
      <formula>0.4</formula>
    </cfRule>
  </conditionalFormatting>
  <conditionalFormatting sqref="BS739:BS743">
    <cfRule type="cellIs" dxfId="3004" priority="31" operator="lessThan">
      <formula>0</formula>
    </cfRule>
    <cfRule type="cellIs" dxfId="3003" priority="32" operator="greaterThan">
      <formula>100.00001%</formula>
    </cfRule>
    <cfRule type="cellIs" dxfId="3002" priority="33" operator="between">
      <formula>0.66</formula>
      <formula>1</formula>
    </cfRule>
    <cfRule type="cellIs" dxfId="3001" priority="34" operator="between">
      <formula>0.401</formula>
      <formula>0.659999999999</formula>
    </cfRule>
    <cfRule type="cellIs" dxfId="3000" priority="35" operator="between">
      <formula>0</formula>
      <formula>0.4</formula>
    </cfRule>
  </conditionalFormatting>
  <conditionalFormatting sqref="BS744">
    <cfRule type="cellIs" dxfId="2999" priority="26" operator="lessThan">
      <formula>0</formula>
    </cfRule>
    <cfRule type="cellIs" dxfId="2998" priority="27" operator="greaterThan">
      <formula>100.00001%</formula>
    </cfRule>
    <cfRule type="cellIs" dxfId="2997" priority="28" operator="between">
      <formula>0.66</formula>
      <formula>1</formula>
    </cfRule>
    <cfRule type="cellIs" dxfId="2996" priority="29" operator="between">
      <formula>0.401</formula>
      <formula>0.659999999999</formula>
    </cfRule>
    <cfRule type="cellIs" dxfId="2995" priority="30" operator="between">
      <formula>0</formula>
      <formula>0.4</formula>
    </cfRule>
  </conditionalFormatting>
  <conditionalFormatting sqref="BS745:BS747">
    <cfRule type="cellIs" dxfId="2994" priority="21" operator="lessThan">
      <formula>0</formula>
    </cfRule>
    <cfRule type="cellIs" dxfId="2993" priority="22" operator="greaterThan">
      <formula>100.00001%</formula>
    </cfRule>
    <cfRule type="cellIs" dxfId="2992" priority="23" operator="between">
      <formula>0.66</formula>
      <formula>1</formula>
    </cfRule>
    <cfRule type="cellIs" dxfId="2991" priority="24" operator="between">
      <formula>0.401</formula>
      <formula>0.659999999999</formula>
    </cfRule>
    <cfRule type="cellIs" dxfId="2990" priority="25" operator="between">
      <formula>0</formula>
      <formula>0.4</formula>
    </cfRule>
  </conditionalFormatting>
  <conditionalFormatting sqref="BS870:BS872">
    <cfRule type="cellIs" dxfId="2989" priority="11" operator="lessThan">
      <formula>0</formula>
    </cfRule>
    <cfRule type="cellIs" dxfId="2988" priority="12" operator="greaterThan">
      <formula>100.00001%</formula>
    </cfRule>
    <cfRule type="cellIs" dxfId="2987" priority="13" operator="between">
      <formula>0.66</formula>
      <formula>1</formula>
    </cfRule>
    <cfRule type="cellIs" dxfId="2986" priority="14" operator="between">
      <formula>0.401</formula>
      <formula>0.659999999999</formula>
    </cfRule>
    <cfRule type="cellIs" dxfId="2985" priority="15" operator="between">
      <formula>0</formula>
      <formula>0.4</formula>
    </cfRule>
  </conditionalFormatting>
  <conditionalFormatting sqref="BS898:BS899">
    <cfRule type="cellIs" dxfId="2984" priority="6" operator="lessThan">
      <formula>0</formula>
    </cfRule>
    <cfRule type="cellIs" dxfId="2983" priority="7" operator="greaterThan">
      <formula>100.00001%</formula>
    </cfRule>
    <cfRule type="cellIs" dxfId="2982" priority="8" operator="between">
      <formula>0.66</formula>
      <formula>1</formula>
    </cfRule>
    <cfRule type="cellIs" dxfId="2981" priority="9" operator="between">
      <formula>0.401</formula>
      <formula>0.659999999999</formula>
    </cfRule>
    <cfRule type="cellIs" dxfId="2980" priority="10" operator="between">
      <formula>0</formula>
      <formula>0.4</formula>
    </cfRule>
  </conditionalFormatting>
  <conditionalFormatting sqref="BS862:BS866">
    <cfRule type="cellIs" dxfId="2979" priority="1" operator="lessThan">
      <formula>0</formula>
    </cfRule>
    <cfRule type="cellIs" dxfId="2978" priority="2" operator="greaterThan">
      <formula>100.00001%</formula>
    </cfRule>
    <cfRule type="cellIs" dxfId="2977" priority="3" operator="between">
      <formula>0.66</formula>
      <formula>1</formula>
    </cfRule>
    <cfRule type="cellIs" dxfId="2976" priority="4" operator="between">
      <formula>0.401</formula>
      <formula>0.659999999999</formula>
    </cfRule>
    <cfRule type="cellIs" dxfId="2975" priority="5" operator="between">
      <formula>0</formula>
      <formula>0.4</formula>
    </cfRule>
  </conditionalFormatting>
  <pageMargins left="0.31496099999999999" right="0.31496099999999999" top="0.55118100000000003" bottom="0.55118100000000003" header="0" footer="0"/>
  <pageSetup scale="45" fitToHeight="0" orientation="portrait" r:id="rId1"/>
  <headerFooter>
    <oddFooter>&amp;C000000&amp;P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67AF2-A076-4E81-9684-AC4A363401F7}">
  <sheetPr>
    <pageSetUpPr fitToPage="1"/>
  </sheetPr>
  <dimension ref="A1:BM1071"/>
  <sheetViews>
    <sheetView showGridLines="0" topLeftCell="B1" zoomScale="20" zoomScaleNormal="20" workbookViewId="0">
      <selection activeCell="D11" sqref="D11"/>
    </sheetView>
  </sheetViews>
  <sheetFormatPr baseColWidth="10" defaultColWidth="14.42578125" defaultRowHeight="15" customHeight="1"/>
  <cols>
    <col min="1" max="1" width="28.28515625" style="16" hidden="1" customWidth="1"/>
    <col min="2" max="2" width="11.140625" style="16" customWidth="1"/>
    <col min="3" max="3" width="12.7109375" style="9" customWidth="1"/>
    <col min="4" max="4" width="72.28515625" style="332" customWidth="1"/>
    <col min="5" max="5" width="11.28515625" style="4" customWidth="1"/>
    <col min="6" max="9" width="15.7109375" style="1" customWidth="1"/>
    <col min="10" max="12" width="14.42578125" style="1" customWidth="1"/>
    <col min="13" max="13" width="14.42578125" style="4" customWidth="1"/>
    <col min="14" max="22" width="14.42578125" style="1" customWidth="1"/>
    <col min="23" max="23" width="16.85546875" style="9" customWidth="1"/>
    <col min="24" max="24" width="18.140625" style="6" customWidth="1"/>
    <col min="25" max="25" width="19.28515625" style="9" customWidth="1"/>
    <col min="26" max="26" width="19" style="9" customWidth="1"/>
    <col min="27" max="27" width="13.28515625" style="1" customWidth="1"/>
    <col min="28" max="28" width="13.140625" style="1" customWidth="1"/>
    <col min="29" max="29" width="10.7109375" style="1" customWidth="1"/>
    <col min="30" max="30" width="18" style="16" customWidth="1"/>
    <col min="31" max="31" width="17.42578125" style="16" customWidth="1"/>
    <col min="32" max="38" width="14.42578125" style="1" customWidth="1"/>
    <col min="39" max="39" width="14.42578125" style="1"/>
    <col min="40" max="40" width="15.85546875" style="9" customWidth="1"/>
    <col min="41" max="47" width="14.42578125" style="1" customWidth="1"/>
    <col min="48" max="48" width="18.28515625" style="1" customWidth="1"/>
    <col min="49" max="49" width="16.85546875" style="9" customWidth="1"/>
    <col min="50" max="50" width="18.140625" style="9" customWidth="1"/>
    <col min="51" max="53" width="19.28515625" style="9" customWidth="1"/>
    <col min="54" max="54" width="19" style="9" customWidth="1"/>
    <col min="55" max="55" width="19.28515625" style="9" customWidth="1"/>
    <col min="56" max="60" width="14.42578125" style="1" customWidth="1"/>
    <col min="61" max="61" width="13.28515625" style="54" customWidth="1"/>
    <col min="62" max="62" width="13.140625" style="54" customWidth="1"/>
    <col min="63" max="63" width="10.7109375" style="54" customWidth="1"/>
    <col min="64" max="64" width="18" style="55" customWidth="1"/>
    <col min="65" max="65" width="18" style="104" customWidth="1"/>
    <col min="66" max="16384" width="14.42578125" style="1"/>
  </cols>
  <sheetData>
    <row r="1" spans="1:65" ht="47.25" customHeight="1">
      <c r="F1" s="673" t="s">
        <v>3270</v>
      </c>
      <c r="G1" s="674"/>
      <c r="H1" s="674"/>
      <c r="I1" s="674"/>
      <c r="J1" s="674"/>
      <c r="K1" s="674"/>
      <c r="L1" s="674"/>
      <c r="M1" s="434"/>
      <c r="N1" s="673" t="s">
        <v>3263</v>
      </c>
      <c r="O1" s="674"/>
      <c r="P1" s="674"/>
      <c r="Q1" s="674"/>
      <c r="R1" s="674"/>
      <c r="S1" s="674"/>
      <c r="T1" s="674"/>
      <c r="U1" s="674"/>
      <c r="V1" s="434"/>
      <c r="W1" s="675" t="s">
        <v>3264</v>
      </c>
      <c r="X1" s="676"/>
      <c r="Y1" s="676"/>
      <c r="Z1" s="676"/>
      <c r="AA1" s="676"/>
      <c r="AB1" s="676"/>
      <c r="AC1" s="676"/>
      <c r="AD1" s="676"/>
      <c r="AE1" s="505"/>
      <c r="AF1" s="675" t="s">
        <v>3265</v>
      </c>
      <c r="AG1" s="676"/>
      <c r="AH1" s="676"/>
      <c r="AI1" s="676"/>
      <c r="AJ1" s="676"/>
      <c r="AK1" s="676"/>
      <c r="AL1" s="676"/>
      <c r="AM1" s="505"/>
      <c r="AN1" s="691" t="s">
        <v>3266</v>
      </c>
      <c r="AO1" s="692"/>
      <c r="AP1" s="692"/>
      <c r="AQ1" s="692"/>
      <c r="AR1" s="692"/>
      <c r="AS1" s="692"/>
      <c r="AT1" s="692"/>
      <c r="AU1" s="692"/>
      <c r="AV1" s="547"/>
      <c r="AW1" s="684" t="s">
        <v>3267</v>
      </c>
      <c r="AX1" s="685"/>
      <c r="AY1" s="685"/>
      <c r="AZ1" s="685"/>
      <c r="BA1" s="685"/>
      <c r="BB1" s="685"/>
      <c r="BC1" s="685"/>
      <c r="BD1" s="685"/>
      <c r="BE1" s="685"/>
      <c r="BF1" s="685"/>
      <c r="BG1" s="685"/>
      <c r="BH1" s="685"/>
      <c r="BI1" s="685"/>
      <c r="BJ1" s="685"/>
      <c r="BK1" s="685"/>
      <c r="BL1" s="686"/>
      <c r="BM1" s="530"/>
    </row>
    <row r="2" spans="1:65" ht="15.75" customHeight="1">
      <c r="C2" s="52"/>
      <c r="D2" s="330"/>
      <c r="E2" s="22"/>
      <c r="F2" s="679" t="s">
        <v>5</v>
      </c>
      <c r="G2" s="680"/>
      <c r="H2" s="680"/>
      <c r="I2" s="680"/>
      <c r="J2" s="680"/>
      <c r="K2" s="680"/>
      <c r="L2" s="680"/>
      <c r="M2" s="433"/>
      <c r="N2" s="679" t="s">
        <v>5</v>
      </c>
      <c r="O2" s="680"/>
      <c r="P2" s="680"/>
      <c r="Q2" s="680"/>
      <c r="R2" s="680"/>
      <c r="S2" s="680"/>
      <c r="T2" s="680"/>
      <c r="U2" s="680"/>
      <c r="V2" s="447"/>
      <c r="W2" s="679" t="s">
        <v>5</v>
      </c>
      <c r="X2" s="680"/>
      <c r="Y2" s="680"/>
      <c r="Z2" s="680"/>
      <c r="AA2" s="680"/>
      <c r="AB2" s="680"/>
      <c r="AC2" s="680"/>
      <c r="AD2" s="680"/>
      <c r="AE2" s="433"/>
      <c r="AF2" s="687" t="s">
        <v>5</v>
      </c>
      <c r="AG2" s="688"/>
      <c r="AH2" s="688"/>
      <c r="AI2" s="688"/>
      <c r="AJ2" s="688"/>
      <c r="AK2" s="688"/>
      <c r="AL2" s="688"/>
      <c r="AM2" s="508"/>
      <c r="AN2" s="687" t="s">
        <v>5</v>
      </c>
      <c r="AO2" s="688"/>
      <c r="AP2" s="688"/>
      <c r="AQ2" s="688"/>
      <c r="AR2" s="688"/>
      <c r="AS2" s="688"/>
      <c r="AT2" s="688"/>
      <c r="AU2" s="688"/>
      <c r="AV2" s="508"/>
      <c r="AW2" s="687" t="s">
        <v>5</v>
      </c>
      <c r="AX2" s="688"/>
      <c r="AY2" s="688"/>
      <c r="AZ2" s="688"/>
      <c r="BA2" s="688"/>
      <c r="BB2" s="688"/>
      <c r="BC2" s="688"/>
      <c r="BD2" s="688"/>
      <c r="BE2" s="688"/>
      <c r="BF2" s="688"/>
      <c r="BG2" s="688"/>
      <c r="BH2" s="688"/>
      <c r="BI2" s="688"/>
      <c r="BJ2" s="688"/>
      <c r="BK2" s="688"/>
      <c r="BL2" s="689"/>
      <c r="BM2" s="531"/>
    </row>
    <row r="3" spans="1:65" ht="74.099999999999994" customHeight="1">
      <c r="C3" s="386"/>
      <c r="D3" s="387" t="s">
        <v>387</v>
      </c>
      <c r="E3" s="387"/>
      <c r="F3" s="427" t="s">
        <v>42</v>
      </c>
      <c r="G3" s="458" t="s">
        <v>6</v>
      </c>
      <c r="H3" s="459" t="s">
        <v>822</v>
      </c>
      <c r="I3" s="460" t="s">
        <v>43</v>
      </c>
      <c r="J3" s="677" t="s">
        <v>3269</v>
      </c>
      <c r="K3" s="677"/>
      <c r="L3" s="678"/>
      <c r="M3" s="428" t="s">
        <v>825</v>
      </c>
      <c r="N3" s="427" t="s">
        <v>1388</v>
      </c>
      <c r="O3" s="458" t="s">
        <v>1389</v>
      </c>
      <c r="P3" s="459" t="s">
        <v>1390</v>
      </c>
      <c r="Q3" s="460" t="s">
        <v>1391</v>
      </c>
      <c r="R3" s="461" t="s">
        <v>1392</v>
      </c>
      <c r="S3" s="677" t="s">
        <v>3268</v>
      </c>
      <c r="T3" s="677"/>
      <c r="U3" s="678"/>
      <c r="V3" s="428" t="s">
        <v>1393</v>
      </c>
      <c r="W3" s="427" t="s">
        <v>745</v>
      </c>
      <c r="X3" s="458" t="s">
        <v>746</v>
      </c>
      <c r="Y3" s="459" t="s">
        <v>747</v>
      </c>
      <c r="Z3" s="460" t="s">
        <v>748</v>
      </c>
      <c r="AA3" s="681" t="s">
        <v>799</v>
      </c>
      <c r="AB3" s="682"/>
      <c r="AC3" s="682"/>
      <c r="AD3" s="683"/>
      <c r="AE3" s="485" t="s">
        <v>3271</v>
      </c>
      <c r="AF3" s="427" t="s">
        <v>2142</v>
      </c>
      <c r="AG3" s="458" t="s">
        <v>2143</v>
      </c>
      <c r="AH3" s="459" t="s">
        <v>2144</v>
      </c>
      <c r="AI3" s="460" t="s">
        <v>2145</v>
      </c>
      <c r="AJ3" s="690" t="s">
        <v>2146</v>
      </c>
      <c r="AK3" s="690"/>
      <c r="AL3" s="681"/>
      <c r="AM3" s="485" t="s">
        <v>2147</v>
      </c>
      <c r="AN3" s="427" t="s">
        <v>800</v>
      </c>
      <c r="AO3" s="521" t="s">
        <v>812</v>
      </c>
      <c r="AP3" s="522" t="s">
        <v>813</v>
      </c>
      <c r="AQ3" s="459" t="s">
        <v>814</v>
      </c>
      <c r="AR3" s="681" t="s">
        <v>799</v>
      </c>
      <c r="AS3" s="682"/>
      <c r="AT3" s="682"/>
      <c r="AU3" s="683"/>
      <c r="AV3" s="485" t="s">
        <v>3272</v>
      </c>
      <c r="AW3" s="403" t="s">
        <v>800</v>
      </c>
      <c r="AX3" s="524" t="s">
        <v>801</v>
      </c>
      <c r="AY3" s="525" t="s">
        <v>802</v>
      </c>
      <c r="AZ3" s="511" t="s">
        <v>803</v>
      </c>
      <c r="BA3" s="389" t="s">
        <v>804</v>
      </c>
      <c r="BB3" s="526" t="s">
        <v>805</v>
      </c>
      <c r="BC3" s="389" t="s">
        <v>806</v>
      </c>
      <c r="BD3" s="511" t="s">
        <v>816</v>
      </c>
      <c r="BE3" s="527" t="s">
        <v>817</v>
      </c>
      <c r="BF3" s="388" t="s">
        <v>818</v>
      </c>
      <c r="BG3" s="528" t="s">
        <v>819</v>
      </c>
      <c r="BH3" s="529" t="s">
        <v>820</v>
      </c>
      <c r="BI3" s="677" t="s">
        <v>799</v>
      </c>
      <c r="BJ3" s="677"/>
      <c r="BK3" s="677"/>
      <c r="BL3" s="550"/>
      <c r="BM3" s="520" t="s">
        <v>808</v>
      </c>
    </row>
    <row r="4" spans="1:65" s="357" customFormat="1" ht="33.75" customHeight="1">
      <c r="A4" s="333" t="s">
        <v>380</v>
      </c>
      <c r="B4" s="333"/>
      <c r="C4" s="334" t="s">
        <v>0</v>
      </c>
      <c r="D4" s="335" t="s">
        <v>4</v>
      </c>
      <c r="E4" s="390" t="s">
        <v>1</v>
      </c>
      <c r="F4" s="404" t="s">
        <v>2</v>
      </c>
      <c r="G4" s="344" t="s">
        <v>2</v>
      </c>
      <c r="H4" s="345" t="s">
        <v>2</v>
      </c>
      <c r="I4" s="345" t="s">
        <v>2</v>
      </c>
      <c r="J4" s="342" t="s">
        <v>44</v>
      </c>
      <c r="K4" s="342" t="s">
        <v>45</v>
      </c>
      <c r="L4" s="347" t="s">
        <v>46</v>
      </c>
      <c r="M4" s="429" t="s">
        <v>386</v>
      </c>
      <c r="N4" s="441" t="s">
        <v>2</v>
      </c>
      <c r="O4" s="344" t="s">
        <v>2</v>
      </c>
      <c r="P4" s="345" t="s">
        <v>2</v>
      </c>
      <c r="Q4" s="345" t="s">
        <v>2</v>
      </c>
      <c r="R4" s="345" t="s">
        <v>2</v>
      </c>
      <c r="S4" s="342" t="s">
        <v>44</v>
      </c>
      <c r="T4" s="342" t="s">
        <v>45</v>
      </c>
      <c r="U4" s="347" t="s">
        <v>46</v>
      </c>
      <c r="V4" s="429" t="s">
        <v>386</v>
      </c>
      <c r="W4" s="404" t="s">
        <v>2</v>
      </c>
      <c r="X4" s="344" t="s">
        <v>2</v>
      </c>
      <c r="Y4" s="345" t="s">
        <v>2</v>
      </c>
      <c r="Z4" s="345" t="s">
        <v>2</v>
      </c>
      <c r="AA4" s="342" t="s">
        <v>44</v>
      </c>
      <c r="AB4" s="342" t="s">
        <v>45</v>
      </c>
      <c r="AC4" s="342" t="s">
        <v>46</v>
      </c>
      <c r="AD4" s="347" t="s">
        <v>386</v>
      </c>
      <c r="AE4" s="429" t="s">
        <v>386</v>
      </c>
      <c r="AF4" s="404" t="s">
        <v>2</v>
      </c>
      <c r="AG4" s="344" t="s">
        <v>2</v>
      </c>
      <c r="AH4" s="345" t="s">
        <v>2</v>
      </c>
      <c r="AI4" s="345" t="s">
        <v>2</v>
      </c>
      <c r="AJ4" s="342" t="s">
        <v>44</v>
      </c>
      <c r="AK4" s="342" t="s">
        <v>45</v>
      </c>
      <c r="AL4" s="347" t="s">
        <v>46</v>
      </c>
      <c r="AM4" s="429" t="s">
        <v>386</v>
      </c>
      <c r="AN4" s="523" t="s">
        <v>2</v>
      </c>
      <c r="AO4" s="344" t="s">
        <v>2</v>
      </c>
      <c r="AP4" s="344" t="s">
        <v>2</v>
      </c>
      <c r="AQ4" s="344" t="s">
        <v>2</v>
      </c>
      <c r="AR4" s="342" t="s">
        <v>44</v>
      </c>
      <c r="AS4" s="342" t="s">
        <v>45</v>
      </c>
      <c r="AT4" s="347" t="s">
        <v>46</v>
      </c>
      <c r="AU4" s="347" t="s">
        <v>386</v>
      </c>
      <c r="AV4" s="429" t="s">
        <v>386</v>
      </c>
      <c r="AW4" s="404" t="s">
        <v>2</v>
      </c>
      <c r="AX4" s="344" t="s">
        <v>2</v>
      </c>
      <c r="AY4" s="345" t="s">
        <v>2</v>
      </c>
      <c r="AZ4" s="345" t="s">
        <v>2</v>
      </c>
      <c r="BA4" s="345" t="s">
        <v>2</v>
      </c>
      <c r="BB4" s="345" t="s">
        <v>2</v>
      </c>
      <c r="BC4" s="345" t="s">
        <v>2</v>
      </c>
      <c r="BD4" s="344" t="s">
        <v>2</v>
      </c>
      <c r="BE4" s="345" t="s">
        <v>2</v>
      </c>
      <c r="BF4" s="345" t="s">
        <v>2</v>
      </c>
      <c r="BG4" s="345" t="s">
        <v>2</v>
      </c>
      <c r="BH4" s="345" t="s">
        <v>2</v>
      </c>
      <c r="BI4" s="342" t="s">
        <v>44</v>
      </c>
      <c r="BJ4" s="342" t="s">
        <v>45</v>
      </c>
      <c r="BK4" s="342" t="s">
        <v>46</v>
      </c>
      <c r="BL4" s="405" t="s">
        <v>386</v>
      </c>
      <c r="BM4" s="426" t="s">
        <v>386</v>
      </c>
    </row>
    <row r="5" spans="1:65" ht="20.45" customHeight="1">
      <c r="A5" s="26" t="s">
        <v>3</v>
      </c>
      <c r="B5" s="358" t="s">
        <v>2210</v>
      </c>
      <c r="C5" s="46">
        <v>1</v>
      </c>
      <c r="D5" s="47" t="s">
        <v>3</v>
      </c>
      <c r="E5" s="91"/>
      <c r="F5" s="406"/>
      <c r="G5" s="307"/>
      <c r="H5" s="307"/>
      <c r="I5" s="307"/>
      <c r="J5" s="307"/>
      <c r="K5" s="307"/>
      <c r="L5" s="419"/>
      <c r="M5" s="430"/>
      <c r="N5" s="406"/>
      <c r="O5" s="307"/>
      <c r="P5" s="307"/>
      <c r="Q5" s="307"/>
      <c r="R5" s="307"/>
      <c r="S5" s="307"/>
      <c r="T5" s="307"/>
      <c r="U5" s="419"/>
      <c r="V5" s="430"/>
      <c r="W5" s="413"/>
      <c r="X5" s="47"/>
      <c r="Y5" s="47"/>
      <c r="Z5" s="47"/>
      <c r="AA5" s="47"/>
      <c r="AB5" s="47"/>
      <c r="AC5" s="47"/>
      <c r="AD5" s="91"/>
      <c r="AE5" s="467"/>
      <c r="AF5" s="406"/>
      <c r="AG5" s="307"/>
      <c r="AH5" s="307"/>
      <c r="AI5" s="307"/>
      <c r="AJ5" s="76"/>
      <c r="AK5" s="24"/>
      <c r="AL5" s="281"/>
      <c r="AM5" s="462"/>
      <c r="AN5" s="413"/>
      <c r="AO5" s="47"/>
      <c r="AP5" s="47"/>
      <c r="AQ5" s="47"/>
      <c r="AR5" s="47"/>
      <c r="AS5" s="47"/>
      <c r="AT5" s="47"/>
      <c r="AU5" s="91"/>
      <c r="AV5" s="467"/>
      <c r="AW5" s="413"/>
      <c r="AX5" s="47"/>
      <c r="AY5" s="47"/>
      <c r="AZ5" s="47"/>
      <c r="BA5" s="47"/>
      <c r="BB5" s="47"/>
      <c r="BC5" s="47"/>
      <c r="BD5" s="135"/>
      <c r="BE5" s="136"/>
      <c r="BF5" s="137"/>
      <c r="BG5" s="135"/>
      <c r="BH5" s="135"/>
      <c r="BI5" s="47"/>
      <c r="BJ5" s="47"/>
      <c r="BK5" s="47"/>
      <c r="BL5" s="414"/>
      <c r="BM5" s="457"/>
    </row>
    <row r="6" spans="1:65" ht="38.1" customHeight="1">
      <c r="A6" s="26" t="s">
        <v>3</v>
      </c>
      <c r="B6" s="358" t="s">
        <v>749</v>
      </c>
      <c r="C6" s="15" t="s">
        <v>47</v>
      </c>
      <c r="D6" s="99" t="s">
        <v>388</v>
      </c>
      <c r="E6" s="391" t="s">
        <v>10</v>
      </c>
      <c r="F6" s="407">
        <v>7879</v>
      </c>
      <c r="G6" s="10">
        <v>8500</v>
      </c>
      <c r="H6" s="167">
        <v>8500</v>
      </c>
      <c r="I6" s="10">
        <v>8200</v>
      </c>
      <c r="J6" s="76">
        <f>AVERAGE(F6:G6,I6)</f>
        <v>8193</v>
      </c>
      <c r="K6" s="24">
        <f>J6-F6</f>
        <v>314</v>
      </c>
      <c r="L6" s="281">
        <f>+K6/F6</f>
        <v>3.9852773194567835E-2</v>
      </c>
      <c r="M6" s="431">
        <f>H6</f>
        <v>8500</v>
      </c>
      <c r="N6" s="442">
        <v>6635</v>
      </c>
      <c r="O6" s="260">
        <v>12000</v>
      </c>
      <c r="P6" s="260">
        <v>17500</v>
      </c>
      <c r="Q6" s="260">
        <v>15500</v>
      </c>
      <c r="R6" s="10">
        <v>15000</v>
      </c>
      <c r="S6" s="76">
        <f>AVERAGE(O6,P6,Q6,R6)</f>
        <v>15000</v>
      </c>
      <c r="T6" s="24">
        <f t="shared" ref="T6" si="0">S6-N6</f>
        <v>8365</v>
      </c>
      <c r="U6" s="281">
        <f t="shared" ref="U6" si="1">+T6/N6</f>
        <v>1.2607385079125848</v>
      </c>
      <c r="V6" s="462">
        <f>S6</f>
        <v>15000</v>
      </c>
      <c r="W6" s="410">
        <v>64937</v>
      </c>
      <c r="X6" s="10">
        <v>84456</v>
      </c>
      <c r="Y6" s="31">
        <v>109793</v>
      </c>
      <c r="Z6" s="470">
        <v>73820</v>
      </c>
      <c r="AA6" s="76">
        <f>AVERAGE(X6,Y6,Z6)</f>
        <v>89356.333333333328</v>
      </c>
      <c r="AB6" s="24">
        <f>AA6-W6</f>
        <v>24419.333333333328</v>
      </c>
      <c r="AC6" s="25">
        <f t="shared" ref="AC6:AC12" si="2">+AB6/W6</f>
        <v>0.37604652714682429</v>
      </c>
      <c r="AD6" s="309" t="str">
        <f t="shared" ref="AD6:AD12" si="3">+IF(AC6&lt;35%,AA6,"REVISAR PRECIO")</f>
        <v>REVISAR PRECIO</v>
      </c>
      <c r="AE6" s="462">
        <f>AA6</f>
        <v>89356.333333333328</v>
      </c>
      <c r="AF6" s="407">
        <v>6788</v>
      </c>
      <c r="AG6" s="45">
        <v>8000</v>
      </c>
      <c r="AH6" s="45">
        <v>10250</v>
      </c>
      <c r="AI6" s="45">
        <v>11500</v>
      </c>
      <c r="AJ6" s="76">
        <f>AVERAGE(AG6,AH6,AI6)</f>
        <v>9916.6666666666661</v>
      </c>
      <c r="AK6" s="24">
        <f t="shared" ref="AK6" si="4">AJ6-AF6</f>
        <v>3128.6666666666661</v>
      </c>
      <c r="AL6" s="281">
        <f t="shared" ref="AL6" si="5">+AK6/AF6</f>
        <v>0.46091141229620891</v>
      </c>
      <c r="AM6" s="462">
        <f>AJ6</f>
        <v>9916.6666666666661</v>
      </c>
      <c r="AN6" s="512">
        <v>6788</v>
      </c>
      <c r="AO6" s="74">
        <v>10000</v>
      </c>
      <c r="AP6" s="116">
        <v>12000</v>
      </c>
      <c r="AQ6" s="74">
        <v>9350</v>
      </c>
      <c r="AR6" s="76">
        <f>AVERAGE(AO6,AP6,AQ6)</f>
        <v>10450</v>
      </c>
      <c r="AS6" s="24">
        <f t="shared" ref="AS6:AS12" si="6">AR6-AN6</f>
        <v>3662</v>
      </c>
      <c r="AT6" s="25">
        <f t="shared" ref="AT6" si="7">+AS6/AN6</f>
        <v>0.53948143783146729</v>
      </c>
      <c r="AU6" s="309" t="str">
        <f t="shared" ref="AU6" si="8">+IF(AT6&lt;35%,AR6,"REVISAR PRECIO")</f>
        <v>REVISAR PRECIO</v>
      </c>
      <c r="AV6" s="462">
        <f>AR6</f>
        <v>10450</v>
      </c>
      <c r="AW6" s="512">
        <v>6788</v>
      </c>
      <c r="AX6" s="74">
        <v>9775</v>
      </c>
      <c r="AY6" s="74">
        <v>14500</v>
      </c>
      <c r="AZ6" s="75">
        <v>11262.5</v>
      </c>
      <c r="BA6" s="61">
        <v>12649.999999999998</v>
      </c>
      <c r="BB6" s="10">
        <v>8100</v>
      </c>
      <c r="BC6" s="74">
        <v>14547.499999999996</v>
      </c>
      <c r="BD6" s="79">
        <v>11262.5</v>
      </c>
      <c r="BE6" s="79">
        <f>6800*1.25</f>
        <v>8500</v>
      </c>
      <c r="BF6" s="127">
        <v>10200</v>
      </c>
      <c r="BG6" s="142">
        <v>10000</v>
      </c>
      <c r="BH6" s="142">
        <v>9500</v>
      </c>
      <c r="BI6" s="76">
        <f t="shared" ref="BI6:BI12" si="9">AVERAGE(AX6,AY6,AZ6,BA6,BB6,BC6)</f>
        <v>11805.833333333334</v>
      </c>
      <c r="BJ6" s="24">
        <f t="shared" ref="BJ6:BJ12" si="10">BI6-AW6</f>
        <v>5017.8333333333339</v>
      </c>
      <c r="BK6" s="25">
        <f>+BJ6/AW6</f>
        <v>0.73922117462188186</v>
      </c>
      <c r="BL6" s="259" t="str">
        <f t="shared" ref="BL6:BL12" si="11">+IF(BK6&lt;35%,BI6,"REVISAR PRECIO")</f>
        <v>REVISAR PRECIO</v>
      </c>
      <c r="BM6" s="532">
        <f>AVERAGE(AX6,AY6,AZ6,BA6,BC6)</f>
        <v>12547</v>
      </c>
    </row>
    <row r="7" spans="1:65" ht="36" customHeight="1">
      <c r="A7" s="26" t="s">
        <v>3</v>
      </c>
      <c r="B7" s="358" t="s">
        <v>750</v>
      </c>
      <c r="C7" s="15" t="s">
        <v>48</v>
      </c>
      <c r="D7" s="99" t="s">
        <v>389</v>
      </c>
      <c r="E7" s="391" t="s">
        <v>10</v>
      </c>
      <c r="F7" s="408"/>
      <c r="G7" s="293"/>
      <c r="H7" s="293"/>
      <c r="I7" s="293"/>
      <c r="J7" s="293"/>
      <c r="K7" s="293"/>
      <c r="L7" s="327"/>
      <c r="M7" s="432"/>
      <c r="N7" s="408"/>
      <c r="O7" s="293"/>
      <c r="P7" s="293"/>
      <c r="Q7" s="293"/>
      <c r="R7" s="293"/>
      <c r="S7" s="293"/>
      <c r="T7" s="293"/>
      <c r="U7" s="327"/>
      <c r="V7" s="463"/>
      <c r="W7" s="410">
        <v>27922</v>
      </c>
      <c r="X7" s="10">
        <v>36315</v>
      </c>
      <c r="Y7" s="31">
        <v>47210</v>
      </c>
      <c r="Z7" s="470">
        <v>31742</v>
      </c>
      <c r="AA7" s="76">
        <f t="shared" ref="AA7:AA12" si="12">AVERAGE(X7,Y7,Z7)</f>
        <v>38422.333333333336</v>
      </c>
      <c r="AB7" s="24">
        <f t="shared" ref="AB7:AB12" si="13">AA7-W7</f>
        <v>10500.333333333336</v>
      </c>
      <c r="AC7" s="25">
        <f t="shared" si="2"/>
        <v>0.37605949908077274</v>
      </c>
      <c r="AD7" s="309" t="str">
        <f t="shared" si="3"/>
        <v>REVISAR PRECIO</v>
      </c>
      <c r="AE7" s="462">
        <f t="shared" ref="AE7:AE12" si="14">AA7</f>
        <v>38422.333333333336</v>
      </c>
      <c r="AF7" s="408"/>
      <c r="AG7" s="293"/>
      <c r="AH7" s="293"/>
      <c r="AI7" s="293"/>
      <c r="AJ7" s="293"/>
      <c r="AK7" s="293"/>
      <c r="AL7" s="327"/>
      <c r="AM7" s="463"/>
      <c r="AN7" s="512"/>
      <c r="AO7" s="74">
        <v>10450</v>
      </c>
      <c r="AP7" s="116">
        <v>10350</v>
      </c>
      <c r="AQ7" s="74">
        <v>9900</v>
      </c>
      <c r="AR7" s="76">
        <f t="shared" ref="AR7:AR12" si="15">AVERAGE(AO7,AP7,AQ7)</f>
        <v>10233.333333333334</v>
      </c>
      <c r="AS7" s="24">
        <f t="shared" si="6"/>
        <v>10233.333333333334</v>
      </c>
      <c r="AT7" s="25"/>
      <c r="AU7" s="309"/>
      <c r="AV7" s="462">
        <f t="shared" ref="AV7:AV12" si="16">AR7</f>
        <v>10233.333333333334</v>
      </c>
      <c r="AW7" s="512"/>
      <c r="AX7" s="74">
        <v>10350</v>
      </c>
      <c r="AY7" s="74">
        <v>14500</v>
      </c>
      <c r="AZ7" s="75">
        <v>11925</v>
      </c>
      <c r="BA7" s="61">
        <v>18500</v>
      </c>
      <c r="BB7" s="10"/>
      <c r="BC7" s="74">
        <v>15869.999999999996</v>
      </c>
      <c r="BD7" s="79">
        <v>11925</v>
      </c>
      <c r="BE7" s="79">
        <v>9000</v>
      </c>
      <c r="BF7" s="127">
        <v>10800</v>
      </c>
      <c r="BG7" s="142">
        <v>11000</v>
      </c>
      <c r="BH7" s="142">
        <v>9500</v>
      </c>
      <c r="BI7" s="76">
        <f t="shared" si="9"/>
        <v>14229</v>
      </c>
      <c r="BJ7" s="24">
        <f t="shared" si="10"/>
        <v>14229</v>
      </c>
      <c r="BK7" s="25"/>
      <c r="BL7" s="259">
        <f t="shared" si="11"/>
        <v>14229</v>
      </c>
      <c r="BM7" s="533">
        <f t="shared" ref="BM7" si="17">BI7</f>
        <v>14229</v>
      </c>
    </row>
    <row r="8" spans="1:65" ht="39.950000000000003" customHeight="1">
      <c r="A8" s="26" t="s">
        <v>3</v>
      </c>
      <c r="B8" s="358" t="s">
        <v>751</v>
      </c>
      <c r="C8" s="15" t="s">
        <v>49</v>
      </c>
      <c r="D8" s="99" t="s">
        <v>390</v>
      </c>
      <c r="E8" s="391" t="s">
        <v>10</v>
      </c>
      <c r="F8" s="407">
        <v>522814</v>
      </c>
      <c r="G8" s="10">
        <v>519230</v>
      </c>
      <c r="H8" s="167">
        <v>1557690</v>
      </c>
      <c r="I8" s="10">
        <v>408700</v>
      </c>
      <c r="J8" s="76">
        <f t="shared" ref="J8:J10" si="18">AVERAGE(G8,I8)</f>
        <v>463965</v>
      </c>
      <c r="K8" s="24">
        <f t="shared" ref="K8:K10" si="19">J8-F8</f>
        <v>-58849</v>
      </c>
      <c r="L8" s="281">
        <f t="shared" ref="L8:L10" si="20">+K8/F8</f>
        <v>-0.11256202014483162</v>
      </c>
      <c r="M8" s="431">
        <f t="shared" ref="M8:M10" si="21">H8</f>
        <v>1557690</v>
      </c>
      <c r="N8" s="408"/>
      <c r="O8" s="293"/>
      <c r="P8" s="293"/>
      <c r="Q8" s="293"/>
      <c r="R8" s="293"/>
      <c r="S8" s="293"/>
      <c r="T8" s="293"/>
      <c r="U8" s="327"/>
      <c r="V8" s="463"/>
      <c r="W8" s="410">
        <v>80590</v>
      </c>
      <c r="X8" s="10">
        <v>104814</v>
      </c>
      <c r="Y8" s="33">
        <v>36258</v>
      </c>
      <c r="Z8" s="470">
        <v>91615</v>
      </c>
      <c r="AA8" s="76">
        <f t="shared" si="12"/>
        <v>77562.333333333328</v>
      </c>
      <c r="AB8" s="24">
        <f t="shared" si="13"/>
        <v>-3027.6666666666715</v>
      </c>
      <c r="AC8" s="25">
        <f t="shared" si="2"/>
        <v>-3.7568763701038239E-2</v>
      </c>
      <c r="AD8" s="309">
        <f t="shared" si="3"/>
        <v>77562.333333333328</v>
      </c>
      <c r="AE8" s="462">
        <f t="shared" si="14"/>
        <v>77562.333333333328</v>
      </c>
      <c r="AF8" s="407">
        <v>450054</v>
      </c>
      <c r="AG8" s="45">
        <v>518000</v>
      </c>
      <c r="AH8" s="45">
        <v>519230</v>
      </c>
      <c r="AI8" s="45">
        <v>60000</v>
      </c>
      <c r="AJ8" s="76">
        <f>AVERAGE(AG8,AH8,AI8)</f>
        <v>365743.33333333331</v>
      </c>
      <c r="AK8" s="24">
        <f t="shared" ref="AK8:AK11" si="22">AJ8-AF8</f>
        <v>-84310.666666666686</v>
      </c>
      <c r="AL8" s="281">
        <f t="shared" ref="AL8:AL11" si="23">+AK8/AF8</f>
        <v>-0.18733455689021025</v>
      </c>
      <c r="AM8" s="491">
        <f>AVERAGE(AG8,AH8,AF8)</f>
        <v>495761.33333333331</v>
      </c>
      <c r="AN8" s="512">
        <v>448174</v>
      </c>
      <c r="AO8" s="74">
        <v>650000</v>
      </c>
      <c r="AP8" s="116">
        <v>66000</v>
      </c>
      <c r="AQ8" s="74">
        <v>571152.55999999994</v>
      </c>
      <c r="AR8" s="76">
        <f t="shared" si="15"/>
        <v>429050.85333333333</v>
      </c>
      <c r="AS8" s="24">
        <f t="shared" si="6"/>
        <v>-19123.146666666667</v>
      </c>
      <c r="AT8" s="25">
        <f t="shared" ref="AT8:AT10" si="24">+AS8/AN8</f>
        <v>-4.2669022894381799E-2</v>
      </c>
      <c r="AU8" s="309">
        <f t="shared" ref="AU8:AU10" si="25">+IF(AT8&lt;35%,AR8,"REVISAR PRECIO")</f>
        <v>429050.85333333333</v>
      </c>
      <c r="AV8" s="462">
        <f t="shared" si="16"/>
        <v>429050.85333333333</v>
      </c>
      <c r="AW8" s="512">
        <v>448174</v>
      </c>
      <c r="AX8" s="74">
        <v>597114.03999999992</v>
      </c>
      <c r="AY8" s="74">
        <v>700000</v>
      </c>
      <c r="AZ8" s="75">
        <v>687979.22</v>
      </c>
      <c r="BA8" s="61">
        <v>75000</v>
      </c>
      <c r="BB8" s="10">
        <v>47000</v>
      </c>
      <c r="BC8" s="74">
        <v>854070.49999999988</v>
      </c>
      <c r="BD8" s="79">
        <v>687979.22</v>
      </c>
      <c r="BE8" s="79">
        <f>451504*1.15</f>
        <v>519229.6</v>
      </c>
      <c r="BF8" s="127">
        <v>595000</v>
      </c>
      <c r="BG8" s="142">
        <v>650000</v>
      </c>
      <c r="BH8" s="142">
        <v>610000</v>
      </c>
      <c r="BI8" s="76">
        <f t="shared" si="9"/>
        <v>493527.29333333328</v>
      </c>
      <c r="BJ8" s="24">
        <f t="shared" si="10"/>
        <v>45353.293333333277</v>
      </c>
      <c r="BK8" s="25">
        <f>+BJ8/AW8</f>
        <v>0.10119572606472771</v>
      </c>
      <c r="BL8" s="259">
        <f t="shared" si="11"/>
        <v>493527.29333333328</v>
      </c>
      <c r="BM8" s="532">
        <f>AVERAGE(AX8,AY8,AZ8,BC8)</f>
        <v>709790.94</v>
      </c>
    </row>
    <row r="9" spans="1:65" ht="33.950000000000003" customHeight="1">
      <c r="A9" s="26" t="s">
        <v>3</v>
      </c>
      <c r="B9" s="358" t="s">
        <v>752</v>
      </c>
      <c r="C9" s="15" t="s">
        <v>50</v>
      </c>
      <c r="D9" s="99" t="s">
        <v>391</v>
      </c>
      <c r="E9" s="392" t="s">
        <v>11</v>
      </c>
      <c r="F9" s="407">
        <v>50435</v>
      </c>
      <c r="G9" s="10">
        <v>47893</v>
      </c>
      <c r="H9" s="167">
        <v>191572</v>
      </c>
      <c r="I9" s="10">
        <v>46050</v>
      </c>
      <c r="J9" s="76">
        <f t="shared" si="18"/>
        <v>46971.5</v>
      </c>
      <c r="K9" s="24">
        <f t="shared" si="19"/>
        <v>-3463.5</v>
      </c>
      <c r="L9" s="281">
        <f t="shared" si="20"/>
        <v>-6.8672548825220586E-2</v>
      </c>
      <c r="M9" s="431">
        <f t="shared" si="21"/>
        <v>191572</v>
      </c>
      <c r="N9" s="442">
        <v>39128</v>
      </c>
      <c r="O9" s="260">
        <v>28000</v>
      </c>
      <c r="P9" s="260">
        <v>34900</v>
      </c>
      <c r="Q9" s="261">
        <v>31000</v>
      </c>
      <c r="R9" s="10">
        <v>38000</v>
      </c>
      <c r="S9" s="76">
        <f t="shared" ref="S9:S10" si="26">AVERAGE(O9,P9,Q9,R9)</f>
        <v>32975</v>
      </c>
      <c r="T9" s="24">
        <f t="shared" ref="T9:T10" si="27">S9-N9</f>
        <v>-6153</v>
      </c>
      <c r="U9" s="281">
        <f t="shared" ref="U9:U10" si="28">+T9/N9</f>
        <v>-0.1572531179717849</v>
      </c>
      <c r="V9" s="462">
        <f t="shared" ref="V9:V10" si="29">S9</f>
        <v>32975</v>
      </c>
      <c r="W9" s="410">
        <v>59010</v>
      </c>
      <c r="X9" s="10">
        <v>76748</v>
      </c>
      <c r="Y9" s="31">
        <v>99772</v>
      </c>
      <c r="Z9" s="470">
        <v>67083</v>
      </c>
      <c r="AA9" s="76">
        <f t="shared" si="12"/>
        <v>81201</v>
      </c>
      <c r="AB9" s="24">
        <f t="shared" si="13"/>
        <v>22191</v>
      </c>
      <c r="AC9" s="25">
        <f t="shared" si="2"/>
        <v>0.37605490594814439</v>
      </c>
      <c r="AD9" s="309" t="str">
        <f t="shared" si="3"/>
        <v>REVISAR PRECIO</v>
      </c>
      <c r="AE9" s="462">
        <f t="shared" si="14"/>
        <v>81201</v>
      </c>
      <c r="AF9" s="407">
        <v>43475</v>
      </c>
      <c r="AG9" s="45">
        <v>52000</v>
      </c>
      <c r="AH9" s="45">
        <v>47893</v>
      </c>
      <c r="AI9" s="45">
        <v>45000</v>
      </c>
      <c r="AJ9" s="76">
        <f t="shared" ref="AJ9:AJ11" si="30">AVERAGE(AG9,AH9,AI9)</f>
        <v>48297.666666666664</v>
      </c>
      <c r="AK9" s="24">
        <f t="shared" si="22"/>
        <v>4822.6666666666642</v>
      </c>
      <c r="AL9" s="281">
        <f t="shared" si="23"/>
        <v>0.11092965305731257</v>
      </c>
      <c r="AM9" s="462">
        <f t="shared" ref="AM9:AM11" si="31">AJ9</f>
        <v>48297.666666666664</v>
      </c>
      <c r="AN9" s="513">
        <v>43475</v>
      </c>
      <c r="AO9" s="74">
        <v>52000</v>
      </c>
      <c r="AP9" s="116">
        <v>52200</v>
      </c>
      <c r="AQ9" s="74">
        <v>52682.52</v>
      </c>
      <c r="AR9" s="76">
        <f t="shared" si="15"/>
        <v>52294.173333333332</v>
      </c>
      <c r="AS9" s="24">
        <f t="shared" si="6"/>
        <v>8819.1733333333323</v>
      </c>
      <c r="AT9" s="25">
        <f t="shared" si="24"/>
        <v>0.20285620088173278</v>
      </c>
      <c r="AU9" s="309">
        <f t="shared" si="25"/>
        <v>52294.173333333332</v>
      </c>
      <c r="AV9" s="462">
        <f t="shared" si="16"/>
        <v>52294.173333333332</v>
      </c>
      <c r="AW9" s="513">
        <v>43475</v>
      </c>
      <c r="AX9" s="74">
        <v>55077.179999999993</v>
      </c>
      <c r="AY9" s="74">
        <v>85000</v>
      </c>
      <c r="AZ9" s="75">
        <v>63458.489999999991</v>
      </c>
      <c r="BA9" s="61">
        <v>61961.999999999993</v>
      </c>
      <c r="BB9" s="10">
        <v>42000</v>
      </c>
      <c r="BC9" s="74">
        <v>71256.299999999988</v>
      </c>
      <c r="BD9" s="79">
        <v>63458.489999999991</v>
      </c>
      <c r="BE9" s="79">
        <f>39911*1.2</f>
        <v>47893.2</v>
      </c>
      <c r="BF9" s="127">
        <v>57471.839999999997</v>
      </c>
      <c r="BG9" s="142">
        <v>60000</v>
      </c>
      <c r="BH9" s="142">
        <v>50000</v>
      </c>
      <c r="BI9" s="76">
        <f t="shared" si="9"/>
        <v>63125.66166666666</v>
      </c>
      <c r="BJ9" s="24">
        <f t="shared" si="10"/>
        <v>19650.66166666666</v>
      </c>
      <c r="BK9" s="25">
        <f>+BJ9/AW9</f>
        <v>0.45199911826720324</v>
      </c>
      <c r="BL9" s="259" t="str">
        <f t="shared" si="11"/>
        <v>REVISAR PRECIO</v>
      </c>
      <c r="BM9" s="534">
        <f>AVERAGE(AY9,AZ9,BA9,BC9)</f>
        <v>70419.197499999995</v>
      </c>
    </row>
    <row r="10" spans="1:65" ht="36.950000000000003" customHeight="1">
      <c r="A10" s="26" t="s">
        <v>3</v>
      </c>
      <c r="B10" s="358" t="s">
        <v>753</v>
      </c>
      <c r="C10" s="15" t="s">
        <v>51</v>
      </c>
      <c r="D10" s="99" t="s">
        <v>392</v>
      </c>
      <c r="E10" s="392" t="s">
        <v>12</v>
      </c>
      <c r="F10" s="407">
        <v>11857</v>
      </c>
      <c r="G10" s="10">
        <v>11760</v>
      </c>
      <c r="H10" s="167">
        <v>58800</v>
      </c>
      <c r="I10" s="10">
        <v>6550</v>
      </c>
      <c r="J10" s="76">
        <f t="shared" si="18"/>
        <v>9155</v>
      </c>
      <c r="K10" s="24">
        <f t="shared" si="19"/>
        <v>-2702</v>
      </c>
      <c r="L10" s="281">
        <f t="shared" si="20"/>
        <v>-0.22788226364173061</v>
      </c>
      <c r="M10" s="431">
        <f t="shared" si="21"/>
        <v>58800</v>
      </c>
      <c r="N10" s="442">
        <v>9189</v>
      </c>
      <c r="O10" s="260">
        <v>23500</v>
      </c>
      <c r="P10" s="260">
        <v>28300</v>
      </c>
      <c r="Q10" s="261">
        <v>25000</v>
      </c>
      <c r="R10" s="10">
        <v>25000</v>
      </c>
      <c r="S10" s="76">
        <f t="shared" si="26"/>
        <v>25450</v>
      </c>
      <c r="T10" s="24">
        <f t="shared" si="27"/>
        <v>16261</v>
      </c>
      <c r="U10" s="281">
        <f t="shared" si="28"/>
        <v>1.7696158450321036</v>
      </c>
      <c r="V10" s="462">
        <f t="shared" si="29"/>
        <v>25450</v>
      </c>
      <c r="W10" s="410">
        <v>13857</v>
      </c>
      <c r="X10" s="10">
        <v>18023</v>
      </c>
      <c r="Y10" s="31">
        <v>23429</v>
      </c>
      <c r="Z10" s="470">
        <v>15753</v>
      </c>
      <c r="AA10" s="76">
        <f t="shared" si="12"/>
        <v>19068.333333333332</v>
      </c>
      <c r="AB10" s="24">
        <f t="shared" si="13"/>
        <v>5211.3333333333321</v>
      </c>
      <c r="AC10" s="25">
        <f t="shared" si="2"/>
        <v>0.37607947848259593</v>
      </c>
      <c r="AD10" s="309" t="str">
        <f t="shared" si="3"/>
        <v>REVISAR PRECIO</v>
      </c>
      <c r="AE10" s="462">
        <f t="shared" si="14"/>
        <v>19068.333333333332</v>
      </c>
      <c r="AF10" s="407">
        <v>10214</v>
      </c>
      <c r="AG10" s="45">
        <v>16900</v>
      </c>
      <c r="AH10" s="45">
        <v>14090</v>
      </c>
      <c r="AI10" s="45">
        <v>11000</v>
      </c>
      <c r="AJ10" s="76">
        <f t="shared" si="30"/>
        <v>13996.666666666666</v>
      </c>
      <c r="AK10" s="24">
        <f t="shared" si="22"/>
        <v>3782.6666666666661</v>
      </c>
      <c r="AL10" s="281">
        <f t="shared" si="23"/>
        <v>0.37034136152992619</v>
      </c>
      <c r="AM10" s="462">
        <f t="shared" si="31"/>
        <v>13996.666666666666</v>
      </c>
      <c r="AN10" s="513">
        <v>10214</v>
      </c>
      <c r="AO10" s="74">
        <v>13000</v>
      </c>
      <c r="AP10" s="116">
        <v>15000</v>
      </c>
      <c r="AQ10" s="74">
        <v>12936</v>
      </c>
      <c r="AR10" s="76">
        <f t="shared" si="15"/>
        <v>13645.333333333334</v>
      </c>
      <c r="AS10" s="24">
        <f t="shared" si="6"/>
        <v>3431.3333333333339</v>
      </c>
      <c r="AT10" s="25">
        <f t="shared" si="24"/>
        <v>0.33594412897330467</v>
      </c>
      <c r="AU10" s="309">
        <f t="shared" si="25"/>
        <v>13645.333333333334</v>
      </c>
      <c r="AV10" s="462">
        <f t="shared" si="16"/>
        <v>13645.333333333334</v>
      </c>
      <c r="AW10" s="513">
        <v>10214</v>
      </c>
      <c r="AX10" s="74">
        <v>13524</v>
      </c>
      <c r="AY10" s="74">
        <v>24500</v>
      </c>
      <c r="AZ10" s="75">
        <v>15582</v>
      </c>
      <c r="BA10" s="61">
        <v>35000</v>
      </c>
      <c r="BB10" s="10">
        <v>78000</v>
      </c>
      <c r="BC10" s="74">
        <v>24466.249999999996</v>
      </c>
      <c r="BD10" s="79">
        <v>15582</v>
      </c>
      <c r="BE10" s="79">
        <f>9800*1.2</f>
        <v>11760</v>
      </c>
      <c r="BF10" s="127">
        <v>14112</v>
      </c>
      <c r="BG10" s="142">
        <v>12000</v>
      </c>
      <c r="BH10" s="142">
        <v>13000</v>
      </c>
      <c r="BI10" s="76">
        <f t="shared" si="9"/>
        <v>31845.375</v>
      </c>
      <c r="BJ10" s="24">
        <f t="shared" si="10"/>
        <v>21631.375</v>
      </c>
      <c r="BK10" s="25">
        <f>+BJ10/AW10</f>
        <v>2.1178162326218914</v>
      </c>
      <c r="BL10" s="259" t="str">
        <f t="shared" si="11"/>
        <v>REVISAR PRECIO</v>
      </c>
      <c r="BM10" s="534">
        <f>AVERAGE(AY10,BA10,BC10)</f>
        <v>27988.75</v>
      </c>
    </row>
    <row r="11" spans="1:65" ht="20.100000000000001" customHeight="1">
      <c r="A11" s="26" t="s">
        <v>3</v>
      </c>
      <c r="B11" s="358" t="s">
        <v>754</v>
      </c>
      <c r="C11" s="15" t="s">
        <v>52</v>
      </c>
      <c r="D11" s="99" t="s">
        <v>393</v>
      </c>
      <c r="E11" s="392" t="s">
        <v>24</v>
      </c>
      <c r="F11" s="408"/>
      <c r="G11" s="293"/>
      <c r="H11" s="293"/>
      <c r="I11" s="293"/>
      <c r="J11" s="293"/>
      <c r="K11" s="293"/>
      <c r="L11" s="327"/>
      <c r="M11" s="432"/>
      <c r="N11" s="443"/>
      <c r="O11" s="250"/>
      <c r="P11" s="250"/>
      <c r="Q11" s="250"/>
      <c r="R11" s="250"/>
      <c r="S11" s="250"/>
      <c r="T11" s="250"/>
      <c r="U11" s="250"/>
      <c r="V11" s="443"/>
      <c r="W11" s="410">
        <v>124560</v>
      </c>
      <c r="X11" s="10">
        <v>162000</v>
      </c>
      <c r="Y11" s="31">
        <v>210600</v>
      </c>
      <c r="Z11" s="470">
        <v>141600</v>
      </c>
      <c r="AA11" s="76">
        <f t="shared" si="12"/>
        <v>171400</v>
      </c>
      <c r="AB11" s="24">
        <f t="shared" si="13"/>
        <v>46840</v>
      </c>
      <c r="AC11" s="25">
        <f t="shared" si="2"/>
        <v>0.37604367373153502</v>
      </c>
      <c r="AD11" s="309" t="str">
        <f t="shared" si="3"/>
        <v>REVISAR PRECIO</v>
      </c>
      <c r="AE11" s="462">
        <f t="shared" si="14"/>
        <v>171400</v>
      </c>
      <c r="AF11" s="407">
        <v>51524</v>
      </c>
      <c r="AG11" s="45">
        <v>52000</v>
      </c>
      <c r="AH11" s="45">
        <v>41229</v>
      </c>
      <c r="AI11" s="45">
        <v>26000</v>
      </c>
      <c r="AJ11" s="76">
        <f t="shared" si="30"/>
        <v>39743</v>
      </c>
      <c r="AK11" s="24">
        <f t="shared" si="22"/>
        <v>-11781</v>
      </c>
      <c r="AL11" s="281">
        <f t="shared" si="23"/>
        <v>-0.22865072587532023</v>
      </c>
      <c r="AM11" s="462">
        <f t="shared" si="31"/>
        <v>39743</v>
      </c>
      <c r="AN11" s="514"/>
      <c r="AO11" s="74">
        <v>120000</v>
      </c>
      <c r="AP11" s="116">
        <v>145000</v>
      </c>
      <c r="AQ11" s="74">
        <v>106920</v>
      </c>
      <c r="AR11" s="76">
        <f t="shared" si="15"/>
        <v>123973.33333333333</v>
      </c>
      <c r="AS11" s="24">
        <f t="shared" si="6"/>
        <v>123973.33333333333</v>
      </c>
      <c r="AT11" s="25"/>
      <c r="AU11" s="309"/>
      <c r="AV11" s="462">
        <f t="shared" si="16"/>
        <v>123973.33333333333</v>
      </c>
      <c r="AW11" s="514"/>
      <c r="AX11" s="74">
        <v>111780</v>
      </c>
      <c r="AY11" s="74">
        <v>120000</v>
      </c>
      <c r="AZ11" s="75">
        <v>128790</v>
      </c>
      <c r="BA11" s="61">
        <v>180000</v>
      </c>
      <c r="BB11" s="10"/>
      <c r="BC11" s="74">
        <v>128546.99999999997</v>
      </c>
      <c r="BD11" s="79">
        <v>128790</v>
      </c>
      <c r="BE11" s="79">
        <f>81000*1.2</f>
        <v>97200</v>
      </c>
      <c r="BF11" s="127">
        <v>116640</v>
      </c>
      <c r="BG11" s="142">
        <v>110000</v>
      </c>
      <c r="BH11" s="142">
        <v>100000</v>
      </c>
      <c r="BI11" s="76">
        <f t="shared" si="9"/>
        <v>133823.4</v>
      </c>
      <c r="BJ11" s="24">
        <f t="shared" si="10"/>
        <v>133823.4</v>
      </c>
      <c r="BK11" s="25"/>
      <c r="BL11" s="259">
        <f t="shared" si="11"/>
        <v>133823.4</v>
      </c>
      <c r="BM11" s="533">
        <f t="shared" ref="BM11:BM12" si="32">BI11</f>
        <v>133823.4</v>
      </c>
    </row>
    <row r="12" spans="1:65" ht="20.100000000000001" customHeight="1">
      <c r="A12" s="26" t="s">
        <v>3</v>
      </c>
      <c r="B12" s="358" t="s">
        <v>755</v>
      </c>
      <c r="C12" s="15" t="s">
        <v>53</v>
      </c>
      <c r="D12" s="99" t="s">
        <v>394</v>
      </c>
      <c r="E12" s="392" t="s">
        <v>740</v>
      </c>
      <c r="F12" s="408"/>
      <c r="G12" s="293"/>
      <c r="H12" s="293"/>
      <c r="I12" s="293"/>
      <c r="J12" s="293"/>
      <c r="K12" s="293"/>
      <c r="L12" s="327"/>
      <c r="M12" s="432"/>
      <c r="N12" s="443"/>
      <c r="O12" s="250"/>
      <c r="P12" s="250"/>
      <c r="Q12" s="250"/>
      <c r="R12" s="250"/>
      <c r="S12" s="250"/>
      <c r="T12" s="250"/>
      <c r="U12" s="250"/>
      <c r="V12" s="443"/>
      <c r="W12" s="410">
        <v>244283</v>
      </c>
      <c r="X12" s="10">
        <v>317709</v>
      </c>
      <c r="Y12" s="33">
        <v>413022</v>
      </c>
      <c r="Z12" s="470">
        <v>277701</v>
      </c>
      <c r="AA12" s="76">
        <f t="shared" si="12"/>
        <v>336144</v>
      </c>
      <c r="AB12" s="24">
        <f t="shared" si="13"/>
        <v>91861</v>
      </c>
      <c r="AC12" s="25">
        <f t="shared" si="2"/>
        <v>0.37604335954610024</v>
      </c>
      <c r="AD12" s="309" t="str">
        <f t="shared" si="3"/>
        <v>REVISAR PRECIO</v>
      </c>
      <c r="AE12" s="462">
        <f t="shared" si="14"/>
        <v>336144</v>
      </c>
      <c r="AF12" s="408"/>
      <c r="AG12" s="293"/>
      <c r="AH12" s="293"/>
      <c r="AI12" s="293"/>
      <c r="AJ12" s="293"/>
      <c r="AK12" s="293"/>
      <c r="AL12" s="327"/>
      <c r="AM12" s="463"/>
      <c r="AN12" s="514"/>
      <c r="AO12" s="74">
        <v>840000</v>
      </c>
      <c r="AP12" s="116">
        <v>830000</v>
      </c>
      <c r="AQ12" s="74">
        <v>880000</v>
      </c>
      <c r="AR12" s="76">
        <f t="shared" si="15"/>
        <v>850000</v>
      </c>
      <c r="AS12" s="24">
        <f t="shared" si="6"/>
        <v>850000</v>
      </c>
      <c r="AT12" s="25"/>
      <c r="AU12" s="309"/>
      <c r="AV12" s="462">
        <f t="shared" si="16"/>
        <v>850000</v>
      </c>
      <c r="AW12" s="514"/>
      <c r="AX12" s="74">
        <v>920000</v>
      </c>
      <c r="AY12" s="74">
        <v>900000</v>
      </c>
      <c r="AZ12" s="75">
        <v>1060000</v>
      </c>
      <c r="BA12" s="61">
        <v>919999.99999999988</v>
      </c>
      <c r="BB12" s="10"/>
      <c r="BC12" s="74">
        <v>1057999.9999999998</v>
      </c>
      <c r="BD12" s="79">
        <v>1060000</v>
      </c>
      <c r="BE12" s="79">
        <v>800000</v>
      </c>
      <c r="BF12" s="127">
        <v>800000</v>
      </c>
      <c r="BG12" s="142">
        <v>850000</v>
      </c>
      <c r="BH12" s="142">
        <v>810000</v>
      </c>
      <c r="BI12" s="76">
        <f t="shared" si="9"/>
        <v>971600</v>
      </c>
      <c r="BJ12" s="24">
        <f t="shared" si="10"/>
        <v>971600</v>
      </c>
      <c r="BK12" s="25"/>
      <c r="BL12" s="259">
        <f t="shared" si="11"/>
        <v>971600</v>
      </c>
      <c r="BM12" s="533">
        <f t="shared" si="32"/>
        <v>971600</v>
      </c>
    </row>
    <row r="13" spans="1:65" ht="53.1" customHeight="1">
      <c r="A13" s="26"/>
      <c r="B13" s="358" t="s">
        <v>2210</v>
      </c>
      <c r="C13" s="15" t="s">
        <v>54</v>
      </c>
      <c r="D13" s="177" t="s">
        <v>826</v>
      </c>
      <c r="E13" s="385" t="s">
        <v>827</v>
      </c>
      <c r="F13" s="407">
        <v>15957</v>
      </c>
      <c r="G13" s="10">
        <v>9000</v>
      </c>
      <c r="H13" s="167">
        <v>18000</v>
      </c>
      <c r="I13" s="10">
        <v>11500</v>
      </c>
      <c r="J13" s="76">
        <f t="shared" ref="J13:J20" si="33">AVERAGE(G13,I13)</f>
        <v>10250</v>
      </c>
      <c r="K13" s="24">
        <f t="shared" ref="K13:K20" si="34">J13-F13</f>
        <v>-5707</v>
      </c>
      <c r="L13" s="281">
        <f t="shared" ref="L13:L19" si="35">+K13/F13</f>
        <v>-0.35764868082972989</v>
      </c>
      <c r="M13" s="431">
        <f t="shared" ref="M13:M53" si="36">H13</f>
        <v>18000</v>
      </c>
      <c r="N13" s="442">
        <v>17855</v>
      </c>
      <c r="O13" s="260">
        <v>18500</v>
      </c>
      <c r="P13" s="260">
        <v>24000</v>
      </c>
      <c r="Q13" s="261">
        <v>21000</v>
      </c>
      <c r="R13" s="10">
        <v>20000</v>
      </c>
      <c r="S13" s="76">
        <f t="shared" ref="S13:S14" si="37">AVERAGE(O13,P13,Q13,R13)</f>
        <v>20875</v>
      </c>
      <c r="T13" s="24">
        <f t="shared" ref="T13:T14" si="38">S13-N13</f>
        <v>3020</v>
      </c>
      <c r="U13" s="281">
        <f t="shared" ref="U13:U14" si="39">+T13/N13</f>
        <v>0.16914029683562026</v>
      </c>
      <c r="V13" s="462">
        <f t="shared" ref="V13:V14" si="40">S13</f>
        <v>20875</v>
      </c>
      <c r="W13" s="410"/>
      <c r="X13" s="10"/>
      <c r="Y13" s="33"/>
      <c r="Z13" s="470"/>
      <c r="AA13" s="76"/>
      <c r="AB13" s="24"/>
      <c r="AC13" s="25"/>
      <c r="AD13" s="309"/>
      <c r="AE13" s="462"/>
      <c r="AF13" s="408"/>
      <c r="AG13" s="293"/>
      <c r="AH13" s="293"/>
      <c r="AI13" s="293"/>
      <c r="AJ13" s="293"/>
      <c r="AK13" s="293"/>
      <c r="AL13" s="327"/>
      <c r="AM13" s="463"/>
      <c r="AN13" s="514"/>
      <c r="AO13" s="74"/>
      <c r="AP13" s="116"/>
      <c r="AQ13" s="74"/>
      <c r="AR13" s="76"/>
      <c r="AS13" s="24"/>
      <c r="AT13" s="25"/>
      <c r="AU13" s="309"/>
      <c r="AV13" s="462"/>
      <c r="AW13" s="514"/>
      <c r="AX13" s="74"/>
      <c r="AY13" s="74"/>
      <c r="AZ13" s="75"/>
      <c r="BA13" s="61"/>
      <c r="BB13" s="10"/>
      <c r="BC13" s="74"/>
      <c r="BD13" s="79"/>
      <c r="BE13" s="79"/>
      <c r="BF13" s="127"/>
      <c r="BG13" s="142"/>
      <c r="BH13" s="142"/>
      <c r="BI13" s="76"/>
      <c r="BJ13" s="24"/>
      <c r="BK13" s="25"/>
      <c r="BL13" s="259"/>
      <c r="BM13" s="533"/>
    </row>
    <row r="14" spans="1:65" ht="20.100000000000001" customHeight="1">
      <c r="A14" s="26"/>
      <c r="B14" s="358" t="s">
        <v>757</v>
      </c>
      <c r="C14" s="15" t="s">
        <v>55</v>
      </c>
      <c r="D14" s="177" t="s">
        <v>828</v>
      </c>
      <c r="E14" s="385" t="s">
        <v>829</v>
      </c>
      <c r="F14" s="407">
        <v>59775</v>
      </c>
      <c r="G14" s="10">
        <v>19231</v>
      </c>
      <c r="H14" s="167">
        <v>115386</v>
      </c>
      <c r="I14" s="10">
        <v>19185</v>
      </c>
      <c r="J14" s="76">
        <f t="shared" si="33"/>
        <v>19208</v>
      </c>
      <c r="K14" s="24">
        <f t="shared" si="34"/>
        <v>-40567</v>
      </c>
      <c r="L14" s="281">
        <f t="shared" si="35"/>
        <v>-0.67866164784608951</v>
      </c>
      <c r="M14" s="431">
        <f t="shared" si="36"/>
        <v>115386</v>
      </c>
      <c r="N14" s="442">
        <v>46371</v>
      </c>
      <c r="O14" s="260">
        <v>55000</v>
      </c>
      <c r="P14" s="260">
        <v>61000</v>
      </c>
      <c r="Q14" s="261">
        <v>59000</v>
      </c>
      <c r="R14" s="10">
        <v>60000</v>
      </c>
      <c r="S14" s="76">
        <f t="shared" si="37"/>
        <v>58750</v>
      </c>
      <c r="T14" s="24">
        <f t="shared" si="38"/>
        <v>12379</v>
      </c>
      <c r="U14" s="281">
        <f t="shared" si="39"/>
        <v>0.26695564037868497</v>
      </c>
      <c r="V14" s="462">
        <f t="shared" si="40"/>
        <v>58750</v>
      </c>
      <c r="W14" s="410"/>
      <c r="X14" s="10"/>
      <c r="Y14" s="33"/>
      <c r="Z14" s="470"/>
      <c r="AA14" s="76"/>
      <c r="AB14" s="24"/>
      <c r="AC14" s="25"/>
      <c r="AD14" s="309"/>
      <c r="AE14" s="462"/>
      <c r="AF14" s="407">
        <v>51524</v>
      </c>
      <c r="AG14" s="45">
        <v>52000</v>
      </c>
      <c r="AH14" s="45">
        <v>41229</v>
      </c>
      <c r="AI14" s="45">
        <v>26000</v>
      </c>
      <c r="AJ14" s="76">
        <f t="shared" ref="AJ14" si="41">AVERAGE(AG14,AH14,AI14)</f>
        <v>39743</v>
      </c>
      <c r="AK14" s="24">
        <f t="shared" ref="AK14" si="42">AJ14-AF14</f>
        <v>-11781</v>
      </c>
      <c r="AL14" s="281">
        <f t="shared" ref="AL14" si="43">+AK14/AF14</f>
        <v>-0.22865072587532023</v>
      </c>
      <c r="AM14" s="462">
        <f t="shared" ref="AM14" si="44">AJ14</f>
        <v>39743</v>
      </c>
      <c r="AN14" s="514"/>
      <c r="AO14" s="74"/>
      <c r="AP14" s="116"/>
      <c r="AQ14" s="74"/>
      <c r="AR14" s="76"/>
      <c r="AS14" s="24"/>
      <c r="AT14" s="25"/>
      <c r="AU14" s="309"/>
      <c r="AV14" s="462"/>
      <c r="AW14" s="514"/>
      <c r="AX14" s="74"/>
      <c r="AY14" s="74"/>
      <c r="AZ14" s="75"/>
      <c r="BA14" s="61"/>
      <c r="BB14" s="10"/>
      <c r="BC14" s="74"/>
      <c r="BD14" s="79"/>
      <c r="BE14" s="79"/>
      <c r="BF14" s="127"/>
      <c r="BG14" s="142"/>
      <c r="BH14" s="142"/>
      <c r="BI14" s="76"/>
      <c r="BJ14" s="24"/>
      <c r="BK14" s="25"/>
      <c r="BL14" s="259"/>
      <c r="BM14" s="533"/>
    </row>
    <row r="15" spans="1:65" ht="20.100000000000001" customHeight="1">
      <c r="A15" s="26"/>
      <c r="B15" s="358" t="s">
        <v>758</v>
      </c>
      <c r="C15" s="15" t="s">
        <v>56</v>
      </c>
      <c r="D15" s="177" t="s">
        <v>830</v>
      </c>
      <c r="E15" s="385" t="s">
        <v>13</v>
      </c>
      <c r="F15" s="407">
        <v>4112</v>
      </c>
      <c r="G15" s="10">
        <v>2812.32</v>
      </c>
      <c r="H15" s="167">
        <v>19686.240000000002</v>
      </c>
      <c r="I15" s="10">
        <v>2050</v>
      </c>
      <c r="J15" s="76">
        <f t="shared" si="33"/>
        <v>2431.16</v>
      </c>
      <c r="K15" s="24">
        <f t="shared" si="34"/>
        <v>-1680.8400000000001</v>
      </c>
      <c r="L15" s="281">
        <f t="shared" si="35"/>
        <v>-0.40876459143968874</v>
      </c>
      <c r="M15" s="431">
        <f t="shared" si="36"/>
        <v>19686.240000000002</v>
      </c>
      <c r="N15" s="443"/>
      <c r="O15" s="250"/>
      <c r="P15" s="250"/>
      <c r="Q15" s="250"/>
      <c r="R15" s="250"/>
      <c r="S15" s="250"/>
      <c r="T15" s="250"/>
      <c r="U15" s="250"/>
      <c r="V15" s="443"/>
      <c r="W15" s="410"/>
      <c r="X15" s="10"/>
      <c r="Y15" s="33"/>
      <c r="Z15" s="470"/>
      <c r="AA15" s="76"/>
      <c r="AB15" s="24"/>
      <c r="AC15" s="25"/>
      <c r="AD15" s="309"/>
      <c r="AE15" s="462"/>
      <c r="AF15" s="408"/>
      <c r="AG15" s="293"/>
      <c r="AH15" s="293"/>
      <c r="AI15" s="293"/>
      <c r="AJ15" s="293"/>
      <c r="AK15" s="293"/>
      <c r="AL15" s="327"/>
      <c r="AM15" s="463"/>
      <c r="AN15" s="514"/>
      <c r="AO15" s="74"/>
      <c r="AP15" s="116"/>
      <c r="AQ15" s="74"/>
      <c r="AR15" s="76"/>
      <c r="AS15" s="24"/>
      <c r="AT15" s="25"/>
      <c r="AU15" s="309"/>
      <c r="AV15" s="462"/>
      <c r="AW15" s="514"/>
      <c r="AX15" s="74"/>
      <c r="AY15" s="74"/>
      <c r="AZ15" s="75"/>
      <c r="BA15" s="61"/>
      <c r="BB15" s="10"/>
      <c r="BC15" s="74"/>
      <c r="BD15" s="79"/>
      <c r="BE15" s="79"/>
      <c r="BF15" s="127"/>
      <c r="BG15" s="142"/>
      <c r="BH15" s="142"/>
      <c r="BI15" s="76"/>
      <c r="BJ15" s="24"/>
      <c r="BK15" s="25"/>
      <c r="BL15" s="259"/>
      <c r="BM15" s="533"/>
    </row>
    <row r="16" spans="1:65" ht="20.100000000000001" customHeight="1">
      <c r="A16" s="26"/>
      <c r="B16" s="358" t="s">
        <v>759</v>
      </c>
      <c r="C16" s="15" t="s">
        <v>57</v>
      </c>
      <c r="D16" s="177" t="s">
        <v>831</v>
      </c>
      <c r="E16" s="385" t="s">
        <v>10</v>
      </c>
      <c r="F16" s="407">
        <v>3209</v>
      </c>
      <c r="G16" s="10">
        <v>4522.12</v>
      </c>
      <c r="H16" s="167">
        <v>36176.959999999999</v>
      </c>
      <c r="I16" s="10">
        <v>2900</v>
      </c>
      <c r="J16" s="76">
        <f t="shared" si="33"/>
        <v>3711.06</v>
      </c>
      <c r="K16" s="24">
        <f t="shared" si="34"/>
        <v>502.05999999999995</v>
      </c>
      <c r="L16" s="281">
        <f t="shared" si="35"/>
        <v>0.15645372390152693</v>
      </c>
      <c r="M16" s="431">
        <f t="shared" si="36"/>
        <v>36176.959999999999</v>
      </c>
      <c r="N16" s="443"/>
      <c r="O16" s="250"/>
      <c r="P16" s="250"/>
      <c r="Q16" s="250"/>
      <c r="R16" s="250"/>
      <c r="S16" s="250"/>
      <c r="T16" s="250"/>
      <c r="U16" s="250"/>
      <c r="V16" s="443"/>
      <c r="W16" s="410"/>
      <c r="X16" s="10"/>
      <c r="Y16" s="33"/>
      <c r="Z16" s="470"/>
      <c r="AA16" s="76"/>
      <c r="AB16" s="24"/>
      <c r="AC16" s="25"/>
      <c r="AD16" s="309"/>
      <c r="AE16" s="462"/>
      <c r="AF16" s="408"/>
      <c r="AG16" s="293"/>
      <c r="AH16" s="293"/>
      <c r="AI16" s="293"/>
      <c r="AJ16" s="293"/>
      <c r="AK16" s="293"/>
      <c r="AL16" s="327"/>
      <c r="AM16" s="463"/>
      <c r="AN16" s="514"/>
      <c r="AO16" s="74"/>
      <c r="AP16" s="116"/>
      <c r="AQ16" s="74"/>
      <c r="AR16" s="76"/>
      <c r="AS16" s="24"/>
      <c r="AT16" s="25"/>
      <c r="AU16" s="309"/>
      <c r="AV16" s="462"/>
      <c r="AW16" s="514"/>
      <c r="AX16" s="74"/>
      <c r="AY16" s="74"/>
      <c r="AZ16" s="75"/>
      <c r="BA16" s="61"/>
      <c r="BB16" s="10"/>
      <c r="BC16" s="74"/>
      <c r="BD16" s="79"/>
      <c r="BE16" s="79"/>
      <c r="BF16" s="127"/>
      <c r="BG16" s="142"/>
      <c r="BH16" s="142"/>
      <c r="BI16" s="76"/>
      <c r="BJ16" s="24"/>
      <c r="BK16" s="25"/>
      <c r="BL16" s="259"/>
      <c r="BM16" s="533"/>
    </row>
    <row r="17" spans="1:65" ht="36" customHeight="1">
      <c r="A17" s="26"/>
      <c r="B17" s="358" t="s">
        <v>760</v>
      </c>
      <c r="C17" s="15" t="s">
        <v>58</v>
      </c>
      <c r="D17" s="177" t="s">
        <v>832</v>
      </c>
      <c r="E17" s="385" t="s">
        <v>829</v>
      </c>
      <c r="F17" s="407">
        <v>18711</v>
      </c>
      <c r="G17" s="10">
        <v>7499.52</v>
      </c>
      <c r="H17" s="167">
        <v>67495.680000000008</v>
      </c>
      <c r="I17" s="10">
        <v>42526</v>
      </c>
      <c r="J17" s="76">
        <f t="shared" si="33"/>
        <v>25012.760000000002</v>
      </c>
      <c r="K17" s="24">
        <f t="shared" si="34"/>
        <v>6301.760000000002</v>
      </c>
      <c r="L17" s="281">
        <f t="shared" si="35"/>
        <v>0.33679439901662134</v>
      </c>
      <c r="M17" s="431">
        <f t="shared" si="36"/>
        <v>67495.680000000008</v>
      </c>
      <c r="N17" s="443"/>
      <c r="O17" s="250"/>
      <c r="P17" s="250"/>
      <c r="Q17" s="250"/>
      <c r="R17" s="250"/>
      <c r="S17" s="250"/>
      <c r="T17" s="250"/>
      <c r="U17" s="250"/>
      <c r="V17" s="443"/>
      <c r="W17" s="410"/>
      <c r="X17" s="10"/>
      <c r="Y17" s="33"/>
      <c r="Z17" s="470"/>
      <c r="AA17" s="76"/>
      <c r="AB17" s="24"/>
      <c r="AC17" s="25"/>
      <c r="AD17" s="309"/>
      <c r="AE17" s="462"/>
      <c r="AF17" s="408"/>
      <c r="AG17" s="293"/>
      <c r="AH17" s="293"/>
      <c r="AI17" s="293"/>
      <c r="AJ17" s="293"/>
      <c r="AK17" s="293"/>
      <c r="AL17" s="327"/>
      <c r="AM17" s="463"/>
      <c r="AN17" s="514"/>
      <c r="AO17" s="74"/>
      <c r="AP17" s="116"/>
      <c r="AQ17" s="74"/>
      <c r="AR17" s="76"/>
      <c r="AS17" s="24"/>
      <c r="AT17" s="25"/>
      <c r="AU17" s="309"/>
      <c r="AV17" s="462"/>
      <c r="AW17" s="514"/>
      <c r="AX17" s="74"/>
      <c r="AY17" s="74"/>
      <c r="AZ17" s="75"/>
      <c r="BA17" s="61"/>
      <c r="BB17" s="10"/>
      <c r="BC17" s="74"/>
      <c r="BD17" s="79"/>
      <c r="BE17" s="79"/>
      <c r="BF17" s="127"/>
      <c r="BG17" s="142"/>
      <c r="BH17" s="142"/>
      <c r="BI17" s="76"/>
      <c r="BJ17" s="24"/>
      <c r="BK17" s="25"/>
      <c r="BL17" s="259"/>
      <c r="BM17" s="533"/>
    </row>
    <row r="18" spans="1:65" ht="30" customHeight="1">
      <c r="A18" s="26"/>
      <c r="B18" s="358" t="s">
        <v>761</v>
      </c>
      <c r="C18" s="15" t="s">
        <v>833</v>
      </c>
      <c r="D18" s="177" t="s">
        <v>836</v>
      </c>
      <c r="E18" s="385" t="s">
        <v>837</v>
      </c>
      <c r="F18" s="407">
        <v>18711</v>
      </c>
      <c r="G18" s="10">
        <v>46872</v>
      </c>
      <c r="H18" s="167">
        <v>468720</v>
      </c>
      <c r="I18" s="10">
        <v>42526</v>
      </c>
      <c r="J18" s="76">
        <f t="shared" si="33"/>
        <v>44699</v>
      </c>
      <c r="K18" s="24">
        <f t="shared" si="34"/>
        <v>25988</v>
      </c>
      <c r="L18" s="281">
        <f t="shared" si="35"/>
        <v>1.3889156111378334</v>
      </c>
      <c r="M18" s="431">
        <f t="shared" si="36"/>
        <v>468720</v>
      </c>
      <c r="N18" s="443"/>
      <c r="O18" s="250"/>
      <c r="P18" s="250"/>
      <c r="Q18" s="250"/>
      <c r="R18" s="250"/>
      <c r="S18" s="250"/>
      <c r="T18" s="250"/>
      <c r="U18" s="250"/>
      <c r="V18" s="443"/>
      <c r="W18" s="410"/>
      <c r="X18" s="10"/>
      <c r="Y18" s="33"/>
      <c r="Z18" s="470"/>
      <c r="AA18" s="76"/>
      <c r="AB18" s="24"/>
      <c r="AC18" s="25"/>
      <c r="AD18" s="309"/>
      <c r="AE18" s="462"/>
      <c r="AF18" s="408"/>
      <c r="AG18" s="293"/>
      <c r="AH18" s="293"/>
      <c r="AI18" s="293"/>
      <c r="AJ18" s="293"/>
      <c r="AK18" s="293"/>
      <c r="AL18" s="327"/>
      <c r="AM18" s="463"/>
      <c r="AN18" s="514"/>
      <c r="AO18" s="74"/>
      <c r="AP18" s="116"/>
      <c r="AQ18" s="74"/>
      <c r="AR18" s="76"/>
      <c r="AS18" s="24"/>
      <c r="AT18" s="25"/>
      <c r="AU18" s="309"/>
      <c r="AV18" s="462"/>
      <c r="AW18" s="514"/>
      <c r="AX18" s="74"/>
      <c r="AY18" s="74"/>
      <c r="AZ18" s="75"/>
      <c r="BA18" s="61"/>
      <c r="BB18" s="10"/>
      <c r="BC18" s="74"/>
      <c r="BD18" s="79"/>
      <c r="BE18" s="79"/>
      <c r="BF18" s="127"/>
      <c r="BG18" s="142"/>
      <c r="BH18" s="142"/>
      <c r="BI18" s="76"/>
      <c r="BJ18" s="24"/>
      <c r="BK18" s="25"/>
      <c r="BL18" s="259"/>
      <c r="BM18" s="533"/>
    </row>
    <row r="19" spans="1:65" ht="39.950000000000003" customHeight="1">
      <c r="A19" s="26"/>
      <c r="B19" s="358" t="s">
        <v>762</v>
      </c>
      <c r="C19" s="15" t="s">
        <v>834</v>
      </c>
      <c r="D19" s="177" t="s">
        <v>838</v>
      </c>
      <c r="E19" s="385" t="s">
        <v>837</v>
      </c>
      <c r="F19" s="407">
        <v>21274</v>
      </c>
      <c r="G19" s="10">
        <v>35633.040000000001</v>
      </c>
      <c r="H19" s="167">
        <v>391963.44</v>
      </c>
      <c r="I19" s="10">
        <v>33650</v>
      </c>
      <c r="J19" s="76">
        <f t="shared" si="33"/>
        <v>34641.520000000004</v>
      </c>
      <c r="K19" s="24">
        <f t="shared" si="34"/>
        <v>13367.520000000004</v>
      </c>
      <c r="L19" s="281">
        <f t="shared" si="35"/>
        <v>0.62835009871204306</v>
      </c>
      <c r="M19" s="431">
        <f t="shared" si="36"/>
        <v>391963.44</v>
      </c>
      <c r="N19" s="443"/>
      <c r="O19" s="250"/>
      <c r="P19" s="250"/>
      <c r="Q19" s="250"/>
      <c r="R19" s="250"/>
      <c r="S19" s="250"/>
      <c r="T19" s="250"/>
      <c r="U19" s="250"/>
      <c r="V19" s="443"/>
      <c r="W19" s="410"/>
      <c r="X19" s="10"/>
      <c r="Y19" s="33"/>
      <c r="Z19" s="470"/>
      <c r="AA19" s="76"/>
      <c r="AB19" s="24"/>
      <c r="AC19" s="25"/>
      <c r="AD19" s="309"/>
      <c r="AE19" s="462"/>
      <c r="AF19" s="408"/>
      <c r="AG19" s="293"/>
      <c r="AH19" s="293"/>
      <c r="AI19" s="293"/>
      <c r="AJ19" s="293"/>
      <c r="AK19" s="293"/>
      <c r="AL19" s="327"/>
      <c r="AM19" s="463"/>
      <c r="AN19" s="514"/>
      <c r="AO19" s="74"/>
      <c r="AP19" s="116"/>
      <c r="AQ19" s="74"/>
      <c r="AR19" s="76"/>
      <c r="AS19" s="24"/>
      <c r="AT19" s="25"/>
      <c r="AU19" s="309"/>
      <c r="AV19" s="462"/>
      <c r="AW19" s="514"/>
      <c r="AX19" s="74"/>
      <c r="AY19" s="74"/>
      <c r="AZ19" s="75"/>
      <c r="BA19" s="61"/>
      <c r="BB19" s="10"/>
      <c r="BC19" s="74"/>
      <c r="BD19" s="79"/>
      <c r="BE19" s="79"/>
      <c r="BF19" s="127"/>
      <c r="BG19" s="142"/>
      <c r="BH19" s="142"/>
      <c r="BI19" s="76"/>
      <c r="BJ19" s="24"/>
      <c r="BK19" s="25"/>
      <c r="BL19" s="259"/>
      <c r="BM19" s="533"/>
    </row>
    <row r="20" spans="1:65" ht="81" customHeight="1">
      <c r="A20" s="26"/>
      <c r="B20" s="358" t="s">
        <v>2211</v>
      </c>
      <c r="C20" s="15" t="s">
        <v>835</v>
      </c>
      <c r="D20" s="177" t="s">
        <v>839</v>
      </c>
      <c r="E20" s="385" t="s">
        <v>10</v>
      </c>
      <c r="F20" s="407">
        <v>15939</v>
      </c>
      <c r="G20" s="10">
        <v>59307.34</v>
      </c>
      <c r="H20" s="167">
        <v>711688.08</v>
      </c>
      <c r="I20" s="10">
        <v>39600</v>
      </c>
      <c r="J20" s="76">
        <f t="shared" si="33"/>
        <v>49453.67</v>
      </c>
      <c r="K20" s="24">
        <f t="shared" si="34"/>
        <v>33514.67</v>
      </c>
      <c r="L20" s="281">
        <f>+K20/F20</f>
        <v>2.1026833552920507</v>
      </c>
      <c r="M20" s="431">
        <f t="shared" si="36"/>
        <v>711688.08</v>
      </c>
      <c r="N20" s="443"/>
      <c r="O20" s="250"/>
      <c r="P20" s="250"/>
      <c r="Q20" s="250"/>
      <c r="R20" s="250"/>
      <c r="S20" s="250"/>
      <c r="T20" s="250"/>
      <c r="U20" s="250"/>
      <c r="V20" s="443"/>
      <c r="W20" s="410"/>
      <c r="X20" s="10"/>
      <c r="Y20" s="33"/>
      <c r="Z20" s="470"/>
      <c r="AA20" s="76"/>
      <c r="AB20" s="24"/>
      <c r="AC20" s="25"/>
      <c r="AD20" s="309"/>
      <c r="AE20" s="462"/>
      <c r="AF20" s="408"/>
      <c r="AG20" s="293"/>
      <c r="AH20" s="293"/>
      <c r="AI20" s="293"/>
      <c r="AJ20" s="293"/>
      <c r="AK20" s="293"/>
      <c r="AL20" s="327"/>
      <c r="AM20" s="463"/>
      <c r="AN20" s="514"/>
      <c r="AO20" s="74"/>
      <c r="AP20" s="116"/>
      <c r="AQ20" s="74"/>
      <c r="AR20" s="76"/>
      <c r="AS20" s="24"/>
      <c r="AT20" s="25"/>
      <c r="AU20" s="309"/>
      <c r="AV20" s="462"/>
      <c r="AW20" s="514"/>
      <c r="AX20" s="74"/>
      <c r="AY20" s="74"/>
      <c r="AZ20" s="75"/>
      <c r="BA20" s="61"/>
      <c r="BB20" s="10"/>
      <c r="BC20" s="74"/>
      <c r="BD20" s="79"/>
      <c r="BE20" s="79"/>
      <c r="BF20" s="127"/>
      <c r="BG20" s="142"/>
      <c r="BH20" s="142"/>
      <c r="BI20" s="76"/>
      <c r="BJ20" s="24"/>
      <c r="BK20" s="25"/>
      <c r="BL20" s="259"/>
      <c r="BM20" s="533"/>
    </row>
    <row r="21" spans="1:65" ht="60.95" customHeight="1">
      <c r="A21" s="26"/>
      <c r="B21" s="358" t="s">
        <v>2212</v>
      </c>
      <c r="C21" s="15" t="s">
        <v>1408</v>
      </c>
      <c r="D21" s="264" t="s">
        <v>826</v>
      </c>
      <c r="E21" s="393" t="s">
        <v>827</v>
      </c>
      <c r="F21" s="407"/>
      <c r="G21" s="10"/>
      <c r="H21" s="167"/>
      <c r="I21" s="10"/>
      <c r="J21" s="76"/>
      <c r="K21" s="24"/>
      <c r="L21" s="281"/>
      <c r="M21" s="431"/>
      <c r="N21" s="442">
        <v>15957</v>
      </c>
      <c r="O21" s="260">
        <v>18500</v>
      </c>
      <c r="P21" s="260">
        <v>22400</v>
      </c>
      <c r="Q21" s="261">
        <v>20400</v>
      </c>
      <c r="R21" s="10">
        <v>20000</v>
      </c>
      <c r="S21" s="76">
        <f>AVERAGE(O21,P21,Q21,R21)</f>
        <v>20325</v>
      </c>
      <c r="T21" s="24">
        <f t="shared" ref="T21:T22" si="45">S21-N21</f>
        <v>4368</v>
      </c>
      <c r="U21" s="281">
        <f t="shared" ref="U21:U22" si="46">+T21/N21</f>
        <v>0.27373566459860876</v>
      </c>
      <c r="V21" s="462">
        <f t="shared" ref="V21:V22" si="47">S21</f>
        <v>20325</v>
      </c>
      <c r="W21" s="410"/>
      <c r="X21" s="10"/>
      <c r="Y21" s="33"/>
      <c r="Z21" s="470"/>
      <c r="AA21" s="76"/>
      <c r="AB21" s="24"/>
      <c r="AC21" s="25"/>
      <c r="AD21" s="309"/>
      <c r="AE21" s="462"/>
      <c r="AF21" s="408"/>
      <c r="AG21" s="293"/>
      <c r="AH21" s="293"/>
      <c r="AI21" s="293"/>
      <c r="AJ21" s="293"/>
      <c r="AK21" s="293"/>
      <c r="AL21" s="327"/>
      <c r="AM21" s="463"/>
      <c r="AN21" s="514"/>
      <c r="AO21" s="74"/>
      <c r="AP21" s="116"/>
      <c r="AQ21" s="74"/>
      <c r="AR21" s="76"/>
      <c r="AS21" s="24"/>
      <c r="AT21" s="25"/>
      <c r="AU21" s="309"/>
      <c r="AV21" s="462"/>
      <c r="AW21" s="514"/>
      <c r="AX21" s="74"/>
      <c r="AY21" s="74"/>
      <c r="AZ21" s="75"/>
      <c r="BA21" s="61"/>
      <c r="BB21" s="10"/>
      <c r="BC21" s="74"/>
      <c r="BD21" s="79"/>
      <c r="BE21" s="79"/>
      <c r="BF21" s="127"/>
      <c r="BG21" s="142"/>
      <c r="BH21" s="142"/>
      <c r="BI21" s="76"/>
      <c r="BJ21" s="24"/>
      <c r="BK21" s="25"/>
      <c r="BL21" s="259"/>
      <c r="BM21" s="533"/>
    </row>
    <row r="22" spans="1:65" ht="60.95" customHeight="1">
      <c r="A22" s="26"/>
      <c r="B22" s="358" t="s">
        <v>2213</v>
      </c>
      <c r="C22" s="15" t="s">
        <v>1409</v>
      </c>
      <c r="D22" s="264" t="s">
        <v>1394</v>
      </c>
      <c r="E22" s="393" t="s">
        <v>827</v>
      </c>
      <c r="F22" s="407"/>
      <c r="G22" s="10"/>
      <c r="H22" s="167"/>
      <c r="I22" s="10"/>
      <c r="J22" s="76"/>
      <c r="K22" s="24"/>
      <c r="L22" s="281"/>
      <c r="M22" s="431"/>
      <c r="N22" s="442">
        <v>405658</v>
      </c>
      <c r="O22" s="260">
        <v>52000</v>
      </c>
      <c r="P22" s="260">
        <v>65000</v>
      </c>
      <c r="Q22" s="261">
        <v>60000</v>
      </c>
      <c r="R22" s="10">
        <v>65000</v>
      </c>
      <c r="S22" s="76">
        <f t="shared" ref="S22" si="48">AVERAGE(O22,P22,Q22,R22)</f>
        <v>60500</v>
      </c>
      <c r="T22" s="24">
        <f t="shared" si="45"/>
        <v>-345158</v>
      </c>
      <c r="U22" s="281">
        <f t="shared" si="46"/>
        <v>-0.85085959108411524</v>
      </c>
      <c r="V22" s="462">
        <f t="shared" si="47"/>
        <v>60500</v>
      </c>
      <c r="W22" s="410"/>
      <c r="X22" s="10"/>
      <c r="Y22" s="33"/>
      <c r="Z22" s="470"/>
      <c r="AA22" s="76"/>
      <c r="AB22" s="24"/>
      <c r="AC22" s="25"/>
      <c r="AD22" s="309"/>
      <c r="AE22" s="462"/>
      <c r="AF22" s="408"/>
      <c r="AG22" s="293"/>
      <c r="AH22" s="293"/>
      <c r="AI22" s="293"/>
      <c r="AJ22" s="293"/>
      <c r="AK22" s="293"/>
      <c r="AL22" s="327"/>
      <c r="AM22" s="463"/>
      <c r="AN22" s="514"/>
      <c r="AO22" s="74"/>
      <c r="AP22" s="116"/>
      <c r="AQ22" s="74"/>
      <c r="AR22" s="76"/>
      <c r="AS22" s="24"/>
      <c r="AT22" s="25"/>
      <c r="AU22" s="309"/>
      <c r="AV22" s="462"/>
      <c r="AW22" s="514"/>
      <c r="AX22" s="74"/>
      <c r="AY22" s="74"/>
      <c r="AZ22" s="75"/>
      <c r="BA22" s="61"/>
      <c r="BB22" s="10"/>
      <c r="BC22" s="74"/>
      <c r="BD22" s="79"/>
      <c r="BE22" s="79"/>
      <c r="BF22" s="127"/>
      <c r="BG22" s="142"/>
      <c r="BH22" s="142"/>
      <c r="BI22" s="76"/>
      <c r="BJ22" s="24"/>
      <c r="BK22" s="25"/>
      <c r="BL22" s="259"/>
      <c r="BM22" s="533"/>
    </row>
    <row r="23" spans="1:65" ht="51" customHeight="1">
      <c r="A23" s="26"/>
      <c r="B23" s="358" t="s">
        <v>2214</v>
      </c>
      <c r="C23" s="15" t="s">
        <v>1410</v>
      </c>
      <c r="D23" s="264" t="s">
        <v>1395</v>
      </c>
      <c r="E23" s="393" t="s">
        <v>1396</v>
      </c>
      <c r="F23" s="407"/>
      <c r="G23" s="10"/>
      <c r="H23" s="167"/>
      <c r="I23" s="10"/>
      <c r="J23" s="76"/>
      <c r="K23" s="24"/>
      <c r="L23" s="281"/>
      <c r="M23" s="431"/>
      <c r="N23" s="442">
        <v>38919</v>
      </c>
      <c r="O23" s="260"/>
      <c r="P23" s="260"/>
      <c r="Q23" s="261"/>
      <c r="R23" s="10" t="s">
        <v>1421</v>
      </c>
      <c r="S23" s="76"/>
      <c r="T23" s="24"/>
      <c r="U23" s="281"/>
      <c r="V23" s="464" t="s">
        <v>807</v>
      </c>
      <c r="W23" s="410"/>
      <c r="X23" s="10"/>
      <c r="Y23" s="33"/>
      <c r="Z23" s="470"/>
      <c r="AA23" s="76"/>
      <c r="AB23" s="24"/>
      <c r="AC23" s="25"/>
      <c r="AD23" s="309"/>
      <c r="AE23" s="462"/>
      <c r="AF23" s="408"/>
      <c r="AG23" s="293"/>
      <c r="AH23" s="293"/>
      <c r="AI23" s="293"/>
      <c r="AJ23" s="293"/>
      <c r="AK23" s="293"/>
      <c r="AL23" s="327"/>
      <c r="AM23" s="463"/>
      <c r="AN23" s="514"/>
      <c r="AO23" s="74"/>
      <c r="AP23" s="116"/>
      <c r="AQ23" s="74"/>
      <c r="AR23" s="76"/>
      <c r="AS23" s="24"/>
      <c r="AT23" s="25"/>
      <c r="AU23" s="309"/>
      <c r="AV23" s="462"/>
      <c r="AW23" s="514"/>
      <c r="AX23" s="74"/>
      <c r="AY23" s="74"/>
      <c r="AZ23" s="75"/>
      <c r="BA23" s="61"/>
      <c r="BB23" s="10"/>
      <c r="BC23" s="74"/>
      <c r="BD23" s="79"/>
      <c r="BE23" s="79"/>
      <c r="BF23" s="127"/>
      <c r="BG23" s="142"/>
      <c r="BH23" s="142"/>
      <c r="BI23" s="76"/>
      <c r="BJ23" s="24"/>
      <c r="BK23" s="25"/>
      <c r="BL23" s="259"/>
      <c r="BM23" s="533"/>
    </row>
    <row r="24" spans="1:65" ht="51" customHeight="1">
      <c r="A24" s="26"/>
      <c r="B24" s="358" t="s">
        <v>2215</v>
      </c>
      <c r="C24" s="15" t="s">
        <v>1411</v>
      </c>
      <c r="D24" s="264" t="s">
        <v>1397</v>
      </c>
      <c r="E24" s="393" t="s">
        <v>1396</v>
      </c>
      <c r="F24" s="407"/>
      <c r="G24" s="10"/>
      <c r="H24" s="167"/>
      <c r="I24" s="10"/>
      <c r="J24" s="76"/>
      <c r="K24" s="24"/>
      <c r="L24" s="281"/>
      <c r="M24" s="431"/>
      <c r="N24" s="442">
        <v>27718</v>
      </c>
      <c r="O24" s="260"/>
      <c r="P24" s="260"/>
      <c r="Q24" s="261"/>
      <c r="R24" s="10" t="s">
        <v>1421</v>
      </c>
      <c r="S24" s="76"/>
      <c r="T24" s="24"/>
      <c r="U24" s="281"/>
      <c r="V24" s="464" t="s">
        <v>807</v>
      </c>
      <c r="W24" s="410"/>
      <c r="X24" s="10"/>
      <c r="Y24" s="33"/>
      <c r="Z24" s="470"/>
      <c r="AA24" s="76"/>
      <c r="AB24" s="24"/>
      <c r="AC24" s="25"/>
      <c r="AD24" s="309"/>
      <c r="AE24" s="462"/>
      <c r="AF24" s="408"/>
      <c r="AG24" s="293"/>
      <c r="AH24" s="293"/>
      <c r="AI24" s="293"/>
      <c r="AJ24" s="293"/>
      <c r="AK24" s="293"/>
      <c r="AL24" s="327"/>
      <c r="AM24" s="463"/>
      <c r="AN24" s="514"/>
      <c r="AO24" s="74"/>
      <c r="AP24" s="116"/>
      <c r="AQ24" s="74"/>
      <c r="AR24" s="76"/>
      <c r="AS24" s="24"/>
      <c r="AT24" s="25"/>
      <c r="AU24" s="309"/>
      <c r="AV24" s="462"/>
      <c r="AW24" s="514"/>
      <c r="AX24" s="74"/>
      <c r="AY24" s="74"/>
      <c r="AZ24" s="75"/>
      <c r="BA24" s="61"/>
      <c r="BB24" s="10"/>
      <c r="BC24" s="74"/>
      <c r="BD24" s="79"/>
      <c r="BE24" s="79"/>
      <c r="BF24" s="127"/>
      <c r="BG24" s="142"/>
      <c r="BH24" s="142"/>
      <c r="BI24" s="76"/>
      <c r="BJ24" s="24"/>
      <c r="BK24" s="25"/>
      <c r="BL24" s="259"/>
      <c r="BM24" s="533"/>
    </row>
    <row r="25" spans="1:65">
      <c r="A25" s="26"/>
      <c r="B25" s="358" t="s">
        <v>2216</v>
      </c>
      <c r="C25" s="15" t="s">
        <v>1412</v>
      </c>
      <c r="D25" s="264" t="s">
        <v>1398</v>
      </c>
      <c r="E25" s="394" t="s">
        <v>1399</v>
      </c>
      <c r="F25" s="407"/>
      <c r="G25" s="10"/>
      <c r="H25" s="167"/>
      <c r="I25" s="10"/>
      <c r="J25" s="76"/>
      <c r="K25" s="24"/>
      <c r="L25" s="281"/>
      <c r="M25" s="431"/>
      <c r="N25" s="442">
        <v>2184</v>
      </c>
      <c r="O25" s="260">
        <v>15000</v>
      </c>
      <c r="P25" s="260">
        <v>17000</v>
      </c>
      <c r="Q25" s="261">
        <v>18000</v>
      </c>
      <c r="R25" s="10">
        <v>18000</v>
      </c>
      <c r="S25" s="76">
        <f t="shared" ref="S25" si="49">AVERAGE(O25,P25,Q25,R25)</f>
        <v>17000</v>
      </c>
      <c r="T25" s="24">
        <f t="shared" ref="T25" si="50">S25-N25</f>
        <v>14816</v>
      </c>
      <c r="U25" s="281">
        <f t="shared" ref="U25" si="51">+T25/N25</f>
        <v>6.7838827838827838</v>
      </c>
      <c r="V25" s="462">
        <f t="shared" ref="V25" si="52">S25</f>
        <v>17000</v>
      </c>
      <c r="W25" s="410"/>
      <c r="X25" s="10"/>
      <c r="Y25" s="33"/>
      <c r="Z25" s="470"/>
      <c r="AA25" s="76"/>
      <c r="AB25" s="24"/>
      <c r="AC25" s="25"/>
      <c r="AD25" s="309"/>
      <c r="AE25" s="462"/>
      <c r="AF25" s="408"/>
      <c r="AG25" s="293"/>
      <c r="AH25" s="293"/>
      <c r="AI25" s="293"/>
      <c r="AJ25" s="293"/>
      <c r="AK25" s="293"/>
      <c r="AL25" s="327"/>
      <c r="AM25" s="463"/>
      <c r="AN25" s="514"/>
      <c r="AO25" s="74"/>
      <c r="AP25" s="116"/>
      <c r="AQ25" s="74"/>
      <c r="AR25" s="76"/>
      <c r="AS25" s="24"/>
      <c r="AT25" s="25"/>
      <c r="AU25" s="309"/>
      <c r="AV25" s="462"/>
      <c r="AW25" s="514"/>
      <c r="AX25" s="74"/>
      <c r="AY25" s="74"/>
      <c r="AZ25" s="75"/>
      <c r="BA25" s="61"/>
      <c r="BB25" s="10"/>
      <c r="BC25" s="74"/>
      <c r="BD25" s="79"/>
      <c r="BE25" s="79"/>
      <c r="BF25" s="127"/>
      <c r="BG25" s="142"/>
      <c r="BH25" s="142"/>
      <c r="BI25" s="76"/>
      <c r="BJ25" s="24"/>
      <c r="BK25" s="25"/>
      <c r="BL25" s="259"/>
      <c r="BM25" s="533"/>
    </row>
    <row r="26" spans="1:65" ht="30">
      <c r="A26" s="26"/>
      <c r="B26" s="358" t="s">
        <v>2217</v>
      </c>
      <c r="C26" s="15" t="s">
        <v>1413</v>
      </c>
      <c r="D26" s="264" t="s">
        <v>1400</v>
      </c>
      <c r="E26" s="393" t="s">
        <v>1396</v>
      </c>
      <c r="F26" s="407"/>
      <c r="G26" s="10"/>
      <c r="H26" s="167"/>
      <c r="I26" s="10"/>
      <c r="J26" s="76"/>
      <c r="K26" s="24"/>
      <c r="L26" s="281"/>
      <c r="M26" s="431"/>
      <c r="N26" s="442">
        <v>473671</v>
      </c>
      <c r="O26" s="260"/>
      <c r="P26" s="260"/>
      <c r="Q26" s="261"/>
      <c r="R26" s="10" t="s">
        <v>1422</v>
      </c>
      <c r="S26" s="76"/>
      <c r="T26" s="24"/>
      <c r="U26" s="281"/>
      <c r="V26" s="464" t="s">
        <v>807</v>
      </c>
      <c r="W26" s="410"/>
      <c r="X26" s="10"/>
      <c r="Y26" s="33"/>
      <c r="Z26" s="470"/>
      <c r="AA26" s="76"/>
      <c r="AB26" s="24"/>
      <c r="AC26" s="25"/>
      <c r="AD26" s="309"/>
      <c r="AE26" s="462"/>
      <c r="AF26" s="408"/>
      <c r="AG26" s="293"/>
      <c r="AH26" s="293"/>
      <c r="AI26" s="293"/>
      <c r="AJ26" s="293"/>
      <c r="AK26" s="293"/>
      <c r="AL26" s="327"/>
      <c r="AM26" s="463"/>
      <c r="AN26" s="514"/>
      <c r="AO26" s="74"/>
      <c r="AP26" s="116"/>
      <c r="AQ26" s="74"/>
      <c r="AR26" s="76"/>
      <c r="AS26" s="24"/>
      <c r="AT26" s="25"/>
      <c r="AU26" s="309"/>
      <c r="AV26" s="462"/>
      <c r="AW26" s="514"/>
      <c r="AX26" s="74"/>
      <c r="AY26" s="74"/>
      <c r="AZ26" s="75"/>
      <c r="BA26" s="61"/>
      <c r="BB26" s="10"/>
      <c r="BC26" s="74"/>
      <c r="BD26" s="79"/>
      <c r="BE26" s="79"/>
      <c r="BF26" s="127"/>
      <c r="BG26" s="142"/>
      <c r="BH26" s="142"/>
      <c r="BI26" s="76"/>
      <c r="BJ26" s="24"/>
      <c r="BK26" s="25"/>
      <c r="BL26" s="259"/>
      <c r="BM26" s="533"/>
    </row>
    <row r="27" spans="1:65" ht="60.95" customHeight="1">
      <c r="A27" s="26"/>
      <c r="B27" s="358" t="s">
        <v>2218</v>
      </c>
      <c r="C27" s="15" t="s">
        <v>1414</v>
      </c>
      <c r="D27" s="264" t="s">
        <v>1401</v>
      </c>
      <c r="E27" s="393" t="s">
        <v>827</v>
      </c>
      <c r="F27" s="407"/>
      <c r="G27" s="10"/>
      <c r="H27" s="167"/>
      <c r="I27" s="10"/>
      <c r="J27" s="76"/>
      <c r="K27" s="24"/>
      <c r="L27" s="281"/>
      <c r="M27" s="431"/>
      <c r="N27" s="442">
        <v>81687</v>
      </c>
      <c r="O27" s="260">
        <v>52000</v>
      </c>
      <c r="P27" s="260">
        <v>58000</v>
      </c>
      <c r="Q27" s="261">
        <v>55000</v>
      </c>
      <c r="R27" s="10">
        <v>65000</v>
      </c>
      <c r="S27" s="76">
        <f t="shared" ref="S27:S33" si="53">AVERAGE(O27,P27,Q27,R27)</f>
        <v>57500</v>
      </c>
      <c r="T27" s="24">
        <f t="shared" ref="T27:T33" si="54">S27-N27</f>
        <v>-24187</v>
      </c>
      <c r="U27" s="281">
        <f t="shared" ref="U27:U33" si="55">+T27/N27</f>
        <v>-0.29609362566871106</v>
      </c>
      <c r="V27" s="462">
        <f t="shared" ref="V27:V33" si="56">S27</f>
        <v>57500</v>
      </c>
      <c r="W27" s="410"/>
      <c r="X27" s="10"/>
      <c r="Y27" s="33"/>
      <c r="Z27" s="470"/>
      <c r="AA27" s="76"/>
      <c r="AB27" s="24"/>
      <c r="AC27" s="25"/>
      <c r="AD27" s="309"/>
      <c r="AE27" s="462"/>
      <c r="AF27" s="408"/>
      <c r="AG27" s="293"/>
      <c r="AH27" s="293"/>
      <c r="AI27" s="293"/>
      <c r="AJ27" s="293"/>
      <c r="AK27" s="293"/>
      <c r="AL27" s="327"/>
      <c r="AM27" s="463"/>
      <c r="AN27" s="514"/>
      <c r="AO27" s="74"/>
      <c r="AP27" s="116"/>
      <c r="AQ27" s="74"/>
      <c r="AR27" s="76"/>
      <c r="AS27" s="24"/>
      <c r="AT27" s="25"/>
      <c r="AU27" s="309"/>
      <c r="AV27" s="462"/>
      <c r="AW27" s="514"/>
      <c r="AX27" s="74"/>
      <c r="AY27" s="74"/>
      <c r="AZ27" s="75"/>
      <c r="BA27" s="61"/>
      <c r="BB27" s="10"/>
      <c r="BC27" s="74"/>
      <c r="BD27" s="79"/>
      <c r="BE27" s="79"/>
      <c r="BF27" s="127"/>
      <c r="BG27" s="142"/>
      <c r="BH27" s="142"/>
      <c r="BI27" s="76"/>
      <c r="BJ27" s="24"/>
      <c r="BK27" s="25"/>
      <c r="BL27" s="259"/>
      <c r="BM27" s="533"/>
    </row>
    <row r="28" spans="1:65">
      <c r="A28" s="26"/>
      <c r="B28" s="358" t="s">
        <v>2219</v>
      </c>
      <c r="C28" s="15" t="s">
        <v>1415</v>
      </c>
      <c r="D28" s="264" t="s">
        <v>1402</v>
      </c>
      <c r="E28" s="393" t="s">
        <v>827</v>
      </c>
      <c r="F28" s="407"/>
      <c r="G28" s="10"/>
      <c r="H28" s="167"/>
      <c r="I28" s="10"/>
      <c r="J28" s="76"/>
      <c r="K28" s="24"/>
      <c r="L28" s="281"/>
      <c r="M28" s="431"/>
      <c r="N28" s="442">
        <v>8201</v>
      </c>
      <c r="O28" s="260">
        <v>8500</v>
      </c>
      <c r="P28" s="260">
        <v>12000</v>
      </c>
      <c r="Q28" s="261">
        <v>10000</v>
      </c>
      <c r="R28" s="10">
        <v>10000</v>
      </c>
      <c r="S28" s="76">
        <f t="shared" si="53"/>
        <v>10125</v>
      </c>
      <c r="T28" s="24">
        <f t="shared" si="54"/>
        <v>1924</v>
      </c>
      <c r="U28" s="281">
        <f t="shared" si="55"/>
        <v>0.23460553591025485</v>
      </c>
      <c r="V28" s="462">
        <f t="shared" si="56"/>
        <v>10125</v>
      </c>
      <c r="W28" s="410"/>
      <c r="X28" s="10"/>
      <c r="Y28" s="33"/>
      <c r="Z28" s="470"/>
      <c r="AA28" s="76"/>
      <c r="AB28" s="24"/>
      <c r="AC28" s="25"/>
      <c r="AD28" s="309"/>
      <c r="AE28" s="462"/>
      <c r="AF28" s="408"/>
      <c r="AG28" s="293"/>
      <c r="AH28" s="293"/>
      <c r="AI28" s="293"/>
      <c r="AJ28" s="293"/>
      <c r="AK28" s="293"/>
      <c r="AL28" s="327"/>
      <c r="AM28" s="463"/>
      <c r="AN28" s="514"/>
      <c r="AO28" s="74"/>
      <c r="AP28" s="116"/>
      <c r="AQ28" s="74"/>
      <c r="AR28" s="76"/>
      <c r="AS28" s="24"/>
      <c r="AT28" s="25"/>
      <c r="AU28" s="309"/>
      <c r="AV28" s="462"/>
      <c r="AW28" s="514"/>
      <c r="AX28" s="74"/>
      <c r="AY28" s="74"/>
      <c r="AZ28" s="75"/>
      <c r="BA28" s="61"/>
      <c r="BB28" s="10"/>
      <c r="BC28" s="74"/>
      <c r="BD28" s="79"/>
      <c r="BE28" s="79"/>
      <c r="BF28" s="127"/>
      <c r="BG28" s="142"/>
      <c r="BH28" s="142"/>
      <c r="BI28" s="76"/>
      <c r="BJ28" s="24"/>
      <c r="BK28" s="25"/>
      <c r="BL28" s="259"/>
      <c r="BM28" s="533"/>
    </row>
    <row r="29" spans="1:65">
      <c r="A29" s="26"/>
      <c r="B29" s="358" t="s">
        <v>2220</v>
      </c>
      <c r="C29" s="15" t="s">
        <v>1416</v>
      </c>
      <c r="D29" s="264" t="s">
        <v>1403</v>
      </c>
      <c r="E29" s="393" t="s">
        <v>827</v>
      </c>
      <c r="F29" s="407"/>
      <c r="G29" s="10"/>
      <c r="H29" s="167"/>
      <c r="I29" s="10"/>
      <c r="J29" s="76"/>
      <c r="K29" s="24"/>
      <c r="L29" s="281"/>
      <c r="M29" s="431"/>
      <c r="N29" s="442">
        <v>47490</v>
      </c>
      <c r="O29" s="260">
        <v>32000</v>
      </c>
      <c r="P29" s="260">
        <v>39000</v>
      </c>
      <c r="Q29" s="261">
        <v>35000</v>
      </c>
      <c r="R29" s="10">
        <v>32000</v>
      </c>
      <c r="S29" s="76">
        <f t="shared" si="53"/>
        <v>34500</v>
      </c>
      <c r="T29" s="24">
        <f t="shared" si="54"/>
        <v>-12990</v>
      </c>
      <c r="U29" s="281">
        <f t="shared" si="55"/>
        <v>-0.27353126974099812</v>
      </c>
      <c r="V29" s="462">
        <f t="shared" si="56"/>
        <v>34500</v>
      </c>
      <c r="W29" s="410"/>
      <c r="X29" s="10"/>
      <c r="Y29" s="33"/>
      <c r="Z29" s="470"/>
      <c r="AA29" s="76"/>
      <c r="AB29" s="24"/>
      <c r="AC29" s="25"/>
      <c r="AD29" s="309"/>
      <c r="AE29" s="462"/>
      <c r="AF29" s="408"/>
      <c r="AG29" s="293"/>
      <c r="AH29" s="293"/>
      <c r="AI29" s="293"/>
      <c r="AJ29" s="293"/>
      <c r="AK29" s="293"/>
      <c r="AL29" s="327"/>
      <c r="AM29" s="463"/>
      <c r="AN29" s="514"/>
      <c r="AO29" s="74"/>
      <c r="AP29" s="116"/>
      <c r="AQ29" s="74"/>
      <c r="AR29" s="76"/>
      <c r="AS29" s="24"/>
      <c r="AT29" s="25"/>
      <c r="AU29" s="309"/>
      <c r="AV29" s="462"/>
      <c r="AW29" s="514"/>
      <c r="AX29" s="74"/>
      <c r="AY29" s="74"/>
      <c r="AZ29" s="75"/>
      <c r="BA29" s="61"/>
      <c r="BB29" s="10"/>
      <c r="BC29" s="74"/>
      <c r="BD29" s="79"/>
      <c r="BE29" s="79"/>
      <c r="BF29" s="127"/>
      <c r="BG29" s="142"/>
      <c r="BH29" s="142"/>
      <c r="BI29" s="76"/>
      <c r="BJ29" s="24"/>
      <c r="BK29" s="25"/>
      <c r="BL29" s="259"/>
      <c r="BM29" s="533"/>
    </row>
    <row r="30" spans="1:65" ht="42" customHeight="1">
      <c r="A30" s="26"/>
      <c r="B30" s="358" t="s">
        <v>2221</v>
      </c>
      <c r="C30" s="15" t="s">
        <v>1417</v>
      </c>
      <c r="D30" s="264" t="s">
        <v>1404</v>
      </c>
      <c r="E30" s="393" t="s">
        <v>827</v>
      </c>
      <c r="F30" s="407"/>
      <c r="G30" s="10"/>
      <c r="H30" s="167"/>
      <c r="I30" s="10"/>
      <c r="J30" s="76"/>
      <c r="K30" s="24"/>
      <c r="L30" s="281"/>
      <c r="M30" s="431"/>
      <c r="N30" s="442">
        <v>100262</v>
      </c>
      <c r="O30" s="260">
        <v>35000</v>
      </c>
      <c r="P30" s="260">
        <v>41000</v>
      </c>
      <c r="Q30" s="261">
        <v>40000</v>
      </c>
      <c r="R30" s="10">
        <v>40000</v>
      </c>
      <c r="S30" s="76">
        <f t="shared" si="53"/>
        <v>39000</v>
      </c>
      <c r="T30" s="24">
        <f t="shared" si="54"/>
        <v>-61262</v>
      </c>
      <c r="U30" s="281">
        <f t="shared" si="55"/>
        <v>-0.61101912987971518</v>
      </c>
      <c r="V30" s="462">
        <f t="shared" si="56"/>
        <v>39000</v>
      </c>
      <c r="W30" s="410"/>
      <c r="X30" s="10"/>
      <c r="Y30" s="33"/>
      <c r="Z30" s="470"/>
      <c r="AA30" s="76"/>
      <c r="AB30" s="24"/>
      <c r="AC30" s="25"/>
      <c r="AD30" s="309"/>
      <c r="AE30" s="462"/>
      <c r="AF30" s="408"/>
      <c r="AG30" s="293"/>
      <c r="AH30" s="293"/>
      <c r="AI30" s="293"/>
      <c r="AJ30" s="293"/>
      <c r="AK30" s="293"/>
      <c r="AL30" s="327"/>
      <c r="AM30" s="463"/>
      <c r="AN30" s="514"/>
      <c r="AO30" s="74"/>
      <c r="AP30" s="116"/>
      <c r="AQ30" s="74"/>
      <c r="AR30" s="76"/>
      <c r="AS30" s="24"/>
      <c r="AT30" s="25"/>
      <c r="AU30" s="309"/>
      <c r="AV30" s="462"/>
      <c r="AW30" s="514"/>
      <c r="AX30" s="74"/>
      <c r="AY30" s="74"/>
      <c r="AZ30" s="75"/>
      <c r="BA30" s="61"/>
      <c r="BB30" s="10"/>
      <c r="BC30" s="74"/>
      <c r="BD30" s="79"/>
      <c r="BE30" s="79"/>
      <c r="BF30" s="127"/>
      <c r="BG30" s="142"/>
      <c r="BH30" s="142"/>
      <c r="BI30" s="76"/>
      <c r="BJ30" s="24"/>
      <c r="BK30" s="25"/>
      <c r="BL30" s="259"/>
      <c r="BM30" s="533"/>
    </row>
    <row r="31" spans="1:65">
      <c r="A31" s="26"/>
      <c r="B31" s="358" t="s">
        <v>2222</v>
      </c>
      <c r="C31" s="15" t="s">
        <v>1418</v>
      </c>
      <c r="D31" s="264" t="s">
        <v>1405</v>
      </c>
      <c r="E31" s="393" t="s">
        <v>827</v>
      </c>
      <c r="F31" s="407"/>
      <c r="G31" s="10"/>
      <c r="H31" s="167"/>
      <c r="I31" s="10"/>
      <c r="J31" s="76"/>
      <c r="K31" s="24"/>
      <c r="L31" s="281"/>
      <c r="M31" s="431"/>
      <c r="N31" s="442">
        <v>1952</v>
      </c>
      <c r="O31" s="260">
        <v>1500</v>
      </c>
      <c r="P31" s="260">
        <v>2900</v>
      </c>
      <c r="Q31" s="261">
        <v>2000</v>
      </c>
      <c r="R31" s="10">
        <v>2000</v>
      </c>
      <c r="S31" s="76">
        <f t="shared" si="53"/>
        <v>2100</v>
      </c>
      <c r="T31" s="24">
        <f t="shared" si="54"/>
        <v>148</v>
      </c>
      <c r="U31" s="281">
        <f t="shared" si="55"/>
        <v>7.5819672131147542E-2</v>
      </c>
      <c r="V31" s="462">
        <f t="shared" si="56"/>
        <v>2100</v>
      </c>
      <c r="W31" s="410"/>
      <c r="X31" s="10"/>
      <c r="Y31" s="33"/>
      <c r="Z31" s="470"/>
      <c r="AA31" s="76"/>
      <c r="AB31" s="24"/>
      <c r="AC31" s="25"/>
      <c r="AD31" s="309"/>
      <c r="AE31" s="462"/>
      <c r="AF31" s="408"/>
      <c r="AG31" s="293"/>
      <c r="AH31" s="293"/>
      <c r="AI31" s="293"/>
      <c r="AJ31" s="293"/>
      <c r="AK31" s="293"/>
      <c r="AL31" s="327"/>
      <c r="AM31" s="463"/>
      <c r="AN31" s="514"/>
      <c r="AO31" s="74"/>
      <c r="AP31" s="116"/>
      <c r="AQ31" s="74"/>
      <c r="AR31" s="76"/>
      <c r="AS31" s="24"/>
      <c r="AT31" s="25"/>
      <c r="AU31" s="309"/>
      <c r="AV31" s="462"/>
      <c r="AW31" s="514"/>
      <c r="AX31" s="74"/>
      <c r="AY31" s="74"/>
      <c r="AZ31" s="75"/>
      <c r="BA31" s="61"/>
      <c r="BB31" s="10"/>
      <c r="BC31" s="74"/>
      <c r="BD31" s="79"/>
      <c r="BE31" s="79"/>
      <c r="BF31" s="127"/>
      <c r="BG31" s="142"/>
      <c r="BH31" s="142"/>
      <c r="BI31" s="76"/>
      <c r="BJ31" s="24"/>
      <c r="BK31" s="25"/>
      <c r="BL31" s="259"/>
      <c r="BM31" s="533"/>
    </row>
    <row r="32" spans="1:65">
      <c r="A32" s="26"/>
      <c r="B32" s="358" t="s">
        <v>2223</v>
      </c>
      <c r="C32" s="15" t="s">
        <v>1419</v>
      </c>
      <c r="D32" s="264" t="s">
        <v>1406</v>
      </c>
      <c r="E32" s="393" t="s">
        <v>827</v>
      </c>
      <c r="F32" s="407"/>
      <c r="G32" s="10"/>
      <c r="H32" s="167"/>
      <c r="I32" s="10"/>
      <c r="J32" s="76"/>
      <c r="K32" s="24"/>
      <c r="L32" s="281"/>
      <c r="M32" s="431"/>
      <c r="N32" s="442">
        <v>3970</v>
      </c>
      <c r="O32" s="260">
        <v>8500</v>
      </c>
      <c r="P32" s="260">
        <v>11900</v>
      </c>
      <c r="Q32" s="261">
        <v>11000</v>
      </c>
      <c r="R32" s="10">
        <v>10000</v>
      </c>
      <c r="S32" s="76">
        <f t="shared" si="53"/>
        <v>10350</v>
      </c>
      <c r="T32" s="24">
        <f t="shared" si="54"/>
        <v>6380</v>
      </c>
      <c r="U32" s="281">
        <f t="shared" si="55"/>
        <v>1.6070528967254407</v>
      </c>
      <c r="V32" s="462">
        <f t="shared" si="56"/>
        <v>10350</v>
      </c>
      <c r="W32" s="410"/>
      <c r="X32" s="10"/>
      <c r="Y32" s="33"/>
      <c r="Z32" s="470"/>
      <c r="AA32" s="76"/>
      <c r="AB32" s="24"/>
      <c r="AC32" s="25"/>
      <c r="AD32" s="309"/>
      <c r="AE32" s="462"/>
      <c r="AF32" s="408"/>
      <c r="AG32" s="293"/>
      <c r="AH32" s="293"/>
      <c r="AI32" s="293"/>
      <c r="AJ32" s="293"/>
      <c r="AK32" s="293"/>
      <c r="AL32" s="327"/>
      <c r="AM32" s="463"/>
      <c r="AN32" s="514"/>
      <c r="AO32" s="74"/>
      <c r="AP32" s="116"/>
      <c r="AQ32" s="74"/>
      <c r="AR32" s="76"/>
      <c r="AS32" s="24"/>
      <c r="AT32" s="25"/>
      <c r="AU32" s="309"/>
      <c r="AV32" s="462"/>
      <c r="AW32" s="514"/>
      <c r="AX32" s="74"/>
      <c r="AY32" s="74"/>
      <c r="AZ32" s="75"/>
      <c r="BA32" s="61"/>
      <c r="BB32" s="10"/>
      <c r="BC32" s="74"/>
      <c r="BD32" s="79"/>
      <c r="BE32" s="79"/>
      <c r="BF32" s="127"/>
      <c r="BG32" s="142"/>
      <c r="BH32" s="142"/>
      <c r="BI32" s="76"/>
      <c r="BJ32" s="24"/>
      <c r="BK32" s="25"/>
      <c r="BL32" s="259"/>
      <c r="BM32" s="533"/>
    </row>
    <row r="33" spans="1:65">
      <c r="A33" s="26"/>
      <c r="B33" s="358" t="s">
        <v>2224</v>
      </c>
      <c r="C33" s="15" t="s">
        <v>1420</v>
      </c>
      <c r="D33" s="264" t="s">
        <v>1407</v>
      </c>
      <c r="E33" s="393" t="s">
        <v>999</v>
      </c>
      <c r="F33" s="407"/>
      <c r="G33" s="10"/>
      <c r="H33" s="167"/>
      <c r="I33" s="10"/>
      <c r="J33" s="76"/>
      <c r="K33" s="24"/>
      <c r="L33" s="281"/>
      <c r="M33" s="431"/>
      <c r="N33" s="442">
        <v>14029</v>
      </c>
      <c r="O33" s="260">
        <v>4500000</v>
      </c>
      <c r="P33" s="260">
        <v>5100000</v>
      </c>
      <c r="Q33" s="261">
        <v>5000000</v>
      </c>
      <c r="R33" s="10">
        <v>4500000</v>
      </c>
      <c r="S33" s="76">
        <f t="shared" si="53"/>
        <v>4775000</v>
      </c>
      <c r="T33" s="24">
        <f t="shared" si="54"/>
        <v>4760971</v>
      </c>
      <c r="U33" s="281">
        <f t="shared" si="55"/>
        <v>339.36638391902488</v>
      </c>
      <c r="V33" s="462">
        <f t="shared" si="56"/>
        <v>4775000</v>
      </c>
      <c r="W33" s="410"/>
      <c r="X33" s="10"/>
      <c r="Y33" s="33"/>
      <c r="Z33" s="470"/>
      <c r="AA33" s="76"/>
      <c r="AB33" s="24"/>
      <c r="AC33" s="25"/>
      <c r="AD33" s="309"/>
      <c r="AE33" s="462"/>
      <c r="AF33" s="408"/>
      <c r="AG33" s="293"/>
      <c r="AH33" s="293"/>
      <c r="AI33" s="293"/>
      <c r="AJ33" s="293"/>
      <c r="AK33" s="293"/>
      <c r="AL33" s="327"/>
      <c r="AM33" s="463"/>
      <c r="AN33" s="514"/>
      <c r="AO33" s="74"/>
      <c r="AP33" s="116"/>
      <c r="AQ33" s="74"/>
      <c r="AR33" s="76"/>
      <c r="AS33" s="24"/>
      <c r="AT33" s="25"/>
      <c r="AU33" s="309"/>
      <c r="AV33" s="462"/>
      <c r="AW33" s="514"/>
      <c r="AX33" s="74"/>
      <c r="AY33" s="74"/>
      <c r="AZ33" s="75"/>
      <c r="BA33" s="61"/>
      <c r="BB33" s="10"/>
      <c r="BC33" s="74"/>
      <c r="BD33" s="79"/>
      <c r="BE33" s="79"/>
      <c r="BF33" s="127"/>
      <c r="BG33" s="142"/>
      <c r="BH33" s="142"/>
      <c r="BI33" s="76"/>
      <c r="BJ33" s="24"/>
      <c r="BK33" s="25"/>
      <c r="BL33" s="259"/>
      <c r="BM33" s="533"/>
    </row>
    <row r="34" spans="1:65" ht="22.35" customHeight="1">
      <c r="A34" s="91" t="s">
        <v>7</v>
      </c>
      <c r="B34" s="358" t="s">
        <v>2225</v>
      </c>
      <c r="C34" s="252" t="s">
        <v>749</v>
      </c>
      <c r="D34" s="100" t="s">
        <v>7</v>
      </c>
      <c r="E34" s="91"/>
      <c r="F34" s="409"/>
      <c r="G34" s="164"/>
      <c r="H34" s="172"/>
      <c r="I34" s="164"/>
      <c r="J34" s="76"/>
      <c r="K34" s="24"/>
      <c r="L34" s="281"/>
      <c r="M34" s="431">
        <f t="shared" si="36"/>
        <v>0</v>
      </c>
      <c r="N34" s="444"/>
      <c r="O34" s="173"/>
      <c r="P34" s="173"/>
      <c r="Q34" s="267"/>
      <c r="R34" s="266"/>
      <c r="S34" s="76"/>
      <c r="T34" s="24"/>
      <c r="U34" s="281"/>
      <c r="V34" s="462"/>
      <c r="W34" s="413"/>
      <c r="X34" s="47"/>
      <c r="Y34" s="47"/>
      <c r="Z34" s="47"/>
      <c r="AA34" s="47"/>
      <c r="AB34" s="47"/>
      <c r="AC34" s="47"/>
      <c r="AD34" s="91"/>
      <c r="AE34" s="467"/>
      <c r="AF34" s="497"/>
      <c r="AG34" s="312"/>
      <c r="AH34" s="312"/>
      <c r="AI34" s="311"/>
      <c r="AJ34" s="76"/>
      <c r="AK34" s="24"/>
      <c r="AL34" s="281"/>
      <c r="AM34" s="462"/>
      <c r="AN34" s="413"/>
      <c r="AO34" s="47"/>
      <c r="AP34" s="47"/>
      <c r="AQ34" s="47"/>
      <c r="AR34" s="47"/>
      <c r="AS34" s="47"/>
      <c r="AT34" s="47"/>
      <c r="AU34" s="91"/>
      <c r="AV34" s="467"/>
      <c r="AW34" s="413"/>
      <c r="AX34" s="47"/>
      <c r="AY34" s="47"/>
      <c r="AZ34" s="47"/>
      <c r="BA34" s="47"/>
      <c r="BB34" s="47"/>
      <c r="BC34" s="47"/>
      <c r="BD34" s="148"/>
      <c r="BE34" s="148"/>
      <c r="BF34" s="149"/>
      <c r="BG34" s="148"/>
      <c r="BH34" s="148"/>
      <c r="BI34" s="47"/>
      <c r="BJ34" s="47"/>
      <c r="BK34" s="47"/>
      <c r="BL34" s="414"/>
      <c r="BM34" s="457"/>
    </row>
    <row r="35" spans="1:65" ht="30" customHeight="1">
      <c r="A35" s="91" t="s">
        <v>7</v>
      </c>
      <c r="B35" s="358" t="s">
        <v>2226</v>
      </c>
      <c r="C35" s="50" t="s">
        <v>59</v>
      </c>
      <c r="D35" s="99" t="s">
        <v>395</v>
      </c>
      <c r="E35" s="392" t="s">
        <v>12</v>
      </c>
      <c r="F35" s="410">
        <v>8924</v>
      </c>
      <c r="G35" s="10">
        <v>11500</v>
      </c>
      <c r="H35" s="167">
        <v>23000</v>
      </c>
      <c r="I35" s="10">
        <v>7805</v>
      </c>
      <c r="J35" s="76">
        <f t="shared" ref="J35:J53" si="57">AVERAGE(G35,I35)</f>
        <v>9652.5</v>
      </c>
      <c r="K35" s="24">
        <f t="shared" ref="K35:K53" si="58">J35-F35</f>
        <v>728.5</v>
      </c>
      <c r="L35" s="281">
        <f t="shared" ref="L35:L53" si="59">+K35/F35</f>
        <v>8.1633796503809947E-2</v>
      </c>
      <c r="M35" s="431">
        <f t="shared" si="36"/>
        <v>23000</v>
      </c>
      <c r="N35" s="410">
        <v>8030</v>
      </c>
      <c r="O35" s="10">
        <v>6500</v>
      </c>
      <c r="P35" s="10">
        <v>8500</v>
      </c>
      <c r="Q35" s="268">
        <v>8000</v>
      </c>
      <c r="R35" s="10">
        <v>9000</v>
      </c>
      <c r="S35" s="76">
        <f t="shared" ref="S35:S37" si="60">AVERAGE(O35,P35,Q35,R35)</f>
        <v>8000</v>
      </c>
      <c r="T35" s="24">
        <f t="shared" ref="T35:T37" si="61">S35-N35</f>
        <v>-30</v>
      </c>
      <c r="U35" s="281">
        <f t="shared" ref="U35:U37" si="62">+T35/N35</f>
        <v>-3.7359900373599006E-3</v>
      </c>
      <c r="V35" s="462">
        <f t="shared" ref="V35:V37" si="63">S35</f>
        <v>8000</v>
      </c>
      <c r="W35" s="410">
        <v>14937</v>
      </c>
      <c r="X35" s="10">
        <v>19427</v>
      </c>
      <c r="Y35" s="31">
        <v>25254</v>
      </c>
      <c r="Z35" s="471">
        <v>16980.2</v>
      </c>
      <c r="AA35" s="76">
        <f t="shared" ref="AA35:AA53" si="64">AVERAGE(X35,Y35,Z35)</f>
        <v>20553.733333333334</v>
      </c>
      <c r="AB35" s="24">
        <f t="shared" ref="AB35:AB53" si="65">AA35-W35</f>
        <v>5616.7333333333336</v>
      </c>
      <c r="AC35" s="25">
        <f t="shared" ref="AC35:AC53" si="66">+AB35/W35</f>
        <v>0.37602820735980008</v>
      </c>
      <c r="AD35" s="309" t="str">
        <f t="shared" ref="AD35:AD53" si="67">+IF(AC35&lt;35%,AA35,"REVISAR PRECIO")</f>
        <v>REVISAR PRECIO</v>
      </c>
      <c r="AE35" s="462">
        <f t="shared" ref="AE35:AE53" si="68">AA35</f>
        <v>20553.733333333334</v>
      </c>
      <c r="AF35" s="407">
        <v>8922</v>
      </c>
      <c r="AG35" s="45">
        <v>11000</v>
      </c>
      <c r="AH35" s="45">
        <v>10531</v>
      </c>
      <c r="AI35" s="45">
        <v>23500</v>
      </c>
      <c r="AJ35" s="76">
        <f t="shared" ref="AJ35:AJ37" si="69">AVERAGE(AG35,AH35,AI35)</f>
        <v>15010.333333333334</v>
      </c>
      <c r="AK35" s="24">
        <f t="shared" ref="AK35:AK37" si="70">AJ35-AF35</f>
        <v>6088.3333333333339</v>
      </c>
      <c r="AL35" s="281">
        <f t="shared" ref="AL35:AL37" si="71">+AK35/AF35</f>
        <v>0.68239557647762095</v>
      </c>
      <c r="AM35" s="462">
        <f t="shared" ref="AM35:AM37" si="72">AJ35</f>
        <v>15010.333333333334</v>
      </c>
      <c r="AN35" s="513">
        <v>8922</v>
      </c>
      <c r="AO35" s="88">
        <v>12000</v>
      </c>
      <c r="AP35" s="116">
        <v>14500</v>
      </c>
      <c r="AQ35" s="74">
        <v>12650</v>
      </c>
      <c r="AR35" s="76">
        <f t="shared" ref="AR35:AR53" si="73">AVERAGE(AO35,AP35,AQ35)</f>
        <v>13050</v>
      </c>
      <c r="AS35" s="24">
        <f t="shared" ref="AS35:AS53" si="74">AR35-AN35</f>
        <v>4128</v>
      </c>
      <c r="AT35" s="25">
        <f t="shared" ref="AT35:AT37" si="75">+AS35/AN35</f>
        <v>0.46267652992602554</v>
      </c>
      <c r="AU35" s="309" t="str">
        <f t="shared" ref="AU35:AU37" si="76">+IF(AT35&lt;35%,AR35,"REVISAR PRECIO")</f>
        <v>REVISAR PRECIO</v>
      </c>
      <c r="AV35" s="462">
        <f t="shared" ref="AV35:AV53" si="77">AR35</f>
        <v>13050</v>
      </c>
      <c r="AW35" s="513">
        <v>8922</v>
      </c>
      <c r="AX35" s="74">
        <v>13225</v>
      </c>
      <c r="AY35" s="74">
        <v>14500</v>
      </c>
      <c r="AZ35" s="75">
        <v>15237.5</v>
      </c>
      <c r="BA35" s="61">
        <v>13224.999999999998</v>
      </c>
      <c r="BB35" s="10">
        <v>7000</v>
      </c>
      <c r="BC35" s="74">
        <v>15208.749999999996</v>
      </c>
      <c r="BD35" s="79">
        <v>15237.5</v>
      </c>
      <c r="BE35" s="79">
        <v>11500</v>
      </c>
      <c r="BF35" s="127">
        <v>13800</v>
      </c>
      <c r="BG35" s="128">
        <v>13000</v>
      </c>
      <c r="BH35" s="128">
        <v>12000</v>
      </c>
      <c r="BI35" s="76">
        <f t="shared" ref="BI35:BI53" si="78">AVERAGE(AX35,AY35,AZ35,BA35,BB35,BC35)</f>
        <v>13066.041666666666</v>
      </c>
      <c r="BJ35" s="24">
        <f t="shared" ref="BJ35:BJ53" si="79">BI35-AW35</f>
        <v>4144.0416666666661</v>
      </c>
      <c r="BK35" s="25">
        <f>+BJ35/AW35</f>
        <v>0.46447451991332278</v>
      </c>
      <c r="BL35" s="259" t="str">
        <f t="shared" ref="BL35:BL53" si="80">+IF(BK35&lt;35%,BI35,"REVISAR PRECIO")</f>
        <v>REVISAR PRECIO</v>
      </c>
      <c r="BM35" s="533">
        <f t="shared" ref="BM35:BM53" si="81">BI35</f>
        <v>13066.041666666666</v>
      </c>
    </row>
    <row r="36" spans="1:65" ht="30" customHeight="1">
      <c r="A36" s="91" t="s">
        <v>7</v>
      </c>
      <c r="B36" s="358" t="s">
        <v>2227</v>
      </c>
      <c r="C36" s="50" t="s">
        <v>60</v>
      </c>
      <c r="D36" s="99" t="s">
        <v>396</v>
      </c>
      <c r="E36" s="392" t="s">
        <v>12</v>
      </c>
      <c r="F36" s="410">
        <v>12616</v>
      </c>
      <c r="G36" s="10">
        <v>28500</v>
      </c>
      <c r="H36" s="167">
        <v>114000</v>
      </c>
      <c r="I36" s="10">
        <v>16500</v>
      </c>
      <c r="J36" s="76">
        <f t="shared" si="57"/>
        <v>22500</v>
      </c>
      <c r="K36" s="24">
        <f t="shared" si="58"/>
        <v>9884</v>
      </c>
      <c r="L36" s="281">
        <f t="shared" si="59"/>
        <v>0.78344958782498419</v>
      </c>
      <c r="M36" s="431">
        <f t="shared" si="36"/>
        <v>114000</v>
      </c>
      <c r="N36" s="410">
        <v>11353</v>
      </c>
      <c r="O36" s="10">
        <v>45000</v>
      </c>
      <c r="P36" s="10">
        <v>51000</v>
      </c>
      <c r="Q36" s="268">
        <v>48000</v>
      </c>
      <c r="R36" s="10">
        <v>50000</v>
      </c>
      <c r="S36" s="76">
        <f t="shared" si="60"/>
        <v>48500</v>
      </c>
      <c r="T36" s="24">
        <f t="shared" si="61"/>
        <v>37147</v>
      </c>
      <c r="U36" s="281">
        <f t="shared" si="62"/>
        <v>3.2719985906808775</v>
      </c>
      <c r="V36" s="462">
        <f t="shared" si="63"/>
        <v>48500</v>
      </c>
      <c r="W36" s="410">
        <v>21113</v>
      </c>
      <c r="X36" s="10">
        <v>27459</v>
      </c>
      <c r="Y36" s="31">
        <v>35697</v>
      </c>
      <c r="Z36" s="471">
        <v>24001.200000000001</v>
      </c>
      <c r="AA36" s="76">
        <f t="shared" si="64"/>
        <v>29052.399999999998</v>
      </c>
      <c r="AB36" s="24">
        <f t="shared" si="65"/>
        <v>7939.3999999999978</v>
      </c>
      <c r="AC36" s="25">
        <f t="shared" si="66"/>
        <v>0.37604319613508252</v>
      </c>
      <c r="AD36" s="309" t="str">
        <f t="shared" si="67"/>
        <v>REVISAR PRECIO</v>
      </c>
      <c r="AE36" s="462">
        <f t="shared" si="68"/>
        <v>29052.399999999998</v>
      </c>
      <c r="AF36" s="407">
        <v>12616</v>
      </c>
      <c r="AG36" s="45">
        <v>29500</v>
      </c>
      <c r="AH36" s="45">
        <v>28500</v>
      </c>
      <c r="AI36" s="45">
        <v>23500</v>
      </c>
      <c r="AJ36" s="76">
        <f t="shared" si="69"/>
        <v>27166.666666666668</v>
      </c>
      <c r="AK36" s="24">
        <f t="shared" si="70"/>
        <v>14550.666666666668</v>
      </c>
      <c r="AL36" s="281">
        <f t="shared" si="71"/>
        <v>1.1533502430775735</v>
      </c>
      <c r="AM36" s="462">
        <f t="shared" si="72"/>
        <v>27166.666666666668</v>
      </c>
      <c r="AN36" s="513">
        <v>12616</v>
      </c>
      <c r="AO36" s="88">
        <v>32000</v>
      </c>
      <c r="AP36" s="116">
        <v>35555</v>
      </c>
      <c r="AQ36" s="74">
        <v>31350</v>
      </c>
      <c r="AR36" s="76">
        <f t="shared" si="73"/>
        <v>32968.333333333336</v>
      </c>
      <c r="AS36" s="24">
        <f t="shared" si="74"/>
        <v>20352.333333333336</v>
      </c>
      <c r="AT36" s="25">
        <f t="shared" si="75"/>
        <v>1.6132160219826677</v>
      </c>
      <c r="AU36" s="309" t="str">
        <f t="shared" si="76"/>
        <v>REVISAR PRECIO</v>
      </c>
      <c r="AV36" s="462">
        <f t="shared" si="77"/>
        <v>32968.333333333336</v>
      </c>
      <c r="AW36" s="513">
        <v>12616</v>
      </c>
      <c r="AX36" s="74">
        <v>32775</v>
      </c>
      <c r="AY36" s="74">
        <v>35000</v>
      </c>
      <c r="AZ36" s="75">
        <v>37762.5</v>
      </c>
      <c r="BA36" s="61">
        <v>45000</v>
      </c>
      <c r="BB36" s="60">
        <v>18000</v>
      </c>
      <c r="BC36" s="74">
        <v>37691.25</v>
      </c>
      <c r="BD36" s="79">
        <v>37762.5</v>
      </c>
      <c r="BE36" s="79">
        <v>28500</v>
      </c>
      <c r="BF36" s="127">
        <v>34200</v>
      </c>
      <c r="BG36" s="128">
        <v>29000</v>
      </c>
      <c r="BH36" s="128">
        <v>30000</v>
      </c>
      <c r="BI36" s="76">
        <f t="shared" si="78"/>
        <v>34371.458333333336</v>
      </c>
      <c r="BJ36" s="24">
        <f t="shared" si="79"/>
        <v>21755.458333333336</v>
      </c>
      <c r="BK36" s="25">
        <f>+BJ36/AW36</f>
        <v>1.7244339198900869</v>
      </c>
      <c r="BL36" s="259" t="str">
        <f t="shared" si="80"/>
        <v>REVISAR PRECIO</v>
      </c>
      <c r="BM36" s="533">
        <f t="shared" si="81"/>
        <v>34371.458333333336</v>
      </c>
    </row>
    <row r="37" spans="1:65" ht="30" customHeight="1">
      <c r="A37" s="91" t="s">
        <v>7</v>
      </c>
      <c r="B37" s="358" t="s">
        <v>2228</v>
      </c>
      <c r="C37" s="50" t="s">
        <v>61</v>
      </c>
      <c r="D37" s="99" t="s">
        <v>397</v>
      </c>
      <c r="E37" s="392" t="s">
        <v>13</v>
      </c>
      <c r="F37" s="410">
        <v>14125</v>
      </c>
      <c r="G37" s="10">
        <v>6960</v>
      </c>
      <c r="H37" s="167">
        <v>41760</v>
      </c>
      <c r="I37" s="10">
        <v>15560</v>
      </c>
      <c r="J37" s="76">
        <f t="shared" si="57"/>
        <v>11260</v>
      </c>
      <c r="K37" s="24">
        <f t="shared" si="58"/>
        <v>-2865</v>
      </c>
      <c r="L37" s="281">
        <f t="shared" si="59"/>
        <v>-0.20283185840707965</v>
      </c>
      <c r="M37" s="431">
        <f t="shared" si="36"/>
        <v>41760</v>
      </c>
      <c r="N37" s="410">
        <v>12710</v>
      </c>
      <c r="O37" s="10">
        <v>35000</v>
      </c>
      <c r="P37" s="10">
        <v>41000</v>
      </c>
      <c r="Q37" s="268">
        <v>38000</v>
      </c>
      <c r="R37" s="10">
        <v>30000</v>
      </c>
      <c r="S37" s="76">
        <f t="shared" si="60"/>
        <v>36000</v>
      </c>
      <c r="T37" s="24">
        <f t="shared" si="61"/>
        <v>23290</v>
      </c>
      <c r="U37" s="281">
        <f t="shared" si="62"/>
        <v>1.8324154209284029</v>
      </c>
      <c r="V37" s="462">
        <f t="shared" si="63"/>
        <v>36000</v>
      </c>
      <c r="W37" s="410">
        <v>23635</v>
      </c>
      <c r="X37" s="10">
        <v>30740</v>
      </c>
      <c r="Y37" s="31">
        <v>39961</v>
      </c>
      <c r="Z37" s="471">
        <v>26868.6</v>
      </c>
      <c r="AA37" s="76">
        <f t="shared" si="64"/>
        <v>32523.200000000001</v>
      </c>
      <c r="AB37" s="24">
        <f t="shared" si="65"/>
        <v>8888.2000000000007</v>
      </c>
      <c r="AC37" s="25">
        <f t="shared" si="66"/>
        <v>0.37606092659191881</v>
      </c>
      <c r="AD37" s="309" t="str">
        <f t="shared" si="67"/>
        <v>REVISAR PRECIO</v>
      </c>
      <c r="AE37" s="462">
        <f t="shared" si="68"/>
        <v>32523.200000000001</v>
      </c>
      <c r="AF37" s="407">
        <v>17826</v>
      </c>
      <c r="AG37" s="45">
        <v>7800</v>
      </c>
      <c r="AH37" s="45">
        <v>16668</v>
      </c>
      <c r="AI37" s="45">
        <v>13000</v>
      </c>
      <c r="AJ37" s="76">
        <f t="shared" si="69"/>
        <v>12489.333333333334</v>
      </c>
      <c r="AK37" s="24">
        <f t="shared" si="70"/>
        <v>-5336.6666666666661</v>
      </c>
      <c r="AL37" s="281">
        <f t="shared" si="71"/>
        <v>-0.29937544410785738</v>
      </c>
      <c r="AM37" s="462">
        <f t="shared" si="72"/>
        <v>12489.333333333334</v>
      </c>
      <c r="AN37" s="513">
        <v>14125</v>
      </c>
      <c r="AO37" s="88">
        <v>7300</v>
      </c>
      <c r="AP37" s="116">
        <v>8950</v>
      </c>
      <c r="AQ37" s="74">
        <v>7656</v>
      </c>
      <c r="AR37" s="76">
        <f t="shared" si="73"/>
        <v>7968.666666666667</v>
      </c>
      <c r="AS37" s="24">
        <f t="shared" si="74"/>
        <v>-6156.333333333333</v>
      </c>
      <c r="AT37" s="25">
        <f t="shared" si="75"/>
        <v>-0.43584660766961647</v>
      </c>
      <c r="AU37" s="309">
        <f t="shared" si="76"/>
        <v>7968.666666666667</v>
      </c>
      <c r="AV37" s="462">
        <f t="shared" si="77"/>
        <v>7968.666666666667</v>
      </c>
      <c r="AW37" s="513">
        <v>14125</v>
      </c>
      <c r="AX37" s="74">
        <v>8004</v>
      </c>
      <c r="AY37" s="74">
        <v>8500</v>
      </c>
      <c r="AZ37" s="75">
        <v>9222</v>
      </c>
      <c r="BA37" s="61">
        <v>35000</v>
      </c>
      <c r="BB37" s="60">
        <v>8800</v>
      </c>
      <c r="BC37" s="74">
        <v>29690.124999999993</v>
      </c>
      <c r="BD37" s="79">
        <v>9222</v>
      </c>
      <c r="BE37" s="79">
        <f>5800*1.2</f>
        <v>6960</v>
      </c>
      <c r="BF37" s="127">
        <v>8352</v>
      </c>
      <c r="BG37" s="128">
        <v>8500</v>
      </c>
      <c r="BH37" s="128">
        <v>7000</v>
      </c>
      <c r="BI37" s="76">
        <f t="shared" si="78"/>
        <v>16536.020833333332</v>
      </c>
      <c r="BJ37" s="24">
        <f t="shared" si="79"/>
        <v>2411.0208333333321</v>
      </c>
      <c r="BK37" s="25">
        <f>+BJ37/AW37</f>
        <v>0.17069174041297927</v>
      </c>
      <c r="BL37" s="259">
        <f t="shared" si="80"/>
        <v>16536.020833333332</v>
      </c>
      <c r="BM37" s="533">
        <f t="shared" si="81"/>
        <v>16536.020833333332</v>
      </c>
    </row>
    <row r="38" spans="1:65" ht="30" customHeight="1">
      <c r="A38" s="91" t="s">
        <v>7</v>
      </c>
      <c r="B38" s="358" t="s">
        <v>2229</v>
      </c>
      <c r="C38" s="50" t="s">
        <v>62</v>
      </c>
      <c r="D38" s="99" t="s">
        <v>398</v>
      </c>
      <c r="E38" s="392" t="s">
        <v>24</v>
      </c>
      <c r="F38" s="410">
        <v>7462</v>
      </c>
      <c r="G38" s="10">
        <v>17100</v>
      </c>
      <c r="H38" s="167">
        <v>119700</v>
      </c>
      <c r="I38" s="10">
        <v>11500</v>
      </c>
      <c r="J38" s="76">
        <f t="shared" si="57"/>
        <v>14300</v>
      </c>
      <c r="K38" s="24">
        <f t="shared" si="58"/>
        <v>6838</v>
      </c>
      <c r="L38" s="281">
        <f t="shared" si="59"/>
        <v>0.91637630662020908</v>
      </c>
      <c r="M38" s="431">
        <f t="shared" si="36"/>
        <v>119700</v>
      </c>
      <c r="N38" s="443"/>
      <c r="O38" s="250"/>
      <c r="P38" s="250"/>
      <c r="Q38" s="250"/>
      <c r="R38" s="250"/>
      <c r="S38" s="250"/>
      <c r="T38" s="250"/>
      <c r="U38" s="250"/>
      <c r="V38" s="443"/>
      <c r="W38" s="410">
        <v>403782</v>
      </c>
      <c r="X38" s="10">
        <v>525150</v>
      </c>
      <c r="Y38" s="31">
        <v>682695</v>
      </c>
      <c r="Z38" s="471">
        <v>459020</v>
      </c>
      <c r="AA38" s="76">
        <f t="shared" si="64"/>
        <v>555621.66666666663</v>
      </c>
      <c r="AB38" s="24">
        <f t="shared" si="65"/>
        <v>151839.66666666663</v>
      </c>
      <c r="AC38" s="25">
        <f t="shared" si="66"/>
        <v>0.37604367373153491</v>
      </c>
      <c r="AD38" s="309" t="str">
        <f t="shared" si="67"/>
        <v>REVISAR PRECIO</v>
      </c>
      <c r="AE38" s="462">
        <f t="shared" si="68"/>
        <v>555621.66666666663</v>
      </c>
      <c r="AF38" s="408"/>
      <c r="AG38" s="293"/>
      <c r="AH38" s="293"/>
      <c r="AI38" s="293"/>
      <c r="AJ38" s="293"/>
      <c r="AK38" s="293"/>
      <c r="AL38" s="327"/>
      <c r="AM38" s="463"/>
      <c r="AN38" s="513"/>
      <c r="AO38" s="88">
        <v>272000</v>
      </c>
      <c r="AP38" s="116">
        <v>285000</v>
      </c>
      <c r="AQ38" s="74">
        <v>270722.09999999998</v>
      </c>
      <c r="AR38" s="76">
        <f t="shared" si="73"/>
        <v>275907.36666666664</v>
      </c>
      <c r="AS38" s="24">
        <f t="shared" si="74"/>
        <v>275907.36666666664</v>
      </c>
      <c r="AT38" s="25"/>
      <c r="AU38" s="309"/>
      <c r="AV38" s="462">
        <f t="shared" si="77"/>
        <v>275907.36666666664</v>
      </c>
      <c r="AW38" s="513"/>
      <c r="AX38" s="74">
        <v>283027.65000000002</v>
      </c>
      <c r="AY38" s="74">
        <v>380000</v>
      </c>
      <c r="AZ38" s="75">
        <v>326097.07499999995</v>
      </c>
      <c r="BA38" s="61">
        <v>283027.64999999997</v>
      </c>
      <c r="BB38" s="60"/>
      <c r="BC38" s="74">
        <v>325481.79749999993</v>
      </c>
      <c r="BD38" s="79">
        <v>326097.07499999995</v>
      </c>
      <c r="BE38" s="79">
        <f>315700-69589</f>
        <v>246111</v>
      </c>
      <c r="BF38" s="127">
        <v>295333.2</v>
      </c>
      <c r="BG38" s="128">
        <v>290000</v>
      </c>
      <c r="BH38" s="128">
        <v>260000</v>
      </c>
      <c r="BI38" s="76">
        <f t="shared" si="78"/>
        <v>319526.8345</v>
      </c>
      <c r="BJ38" s="24">
        <f t="shared" si="79"/>
        <v>319526.8345</v>
      </c>
      <c r="BK38" s="25"/>
      <c r="BL38" s="259">
        <f t="shared" si="80"/>
        <v>319526.8345</v>
      </c>
      <c r="BM38" s="533">
        <f t="shared" si="81"/>
        <v>319526.8345</v>
      </c>
    </row>
    <row r="39" spans="1:65" ht="30" customHeight="1">
      <c r="A39" s="91" t="s">
        <v>7</v>
      </c>
      <c r="B39" s="358" t="s">
        <v>2230</v>
      </c>
      <c r="C39" s="50" t="s">
        <v>63</v>
      </c>
      <c r="D39" s="99" t="s">
        <v>399</v>
      </c>
      <c r="E39" s="392" t="s">
        <v>12</v>
      </c>
      <c r="F39" s="410">
        <v>22460</v>
      </c>
      <c r="G39" s="10">
        <v>12125</v>
      </c>
      <c r="H39" s="167">
        <v>48500</v>
      </c>
      <c r="I39" s="10">
        <v>15560</v>
      </c>
      <c r="J39" s="76">
        <f t="shared" si="57"/>
        <v>13842.5</v>
      </c>
      <c r="K39" s="24">
        <f t="shared" si="58"/>
        <v>-8617.5</v>
      </c>
      <c r="L39" s="281">
        <f t="shared" si="59"/>
        <v>-0.38368210151380233</v>
      </c>
      <c r="M39" s="431">
        <f t="shared" si="36"/>
        <v>48500</v>
      </c>
      <c r="N39" s="410">
        <v>6720</v>
      </c>
      <c r="O39" s="10">
        <v>45000</v>
      </c>
      <c r="P39" s="10">
        <v>51000</v>
      </c>
      <c r="Q39" s="268">
        <v>48000</v>
      </c>
      <c r="R39" s="10">
        <v>50000</v>
      </c>
      <c r="S39" s="76">
        <f t="shared" ref="S39:S51" si="82">AVERAGE(O39,P39,Q39,R39)</f>
        <v>48500</v>
      </c>
      <c r="T39" s="24">
        <f t="shared" ref="T39:T51" si="83">S39-N39</f>
        <v>41780</v>
      </c>
      <c r="U39" s="281">
        <f t="shared" ref="U39:U51" si="84">+T39/N39</f>
        <v>6.2172619047619051</v>
      </c>
      <c r="V39" s="462">
        <f t="shared" ref="V39:V51" si="85">S39</f>
        <v>48500</v>
      </c>
      <c r="W39" s="410">
        <v>12487</v>
      </c>
      <c r="X39" s="10">
        <v>16241</v>
      </c>
      <c r="Y39" s="31">
        <v>21113</v>
      </c>
      <c r="Z39" s="471">
        <v>14195.4</v>
      </c>
      <c r="AA39" s="76">
        <f t="shared" si="64"/>
        <v>17183.133333333335</v>
      </c>
      <c r="AB39" s="24">
        <f t="shared" si="65"/>
        <v>4696.133333333335</v>
      </c>
      <c r="AC39" s="25">
        <f t="shared" si="66"/>
        <v>0.37608179173006606</v>
      </c>
      <c r="AD39" s="309" t="str">
        <f t="shared" si="67"/>
        <v>REVISAR PRECIO</v>
      </c>
      <c r="AE39" s="462">
        <f t="shared" si="68"/>
        <v>17183.133333333335</v>
      </c>
      <c r="AF39" s="407">
        <v>7461</v>
      </c>
      <c r="AG39" s="45">
        <v>16000</v>
      </c>
      <c r="AH39" s="45">
        <v>17100</v>
      </c>
      <c r="AI39" s="45">
        <v>14000</v>
      </c>
      <c r="AJ39" s="76">
        <f t="shared" ref="AJ39:AJ51" si="86">AVERAGE(AG39,AH39,AI39)</f>
        <v>15700</v>
      </c>
      <c r="AK39" s="24">
        <f t="shared" ref="AK39:AK51" si="87">AJ39-AF39</f>
        <v>8239</v>
      </c>
      <c r="AL39" s="281">
        <f t="shared" ref="AL39:AL51" si="88">+AK39/AF39</f>
        <v>1.1042755662779788</v>
      </c>
      <c r="AM39" s="462">
        <f t="shared" ref="AM39:AM51" si="89">AJ39</f>
        <v>15700</v>
      </c>
      <c r="AN39" s="513">
        <v>7461</v>
      </c>
      <c r="AO39" s="88">
        <v>20000</v>
      </c>
      <c r="AP39" s="116">
        <v>18950</v>
      </c>
      <c r="AQ39" s="74">
        <v>18810</v>
      </c>
      <c r="AR39" s="76">
        <f t="shared" si="73"/>
        <v>19253.333333333332</v>
      </c>
      <c r="AS39" s="24">
        <f t="shared" si="74"/>
        <v>11792.333333333332</v>
      </c>
      <c r="AT39" s="25">
        <f t="shared" ref="AT39:AT52" si="90">+AS39/AN39</f>
        <v>1.5805298664164766</v>
      </c>
      <c r="AU39" s="309" t="str">
        <f t="shared" ref="AU39:AU52" si="91">+IF(AT39&lt;35%,AR39,"REVISAR PRECIO")</f>
        <v>REVISAR PRECIO</v>
      </c>
      <c r="AV39" s="462">
        <f t="shared" si="77"/>
        <v>19253.333333333332</v>
      </c>
      <c r="AW39" s="513">
        <v>7461</v>
      </c>
      <c r="AX39" s="74">
        <v>19665</v>
      </c>
      <c r="AY39" s="74">
        <v>28000</v>
      </c>
      <c r="AZ39" s="75">
        <v>22657.5</v>
      </c>
      <c r="BA39" s="61">
        <v>19665</v>
      </c>
      <c r="BB39" s="60">
        <v>18000</v>
      </c>
      <c r="BC39" s="74">
        <v>22614.75</v>
      </c>
      <c r="BD39" s="79">
        <v>22657.5</v>
      </c>
      <c r="BE39" s="79">
        <f>+BE36*0.6</f>
        <v>17100</v>
      </c>
      <c r="BF39" s="127">
        <v>20520</v>
      </c>
      <c r="BG39" s="128">
        <v>22000</v>
      </c>
      <c r="BH39" s="128">
        <v>17000</v>
      </c>
      <c r="BI39" s="76">
        <f t="shared" si="78"/>
        <v>21767.041666666668</v>
      </c>
      <c r="BJ39" s="24">
        <f t="shared" si="79"/>
        <v>14306.041666666668</v>
      </c>
      <c r="BK39" s="25">
        <f t="shared" ref="BK39:BK52" si="92">+BJ39/AW39</f>
        <v>1.9174429254344816</v>
      </c>
      <c r="BL39" s="259" t="str">
        <f t="shared" si="80"/>
        <v>REVISAR PRECIO</v>
      </c>
      <c r="BM39" s="533">
        <f t="shared" si="81"/>
        <v>21767.041666666668</v>
      </c>
    </row>
    <row r="40" spans="1:65" ht="30" customHeight="1">
      <c r="A40" s="91" t="s">
        <v>7</v>
      </c>
      <c r="B40" s="358" t="s">
        <v>2231</v>
      </c>
      <c r="C40" s="50" t="s">
        <v>64</v>
      </c>
      <c r="D40" s="99" t="s">
        <v>400</v>
      </c>
      <c r="E40" s="392" t="s">
        <v>13</v>
      </c>
      <c r="F40" s="410">
        <v>6836</v>
      </c>
      <c r="G40" s="10">
        <v>6000</v>
      </c>
      <c r="H40" s="167">
        <v>30000</v>
      </c>
      <c r="I40" s="10">
        <v>14500</v>
      </c>
      <c r="J40" s="76">
        <f t="shared" si="57"/>
        <v>10250</v>
      </c>
      <c r="K40" s="24">
        <f t="shared" si="58"/>
        <v>3414</v>
      </c>
      <c r="L40" s="281">
        <f t="shared" si="59"/>
        <v>0.4994148624926858</v>
      </c>
      <c r="M40" s="431">
        <f t="shared" si="36"/>
        <v>30000</v>
      </c>
      <c r="N40" s="410">
        <v>20209</v>
      </c>
      <c r="O40" s="10">
        <v>35000</v>
      </c>
      <c r="P40" s="10">
        <v>41000</v>
      </c>
      <c r="Q40" s="268">
        <v>40000</v>
      </c>
      <c r="R40" s="10">
        <v>30000</v>
      </c>
      <c r="S40" s="76">
        <f t="shared" si="82"/>
        <v>36500</v>
      </c>
      <c r="T40" s="24">
        <f t="shared" si="83"/>
        <v>16291</v>
      </c>
      <c r="U40" s="281">
        <f t="shared" si="84"/>
        <v>0.80612598347271014</v>
      </c>
      <c r="V40" s="462">
        <f t="shared" si="85"/>
        <v>36500</v>
      </c>
      <c r="W40" s="410">
        <v>37565</v>
      </c>
      <c r="X40" s="10">
        <v>48857</v>
      </c>
      <c r="Y40" s="31">
        <v>63513</v>
      </c>
      <c r="Z40" s="471">
        <v>42704.2</v>
      </c>
      <c r="AA40" s="76">
        <f t="shared" si="64"/>
        <v>51691.4</v>
      </c>
      <c r="AB40" s="24">
        <f t="shared" si="65"/>
        <v>14126.400000000001</v>
      </c>
      <c r="AC40" s="25">
        <f t="shared" si="66"/>
        <v>0.37605217622787174</v>
      </c>
      <c r="AD40" s="309" t="str">
        <f t="shared" si="67"/>
        <v>REVISAR PRECIO</v>
      </c>
      <c r="AE40" s="462">
        <f t="shared" si="68"/>
        <v>51691.4</v>
      </c>
      <c r="AF40" s="50">
        <v>22459</v>
      </c>
      <c r="AG40" s="45">
        <v>12000</v>
      </c>
      <c r="AH40" s="45">
        <v>26494</v>
      </c>
      <c r="AI40" s="45">
        <v>18000</v>
      </c>
      <c r="AJ40" s="76">
        <f t="shared" si="86"/>
        <v>18831.333333333332</v>
      </c>
      <c r="AK40" s="24">
        <f t="shared" si="87"/>
        <v>-3627.6666666666679</v>
      </c>
      <c r="AL40" s="281">
        <f t="shared" si="88"/>
        <v>-0.16152396218294082</v>
      </c>
      <c r="AM40" s="462">
        <f t="shared" si="89"/>
        <v>18831.333333333332</v>
      </c>
      <c r="AN40" s="513">
        <v>22459</v>
      </c>
      <c r="AO40" s="88">
        <v>13000</v>
      </c>
      <c r="AP40" s="116">
        <v>14350</v>
      </c>
      <c r="AQ40" s="74">
        <v>13337.5</v>
      </c>
      <c r="AR40" s="76">
        <f t="shared" si="73"/>
        <v>13562.5</v>
      </c>
      <c r="AS40" s="24">
        <f t="shared" si="74"/>
        <v>-8896.5</v>
      </c>
      <c r="AT40" s="25">
        <f t="shared" si="90"/>
        <v>-0.3961218219867314</v>
      </c>
      <c r="AU40" s="309">
        <f t="shared" si="91"/>
        <v>13562.5</v>
      </c>
      <c r="AV40" s="462">
        <f t="shared" si="77"/>
        <v>13562.5</v>
      </c>
      <c r="AW40" s="513">
        <v>22459</v>
      </c>
      <c r="AX40" s="74">
        <v>13943.75</v>
      </c>
      <c r="AY40" s="74">
        <v>18000</v>
      </c>
      <c r="AZ40" s="75">
        <v>16065.625</v>
      </c>
      <c r="BA40" s="61">
        <v>37444</v>
      </c>
      <c r="BB40" s="60">
        <v>8800</v>
      </c>
      <c r="BC40" s="74">
        <v>43060.6</v>
      </c>
      <c r="BD40" s="79">
        <v>16065.625</v>
      </c>
      <c r="BE40" s="79">
        <f>9700*1.25</f>
        <v>12125</v>
      </c>
      <c r="BF40" s="127">
        <v>14550</v>
      </c>
      <c r="BG40" s="128">
        <v>13500</v>
      </c>
      <c r="BH40" s="128">
        <v>14000</v>
      </c>
      <c r="BI40" s="76">
        <f t="shared" si="78"/>
        <v>22885.662500000002</v>
      </c>
      <c r="BJ40" s="24">
        <f t="shared" si="79"/>
        <v>426.66250000000218</v>
      </c>
      <c r="BK40" s="25">
        <f t="shared" si="92"/>
        <v>1.8997395253573274E-2</v>
      </c>
      <c r="BL40" s="259">
        <f t="shared" si="80"/>
        <v>22885.662500000002</v>
      </c>
      <c r="BM40" s="533">
        <f t="shared" si="81"/>
        <v>22885.662500000002</v>
      </c>
    </row>
    <row r="41" spans="1:65" ht="30" customHeight="1">
      <c r="A41" s="91" t="s">
        <v>7</v>
      </c>
      <c r="B41" s="358" t="s">
        <v>2232</v>
      </c>
      <c r="C41" s="50" t="s">
        <v>65</v>
      </c>
      <c r="D41" s="99" t="s">
        <v>401</v>
      </c>
      <c r="E41" s="392" t="s">
        <v>13</v>
      </c>
      <c r="F41" s="410">
        <v>7083</v>
      </c>
      <c r="G41" s="10">
        <v>9000</v>
      </c>
      <c r="H41" s="167">
        <v>27000</v>
      </c>
      <c r="I41" s="10">
        <v>6500</v>
      </c>
      <c r="J41" s="76">
        <f t="shared" si="57"/>
        <v>7750</v>
      </c>
      <c r="K41" s="24">
        <f t="shared" si="58"/>
        <v>667</v>
      </c>
      <c r="L41" s="281">
        <f t="shared" si="59"/>
        <v>9.4169137371170414E-2</v>
      </c>
      <c r="M41" s="431">
        <f t="shared" si="36"/>
        <v>27000</v>
      </c>
      <c r="N41" s="410">
        <v>6151</v>
      </c>
      <c r="O41" s="10">
        <v>6000</v>
      </c>
      <c r="P41" s="10">
        <v>9000</v>
      </c>
      <c r="Q41" s="268">
        <v>7500</v>
      </c>
      <c r="R41" s="10">
        <v>5000</v>
      </c>
      <c r="S41" s="76">
        <f t="shared" si="82"/>
        <v>6875</v>
      </c>
      <c r="T41" s="24">
        <f t="shared" si="83"/>
        <v>724</v>
      </c>
      <c r="U41" s="281">
        <f t="shared" si="84"/>
        <v>0.117704438302715</v>
      </c>
      <c r="V41" s="462">
        <f t="shared" si="85"/>
        <v>6875</v>
      </c>
      <c r="W41" s="410">
        <v>11439</v>
      </c>
      <c r="X41" s="10">
        <v>14877</v>
      </c>
      <c r="Y41" s="31">
        <v>19340</v>
      </c>
      <c r="Z41" s="471">
        <v>13003.6</v>
      </c>
      <c r="AA41" s="76">
        <f t="shared" si="64"/>
        <v>15740.199999999999</v>
      </c>
      <c r="AB41" s="24">
        <f t="shared" si="65"/>
        <v>4301.1999999999989</v>
      </c>
      <c r="AC41" s="25">
        <f t="shared" si="66"/>
        <v>0.37601188915114947</v>
      </c>
      <c r="AD41" s="309" t="str">
        <f t="shared" si="67"/>
        <v>REVISAR PRECIO</v>
      </c>
      <c r="AE41" s="462">
        <f t="shared" si="68"/>
        <v>15740.199999999999</v>
      </c>
      <c r="AF41" s="410">
        <v>6834</v>
      </c>
      <c r="AG41" s="45">
        <v>8000</v>
      </c>
      <c r="AH41" s="45">
        <v>8066</v>
      </c>
      <c r="AI41" s="45">
        <v>18000</v>
      </c>
      <c r="AJ41" s="76">
        <f t="shared" si="86"/>
        <v>11355.333333333334</v>
      </c>
      <c r="AK41" s="24">
        <f t="shared" si="87"/>
        <v>4521.3333333333339</v>
      </c>
      <c r="AL41" s="281">
        <f t="shared" si="88"/>
        <v>0.66159399083016301</v>
      </c>
      <c r="AM41" s="462">
        <f t="shared" si="89"/>
        <v>11355.333333333334</v>
      </c>
      <c r="AN41" s="513">
        <v>6834</v>
      </c>
      <c r="AO41" s="88">
        <v>6300</v>
      </c>
      <c r="AP41" s="116">
        <v>6300</v>
      </c>
      <c r="AQ41" s="74">
        <v>6600</v>
      </c>
      <c r="AR41" s="76">
        <f t="shared" si="73"/>
        <v>6400</v>
      </c>
      <c r="AS41" s="24">
        <f t="shared" si="74"/>
        <v>-434</v>
      </c>
      <c r="AT41" s="25">
        <f t="shared" si="90"/>
        <v>-6.3505999414691247E-2</v>
      </c>
      <c r="AU41" s="309">
        <f t="shared" si="91"/>
        <v>6400</v>
      </c>
      <c r="AV41" s="462">
        <f t="shared" si="77"/>
        <v>6400</v>
      </c>
      <c r="AW41" s="513">
        <v>6834</v>
      </c>
      <c r="AX41" s="74">
        <v>6900</v>
      </c>
      <c r="AY41" s="74">
        <v>15000</v>
      </c>
      <c r="AZ41" s="75">
        <v>7950</v>
      </c>
      <c r="BA41" s="61">
        <v>6899.9999999999991</v>
      </c>
      <c r="BB41" s="60">
        <v>18000</v>
      </c>
      <c r="BC41" s="74">
        <v>7934.9999999999982</v>
      </c>
      <c r="BD41" s="79">
        <v>7950</v>
      </c>
      <c r="BE41" s="79">
        <v>6000</v>
      </c>
      <c r="BF41" s="127">
        <v>7200</v>
      </c>
      <c r="BG41" s="128">
        <v>7000</v>
      </c>
      <c r="BH41" s="128">
        <v>7000</v>
      </c>
      <c r="BI41" s="76">
        <f t="shared" si="78"/>
        <v>10447.5</v>
      </c>
      <c r="BJ41" s="24">
        <f t="shared" si="79"/>
        <v>3613.5</v>
      </c>
      <c r="BK41" s="25">
        <f t="shared" si="92"/>
        <v>0.52875329236172086</v>
      </c>
      <c r="BL41" s="259" t="str">
        <f t="shared" si="80"/>
        <v>REVISAR PRECIO</v>
      </c>
      <c r="BM41" s="533">
        <f t="shared" si="81"/>
        <v>10447.5</v>
      </c>
    </row>
    <row r="42" spans="1:65" ht="30" customHeight="1">
      <c r="A42" s="91" t="s">
        <v>7</v>
      </c>
      <c r="B42" s="358" t="s">
        <v>2233</v>
      </c>
      <c r="C42" s="50" t="s">
        <v>66</v>
      </c>
      <c r="D42" s="99" t="s">
        <v>402</v>
      </c>
      <c r="E42" s="392" t="s">
        <v>13</v>
      </c>
      <c r="F42" s="410">
        <v>9408</v>
      </c>
      <c r="G42" s="10">
        <v>11000</v>
      </c>
      <c r="H42" s="167">
        <v>33000</v>
      </c>
      <c r="I42" s="10">
        <v>7500</v>
      </c>
      <c r="J42" s="76">
        <f t="shared" si="57"/>
        <v>9250</v>
      </c>
      <c r="K42" s="24">
        <f t="shared" si="58"/>
        <v>-158</v>
      </c>
      <c r="L42" s="281">
        <f t="shared" si="59"/>
        <v>-1.6794217687074831E-2</v>
      </c>
      <c r="M42" s="431">
        <f t="shared" si="36"/>
        <v>33000</v>
      </c>
      <c r="N42" s="410">
        <v>6369</v>
      </c>
      <c r="O42" s="10">
        <v>8300</v>
      </c>
      <c r="P42" s="10">
        <v>11200</v>
      </c>
      <c r="Q42" s="268">
        <v>9000</v>
      </c>
      <c r="R42" s="10">
        <v>10000</v>
      </c>
      <c r="S42" s="76">
        <f t="shared" si="82"/>
        <v>9625</v>
      </c>
      <c r="T42" s="24">
        <f t="shared" si="83"/>
        <v>3256</v>
      </c>
      <c r="U42" s="281">
        <f t="shared" si="84"/>
        <v>0.51122625215889461</v>
      </c>
      <c r="V42" s="462">
        <f t="shared" si="85"/>
        <v>9625</v>
      </c>
      <c r="W42" s="410">
        <v>11844</v>
      </c>
      <c r="X42" s="10">
        <v>15404</v>
      </c>
      <c r="Y42" s="31">
        <v>15404</v>
      </c>
      <c r="Z42" s="471">
        <v>13463.8</v>
      </c>
      <c r="AA42" s="76">
        <f t="shared" si="64"/>
        <v>14757.266666666668</v>
      </c>
      <c r="AB42" s="24">
        <f t="shared" si="65"/>
        <v>2913.2666666666682</v>
      </c>
      <c r="AC42" s="25">
        <f t="shared" si="66"/>
        <v>0.24596983001238334</v>
      </c>
      <c r="AD42" s="309">
        <f t="shared" si="67"/>
        <v>14757.266666666668</v>
      </c>
      <c r="AE42" s="462">
        <f t="shared" si="68"/>
        <v>14757.266666666668</v>
      </c>
      <c r="AF42" s="410">
        <v>7081</v>
      </c>
      <c r="AG42" s="45">
        <v>9000</v>
      </c>
      <c r="AH42" s="45">
        <v>8351</v>
      </c>
      <c r="AI42" s="45">
        <v>18000</v>
      </c>
      <c r="AJ42" s="76">
        <f t="shared" si="86"/>
        <v>11783.666666666666</v>
      </c>
      <c r="AK42" s="24">
        <f t="shared" si="87"/>
        <v>4702.6666666666661</v>
      </c>
      <c r="AL42" s="281">
        <f t="shared" si="88"/>
        <v>0.66412465282681343</v>
      </c>
      <c r="AM42" s="462">
        <f t="shared" si="89"/>
        <v>11783.666666666666</v>
      </c>
      <c r="AN42" s="513">
        <v>7081</v>
      </c>
      <c r="AO42" s="88">
        <v>10000</v>
      </c>
      <c r="AP42" s="116">
        <v>11000</v>
      </c>
      <c r="AQ42" s="74">
        <v>9900</v>
      </c>
      <c r="AR42" s="76">
        <f t="shared" si="73"/>
        <v>10300</v>
      </c>
      <c r="AS42" s="24">
        <f t="shared" si="74"/>
        <v>3219</v>
      </c>
      <c r="AT42" s="25">
        <f t="shared" si="90"/>
        <v>0.45459680836040106</v>
      </c>
      <c r="AU42" s="309" t="str">
        <f t="shared" si="91"/>
        <v>REVISAR PRECIO</v>
      </c>
      <c r="AV42" s="462">
        <f t="shared" si="77"/>
        <v>10300</v>
      </c>
      <c r="AW42" s="513">
        <v>7081</v>
      </c>
      <c r="AX42" s="74">
        <v>10350</v>
      </c>
      <c r="AY42" s="74">
        <v>13000</v>
      </c>
      <c r="AZ42" s="75">
        <v>11925</v>
      </c>
      <c r="BA42" s="61">
        <v>14719.999999999998</v>
      </c>
      <c r="BB42" s="60">
        <v>9200</v>
      </c>
      <c r="BC42" s="74">
        <v>16927.999999999996</v>
      </c>
      <c r="BD42" s="79">
        <v>11925</v>
      </c>
      <c r="BE42" s="79">
        <f>18000*0.5</f>
        <v>9000</v>
      </c>
      <c r="BF42" s="127">
        <v>10800</v>
      </c>
      <c r="BG42" s="128">
        <v>10000</v>
      </c>
      <c r="BH42" s="128">
        <v>10000</v>
      </c>
      <c r="BI42" s="76">
        <f t="shared" si="78"/>
        <v>12687.166666666666</v>
      </c>
      <c r="BJ42" s="24">
        <f t="shared" si="79"/>
        <v>5606.1666666666661</v>
      </c>
      <c r="BK42" s="25">
        <f t="shared" si="92"/>
        <v>0.79171962528833018</v>
      </c>
      <c r="BL42" s="259" t="str">
        <f t="shared" si="80"/>
        <v>REVISAR PRECIO</v>
      </c>
      <c r="BM42" s="533">
        <f t="shared" si="81"/>
        <v>12687.166666666666</v>
      </c>
    </row>
    <row r="43" spans="1:65" ht="30" customHeight="1">
      <c r="A43" s="91" t="s">
        <v>7</v>
      </c>
      <c r="B43" s="358" t="s">
        <v>2234</v>
      </c>
      <c r="C43" s="50" t="s">
        <v>67</v>
      </c>
      <c r="D43" s="99" t="s">
        <v>403</v>
      </c>
      <c r="E43" s="392" t="s">
        <v>13</v>
      </c>
      <c r="F43" s="410">
        <v>9408</v>
      </c>
      <c r="G43" s="10">
        <v>19200</v>
      </c>
      <c r="H43" s="167">
        <v>38400</v>
      </c>
      <c r="I43" s="10">
        <v>14560</v>
      </c>
      <c r="J43" s="76">
        <f t="shared" si="57"/>
        <v>16880</v>
      </c>
      <c r="K43" s="24">
        <f t="shared" si="58"/>
        <v>7472</v>
      </c>
      <c r="L43" s="281">
        <f t="shared" si="59"/>
        <v>0.79421768707482998</v>
      </c>
      <c r="M43" s="431">
        <f t="shared" si="36"/>
        <v>38400</v>
      </c>
      <c r="N43" s="410">
        <v>8467</v>
      </c>
      <c r="O43" s="10">
        <v>9500</v>
      </c>
      <c r="P43" s="10">
        <v>11500</v>
      </c>
      <c r="Q43" s="268">
        <v>11000</v>
      </c>
      <c r="R43" s="10">
        <v>10000</v>
      </c>
      <c r="S43" s="76">
        <f t="shared" si="82"/>
        <v>10500</v>
      </c>
      <c r="T43" s="24">
        <f t="shared" si="83"/>
        <v>2033</v>
      </c>
      <c r="U43" s="281">
        <f t="shared" si="84"/>
        <v>0.24010865713948271</v>
      </c>
      <c r="V43" s="462">
        <f t="shared" si="85"/>
        <v>10500</v>
      </c>
      <c r="W43" s="410">
        <v>15746</v>
      </c>
      <c r="X43" s="10">
        <v>20480</v>
      </c>
      <c r="Y43" s="31">
        <v>26623</v>
      </c>
      <c r="Z43" s="471">
        <v>17900.599999999999</v>
      </c>
      <c r="AA43" s="76">
        <f t="shared" si="64"/>
        <v>21667.866666666665</v>
      </c>
      <c r="AB43" s="24">
        <f t="shared" si="65"/>
        <v>5921.866666666665</v>
      </c>
      <c r="AC43" s="25">
        <f t="shared" si="66"/>
        <v>0.37608704856259778</v>
      </c>
      <c r="AD43" s="309" t="str">
        <f t="shared" si="67"/>
        <v>REVISAR PRECIO</v>
      </c>
      <c r="AE43" s="462">
        <f t="shared" si="68"/>
        <v>21667.866666666665</v>
      </c>
      <c r="AF43" s="410">
        <v>9407</v>
      </c>
      <c r="AG43" s="45">
        <v>13500</v>
      </c>
      <c r="AH43" s="45">
        <v>11101</v>
      </c>
      <c r="AI43" s="45">
        <v>18000</v>
      </c>
      <c r="AJ43" s="76">
        <f t="shared" si="86"/>
        <v>14200.333333333334</v>
      </c>
      <c r="AK43" s="24">
        <f t="shared" si="87"/>
        <v>4793.3333333333339</v>
      </c>
      <c r="AL43" s="281">
        <f t="shared" si="88"/>
        <v>0.50954962616491273</v>
      </c>
      <c r="AM43" s="462">
        <f t="shared" si="89"/>
        <v>14200.333333333334</v>
      </c>
      <c r="AN43" s="513">
        <v>9407</v>
      </c>
      <c r="AO43" s="88">
        <v>12000</v>
      </c>
      <c r="AP43" s="116">
        <v>12000</v>
      </c>
      <c r="AQ43" s="74">
        <v>12100</v>
      </c>
      <c r="AR43" s="76">
        <f t="shared" si="73"/>
        <v>12033.333333333334</v>
      </c>
      <c r="AS43" s="24">
        <f t="shared" si="74"/>
        <v>2626.3333333333339</v>
      </c>
      <c r="AT43" s="25">
        <f t="shared" si="90"/>
        <v>0.27918925622763197</v>
      </c>
      <c r="AU43" s="309">
        <f t="shared" si="91"/>
        <v>12033.333333333334</v>
      </c>
      <c r="AV43" s="462">
        <f t="shared" si="77"/>
        <v>12033.333333333334</v>
      </c>
      <c r="AW43" s="513">
        <v>9407</v>
      </c>
      <c r="AX43" s="74">
        <v>12650</v>
      </c>
      <c r="AY43" s="74">
        <v>20000</v>
      </c>
      <c r="AZ43" s="75">
        <v>14575</v>
      </c>
      <c r="BA43" s="61">
        <v>12649.999999999998</v>
      </c>
      <c r="BB43" s="60">
        <v>18000</v>
      </c>
      <c r="BC43" s="74">
        <v>14547.499999999996</v>
      </c>
      <c r="BD43" s="79">
        <v>14575</v>
      </c>
      <c r="BE43" s="79">
        <f>22000*0.5</f>
        <v>11000</v>
      </c>
      <c r="BF43" s="127">
        <v>13200</v>
      </c>
      <c r="BG43" s="128">
        <v>11500</v>
      </c>
      <c r="BH43" s="128">
        <v>11500</v>
      </c>
      <c r="BI43" s="76">
        <f t="shared" si="78"/>
        <v>15403.75</v>
      </c>
      <c r="BJ43" s="24">
        <f t="shared" si="79"/>
        <v>5996.75</v>
      </c>
      <c r="BK43" s="25">
        <f t="shared" si="92"/>
        <v>0.63747741043903472</v>
      </c>
      <c r="BL43" s="259" t="str">
        <f t="shared" si="80"/>
        <v>REVISAR PRECIO</v>
      </c>
      <c r="BM43" s="533">
        <f t="shared" si="81"/>
        <v>15403.75</v>
      </c>
    </row>
    <row r="44" spans="1:65" ht="30" customHeight="1">
      <c r="A44" s="91" t="s">
        <v>7</v>
      </c>
      <c r="B44" s="358" t="s">
        <v>2235</v>
      </c>
      <c r="C44" s="50" t="s">
        <v>68</v>
      </c>
      <c r="D44" s="99" t="s">
        <v>404</v>
      </c>
      <c r="E44" s="392" t="s">
        <v>13</v>
      </c>
      <c r="F44" s="410">
        <v>20675</v>
      </c>
      <c r="G44" s="10">
        <v>4000</v>
      </c>
      <c r="H44" s="167">
        <v>8000</v>
      </c>
      <c r="I44" s="10">
        <v>5860</v>
      </c>
      <c r="J44" s="76">
        <f t="shared" si="57"/>
        <v>4930</v>
      </c>
      <c r="K44" s="24">
        <f t="shared" si="58"/>
        <v>-15745</v>
      </c>
      <c r="L44" s="281">
        <f t="shared" si="59"/>
        <v>-0.76154776299879079</v>
      </c>
      <c r="M44" s="431">
        <f t="shared" si="36"/>
        <v>8000</v>
      </c>
      <c r="N44" s="410">
        <v>8467</v>
      </c>
      <c r="O44" s="10">
        <v>9500</v>
      </c>
      <c r="P44" s="10">
        <v>11500</v>
      </c>
      <c r="Q44" s="268">
        <v>10500</v>
      </c>
      <c r="R44" s="10">
        <v>10000</v>
      </c>
      <c r="S44" s="76">
        <f t="shared" si="82"/>
        <v>10375</v>
      </c>
      <c r="T44" s="24">
        <f t="shared" si="83"/>
        <v>1908</v>
      </c>
      <c r="U44" s="281">
        <f t="shared" si="84"/>
        <v>0.22534545884020313</v>
      </c>
      <c r="V44" s="462">
        <f t="shared" si="85"/>
        <v>10375</v>
      </c>
      <c r="W44" s="410">
        <v>13141</v>
      </c>
      <c r="X44" s="10">
        <v>17091</v>
      </c>
      <c r="Y44" s="33">
        <v>22218</v>
      </c>
      <c r="Z44" s="471">
        <v>14938.8</v>
      </c>
      <c r="AA44" s="76">
        <f t="shared" si="64"/>
        <v>18082.600000000002</v>
      </c>
      <c r="AB44" s="24">
        <f t="shared" si="65"/>
        <v>4941.6000000000022</v>
      </c>
      <c r="AC44" s="25">
        <f t="shared" si="66"/>
        <v>0.37604444106232421</v>
      </c>
      <c r="AD44" s="309" t="str">
        <f t="shared" si="67"/>
        <v>REVISAR PRECIO</v>
      </c>
      <c r="AE44" s="462">
        <f t="shared" si="68"/>
        <v>18082.600000000002</v>
      </c>
      <c r="AF44" s="410">
        <v>9407</v>
      </c>
      <c r="AG44" s="45">
        <v>20000</v>
      </c>
      <c r="AH44" s="45">
        <v>11101</v>
      </c>
      <c r="AI44" s="45">
        <v>20000</v>
      </c>
      <c r="AJ44" s="76">
        <f t="shared" si="86"/>
        <v>17033.666666666668</v>
      </c>
      <c r="AK44" s="24">
        <f t="shared" si="87"/>
        <v>7626.6666666666679</v>
      </c>
      <c r="AL44" s="281">
        <f t="shared" si="88"/>
        <v>0.81074377236809481</v>
      </c>
      <c r="AM44" s="462">
        <f t="shared" si="89"/>
        <v>17033.666666666668</v>
      </c>
      <c r="AN44" s="513">
        <v>7850</v>
      </c>
      <c r="AO44" s="88">
        <v>20000</v>
      </c>
      <c r="AP44" s="116">
        <v>20000</v>
      </c>
      <c r="AQ44" s="74">
        <v>21120</v>
      </c>
      <c r="AR44" s="76">
        <f t="shared" si="73"/>
        <v>20373.333333333332</v>
      </c>
      <c r="AS44" s="24">
        <f t="shared" si="74"/>
        <v>12523.333333333332</v>
      </c>
      <c r="AT44" s="25">
        <f t="shared" si="90"/>
        <v>1.5953290870488321</v>
      </c>
      <c r="AU44" s="309" t="str">
        <f t="shared" si="91"/>
        <v>REVISAR PRECIO</v>
      </c>
      <c r="AV44" s="462">
        <f t="shared" si="77"/>
        <v>20373.333333333332</v>
      </c>
      <c r="AW44" s="513">
        <v>7850</v>
      </c>
      <c r="AX44" s="74">
        <v>22080</v>
      </c>
      <c r="AY44" s="74">
        <v>24000</v>
      </c>
      <c r="AZ44" s="75">
        <v>25440</v>
      </c>
      <c r="BA44" s="61">
        <v>29094.999999999996</v>
      </c>
      <c r="BB44" s="60">
        <v>18000</v>
      </c>
      <c r="BC44" s="74">
        <v>33459.249999999993</v>
      </c>
      <c r="BD44" s="79">
        <v>25440</v>
      </c>
      <c r="BE44" s="79">
        <f>32000*0.6</f>
        <v>19200</v>
      </c>
      <c r="BF44" s="127">
        <v>23040</v>
      </c>
      <c r="BG44" s="128">
        <v>21000</v>
      </c>
      <c r="BH44" s="128">
        <v>20000</v>
      </c>
      <c r="BI44" s="76">
        <f t="shared" si="78"/>
        <v>25345.708333333332</v>
      </c>
      <c r="BJ44" s="24">
        <f t="shared" si="79"/>
        <v>17495.708333333332</v>
      </c>
      <c r="BK44" s="25">
        <f t="shared" si="92"/>
        <v>2.2287526539278129</v>
      </c>
      <c r="BL44" s="259" t="str">
        <f t="shared" si="80"/>
        <v>REVISAR PRECIO</v>
      </c>
      <c r="BM44" s="533">
        <f t="shared" si="81"/>
        <v>25345.708333333332</v>
      </c>
    </row>
    <row r="45" spans="1:65" ht="30" customHeight="1">
      <c r="A45" s="91" t="s">
        <v>7</v>
      </c>
      <c r="B45" s="358" t="s">
        <v>2236</v>
      </c>
      <c r="C45" s="50" t="s">
        <v>69</v>
      </c>
      <c r="D45" s="99" t="s">
        <v>405</v>
      </c>
      <c r="E45" s="392" t="s">
        <v>13</v>
      </c>
      <c r="F45" s="410">
        <v>28118</v>
      </c>
      <c r="G45" s="10">
        <v>48500</v>
      </c>
      <c r="H45" s="167">
        <v>97000</v>
      </c>
      <c r="I45" s="10">
        <v>35656</v>
      </c>
      <c r="J45" s="76">
        <f t="shared" si="57"/>
        <v>42078</v>
      </c>
      <c r="K45" s="24">
        <f t="shared" si="58"/>
        <v>13960</v>
      </c>
      <c r="L45" s="281">
        <f t="shared" si="59"/>
        <v>0.49647912369300806</v>
      </c>
      <c r="M45" s="431">
        <f t="shared" si="36"/>
        <v>97000</v>
      </c>
      <c r="N45" s="410">
        <v>18605</v>
      </c>
      <c r="O45" s="10">
        <v>9500</v>
      </c>
      <c r="P45" s="10">
        <v>11500</v>
      </c>
      <c r="Q45" s="268">
        <v>10500</v>
      </c>
      <c r="R45" s="10">
        <v>10000</v>
      </c>
      <c r="S45" s="76">
        <f t="shared" si="82"/>
        <v>10375</v>
      </c>
      <c r="T45" s="24">
        <f t="shared" si="83"/>
        <v>-8230</v>
      </c>
      <c r="U45" s="281">
        <f t="shared" si="84"/>
        <v>-0.44235420585864016</v>
      </c>
      <c r="V45" s="462">
        <f t="shared" si="85"/>
        <v>10375</v>
      </c>
      <c r="W45" s="410">
        <v>34586</v>
      </c>
      <c r="X45" s="10">
        <v>44982</v>
      </c>
      <c r="Y45" s="33">
        <v>58477</v>
      </c>
      <c r="Z45" s="471">
        <v>39317.599999999999</v>
      </c>
      <c r="AA45" s="76">
        <f t="shared" si="64"/>
        <v>47592.200000000004</v>
      </c>
      <c r="AB45" s="24">
        <f t="shared" si="65"/>
        <v>13006.200000000004</v>
      </c>
      <c r="AC45" s="25">
        <f t="shared" si="66"/>
        <v>0.3760538946394496</v>
      </c>
      <c r="AD45" s="309" t="str">
        <f t="shared" si="67"/>
        <v>REVISAR PRECIO</v>
      </c>
      <c r="AE45" s="462">
        <f t="shared" si="68"/>
        <v>47592.200000000004</v>
      </c>
      <c r="AF45" s="410">
        <v>20675</v>
      </c>
      <c r="AG45" s="45">
        <v>5000</v>
      </c>
      <c r="AH45" s="45">
        <v>4500</v>
      </c>
      <c r="AI45" s="45">
        <v>13000</v>
      </c>
      <c r="AJ45" s="76">
        <f t="shared" si="86"/>
        <v>7500</v>
      </c>
      <c r="AK45" s="24">
        <f t="shared" si="87"/>
        <v>-13175</v>
      </c>
      <c r="AL45" s="281">
        <f t="shared" si="88"/>
        <v>-0.63724304715840385</v>
      </c>
      <c r="AM45" s="462">
        <f t="shared" si="89"/>
        <v>7500</v>
      </c>
      <c r="AN45" s="513">
        <v>20675</v>
      </c>
      <c r="AO45" s="88">
        <v>5000</v>
      </c>
      <c r="AP45" s="116">
        <v>5000</v>
      </c>
      <c r="AQ45" s="74">
        <v>4400</v>
      </c>
      <c r="AR45" s="76">
        <f t="shared" si="73"/>
        <v>4800</v>
      </c>
      <c r="AS45" s="24">
        <f t="shared" si="74"/>
        <v>-15875</v>
      </c>
      <c r="AT45" s="25">
        <f t="shared" si="90"/>
        <v>-0.7678355501813785</v>
      </c>
      <c r="AU45" s="309">
        <f t="shared" si="91"/>
        <v>4800</v>
      </c>
      <c r="AV45" s="462">
        <f t="shared" si="77"/>
        <v>4800</v>
      </c>
      <c r="AW45" s="513">
        <v>20675</v>
      </c>
      <c r="AX45" s="74">
        <v>4600</v>
      </c>
      <c r="AY45" s="74">
        <v>8000</v>
      </c>
      <c r="AZ45" s="75">
        <v>5300</v>
      </c>
      <c r="BA45" s="61">
        <v>9500</v>
      </c>
      <c r="BB45" s="60">
        <v>12000</v>
      </c>
      <c r="BC45" s="74">
        <v>7934.9999999999982</v>
      </c>
      <c r="BD45" s="79">
        <v>5300</v>
      </c>
      <c r="BE45" s="79">
        <v>4000</v>
      </c>
      <c r="BF45" s="127">
        <v>4800</v>
      </c>
      <c r="BG45" s="128">
        <v>5000</v>
      </c>
      <c r="BH45" s="128">
        <v>5000</v>
      </c>
      <c r="BI45" s="76">
        <f t="shared" si="78"/>
        <v>7889.166666666667</v>
      </c>
      <c r="BJ45" s="24">
        <f t="shared" si="79"/>
        <v>-12785.833333333332</v>
      </c>
      <c r="BK45" s="25">
        <f t="shared" si="92"/>
        <v>-0.61841999193873431</v>
      </c>
      <c r="BL45" s="259">
        <f t="shared" si="80"/>
        <v>7889.166666666667</v>
      </c>
      <c r="BM45" s="533">
        <f t="shared" si="81"/>
        <v>7889.166666666667</v>
      </c>
    </row>
    <row r="46" spans="1:65" ht="30" customHeight="1">
      <c r="A46" s="91" t="s">
        <v>7</v>
      </c>
      <c r="B46" s="358" t="s">
        <v>2237</v>
      </c>
      <c r="C46" s="50" t="s">
        <v>70</v>
      </c>
      <c r="D46" s="99" t="s">
        <v>406</v>
      </c>
      <c r="E46" s="392" t="s">
        <v>13</v>
      </c>
      <c r="F46" s="410">
        <v>19584</v>
      </c>
      <c r="G46" s="10">
        <v>28340</v>
      </c>
      <c r="H46" s="167">
        <v>56680</v>
      </c>
      <c r="I46" s="10">
        <v>27860</v>
      </c>
      <c r="J46" s="76">
        <f t="shared" si="57"/>
        <v>28100</v>
      </c>
      <c r="K46" s="24">
        <f t="shared" si="58"/>
        <v>8516</v>
      </c>
      <c r="L46" s="281">
        <f t="shared" si="59"/>
        <v>0.43484477124183007</v>
      </c>
      <c r="M46" s="431">
        <f t="shared" si="36"/>
        <v>56680</v>
      </c>
      <c r="N46" s="410">
        <v>25307</v>
      </c>
      <c r="O46" s="10">
        <v>55000</v>
      </c>
      <c r="P46" s="10">
        <v>66000</v>
      </c>
      <c r="Q46" s="268">
        <v>60000</v>
      </c>
      <c r="R46" s="10">
        <v>50000</v>
      </c>
      <c r="S46" s="76">
        <f t="shared" si="82"/>
        <v>57750</v>
      </c>
      <c r="T46" s="24">
        <f t="shared" si="83"/>
        <v>32443</v>
      </c>
      <c r="U46" s="281">
        <f t="shared" si="84"/>
        <v>1.2819773185284704</v>
      </c>
      <c r="V46" s="462">
        <f t="shared" si="85"/>
        <v>57750</v>
      </c>
      <c r="W46" s="410">
        <v>47042</v>
      </c>
      <c r="X46" s="10">
        <v>61182</v>
      </c>
      <c r="Y46" s="31">
        <v>79537</v>
      </c>
      <c r="Z46" s="471">
        <v>53477.599999999999</v>
      </c>
      <c r="AA46" s="76">
        <f t="shared" si="64"/>
        <v>64732.200000000004</v>
      </c>
      <c r="AB46" s="24">
        <f t="shared" si="65"/>
        <v>17690.200000000004</v>
      </c>
      <c r="AC46" s="25">
        <f t="shared" si="66"/>
        <v>0.37605118829981726</v>
      </c>
      <c r="AD46" s="309" t="str">
        <f t="shared" si="67"/>
        <v>REVISAR PRECIO</v>
      </c>
      <c r="AE46" s="462">
        <f t="shared" si="68"/>
        <v>64732.200000000004</v>
      </c>
      <c r="AF46" s="410">
        <v>28117</v>
      </c>
      <c r="AG46" s="45">
        <v>54000</v>
      </c>
      <c r="AH46" s="45">
        <v>33179</v>
      </c>
      <c r="AI46" s="45">
        <v>30000</v>
      </c>
      <c r="AJ46" s="76">
        <f t="shared" si="86"/>
        <v>39059.666666666664</v>
      </c>
      <c r="AK46" s="24">
        <f t="shared" si="87"/>
        <v>10942.666666666664</v>
      </c>
      <c r="AL46" s="281">
        <f t="shared" si="88"/>
        <v>0.38918329361833282</v>
      </c>
      <c r="AM46" s="462">
        <f t="shared" si="89"/>
        <v>39059.666666666664</v>
      </c>
      <c r="AN46" s="513">
        <v>28117</v>
      </c>
      <c r="AO46" s="88">
        <v>55000</v>
      </c>
      <c r="AP46" s="116">
        <v>55000</v>
      </c>
      <c r="AQ46" s="74">
        <v>53350</v>
      </c>
      <c r="AR46" s="76">
        <f t="shared" si="73"/>
        <v>54450</v>
      </c>
      <c r="AS46" s="24">
        <f t="shared" si="74"/>
        <v>26333</v>
      </c>
      <c r="AT46" s="25">
        <f t="shared" si="90"/>
        <v>0.93655084112814313</v>
      </c>
      <c r="AU46" s="309" t="str">
        <f t="shared" si="91"/>
        <v>REVISAR PRECIO</v>
      </c>
      <c r="AV46" s="462">
        <f t="shared" si="77"/>
        <v>54450</v>
      </c>
      <c r="AW46" s="513">
        <v>28117</v>
      </c>
      <c r="AX46" s="74">
        <v>55775</v>
      </c>
      <c r="AY46" s="74">
        <v>58000</v>
      </c>
      <c r="AZ46" s="75">
        <v>64262.5</v>
      </c>
      <c r="BA46" s="61">
        <v>55774.999999999993</v>
      </c>
      <c r="BB46" s="60">
        <v>18000</v>
      </c>
      <c r="BC46" s="74">
        <v>64141.249999999985</v>
      </c>
      <c r="BD46" s="79">
        <v>64262.5</v>
      </c>
      <c r="BE46" s="79">
        <v>48500</v>
      </c>
      <c r="BF46" s="127">
        <v>58200</v>
      </c>
      <c r="BG46" s="128">
        <v>51600</v>
      </c>
      <c r="BH46" s="128">
        <v>50000</v>
      </c>
      <c r="BI46" s="76">
        <f t="shared" si="78"/>
        <v>52658.958333333336</v>
      </c>
      <c r="BJ46" s="24">
        <f t="shared" si="79"/>
        <v>24541.958333333336</v>
      </c>
      <c r="BK46" s="25">
        <f t="shared" si="92"/>
        <v>0.87285124064919217</v>
      </c>
      <c r="BL46" s="259" t="str">
        <f t="shared" si="80"/>
        <v>REVISAR PRECIO</v>
      </c>
      <c r="BM46" s="533">
        <f t="shared" si="81"/>
        <v>52658.958333333336</v>
      </c>
    </row>
    <row r="47" spans="1:65" ht="30" customHeight="1">
      <c r="A47" s="91" t="s">
        <v>7</v>
      </c>
      <c r="B47" s="358" t="s">
        <v>2238</v>
      </c>
      <c r="C47" s="50" t="s">
        <v>71</v>
      </c>
      <c r="D47" s="99" t="s">
        <v>407</v>
      </c>
      <c r="E47" s="392" t="s">
        <v>13</v>
      </c>
      <c r="F47" s="410">
        <v>36671</v>
      </c>
      <c r="G47" s="10">
        <v>52300</v>
      </c>
      <c r="H47" s="167">
        <v>209200</v>
      </c>
      <c r="I47" s="10">
        <v>48500</v>
      </c>
      <c r="J47" s="76">
        <f t="shared" si="57"/>
        <v>50400</v>
      </c>
      <c r="K47" s="24">
        <f t="shared" si="58"/>
        <v>13729</v>
      </c>
      <c r="L47" s="281">
        <f t="shared" si="59"/>
        <v>0.37438302746039104</v>
      </c>
      <c r="M47" s="431">
        <f t="shared" si="36"/>
        <v>209200</v>
      </c>
      <c r="N47" s="410">
        <v>17618</v>
      </c>
      <c r="O47" s="10">
        <v>42000</v>
      </c>
      <c r="P47" s="10">
        <v>48000</v>
      </c>
      <c r="Q47" s="268">
        <v>45000</v>
      </c>
      <c r="R47" s="10">
        <v>50000</v>
      </c>
      <c r="S47" s="76">
        <f t="shared" si="82"/>
        <v>46250</v>
      </c>
      <c r="T47" s="24">
        <f t="shared" si="83"/>
        <v>28632</v>
      </c>
      <c r="U47" s="281">
        <f t="shared" si="84"/>
        <v>1.6251560903621296</v>
      </c>
      <c r="V47" s="462">
        <f t="shared" si="85"/>
        <v>46250</v>
      </c>
      <c r="W47" s="410">
        <v>32759</v>
      </c>
      <c r="X47" s="10">
        <v>42606</v>
      </c>
      <c r="Y47" s="33">
        <v>55388</v>
      </c>
      <c r="Z47" s="471">
        <v>37240.800000000003</v>
      </c>
      <c r="AA47" s="76">
        <f t="shared" si="64"/>
        <v>45078.266666666663</v>
      </c>
      <c r="AB47" s="24">
        <f t="shared" si="65"/>
        <v>12319.266666666663</v>
      </c>
      <c r="AC47" s="25">
        <f t="shared" si="66"/>
        <v>0.37605747021174829</v>
      </c>
      <c r="AD47" s="309" t="str">
        <f t="shared" si="67"/>
        <v>REVISAR PRECIO</v>
      </c>
      <c r="AE47" s="462">
        <f t="shared" si="68"/>
        <v>45078.266666666663</v>
      </c>
      <c r="AF47" s="410">
        <v>19583</v>
      </c>
      <c r="AG47" s="45">
        <v>27000</v>
      </c>
      <c r="AH47" s="45">
        <v>23101</v>
      </c>
      <c r="AI47" s="45">
        <v>26000</v>
      </c>
      <c r="AJ47" s="76">
        <f t="shared" si="86"/>
        <v>25367</v>
      </c>
      <c r="AK47" s="24">
        <f t="shared" si="87"/>
        <v>5784</v>
      </c>
      <c r="AL47" s="281">
        <f t="shared" si="88"/>
        <v>0.29535821886329983</v>
      </c>
      <c r="AM47" s="462">
        <f t="shared" si="89"/>
        <v>25367</v>
      </c>
      <c r="AN47" s="513">
        <v>19583</v>
      </c>
      <c r="AO47" s="88">
        <v>30000</v>
      </c>
      <c r="AP47" s="116">
        <v>30000</v>
      </c>
      <c r="AQ47" s="74">
        <v>31174</v>
      </c>
      <c r="AR47" s="76">
        <f t="shared" si="73"/>
        <v>30391.333333333332</v>
      </c>
      <c r="AS47" s="24">
        <f t="shared" si="74"/>
        <v>10808.333333333332</v>
      </c>
      <c r="AT47" s="25">
        <f t="shared" si="90"/>
        <v>0.55192428807298843</v>
      </c>
      <c r="AU47" s="309" t="str">
        <f t="shared" si="91"/>
        <v>REVISAR PRECIO</v>
      </c>
      <c r="AV47" s="462">
        <f t="shared" si="77"/>
        <v>30391.333333333332</v>
      </c>
      <c r="AW47" s="513">
        <v>19583</v>
      </c>
      <c r="AX47" s="74">
        <v>32591</v>
      </c>
      <c r="AY47" s="74">
        <v>45000</v>
      </c>
      <c r="AZ47" s="75">
        <v>37550.5</v>
      </c>
      <c r="BA47" s="61">
        <v>53589.999999999993</v>
      </c>
      <c r="BB47" s="60">
        <v>120000</v>
      </c>
      <c r="BC47" s="74">
        <v>61628.499999999985</v>
      </c>
      <c r="BD47" s="79">
        <v>37550.5</v>
      </c>
      <c r="BE47" s="79">
        <f>21800*1.3</f>
        <v>28340</v>
      </c>
      <c r="BF47" s="127">
        <v>34008</v>
      </c>
      <c r="BG47" s="128">
        <v>30000</v>
      </c>
      <c r="BH47" s="128">
        <v>30000</v>
      </c>
      <c r="BI47" s="76">
        <f t="shared" si="78"/>
        <v>58393.333333333336</v>
      </c>
      <c r="BJ47" s="24">
        <f t="shared" si="79"/>
        <v>38810.333333333336</v>
      </c>
      <c r="BK47" s="25">
        <f t="shared" si="92"/>
        <v>1.9818379887317232</v>
      </c>
      <c r="BL47" s="259" t="str">
        <f t="shared" si="80"/>
        <v>REVISAR PRECIO</v>
      </c>
      <c r="BM47" s="533">
        <f t="shared" si="81"/>
        <v>58393.333333333336</v>
      </c>
    </row>
    <row r="48" spans="1:65" ht="30" customHeight="1">
      <c r="A48" s="91" t="s">
        <v>7</v>
      </c>
      <c r="B48" s="358" t="s">
        <v>2239</v>
      </c>
      <c r="C48" s="50" t="s">
        <v>72</v>
      </c>
      <c r="D48" s="99" t="s">
        <v>408</v>
      </c>
      <c r="E48" s="392" t="s">
        <v>13</v>
      </c>
      <c r="F48" s="410">
        <v>73349</v>
      </c>
      <c r="G48" s="10">
        <v>92600</v>
      </c>
      <c r="H48" s="167">
        <v>370400</v>
      </c>
      <c r="I48" s="10">
        <v>86952</v>
      </c>
      <c r="J48" s="76">
        <f t="shared" si="57"/>
        <v>89776</v>
      </c>
      <c r="K48" s="24">
        <f t="shared" si="58"/>
        <v>16427</v>
      </c>
      <c r="L48" s="281">
        <f t="shared" si="59"/>
        <v>0.22395670015951138</v>
      </c>
      <c r="M48" s="431">
        <f t="shared" si="36"/>
        <v>370400</v>
      </c>
      <c r="N48" s="410">
        <v>33005</v>
      </c>
      <c r="O48" s="10">
        <v>35000</v>
      </c>
      <c r="P48" s="10">
        <v>42000</v>
      </c>
      <c r="Q48" s="268">
        <v>40000</v>
      </c>
      <c r="R48" s="10">
        <v>40000</v>
      </c>
      <c r="S48" s="76">
        <f t="shared" si="82"/>
        <v>39250</v>
      </c>
      <c r="T48" s="24">
        <f t="shared" si="83"/>
        <v>6245</v>
      </c>
      <c r="U48" s="281">
        <f t="shared" si="84"/>
        <v>0.18921375549159219</v>
      </c>
      <c r="V48" s="462">
        <f t="shared" si="85"/>
        <v>39250</v>
      </c>
      <c r="W48" s="410">
        <v>61356</v>
      </c>
      <c r="X48" s="10">
        <v>79799</v>
      </c>
      <c r="Y48" s="31">
        <v>103738</v>
      </c>
      <c r="Z48" s="471">
        <v>69749.8</v>
      </c>
      <c r="AA48" s="76">
        <f t="shared" si="64"/>
        <v>84428.933333333334</v>
      </c>
      <c r="AB48" s="24">
        <f t="shared" si="65"/>
        <v>23072.933333333334</v>
      </c>
      <c r="AC48" s="25">
        <f t="shared" si="66"/>
        <v>0.37605015537736053</v>
      </c>
      <c r="AD48" s="309" t="str">
        <f t="shared" si="67"/>
        <v>REVISAR PRECIO</v>
      </c>
      <c r="AE48" s="462">
        <f t="shared" si="68"/>
        <v>84428.933333333334</v>
      </c>
      <c r="AF48" s="410">
        <v>36669</v>
      </c>
      <c r="AG48" s="45">
        <v>51000</v>
      </c>
      <c r="AH48" s="45">
        <v>32070</v>
      </c>
      <c r="AI48" s="45">
        <v>50000</v>
      </c>
      <c r="AJ48" s="76">
        <f t="shared" si="86"/>
        <v>44356.666666666664</v>
      </c>
      <c r="AK48" s="24">
        <f t="shared" si="87"/>
        <v>7687.6666666666642</v>
      </c>
      <c r="AL48" s="281">
        <f t="shared" si="88"/>
        <v>0.20965029498122839</v>
      </c>
      <c r="AM48" s="462">
        <f t="shared" si="89"/>
        <v>44356.666666666664</v>
      </c>
      <c r="AN48" s="513">
        <v>36669</v>
      </c>
      <c r="AO48" s="88">
        <v>55000</v>
      </c>
      <c r="AP48" s="116">
        <v>60000</v>
      </c>
      <c r="AQ48" s="74">
        <v>58630</v>
      </c>
      <c r="AR48" s="76">
        <f t="shared" si="73"/>
        <v>57876.666666666664</v>
      </c>
      <c r="AS48" s="24">
        <f t="shared" si="74"/>
        <v>21207.666666666664</v>
      </c>
      <c r="AT48" s="25">
        <f t="shared" si="90"/>
        <v>0.57835410473878923</v>
      </c>
      <c r="AU48" s="309" t="str">
        <f t="shared" si="91"/>
        <v>REVISAR PRECIO</v>
      </c>
      <c r="AV48" s="462">
        <f t="shared" si="77"/>
        <v>57876.666666666664</v>
      </c>
      <c r="AW48" s="513">
        <v>36669</v>
      </c>
      <c r="AX48" s="74">
        <v>61295</v>
      </c>
      <c r="AY48" s="74">
        <v>65000</v>
      </c>
      <c r="AZ48" s="75">
        <v>70622.5</v>
      </c>
      <c r="BA48" s="61">
        <v>61294.999999999993</v>
      </c>
      <c r="BB48" s="60">
        <v>98000</v>
      </c>
      <c r="BC48" s="74">
        <v>70489.249999999985</v>
      </c>
      <c r="BD48" s="79">
        <v>70622.5</v>
      </c>
      <c r="BE48" s="79">
        <f>41000*1.3</f>
        <v>53300</v>
      </c>
      <c r="BF48" s="127">
        <v>63960</v>
      </c>
      <c r="BG48" s="128">
        <v>60000</v>
      </c>
      <c r="BH48" s="128">
        <v>59500</v>
      </c>
      <c r="BI48" s="76">
        <f t="shared" si="78"/>
        <v>71116.958333333328</v>
      </c>
      <c r="BJ48" s="24">
        <f t="shared" si="79"/>
        <v>34447.958333333328</v>
      </c>
      <c r="BK48" s="25">
        <f t="shared" si="92"/>
        <v>0.93942999081876599</v>
      </c>
      <c r="BL48" s="259" t="str">
        <f t="shared" si="80"/>
        <v>REVISAR PRECIO</v>
      </c>
      <c r="BM48" s="533">
        <f t="shared" si="81"/>
        <v>71116.958333333328</v>
      </c>
    </row>
    <row r="49" spans="1:65" ht="30" customHeight="1">
      <c r="A49" s="91" t="s">
        <v>7</v>
      </c>
      <c r="B49" s="358" t="s">
        <v>2240</v>
      </c>
      <c r="C49" s="50" t="s">
        <v>73</v>
      </c>
      <c r="D49" s="99" t="s">
        <v>409</v>
      </c>
      <c r="E49" s="392" t="s">
        <v>13</v>
      </c>
      <c r="F49" s="410">
        <v>16604</v>
      </c>
      <c r="G49" s="10">
        <v>10000</v>
      </c>
      <c r="H49" s="167">
        <v>40000</v>
      </c>
      <c r="I49" s="10">
        <v>6500</v>
      </c>
      <c r="J49" s="76">
        <f t="shared" si="57"/>
        <v>8250</v>
      </c>
      <c r="K49" s="24">
        <f t="shared" si="58"/>
        <v>-8354</v>
      </c>
      <c r="L49" s="281">
        <f t="shared" si="59"/>
        <v>-0.50313177547578891</v>
      </c>
      <c r="M49" s="431">
        <f t="shared" si="36"/>
        <v>40000</v>
      </c>
      <c r="N49" s="410">
        <v>66010</v>
      </c>
      <c r="O49" s="10">
        <v>75000</v>
      </c>
      <c r="P49" s="10">
        <v>81000</v>
      </c>
      <c r="Q49" s="268">
        <v>78000</v>
      </c>
      <c r="R49" s="10">
        <v>80000</v>
      </c>
      <c r="S49" s="76">
        <f t="shared" si="82"/>
        <v>78500</v>
      </c>
      <c r="T49" s="24">
        <f t="shared" si="83"/>
        <v>12490</v>
      </c>
      <c r="U49" s="281">
        <f t="shared" si="84"/>
        <v>0.18921375549159219</v>
      </c>
      <c r="V49" s="462">
        <f t="shared" si="85"/>
        <v>78500</v>
      </c>
      <c r="W49" s="410">
        <v>122712</v>
      </c>
      <c r="X49" s="10">
        <v>159597</v>
      </c>
      <c r="Y49" s="31">
        <v>207476</v>
      </c>
      <c r="Z49" s="471">
        <v>139499.6</v>
      </c>
      <c r="AA49" s="76">
        <f t="shared" si="64"/>
        <v>168857.53333333333</v>
      </c>
      <c r="AB49" s="24">
        <f t="shared" si="65"/>
        <v>46145.533333333326</v>
      </c>
      <c r="AC49" s="25">
        <f t="shared" si="66"/>
        <v>0.37604743898993842</v>
      </c>
      <c r="AD49" s="309" t="str">
        <f t="shared" si="67"/>
        <v>REVISAR PRECIO</v>
      </c>
      <c r="AE49" s="462">
        <f t="shared" si="68"/>
        <v>168857.53333333333</v>
      </c>
      <c r="AF49" s="410">
        <v>79708</v>
      </c>
      <c r="AG49" s="45">
        <v>90000</v>
      </c>
      <c r="AH49" s="45">
        <v>103712</v>
      </c>
      <c r="AI49" s="45">
        <v>80000</v>
      </c>
      <c r="AJ49" s="76">
        <f t="shared" si="86"/>
        <v>91237.333333333328</v>
      </c>
      <c r="AK49" s="24">
        <f t="shared" si="87"/>
        <v>11529.333333333328</v>
      </c>
      <c r="AL49" s="281">
        <f t="shared" si="88"/>
        <v>0.14464461952794361</v>
      </c>
      <c r="AM49" s="462">
        <f t="shared" si="89"/>
        <v>91237.333333333328</v>
      </c>
      <c r="AN49" s="513">
        <v>73348</v>
      </c>
      <c r="AO49" s="88">
        <v>98000</v>
      </c>
      <c r="AP49" s="116">
        <v>100000</v>
      </c>
      <c r="AQ49" s="74">
        <v>101860</v>
      </c>
      <c r="AR49" s="76">
        <f t="shared" si="73"/>
        <v>99953.333333333328</v>
      </c>
      <c r="AS49" s="24">
        <f t="shared" si="74"/>
        <v>26605.333333333328</v>
      </c>
      <c r="AT49" s="25">
        <f t="shared" si="90"/>
        <v>0.3627274545090981</v>
      </c>
      <c r="AU49" s="309" t="str">
        <f t="shared" si="91"/>
        <v>REVISAR PRECIO</v>
      </c>
      <c r="AV49" s="462">
        <f t="shared" si="77"/>
        <v>99953.333333333328</v>
      </c>
      <c r="AW49" s="513">
        <v>73348</v>
      </c>
      <c r="AX49" s="74">
        <v>106490</v>
      </c>
      <c r="AY49" s="74">
        <v>120000</v>
      </c>
      <c r="AZ49" s="75">
        <v>122695</v>
      </c>
      <c r="BA49" s="61">
        <v>106489.99999999999</v>
      </c>
      <c r="BB49" s="60">
        <v>160000</v>
      </c>
      <c r="BC49" s="74">
        <v>122463.49999999997</v>
      </c>
      <c r="BD49" s="79">
        <v>122695</v>
      </c>
      <c r="BE49" s="79">
        <v>92600</v>
      </c>
      <c r="BF49" s="127">
        <v>111120</v>
      </c>
      <c r="BG49" s="128">
        <v>111000</v>
      </c>
      <c r="BH49" s="128">
        <v>100500</v>
      </c>
      <c r="BI49" s="76">
        <f t="shared" si="78"/>
        <v>123023.08333333333</v>
      </c>
      <c r="BJ49" s="24">
        <f t="shared" si="79"/>
        <v>49675.083333333328</v>
      </c>
      <c r="BK49" s="25">
        <f t="shared" si="92"/>
        <v>0.67725204959008189</v>
      </c>
      <c r="BL49" s="259" t="str">
        <f t="shared" si="80"/>
        <v>REVISAR PRECIO</v>
      </c>
      <c r="BM49" s="533">
        <f t="shared" si="81"/>
        <v>123023.08333333333</v>
      </c>
    </row>
    <row r="50" spans="1:65" ht="30" customHeight="1">
      <c r="A50" s="91" t="s">
        <v>7</v>
      </c>
      <c r="B50" s="358" t="s">
        <v>2241</v>
      </c>
      <c r="C50" s="50" t="s">
        <v>74</v>
      </c>
      <c r="D50" s="99" t="s">
        <v>410</v>
      </c>
      <c r="E50" s="392" t="s">
        <v>14</v>
      </c>
      <c r="F50" s="410">
        <v>16394</v>
      </c>
      <c r="G50" s="10">
        <v>28000</v>
      </c>
      <c r="H50" s="167">
        <v>112000</v>
      </c>
      <c r="I50" s="10">
        <v>22600</v>
      </c>
      <c r="J50" s="76">
        <f t="shared" si="57"/>
        <v>25300</v>
      </c>
      <c r="K50" s="24">
        <f t="shared" si="58"/>
        <v>8906</v>
      </c>
      <c r="L50" s="281">
        <f t="shared" si="59"/>
        <v>0.54324752958399414</v>
      </c>
      <c r="M50" s="431">
        <f t="shared" si="36"/>
        <v>112000</v>
      </c>
      <c r="N50" s="410">
        <v>15093</v>
      </c>
      <c r="O50" s="10">
        <v>15000</v>
      </c>
      <c r="P50" s="10">
        <v>17000</v>
      </c>
      <c r="Q50" s="268">
        <v>17000</v>
      </c>
      <c r="R50" s="10">
        <v>10000</v>
      </c>
      <c r="S50" s="76">
        <f t="shared" si="82"/>
        <v>14750</v>
      </c>
      <c r="T50" s="24">
        <f t="shared" si="83"/>
        <v>-343</v>
      </c>
      <c r="U50" s="281">
        <f t="shared" si="84"/>
        <v>-2.2725766911813425E-2</v>
      </c>
      <c r="V50" s="462">
        <f t="shared" si="85"/>
        <v>14750</v>
      </c>
      <c r="W50" s="410">
        <v>28337</v>
      </c>
      <c r="X50" s="10">
        <v>36855</v>
      </c>
      <c r="Y50" s="31">
        <v>47912</v>
      </c>
      <c r="Z50" s="471">
        <v>32214</v>
      </c>
      <c r="AA50" s="76">
        <f t="shared" si="64"/>
        <v>38993.666666666664</v>
      </c>
      <c r="AB50" s="24">
        <f t="shared" si="65"/>
        <v>10656.666666666664</v>
      </c>
      <c r="AC50" s="25">
        <f t="shared" si="66"/>
        <v>0.37606897930855998</v>
      </c>
      <c r="AD50" s="309" t="str">
        <f t="shared" si="67"/>
        <v>REVISAR PRECIO</v>
      </c>
      <c r="AE50" s="462">
        <f t="shared" si="68"/>
        <v>38993.666666666664</v>
      </c>
      <c r="AF50" s="410">
        <v>16858</v>
      </c>
      <c r="AG50" s="45">
        <v>10000</v>
      </c>
      <c r="AH50" s="45">
        <v>19593</v>
      </c>
      <c r="AI50" s="45">
        <v>9000</v>
      </c>
      <c r="AJ50" s="76">
        <f t="shared" si="86"/>
        <v>12864.333333333334</v>
      </c>
      <c r="AK50" s="24">
        <f t="shared" si="87"/>
        <v>-3993.6666666666661</v>
      </c>
      <c r="AL50" s="281">
        <f t="shared" si="88"/>
        <v>-0.23690038359631427</v>
      </c>
      <c r="AM50" s="462">
        <f t="shared" si="89"/>
        <v>12864.333333333334</v>
      </c>
      <c r="AN50" s="513">
        <v>16934</v>
      </c>
      <c r="AO50" s="88">
        <v>10500</v>
      </c>
      <c r="AP50" s="116">
        <v>10500</v>
      </c>
      <c r="AQ50" s="74">
        <v>11000</v>
      </c>
      <c r="AR50" s="76">
        <f t="shared" si="73"/>
        <v>10666.666666666666</v>
      </c>
      <c r="AS50" s="24">
        <f t="shared" si="74"/>
        <v>-6267.3333333333339</v>
      </c>
      <c r="AT50" s="25">
        <f t="shared" si="90"/>
        <v>-0.37010353923073896</v>
      </c>
      <c r="AU50" s="309">
        <f t="shared" si="91"/>
        <v>10666.666666666666</v>
      </c>
      <c r="AV50" s="462">
        <f t="shared" si="77"/>
        <v>10666.666666666666</v>
      </c>
      <c r="AW50" s="513">
        <v>16934</v>
      </c>
      <c r="AX50" s="74">
        <v>11500</v>
      </c>
      <c r="AY50" s="74">
        <v>15000</v>
      </c>
      <c r="AZ50" s="75">
        <v>13250</v>
      </c>
      <c r="BA50" s="61">
        <v>15000</v>
      </c>
      <c r="BB50" s="60">
        <v>12000</v>
      </c>
      <c r="BC50" s="74">
        <v>16398.999999999996</v>
      </c>
      <c r="BD50" s="79">
        <v>13250</v>
      </c>
      <c r="BE50" s="79">
        <v>10000</v>
      </c>
      <c r="BF50" s="127">
        <v>12000</v>
      </c>
      <c r="BG50" s="128">
        <v>12000</v>
      </c>
      <c r="BH50" s="128">
        <v>10000</v>
      </c>
      <c r="BI50" s="76">
        <f t="shared" si="78"/>
        <v>13858.166666666666</v>
      </c>
      <c r="BJ50" s="24">
        <f t="shared" si="79"/>
        <v>-3075.8333333333339</v>
      </c>
      <c r="BK50" s="25">
        <f t="shared" si="92"/>
        <v>-0.18163654974213617</v>
      </c>
      <c r="BL50" s="259">
        <f t="shared" si="80"/>
        <v>13858.166666666666</v>
      </c>
      <c r="BM50" s="533">
        <f t="shared" si="81"/>
        <v>13858.166666666666</v>
      </c>
    </row>
    <row r="51" spans="1:65" ht="30" customHeight="1">
      <c r="A51" s="91" t="s">
        <v>7</v>
      </c>
      <c r="B51" s="358" t="s">
        <v>2242</v>
      </c>
      <c r="C51" s="50" t="s">
        <v>75</v>
      </c>
      <c r="D51" s="99" t="s">
        <v>411</v>
      </c>
      <c r="E51" s="392" t="s">
        <v>14</v>
      </c>
      <c r="F51" s="410">
        <v>8819</v>
      </c>
      <c r="G51" s="10">
        <v>11061.79</v>
      </c>
      <c r="H51" s="167">
        <v>33185.370000000003</v>
      </c>
      <c r="I51" s="10">
        <v>10000</v>
      </c>
      <c r="J51" s="76">
        <f t="shared" si="57"/>
        <v>10530.895</v>
      </c>
      <c r="K51" s="24">
        <f t="shared" si="58"/>
        <v>1711.8950000000004</v>
      </c>
      <c r="L51" s="281">
        <f t="shared" si="59"/>
        <v>0.19411441206486002</v>
      </c>
      <c r="M51" s="431">
        <f t="shared" si="36"/>
        <v>33185.370000000003</v>
      </c>
      <c r="N51" s="410">
        <v>14894</v>
      </c>
      <c r="O51" s="10">
        <v>18000</v>
      </c>
      <c r="P51" s="10">
        <v>21000</v>
      </c>
      <c r="Q51" s="269">
        <v>20000</v>
      </c>
      <c r="R51" s="10">
        <v>15000</v>
      </c>
      <c r="S51" s="76">
        <f t="shared" si="82"/>
        <v>18500</v>
      </c>
      <c r="T51" s="24">
        <f t="shared" si="83"/>
        <v>3606</v>
      </c>
      <c r="U51" s="281">
        <f t="shared" si="84"/>
        <v>0.24211091714784477</v>
      </c>
      <c r="V51" s="462">
        <f t="shared" si="85"/>
        <v>18500</v>
      </c>
      <c r="W51" s="410">
        <v>27974</v>
      </c>
      <c r="X51" s="10">
        <v>36383</v>
      </c>
      <c r="Y51" s="33">
        <v>36383</v>
      </c>
      <c r="Z51" s="471">
        <v>31801</v>
      </c>
      <c r="AA51" s="76">
        <f t="shared" si="64"/>
        <v>34855.666666666664</v>
      </c>
      <c r="AB51" s="24">
        <f t="shared" si="65"/>
        <v>6881.6666666666642</v>
      </c>
      <c r="AC51" s="25">
        <f t="shared" si="66"/>
        <v>0.24600224017540087</v>
      </c>
      <c r="AD51" s="309">
        <f t="shared" si="67"/>
        <v>34855.666666666664</v>
      </c>
      <c r="AE51" s="462">
        <f t="shared" si="68"/>
        <v>34855.666666666664</v>
      </c>
      <c r="AF51" s="410">
        <v>16631</v>
      </c>
      <c r="AG51" s="45">
        <v>35000</v>
      </c>
      <c r="AH51" s="45">
        <v>19338</v>
      </c>
      <c r="AI51" s="45">
        <v>27000</v>
      </c>
      <c r="AJ51" s="76">
        <f t="shared" si="86"/>
        <v>27112.666666666668</v>
      </c>
      <c r="AK51" s="24">
        <f t="shared" si="87"/>
        <v>10481.666666666668</v>
      </c>
      <c r="AL51" s="281">
        <f t="shared" si="88"/>
        <v>0.63024873228709444</v>
      </c>
      <c r="AM51" s="462">
        <f t="shared" si="89"/>
        <v>27112.666666666668</v>
      </c>
      <c r="AN51" s="513">
        <v>16716</v>
      </c>
      <c r="AO51" s="88">
        <v>33000</v>
      </c>
      <c r="AP51" s="116">
        <v>33000</v>
      </c>
      <c r="AQ51" s="74">
        <v>30800</v>
      </c>
      <c r="AR51" s="76">
        <f t="shared" si="73"/>
        <v>32266.666666666668</v>
      </c>
      <c r="AS51" s="24">
        <f t="shared" si="74"/>
        <v>15550.666666666668</v>
      </c>
      <c r="AT51" s="25">
        <f t="shared" si="90"/>
        <v>0.93028635239690527</v>
      </c>
      <c r="AU51" s="309" t="str">
        <f t="shared" si="91"/>
        <v>REVISAR PRECIO</v>
      </c>
      <c r="AV51" s="462">
        <f t="shared" si="77"/>
        <v>32266.666666666668</v>
      </c>
      <c r="AW51" s="513">
        <v>16716</v>
      </c>
      <c r="AX51" s="74">
        <v>32200</v>
      </c>
      <c r="AY51" s="74">
        <v>34000</v>
      </c>
      <c r="AZ51" s="75">
        <v>37100</v>
      </c>
      <c r="BA51" s="61">
        <v>32199.999999999996</v>
      </c>
      <c r="BB51" s="60">
        <v>10000</v>
      </c>
      <c r="BC51" s="74">
        <v>37029.999999999993</v>
      </c>
      <c r="BD51" s="79">
        <v>37100</v>
      </c>
      <c r="BE51" s="79">
        <f>70000*0.4</f>
        <v>28000</v>
      </c>
      <c r="BF51" s="127">
        <v>33600</v>
      </c>
      <c r="BG51" s="128">
        <v>26000</v>
      </c>
      <c r="BH51" s="128">
        <v>30000</v>
      </c>
      <c r="BI51" s="76">
        <f t="shared" si="78"/>
        <v>30421.666666666668</v>
      </c>
      <c r="BJ51" s="24">
        <f t="shared" si="79"/>
        <v>13705.666666666668</v>
      </c>
      <c r="BK51" s="25">
        <f t="shared" si="92"/>
        <v>0.81991305735024334</v>
      </c>
      <c r="BL51" s="259" t="str">
        <f t="shared" si="80"/>
        <v>REVISAR PRECIO</v>
      </c>
      <c r="BM51" s="533">
        <f t="shared" si="81"/>
        <v>30421.666666666668</v>
      </c>
    </row>
    <row r="52" spans="1:65" ht="30" customHeight="1">
      <c r="A52" s="91" t="s">
        <v>7</v>
      </c>
      <c r="B52" s="358" t="s">
        <v>2243</v>
      </c>
      <c r="C52" s="50" t="s">
        <v>76</v>
      </c>
      <c r="D52" s="99" t="s">
        <v>412</v>
      </c>
      <c r="E52" s="392" t="s">
        <v>12</v>
      </c>
      <c r="F52" s="410">
        <v>2991</v>
      </c>
      <c r="G52" s="10">
        <v>5400</v>
      </c>
      <c r="H52" s="167">
        <v>16200</v>
      </c>
      <c r="I52" s="10">
        <v>3850</v>
      </c>
      <c r="J52" s="76">
        <f t="shared" si="57"/>
        <v>4625</v>
      </c>
      <c r="K52" s="24">
        <f t="shared" si="58"/>
        <v>1634</v>
      </c>
      <c r="L52" s="281">
        <f t="shared" si="59"/>
        <v>0.54630558341691737</v>
      </c>
      <c r="M52" s="431">
        <f t="shared" si="36"/>
        <v>16200</v>
      </c>
      <c r="N52" s="443"/>
      <c r="O52" s="250"/>
      <c r="P52" s="250"/>
      <c r="Q52" s="250"/>
      <c r="R52" s="250"/>
      <c r="S52" s="250"/>
      <c r="T52" s="250"/>
      <c r="U52" s="250"/>
      <c r="V52" s="443"/>
      <c r="W52" s="410">
        <v>28856</v>
      </c>
      <c r="X52" s="10">
        <v>37530</v>
      </c>
      <c r="Y52" s="31">
        <v>48789</v>
      </c>
      <c r="Z52" s="471">
        <v>32804</v>
      </c>
      <c r="AA52" s="76">
        <f t="shared" si="64"/>
        <v>39707.666666666664</v>
      </c>
      <c r="AB52" s="24">
        <f t="shared" si="65"/>
        <v>10851.666666666664</v>
      </c>
      <c r="AC52" s="25">
        <f t="shared" si="66"/>
        <v>0.37606274835967091</v>
      </c>
      <c r="AD52" s="309" t="str">
        <f t="shared" si="67"/>
        <v>REVISAR PRECIO</v>
      </c>
      <c r="AE52" s="462">
        <f t="shared" si="68"/>
        <v>39707.666666666664</v>
      </c>
      <c r="AF52" s="408"/>
      <c r="AG52" s="293"/>
      <c r="AH52" s="293"/>
      <c r="AI52" s="293"/>
      <c r="AJ52" s="293"/>
      <c r="AK52" s="293"/>
      <c r="AL52" s="327"/>
      <c r="AM52" s="463"/>
      <c r="AN52" s="513">
        <v>7120</v>
      </c>
      <c r="AO52" s="88">
        <v>6000</v>
      </c>
      <c r="AP52" s="116">
        <v>6000</v>
      </c>
      <c r="AQ52" s="74">
        <v>5940</v>
      </c>
      <c r="AR52" s="76">
        <f t="shared" si="73"/>
        <v>5980</v>
      </c>
      <c r="AS52" s="24">
        <f t="shared" si="74"/>
        <v>-1140</v>
      </c>
      <c r="AT52" s="25">
        <f t="shared" si="90"/>
        <v>-0.1601123595505618</v>
      </c>
      <c r="AU52" s="309">
        <f t="shared" si="91"/>
        <v>5980</v>
      </c>
      <c r="AV52" s="462">
        <f t="shared" si="77"/>
        <v>5980</v>
      </c>
      <c r="AW52" s="513">
        <v>7120</v>
      </c>
      <c r="AX52" s="74">
        <v>6210</v>
      </c>
      <c r="AY52" s="74">
        <v>6000</v>
      </c>
      <c r="AZ52" s="75">
        <v>7155</v>
      </c>
      <c r="BA52" s="61">
        <v>6209.9999999999991</v>
      </c>
      <c r="BB52" s="60"/>
      <c r="BC52" s="74">
        <v>7141.4999999999982</v>
      </c>
      <c r="BD52" s="79">
        <v>7155</v>
      </c>
      <c r="BE52" s="79">
        <f>18000*0.6*0.5</f>
        <v>5400</v>
      </c>
      <c r="BF52" s="127">
        <v>6480</v>
      </c>
      <c r="BG52" s="128">
        <v>6000</v>
      </c>
      <c r="BH52" s="128">
        <v>6000</v>
      </c>
      <c r="BI52" s="76">
        <f t="shared" si="78"/>
        <v>6543.3</v>
      </c>
      <c r="BJ52" s="24">
        <f t="shared" si="79"/>
        <v>-576.69999999999982</v>
      </c>
      <c r="BK52" s="25">
        <f t="shared" si="92"/>
        <v>-8.0997191011235925E-2</v>
      </c>
      <c r="BL52" s="259">
        <f t="shared" si="80"/>
        <v>6543.3</v>
      </c>
      <c r="BM52" s="533">
        <f t="shared" si="81"/>
        <v>6543.3</v>
      </c>
    </row>
    <row r="53" spans="1:65" ht="27" customHeight="1">
      <c r="A53" s="91" t="s">
        <v>7</v>
      </c>
      <c r="B53" s="358" t="s">
        <v>2244</v>
      </c>
      <c r="C53" s="50" t="s">
        <v>77</v>
      </c>
      <c r="D53" s="99" t="s">
        <v>413</v>
      </c>
      <c r="E53" s="392" t="s">
        <v>11</v>
      </c>
      <c r="F53" s="410">
        <v>13471</v>
      </c>
      <c r="G53" s="10">
        <v>209599.5</v>
      </c>
      <c r="H53" s="167">
        <v>628798.5</v>
      </c>
      <c r="I53" s="10">
        <v>115600</v>
      </c>
      <c r="J53" s="76">
        <f t="shared" si="57"/>
        <v>162599.75</v>
      </c>
      <c r="K53" s="24">
        <f t="shared" si="58"/>
        <v>149128.75</v>
      </c>
      <c r="L53" s="281">
        <f t="shared" si="59"/>
        <v>11.070354836315047</v>
      </c>
      <c r="M53" s="431">
        <f t="shared" si="36"/>
        <v>628798.5</v>
      </c>
      <c r="N53" s="443"/>
      <c r="O53" s="250"/>
      <c r="P53" s="250"/>
      <c r="Q53" s="250"/>
      <c r="R53" s="250"/>
      <c r="S53" s="250"/>
      <c r="T53" s="250"/>
      <c r="U53" s="250"/>
      <c r="V53" s="443"/>
      <c r="W53" s="410">
        <v>23635</v>
      </c>
      <c r="X53" s="10">
        <v>30740</v>
      </c>
      <c r="Y53" s="31">
        <v>39961</v>
      </c>
      <c r="Z53" s="471">
        <v>26868.6</v>
      </c>
      <c r="AA53" s="76">
        <f t="shared" si="64"/>
        <v>32523.200000000001</v>
      </c>
      <c r="AB53" s="24">
        <f t="shared" si="65"/>
        <v>8888.2000000000007</v>
      </c>
      <c r="AC53" s="25">
        <f t="shared" si="66"/>
        <v>0.37606092659191881</v>
      </c>
      <c r="AD53" s="309" t="str">
        <f t="shared" si="67"/>
        <v>REVISAR PRECIO</v>
      </c>
      <c r="AE53" s="462">
        <f t="shared" si="68"/>
        <v>32523.200000000001</v>
      </c>
      <c r="AF53" s="408"/>
      <c r="AG53" s="293"/>
      <c r="AH53" s="293"/>
      <c r="AI53" s="293"/>
      <c r="AJ53" s="293"/>
      <c r="AK53" s="293"/>
      <c r="AL53" s="327"/>
      <c r="AM53" s="463"/>
      <c r="AN53" s="513"/>
      <c r="AO53" s="88">
        <v>8400</v>
      </c>
      <c r="AP53" s="116">
        <v>8400</v>
      </c>
      <c r="AQ53" s="74">
        <v>8800</v>
      </c>
      <c r="AR53" s="76">
        <f t="shared" si="73"/>
        <v>8533.3333333333339</v>
      </c>
      <c r="AS53" s="24">
        <f t="shared" si="74"/>
        <v>8533.3333333333339</v>
      </c>
      <c r="AT53" s="25"/>
      <c r="AU53" s="309"/>
      <c r="AV53" s="462">
        <f t="shared" si="77"/>
        <v>8533.3333333333339</v>
      </c>
      <c r="AW53" s="513"/>
      <c r="AX53" s="74">
        <v>9200</v>
      </c>
      <c r="AY53" s="74">
        <v>13000</v>
      </c>
      <c r="AZ53" s="75">
        <v>10600</v>
      </c>
      <c r="BA53" s="61">
        <v>13224.999999999998</v>
      </c>
      <c r="BB53" s="60"/>
      <c r="BC53" s="74">
        <v>15208.749999999996</v>
      </c>
      <c r="BD53" s="79">
        <v>10600</v>
      </c>
      <c r="BE53" s="79">
        <v>8000</v>
      </c>
      <c r="BF53" s="127">
        <v>9600</v>
      </c>
      <c r="BG53" s="128">
        <v>9000</v>
      </c>
      <c r="BH53" s="128">
        <v>9000</v>
      </c>
      <c r="BI53" s="76">
        <f t="shared" si="78"/>
        <v>12246.75</v>
      </c>
      <c r="BJ53" s="24">
        <f t="shared" si="79"/>
        <v>12246.75</v>
      </c>
      <c r="BK53" s="25"/>
      <c r="BL53" s="259">
        <f t="shared" si="80"/>
        <v>12246.75</v>
      </c>
      <c r="BM53" s="533">
        <f t="shared" si="81"/>
        <v>12246.75</v>
      </c>
    </row>
    <row r="54" spans="1:65" ht="27" customHeight="1">
      <c r="A54" s="91"/>
      <c r="B54" s="358" t="s">
        <v>2245</v>
      </c>
      <c r="C54" s="271" t="s">
        <v>1433</v>
      </c>
      <c r="D54" s="264" t="s">
        <v>1423</v>
      </c>
      <c r="E54" s="394" t="s">
        <v>1399</v>
      </c>
      <c r="F54" s="410"/>
      <c r="G54" s="10"/>
      <c r="H54" s="167"/>
      <c r="I54" s="10"/>
      <c r="J54" s="76"/>
      <c r="K54" s="24"/>
      <c r="L54" s="281"/>
      <c r="M54" s="431"/>
      <c r="N54" s="410">
        <v>4775</v>
      </c>
      <c r="O54" s="10">
        <v>6000</v>
      </c>
      <c r="P54" s="10">
        <v>8500</v>
      </c>
      <c r="Q54" s="269">
        <v>8000</v>
      </c>
      <c r="R54" s="10">
        <v>8000</v>
      </c>
      <c r="S54" s="76">
        <f t="shared" ref="S54" si="93">AVERAGE(O54,P54,Q54,R54)</f>
        <v>7625</v>
      </c>
      <c r="T54" s="24">
        <f t="shared" ref="T54" si="94">S54-N54</f>
        <v>2850</v>
      </c>
      <c r="U54" s="281">
        <f t="shared" ref="U54" si="95">+T54/N54</f>
        <v>0.59685863874345546</v>
      </c>
      <c r="V54" s="462">
        <f t="shared" ref="V54" si="96">S54</f>
        <v>7625</v>
      </c>
      <c r="W54" s="410"/>
      <c r="X54" s="10"/>
      <c r="Y54" s="31"/>
      <c r="Z54" s="471"/>
      <c r="AA54" s="76"/>
      <c r="AB54" s="24"/>
      <c r="AC54" s="25"/>
      <c r="AD54" s="309"/>
      <c r="AE54" s="462"/>
      <c r="AF54" s="408"/>
      <c r="AG54" s="293"/>
      <c r="AH54" s="293"/>
      <c r="AI54" s="293"/>
      <c r="AJ54" s="293"/>
      <c r="AK54" s="293"/>
      <c r="AL54" s="327"/>
      <c r="AM54" s="463"/>
      <c r="AN54" s="513"/>
      <c r="AO54" s="88"/>
      <c r="AP54" s="116"/>
      <c r="AQ54" s="74"/>
      <c r="AR54" s="76"/>
      <c r="AS54" s="24"/>
      <c r="AT54" s="25"/>
      <c r="AU54" s="309"/>
      <c r="AV54" s="462"/>
      <c r="AW54" s="513"/>
      <c r="AX54" s="74"/>
      <c r="AY54" s="74"/>
      <c r="AZ54" s="75"/>
      <c r="BA54" s="61"/>
      <c r="BB54" s="60"/>
      <c r="BC54" s="74"/>
      <c r="BD54" s="79"/>
      <c r="BE54" s="79"/>
      <c r="BF54" s="127"/>
      <c r="BG54" s="128"/>
      <c r="BH54" s="128"/>
      <c r="BI54" s="76"/>
      <c r="BJ54" s="24"/>
      <c r="BK54" s="25"/>
      <c r="BL54" s="259"/>
      <c r="BM54" s="533"/>
    </row>
    <row r="55" spans="1:65" ht="78" customHeight="1">
      <c r="A55" s="91"/>
      <c r="B55" s="358" t="s">
        <v>2246</v>
      </c>
      <c r="C55" s="271" t="s">
        <v>1434</v>
      </c>
      <c r="D55" s="264" t="s">
        <v>1424</v>
      </c>
      <c r="E55" s="394" t="s">
        <v>999</v>
      </c>
      <c r="F55" s="410"/>
      <c r="G55" s="10"/>
      <c r="H55" s="167"/>
      <c r="I55" s="10"/>
      <c r="J55" s="76"/>
      <c r="K55" s="24"/>
      <c r="L55" s="281"/>
      <c r="M55" s="431"/>
      <c r="N55" s="410">
        <v>101536</v>
      </c>
      <c r="O55" s="10"/>
      <c r="P55" s="10" t="s">
        <v>1441</v>
      </c>
      <c r="Q55" s="10"/>
      <c r="R55" s="10" t="s">
        <v>1421</v>
      </c>
      <c r="S55" s="76"/>
      <c r="T55" s="24"/>
      <c r="U55" s="281"/>
      <c r="V55" s="464" t="s">
        <v>807</v>
      </c>
      <c r="W55" s="410"/>
      <c r="X55" s="10"/>
      <c r="Y55" s="31"/>
      <c r="Z55" s="471"/>
      <c r="AA55" s="76"/>
      <c r="AB55" s="24"/>
      <c r="AC55" s="25"/>
      <c r="AD55" s="309"/>
      <c r="AE55" s="462"/>
      <c r="AF55" s="408"/>
      <c r="AG55" s="293"/>
      <c r="AH55" s="293"/>
      <c r="AI55" s="293"/>
      <c r="AJ55" s="293"/>
      <c r="AK55" s="293"/>
      <c r="AL55" s="327"/>
      <c r="AM55" s="463"/>
      <c r="AN55" s="513"/>
      <c r="AO55" s="88"/>
      <c r="AP55" s="116"/>
      <c r="AQ55" s="74"/>
      <c r="AR55" s="76"/>
      <c r="AS55" s="24"/>
      <c r="AT55" s="25"/>
      <c r="AU55" s="309"/>
      <c r="AV55" s="462"/>
      <c r="AW55" s="513"/>
      <c r="AX55" s="74"/>
      <c r="AY55" s="74"/>
      <c r="AZ55" s="75"/>
      <c r="BA55" s="61"/>
      <c r="BB55" s="60"/>
      <c r="BC55" s="74"/>
      <c r="BD55" s="79"/>
      <c r="BE55" s="79"/>
      <c r="BF55" s="127"/>
      <c r="BG55" s="128"/>
      <c r="BH55" s="128"/>
      <c r="BI55" s="76"/>
      <c r="BJ55" s="24"/>
      <c r="BK55" s="25"/>
      <c r="BL55" s="259"/>
      <c r="BM55" s="533"/>
    </row>
    <row r="56" spans="1:65" ht="45" customHeight="1">
      <c r="A56" s="91"/>
      <c r="B56" s="358" t="s">
        <v>2247</v>
      </c>
      <c r="C56" s="271" t="s">
        <v>1435</v>
      </c>
      <c r="D56" s="264" t="s">
        <v>1425</v>
      </c>
      <c r="E56" s="394" t="s">
        <v>1426</v>
      </c>
      <c r="F56" s="410"/>
      <c r="G56" s="10"/>
      <c r="H56" s="167"/>
      <c r="I56" s="10"/>
      <c r="J56" s="76"/>
      <c r="K56" s="24"/>
      <c r="L56" s="281"/>
      <c r="M56" s="431"/>
      <c r="N56" s="410">
        <v>570997</v>
      </c>
      <c r="O56" s="10"/>
      <c r="P56" s="10" t="s">
        <v>1441</v>
      </c>
      <c r="Q56" s="10"/>
      <c r="R56" s="10" t="s">
        <v>1421</v>
      </c>
      <c r="S56" s="76"/>
      <c r="T56" s="24"/>
      <c r="U56" s="281"/>
      <c r="V56" s="464" t="s">
        <v>807</v>
      </c>
      <c r="W56" s="410"/>
      <c r="X56" s="10"/>
      <c r="Y56" s="31"/>
      <c r="Z56" s="471"/>
      <c r="AA56" s="76"/>
      <c r="AB56" s="24"/>
      <c r="AC56" s="25"/>
      <c r="AD56" s="309"/>
      <c r="AE56" s="462"/>
      <c r="AF56" s="408"/>
      <c r="AG56" s="293"/>
      <c r="AH56" s="293"/>
      <c r="AI56" s="293"/>
      <c r="AJ56" s="293"/>
      <c r="AK56" s="293"/>
      <c r="AL56" s="327"/>
      <c r="AM56" s="463"/>
      <c r="AN56" s="513"/>
      <c r="AO56" s="88"/>
      <c r="AP56" s="116"/>
      <c r="AQ56" s="74"/>
      <c r="AR56" s="76"/>
      <c r="AS56" s="24"/>
      <c r="AT56" s="25"/>
      <c r="AU56" s="309"/>
      <c r="AV56" s="462"/>
      <c r="AW56" s="513"/>
      <c r="AX56" s="74"/>
      <c r="AY56" s="74"/>
      <c r="AZ56" s="75"/>
      <c r="BA56" s="61"/>
      <c r="BB56" s="60"/>
      <c r="BC56" s="74"/>
      <c r="BD56" s="79"/>
      <c r="BE56" s="79"/>
      <c r="BF56" s="127"/>
      <c r="BG56" s="128"/>
      <c r="BH56" s="128"/>
      <c r="BI56" s="76"/>
      <c r="BJ56" s="24"/>
      <c r="BK56" s="25"/>
      <c r="BL56" s="259"/>
      <c r="BM56" s="533"/>
    </row>
    <row r="57" spans="1:65" ht="47.1" customHeight="1">
      <c r="A57" s="91"/>
      <c r="B57" s="358" t="s">
        <v>2248</v>
      </c>
      <c r="C57" s="271" t="s">
        <v>1436</v>
      </c>
      <c r="D57" s="264" t="s">
        <v>1427</v>
      </c>
      <c r="E57" s="394" t="s">
        <v>1426</v>
      </c>
      <c r="F57" s="410"/>
      <c r="G57" s="10"/>
      <c r="H57" s="167"/>
      <c r="I57" s="10"/>
      <c r="J57" s="76"/>
      <c r="K57" s="24"/>
      <c r="L57" s="281"/>
      <c r="M57" s="431"/>
      <c r="N57" s="410">
        <v>1019118</v>
      </c>
      <c r="O57" s="10"/>
      <c r="P57" s="10" t="s">
        <v>1441</v>
      </c>
      <c r="Q57" s="10"/>
      <c r="R57" s="10" t="s">
        <v>1421</v>
      </c>
      <c r="S57" s="76"/>
      <c r="T57" s="24"/>
      <c r="U57" s="281"/>
      <c r="V57" s="464" t="s">
        <v>807</v>
      </c>
      <c r="W57" s="410"/>
      <c r="X57" s="10"/>
      <c r="Y57" s="31"/>
      <c r="Z57" s="471"/>
      <c r="AA57" s="76"/>
      <c r="AB57" s="24"/>
      <c r="AC57" s="25"/>
      <c r="AD57" s="309"/>
      <c r="AE57" s="462"/>
      <c r="AF57" s="408"/>
      <c r="AG57" s="293"/>
      <c r="AH57" s="293"/>
      <c r="AI57" s="293"/>
      <c r="AJ57" s="293"/>
      <c r="AK57" s="293"/>
      <c r="AL57" s="327"/>
      <c r="AM57" s="463"/>
      <c r="AN57" s="513"/>
      <c r="AO57" s="88"/>
      <c r="AP57" s="116"/>
      <c r="AQ57" s="74"/>
      <c r="AR57" s="76"/>
      <c r="AS57" s="24"/>
      <c r="AT57" s="25"/>
      <c r="AU57" s="309"/>
      <c r="AV57" s="462"/>
      <c r="AW57" s="513"/>
      <c r="AX57" s="74"/>
      <c r="AY57" s="74"/>
      <c r="AZ57" s="75"/>
      <c r="BA57" s="61"/>
      <c r="BB57" s="60"/>
      <c r="BC57" s="74"/>
      <c r="BD57" s="79"/>
      <c r="BE57" s="79"/>
      <c r="BF57" s="127"/>
      <c r="BG57" s="128"/>
      <c r="BH57" s="128"/>
      <c r="BI57" s="76"/>
      <c r="BJ57" s="24"/>
      <c r="BK57" s="25"/>
      <c r="BL57" s="259"/>
      <c r="BM57" s="533"/>
    </row>
    <row r="58" spans="1:65" ht="27" customHeight="1">
      <c r="A58" s="91"/>
      <c r="B58" s="358" t="s">
        <v>2249</v>
      </c>
      <c r="C58" s="271" t="s">
        <v>1437</v>
      </c>
      <c r="D58" s="264" t="s">
        <v>1428</v>
      </c>
      <c r="E58" s="394" t="s">
        <v>999</v>
      </c>
      <c r="F58" s="410"/>
      <c r="G58" s="10"/>
      <c r="H58" s="167"/>
      <c r="I58" s="10"/>
      <c r="J58" s="76"/>
      <c r="K58" s="24"/>
      <c r="L58" s="281"/>
      <c r="M58" s="431"/>
      <c r="N58" s="410">
        <v>76356</v>
      </c>
      <c r="O58" s="10">
        <v>18000</v>
      </c>
      <c r="P58" s="10">
        <v>21000</v>
      </c>
      <c r="Q58" s="268">
        <v>19000</v>
      </c>
      <c r="R58" s="10" t="s">
        <v>1421</v>
      </c>
      <c r="S58" s="76">
        <f t="shared" ref="S58:S61" si="97">AVERAGE(O58,P58,Q58,R58)</f>
        <v>19333.333333333332</v>
      </c>
      <c r="T58" s="24">
        <f t="shared" ref="T58:T61" si="98">S58-N58</f>
        <v>-57022.666666666672</v>
      </c>
      <c r="U58" s="281">
        <f t="shared" ref="U58:U61" si="99">+T58/N58</f>
        <v>-0.74680007683308025</v>
      </c>
      <c r="V58" s="462">
        <f t="shared" ref="V58:V61" si="100">S58</f>
        <v>19333.333333333332</v>
      </c>
      <c r="W58" s="410"/>
      <c r="X58" s="10"/>
      <c r="Y58" s="31"/>
      <c r="Z58" s="471"/>
      <c r="AA58" s="76"/>
      <c r="AB58" s="24"/>
      <c r="AC58" s="25"/>
      <c r="AD58" s="309"/>
      <c r="AE58" s="462"/>
      <c r="AF58" s="408"/>
      <c r="AG58" s="293"/>
      <c r="AH58" s="293"/>
      <c r="AI58" s="293"/>
      <c r="AJ58" s="293"/>
      <c r="AK58" s="293"/>
      <c r="AL58" s="327"/>
      <c r="AM58" s="463"/>
      <c r="AN58" s="513"/>
      <c r="AO58" s="88"/>
      <c r="AP58" s="116"/>
      <c r="AQ58" s="74"/>
      <c r="AR58" s="76"/>
      <c r="AS58" s="24"/>
      <c r="AT58" s="25"/>
      <c r="AU58" s="309"/>
      <c r="AV58" s="462"/>
      <c r="AW58" s="513"/>
      <c r="AX58" s="74"/>
      <c r="AY58" s="74"/>
      <c r="AZ58" s="75"/>
      <c r="BA58" s="61"/>
      <c r="BB58" s="60"/>
      <c r="BC58" s="74"/>
      <c r="BD58" s="79"/>
      <c r="BE58" s="79"/>
      <c r="BF58" s="127"/>
      <c r="BG58" s="128"/>
      <c r="BH58" s="128"/>
      <c r="BI58" s="76"/>
      <c r="BJ58" s="24"/>
      <c r="BK58" s="25"/>
      <c r="BL58" s="259"/>
      <c r="BM58" s="533"/>
    </row>
    <row r="59" spans="1:65" ht="27" customHeight="1">
      <c r="A59" s="91"/>
      <c r="B59" s="358" t="s">
        <v>2250</v>
      </c>
      <c r="C59" s="271" t="s">
        <v>1438</v>
      </c>
      <c r="D59" s="264" t="s">
        <v>1429</v>
      </c>
      <c r="E59" s="394" t="s">
        <v>1430</v>
      </c>
      <c r="F59" s="410"/>
      <c r="G59" s="10"/>
      <c r="H59" s="167"/>
      <c r="I59" s="10"/>
      <c r="J59" s="76"/>
      <c r="K59" s="24"/>
      <c r="L59" s="281"/>
      <c r="M59" s="431"/>
      <c r="N59" s="410">
        <v>73597</v>
      </c>
      <c r="O59" s="10">
        <v>6500</v>
      </c>
      <c r="P59" s="10">
        <v>9500</v>
      </c>
      <c r="Q59" s="268">
        <v>8500</v>
      </c>
      <c r="R59" s="10">
        <v>8000</v>
      </c>
      <c r="S59" s="76">
        <f t="shared" si="97"/>
        <v>8125</v>
      </c>
      <c r="T59" s="24">
        <f t="shared" si="98"/>
        <v>-65472</v>
      </c>
      <c r="U59" s="281">
        <f t="shared" si="99"/>
        <v>-0.88960147832112724</v>
      </c>
      <c r="V59" s="462">
        <f t="shared" si="100"/>
        <v>8125</v>
      </c>
      <c r="W59" s="410"/>
      <c r="X59" s="10"/>
      <c r="Y59" s="31"/>
      <c r="Z59" s="471"/>
      <c r="AA59" s="76"/>
      <c r="AB59" s="24"/>
      <c r="AC59" s="25"/>
      <c r="AD59" s="309"/>
      <c r="AE59" s="462"/>
      <c r="AF59" s="408"/>
      <c r="AG59" s="293"/>
      <c r="AH59" s="293"/>
      <c r="AI59" s="293"/>
      <c r="AJ59" s="293"/>
      <c r="AK59" s="293"/>
      <c r="AL59" s="327"/>
      <c r="AM59" s="463"/>
      <c r="AN59" s="513"/>
      <c r="AO59" s="88"/>
      <c r="AP59" s="116"/>
      <c r="AQ59" s="74"/>
      <c r="AR59" s="76"/>
      <c r="AS59" s="24"/>
      <c r="AT59" s="25"/>
      <c r="AU59" s="309"/>
      <c r="AV59" s="462"/>
      <c r="AW59" s="513"/>
      <c r="AX59" s="74"/>
      <c r="AY59" s="74"/>
      <c r="AZ59" s="75"/>
      <c r="BA59" s="61"/>
      <c r="BB59" s="60"/>
      <c r="BC59" s="74"/>
      <c r="BD59" s="79"/>
      <c r="BE59" s="79"/>
      <c r="BF59" s="127"/>
      <c r="BG59" s="128"/>
      <c r="BH59" s="128"/>
      <c r="BI59" s="76"/>
      <c r="BJ59" s="24"/>
      <c r="BK59" s="25"/>
      <c r="BL59" s="259"/>
      <c r="BM59" s="533"/>
    </row>
    <row r="60" spans="1:65" ht="27" customHeight="1">
      <c r="A60" s="91"/>
      <c r="B60" s="358" t="s">
        <v>2251</v>
      </c>
      <c r="C60" s="271" t="s">
        <v>1439</v>
      </c>
      <c r="D60" s="264" t="s">
        <v>1431</v>
      </c>
      <c r="E60" s="394" t="s">
        <v>1430</v>
      </c>
      <c r="F60" s="410"/>
      <c r="G60" s="10"/>
      <c r="H60" s="167"/>
      <c r="I60" s="10"/>
      <c r="J60" s="76"/>
      <c r="K60" s="24"/>
      <c r="L60" s="281"/>
      <c r="M60" s="431"/>
      <c r="N60" s="410">
        <v>186285</v>
      </c>
      <c r="O60" s="10">
        <v>6500</v>
      </c>
      <c r="P60" s="10">
        <v>9500</v>
      </c>
      <c r="Q60" s="268">
        <v>8500</v>
      </c>
      <c r="R60" s="10">
        <v>8000</v>
      </c>
      <c r="S60" s="76">
        <f t="shared" si="97"/>
        <v>8125</v>
      </c>
      <c r="T60" s="24">
        <f t="shared" si="98"/>
        <v>-178160</v>
      </c>
      <c r="U60" s="281">
        <f t="shared" si="99"/>
        <v>-0.95638403521485893</v>
      </c>
      <c r="V60" s="462">
        <f t="shared" si="100"/>
        <v>8125</v>
      </c>
      <c r="W60" s="410"/>
      <c r="X60" s="10"/>
      <c r="Y60" s="31"/>
      <c r="Z60" s="471"/>
      <c r="AA60" s="76"/>
      <c r="AB60" s="24"/>
      <c r="AC60" s="25"/>
      <c r="AD60" s="309"/>
      <c r="AE60" s="462"/>
      <c r="AF60" s="408"/>
      <c r="AG60" s="293"/>
      <c r="AH60" s="293"/>
      <c r="AI60" s="293"/>
      <c r="AJ60" s="293"/>
      <c r="AK60" s="293"/>
      <c r="AL60" s="327"/>
      <c r="AM60" s="463"/>
      <c r="AN60" s="513"/>
      <c r="AO60" s="88"/>
      <c r="AP60" s="116"/>
      <c r="AQ60" s="74"/>
      <c r="AR60" s="76"/>
      <c r="AS60" s="24"/>
      <c r="AT60" s="25"/>
      <c r="AU60" s="309"/>
      <c r="AV60" s="462"/>
      <c r="AW60" s="513"/>
      <c r="AX60" s="74"/>
      <c r="AY60" s="74"/>
      <c r="AZ60" s="75"/>
      <c r="BA60" s="61"/>
      <c r="BB60" s="60"/>
      <c r="BC60" s="74"/>
      <c r="BD60" s="79"/>
      <c r="BE60" s="79"/>
      <c r="BF60" s="127"/>
      <c r="BG60" s="128"/>
      <c r="BH60" s="128"/>
      <c r="BI60" s="76"/>
      <c r="BJ60" s="24"/>
      <c r="BK60" s="25"/>
      <c r="BL60" s="259"/>
      <c r="BM60" s="533"/>
    </row>
    <row r="61" spans="1:65" ht="27" customHeight="1">
      <c r="A61" s="91"/>
      <c r="B61" s="358" t="s">
        <v>2252</v>
      </c>
      <c r="C61" s="271" t="s">
        <v>1440</v>
      </c>
      <c r="D61" s="264" t="s">
        <v>1432</v>
      </c>
      <c r="E61" s="394" t="s">
        <v>827</v>
      </c>
      <c r="F61" s="410"/>
      <c r="G61" s="10"/>
      <c r="H61" s="167"/>
      <c r="I61" s="10"/>
      <c r="J61" s="76"/>
      <c r="K61" s="24"/>
      <c r="L61" s="281"/>
      <c r="M61" s="431"/>
      <c r="N61" s="410">
        <v>5222</v>
      </c>
      <c r="O61" s="10">
        <v>6500</v>
      </c>
      <c r="P61" s="10">
        <v>9500</v>
      </c>
      <c r="Q61" s="268">
        <v>8500</v>
      </c>
      <c r="R61" s="10">
        <v>8000</v>
      </c>
      <c r="S61" s="76">
        <f t="shared" si="97"/>
        <v>8125</v>
      </c>
      <c r="T61" s="24">
        <f t="shared" si="98"/>
        <v>2903</v>
      </c>
      <c r="U61" s="281">
        <f t="shared" si="99"/>
        <v>0.55591727307545002</v>
      </c>
      <c r="V61" s="462">
        <f t="shared" si="100"/>
        <v>8125</v>
      </c>
      <c r="W61" s="410"/>
      <c r="X61" s="10"/>
      <c r="Y61" s="31"/>
      <c r="Z61" s="471"/>
      <c r="AA61" s="76"/>
      <c r="AB61" s="24"/>
      <c r="AC61" s="25"/>
      <c r="AD61" s="309"/>
      <c r="AE61" s="462"/>
      <c r="AF61" s="408"/>
      <c r="AG61" s="293"/>
      <c r="AH61" s="293"/>
      <c r="AI61" s="293"/>
      <c r="AJ61" s="293"/>
      <c r="AK61" s="293"/>
      <c r="AL61" s="327"/>
      <c r="AM61" s="463"/>
      <c r="AN61" s="513"/>
      <c r="AO61" s="88"/>
      <c r="AP61" s="116"/>
      <c r="AQ61" s="74"/>
      <c r="AR61" s="76"/>
      <c r="AS61" s="24"/>
      <c r="AT61" s="25"/>
      <c r="AU61" s="309"/>
      <c r="AV61" s="462"/>
      <c r="AW61" s="513"/>
      <c r="AX61" s="74"/>
      <c r="AY61" s="74"/>
      <c r="AZ61" s="75"/>
      <c r="BA61" s="61"/>
      <c r="BB61" s="60"/>
      <c r="BC61" s="74"/>
      <c r="BD61" s="79"/>
      <c r="BE61" s="79"/>
      <c r="BF61" s="127"/>
      <c r="BG61" s="128"/>
      <c r="BH61" s="128"/>
      <c r="BI61" s="76"/>
      <c r="BJ61" s="24"/>
      <c r="BK61" s="25"/>
      <c r="BL61" s="259"/>
      <c r="BM61" s="533"/>
    </row>
    <row r="62" spans="1:65" ht="27" customHeight="1">
      <c r="A62" s="91"/>
      <c r="B62" s="358" t="s">
        <v>2253</v>
      </c>
      <c r="C62" s="271" t="s">
        <v>2148</v>
      </c>
      <c r="D62" s="313" t="s">
        <v>2149</v>
      </c>
      <c r="E62" s="392" t="s">
        <v>1466</v>
      </c>
      <c r="F62" s="410"/>
      <c r="G62" s="10"/>
      <c r="H62" s="167"/>
      <c r="I62" s="10"/>
      <c r="J62" s="76"/>
      <c r="K62" s="24"/>
      <c r="L62" s="281"/>
      <c r="M62" s="431"/>
      <c r="N62" s="410"/>
      <c r="O62" s="10"/>
      <c r="P62" s="10"/>
      <c r="Q62" s="268"/>
      <c r="R62" s="10"/>
      <c r="S62" s="76"/>
      <c r="T62" s="24"/>
      <c r="U62" s="281"/>
      <c r="V62" s="462"/>
      <c r="W62" s="410"/>
      <c r="X62" s="10"/>
      <c r="Y62" s="31"/>
      <c r="Z62" s="471"/>
      <c r="AA62" s="76"/>
      <c r="AB62" s="24"/>
      <c r="AC62" s="25"/>
      <c r="AD62" s="309"/>
      <c r="AE62" s="462"/>
      <c r="AF62" s="410">
        <v>66864</v>
      </c>
      <c r="AG62" s="45">
        <v>46000</v>
      </c>
      <c r="AH62" s="45">
        <v>30380</v>
      </c>
      <c r="AI62" s="45">
        <v>40000</v>
      </c>
      <c r="AJ62" s="76">
        <f t="shared" ref="AJ62" si="101">AVERAGE(AG62,AH62,AI62)</f>
        <v>38793.333333333336</v>
      </c>
      <c r="AK62" s="24">
        <f t="shared" ref="AK62" si="102">AJ62-AF62</f>
        <v>-28070.666666666664</v>
      </c>
      <c r="AL62" s="281">
        <f t="shared" ref="AL62" si="103">+AK62/AF62</f>
        <v>-0.41981734067161197</v>
      </c>
      <c r="AM62" s="462">
        <f t="shared" ref="AM62" si="104">AJ62</f>
        <v>38793.333333333336</v>
      </c>
      <c r="AN62" s="513"/>
      <c r="AO62" s="88"/>
      <c r="AP62" s="116"/>
      <c r="AQ62" s="74"/>
      <c r="AR62" s="76"/>
      <c r="AS62" s="24"/>
      <c r="AT62" s="25"/>
      <c r="AU62" s="309"/>
      <c r="AV62" s="462"/>
      <c r="AW62" s="513"/>
      <c r="AX62" s="74"/>
      <c r="AY62" s="74"/>
      <c r="AZ62" s="75"/>
      <c r="BA62" s="61"/>
      <c r="BB62" s="60"/>
      <c r="BC62" s="74"/>
      <c r="BD62" s="79"/>
      <c r="BE62" s="79"/>
      <c r="BF62" s="127"/>
      <c r="BG62" s="128"/>
      <c r="BH62" s="128"/>
      <c r="BI62" s="76"/>
      <c r="BJ62" s="24"/>
      <c r="BK62" s="25"/>
      <c r="BL62" s="259"/>
      <c r="BM62" s="533"/>
    </row>
    <row r="63" spans="1:65" ht="24.6" customHeight="1">
      <c r="A63" s="91" t="s">
        <v>8</v>
      </c>
      <c r="B63" s="358" t="s">
        <v>2254</v>
      </c>
      <c r="C63" s="252" t="s">
        <v>750</v>
      </c>
      <c r="D63" s="100" t="s">
        <v>8</v>
      </c>
      <c r="E63" s="91"/>
      <c r="F63" s="411"/>
      <c r="G63" s="173"/>
      <c r="H63" s="174"/>
      <c r="I63" s="173"/>
      <c r="J63" s="76"/>
      <c r="K63" s="24"/>
      <c r="L63" s="281"/>
      <c r="M63" s="431"/>
      <c r="N63" s="444"/>
      <c r="O63" s="173"/>
      <c r="P63" s="173"/>
      <c r="Q63" s="272"/>
      <c r="R63" s="266"/>
      <c r="S63" s="76"/>
      <c r="T63" s="24"/>
      <c r="U63" s="281"/>
      <c r="V63" s="462"/>
      <c r="W63" s="413"/>
      <c r="X63" s="47"/>
      <c r="Y63" s="47"/>
      <c r="Z63" s="47"/>
      <c r="AA63" s="47"/>
      <c r="AB63" s="47"/>
      <c r="AC63" s="47"/>
      <c r="AD63" s="91"/>
      <c r="AE63" s="467"/>
      <c r="AF63" s="498"/>
      <c r="AG63" s="315"/>
      <c r="AH63" s="315"/>
      <c r="AI63" s="314"/>
      <c r="AJ63" s="76"/>
      <c r="AK63" s="24"/>
      <c r="AL63" s="281"/>
      <c r="AM63" s="462"/>
      <c r="AN63" s="413"/>
      <c r="AO63" s="47"/>
      <c r="AP63" s="47"/>
      <c r="AQ63" s="47"/>
      <c r="AR63" s="47"/>
      <c r="AS63" s="47"/>
      <c r="AT63" s="47"/>
      <c r="AU63" s="91"/>
      <c r="AV63" s="467"/>
      <c r="AW63" s="413"/>
      <c r="AX63" s="47"/>
      <c r="AY63" s="47"/>
      <c r="AZ63" s="47"/>
      <c r="BA63" s="47"/>
      <c r="BB63" s="47"/>
      <c r="BC63" s="47"/>
      <c r="BD63" s="148"/>
      <c r="BE63" s="148"/>
      <c r="BF63" s="149"/>
      <c r="BG63" s="148"/>
      <c r="BH63" s="148"/>
      <c r="BI63" s="47"/>
      <c r="BJ63" s="47"/>
      <c r="BK63" s="47"/>
      <c r="BL63" s="414"/>
      <c r="BM63" s="457"/>
    </row>
    <row r="64" spans="1:65" ht="34.35" customHeight="1">
      <c r="A64" s="91" t="s">
        <v>8</v>
      </c>
      <c r="B64" s="358" t="s">
        <v>2255</v>
      </c>
      <c r="C64" s="50" t="s">
        <v>78</v>
      </c>
      <c r="D64" s="99" t="s">
        <v>414</v>
      </c>
      <c r="E64" s="392" t="s">
        <v>14</v>
      </c>
      <c r="F64" s="410">
        <v>29778</v>
      </c>
      <c r="G64" s="10">
        <v>60000</v>
      </c>
      <c r="H64" s="167">
        <v>60000</v>
      </c>
      <c r="I64" s="10">
        <v>60000</v>
      </c>
      <c r="J64" s="76">
        <f t="shared" ref="J64:J69" si="105">AVERAGE(G64,I64)</f>
        <v>60000</v>
      </c>
      <c r="K64" s="24">
        <f t="shared" ref="K64:K69" si="106">J64-F64</f>
        <v>30222</v>
      </c>
      <c r="L64" s="281">
        <f t="shared" ref="L64:L69" si="107">+K64/F64</f>
        <v>1.0149103364900263</v>
      </c>
      <c r="M64" s="431">
        <f t="shared" ref="M64:M69" si="108">H64</f>
        <v>60000</v>
      </c>
      <c r="N64" s="410">
        <v>27072</v>
      </c>
      <c r="O64" s="10">
        <v>45000</v>
      </c>
      <c r="P64" s="10">
        <v>51000</v>
      </c>
      <c r="Q64" s="268">
        <v>50000</v>
      </c>
      <c r="R64" s="10">
        <v>45000</v>
      </c>
      <c r="S64" s="76">
        <f t="shared" ref="S64:S69" si="109">AVERAGE(O64,P64,Q64,R64)</f>
        <v>47750</v>
      </c>
      <c r="T64" s="24">
        <f t="shared" ref="T64:T69" si="110">S64-N64</f>
        <v>20678</v>
      </c>
      <c r="U64" s="281">
        <f t="shared" ref="U64:U69" si="111">+T64/N64</f>
        <v>0.76381501182033096</v>
      </c>
      <c r="V64" s="462">
        <f t="shared" ref="V64:V69" si="112">S64</f>
        <v>47750</v>
      </c>
      <c r="W64" s="410">
        <v>83870</v>
      </c>
      <c r="X64" s="10">
        <v>109080</v>
      </c>
      <c r="Y64" s="31">
        <v>141804</v>
      </c>
      <c r="Z64" s="472">
        <v>95344</v>
      </c>
      <c r="AA64" s="76">
        <f t="shared" ref="AA64:AA95" si="113">AVERAGE(X64,Y64,Z64)</f>
        <v>115409.33333333333</v>
      </c>
      <c r="AB64" s="24">
        <f t="shared" ref="AB64:AB95" si="114">AA64-W64</f>
        <v>31539.333333333328</v>
      </c>
      <c r="AC64" s="25">
        <f t="shared" ref="AC64:AC95" si="115">+AB64/W64</f>
        <v>0.37605023647708752</v>
      </c>
      <c r="AD64" s="309" t="str">
        <f t="shared" ref="AD64:AD95" si="116">+IF(AC64&lt;35%,AA64,"REVISAR PRECIO")</f>
        <v>REVISAR PRECIO</v>
      </c>
      <c r="AE64" s="462">
        <f t="shared" ref="AE64:AE67" si="117">AA64</f>
        <v>115409.33333333333</v>
      </c>
      <c r="AF64" s="410">
        <v>30224</v>
      </c>
      <c r="AG64" s="45">
        <v>90000</v>
      </c>
      <c r="AH64" s="45">
        <v>50000</v>
      </c>
      <c r="AI64" s="45">
        <v>70000</v>
      </c>
      <c r="AJ64" s="76">
        <f t="shared" ref="AJ64:AJ69" si="118">AVERAGE(AG64,AH64,AI64)</f>
        <v>70000</v>
      </c>
      <c r="AK64" s="24">
        <f t="shared" ref="AK64:AK69" si="119">AJ64-AF64</f>
        <v>39776</v>
      </c>
      <c r="AL64" s="281">
        <f t="shared" ref="AL64:AL69" si="120">+AK64/AF64</f>
        <v>1.316040232927475</v>
      </c>
      <c r="AM64" s="462">
        <f t="shared" ref="AM64:AM69" si="121">AJ64</f>
        <v>70000</v>
      </c>
      <c r="AN64" s="513">
        <v>30375</v>
      </c>
      <c r="AO64" s="88">
        <v>63000</v>
      </c>
      <c r="AP64" s="116">
        <v>63000</v>
      </c>
      <c r="AQ64" s="74">
        <v>66000</v>
      </c>
      <c r="AR64" s="76">
        <f t="shared" ref="AR64:AR79" si="122">AVERAGE(AO64,AP64,AQ64)</f>
        <v>64000</v>
      </c>
      <c r="AS64" s="24">
        <f t="shared" ref="AS64:AS79" si="123">AR64-AN64</f>
        <v>33625</v>
      </c>
      <c r="AT64" s="25">
        <f t="shared" ref="AT64:AT74" si="124">+AS64/AN64</f>
        <v>1.1069958847736625</v>
      </c>
      <c r="AU64" s="309" t="str">
        <f t="shared" ref="AU64:AU74" si="125">+IF(AT64&lt;35%,AR64,"REVISAR PRECIO")</f>
        <v>REVISAR PRECIO</v>
      </c>
      <c r="AV64" s="462">
        <f t="shared" ref="AV64:AV79" si="126">AR64</f>
        <v>64000</v>
      </c>
      <c r="AW64" s="513">
        <v>30375</v>
      </c>
      <c r="AX64" s="74">
        <v>69000</v>
      </c>
      <c r="AY64" s="74">
        <v>100000</v>
      </c>
      <c r="AZ64" s="75">
        <v>79500</v>
      </c>
      <c r="BA64" s="61">
        <v>90390</v>
      </c>
      <c r="BB64" s="60">
        <v>40000</v>
      </c>
      <c r="BC64" s="74">
        <v>103948.49999999999</v>
      </c>
      <c r="BD64" s="79">
        <v>79500</v>
      </c>
      <c r="BE64" s="79">
        <v>60000</v>
      </c>
      <c r="BF64" s="127">
        <v>72000</v>
      </c>
      <c r="BG64" s="128">
        <v>65000</v>
      </c>
      <c r="BH64" s="128">
        <v>62000</v>
      </c>
      <c r="BI64" s="76">
        <f t="shared" ref="BI64:BI79" si="127">AVERAGE(AX64,AY64,AZ64,BA64,BB64,BC64)</f>
        <v>80473.083333333328</v>
      </c>
      <c r="BJ64" s="24">
        <f t="shared" ref="BJ64:BJ79" si="128">BI64-AW64</f>
        <v>50098.083333333328</v>
      </c>
      <c r="BK64" s="25">
        <f t="shared" ref="BK64:BK74" si="129">+BJ64/AW64</f>
        <v>1.6493196159122083</v>
      </c>
      <c r="BL64" s="259" t="str">
        <f t="shared" ref="BL64:BL79" si="130">+IF(BK64&lt;35%,BI64,"REVISAR PRECIO")</f>
        <v>REVISAR PRECIO</v>
      </c>
      <c r="BM64" s="533">
        <f t="shared" ref="BM64:BM70" si="131">BI64</f>
        <v>80473.083333333328</v>
      </c>
    </row>
    <row r="65" spans="1:65" ht="34.35" customHeight="1">
      <c r="A65" s="91" t="s">
        <v>8</v>
      </c>
      <c r="B65" s="358" t="s">
        <v>2256</v>
      </c>
      <c r="C65" s="50" t="s">
        <v>79</v>
      </c>
      <c r="D65" s="99" t="s">
        <v>415</v>
      </c>
      <c r="E65" s="391" t="s">
        <v>13</v>
      </c>
      <c r="F65" s="410">
        <v>10557</v>
      </c>
      <c r="G65" s="10">
        <v>4000</v>
      </c>
      <c r="H65" s="167">
        <v>8000</v>
      </c>
      <c r="I65" s="10">
        <v>3568</v>
      </c>
      <c r="J65" s="76">
        <f t="shared" si="105"/>
        <v>3784</v>
      </c>
      <c r="K65" s="24">
        <f t="shared" si="106"/>
        <v>-6773</v>
      </c>
      <c r="L65" s="281">
        <f t="shared" si="107"/>
        <v>-0.64156483849578483</v>
      </c>
      <c r="M65" s="431">
        <f t="shared" si="108"/>
        <v>8000</v>
      </c>
      <c r="N65" s="410">
        <v>9597</v>
      </c>
      <c r="O65" s="10">
        <v>23000</v>
      </c>
      <c r="P65" s="10">
        <v>25000</v>
      </c>
      <c r="Q65" s="268">
        <v>25000</v>
      </c>
      <c r="R65" s="10">
        <v>25000</v>
      </c>
      <c r="S65" s="76">
        <f t="shared" si="109"/>
        <v>24500</v>
      </c>
      <c r="T65" s="24">
        <f t="shared" si="110"/>
        <v>14903</v>
      </c>
      <c r="U65" s="281">
        <f t="shared" si="111"/>
        <v>1.5528811086797958</v>
      </c>
      <c r="V65" s="462">
        <f t="shared" si="112"/>
        <v>24500</v>
      </c>
      <c r="W65" s="410">
        <v>16961</v>
      </c>
      <c r="X65" s="10">
        <v>22059</v>
      </c>
      <c r="Y65" s="31">
        <v>28677</v>
      </c>
      <c r="Z65" s="472">
        <v>19281.2</v>
      </c>
      <c r="AA65" s="76">
        <f t="shared" si="113"/>
        <v>23339.066666666666</v>
      </c>
      <c r="AB65" s="24">
        <f t="shared" si="114"/>
        <v>6378.0666666666657</v>
      </c>
      <c r="AC65" s="25">
        <f t="shared" si="115"/>
        <v>0.37604307922095781</v>
      </c>
      <c r="AD65" s="309" t="str">
        <f t="shared" si="116"/>
        <v>REVISAR PRECIO</v>
      </c>
      <c r="AE65" s="462">
        <f t="shared" si="117"/>
        <v>23339.066666666666</v>
      </c>
      <c r="AF65" s="410">
        <v>10717</v>
      </c>
      <c r="AG65" s="45">
        <v>12000</v>
      </c>
      <c r="AH65" s="45">
        <v>12457</v>
      </c>
      <c r="AI65" s="45">
        <v>60000</v>
      </c>
      <c r="AJ65" s="76">
        <f t="shared" si="118"/>
        <v>28152.333333333332</v>
      </c>
      <c r="AK65" s="24">
        <f t="shared" si="119"/>
        <v>17435.333333333332</v>
      </c>
      <c r="AL65" s="281">
        <f t="shared" si="120"/>
        <v>1.6268856334173118</v>
      </c>
      <c r="AM65" s="462">
        <f t="shared" si="121"/>
        <v>28152.333333333332</v>
      </c>
      <c r="AN65" s="513">
        <v>10765</v>
      </c>
      <c r="AO65" s="88">
        <v>4500</v>
      </c>
      <c r="AP65" s="116">
        <v>5250</v>
      </c>
      <c r="AQ65" s="74">
        <v>4400</v>
      </c>
      <c r="AR65" s="76">
        <f t="shared" si="122"/>
        <v>4716.666666666667</v>
      </c>
      <c r="AS65" s="24">
        <f t="shared" si="123"/>
        <v>-6048.333333333333</v>
      </c>
      <c r="AT65" s="25">
        <f t="shared" si="124"/>
        <v>-0.56185167982659856</v>
      </c>
      <c r="AU65" s="309">
        <f t="shared" si="125"/>
        <v>4716.666666666667</v>
      </c>
      <c r="AV65" s="462">
        <f t="shared" si="126"/>
        <v>4716.666666666667</v>
      </c>
      <c r="AW65" s="513">
        <v>10765</v>
      </c>
      <c r="AX65" s="74">
        <v>4600</v>
      </c>
      <c r="AY65" s="74">
        <v>8000</v>
      </c>
      <c r="AZ65" s="75">
        <v>5300</v>
      </c>
      <c r="BA65" s="61">
        <v>16099.999999999998</v>
      </c>
      <c r="BB65" s="60">
        <v>30000</v>
      </c>
      <c r="BC65" s="74">
        <v>18514.999999999996</v>
      </c>
      <c r="BD65" s="79">
        <v>5300</v>
      </c>
      <c r="BE65" s="79">
        <f>+BE74</f>
        <v>4000</v>
      </c>
      <c r="BF65" s="127">
        <v>4800</v>
      </c>
      <c r="BG65" s="128">
        <v>4500</v>
      </c>
      <c r="BH65" s="128">
        <v>5000</v>
      </c>
      <c r="BI65" s="76">
        <f t="shared" si="127"/>
        <v>13752.5</v>
      </c>
      <c r="BJ65" s="24">
        <f t="shared" si="128"/>
        <v>2987.5</v>
      </c>
      <c r="BK65" s="25">
        <f t="shared" si="129"/>
        <v>0.27751973989781697</v>
      </c>
      <c r="BL65" s="259">
        <f t="shared" si="130"/>
        <v>13752.5</v>
      </c>
      <c r="BM65" s="533">
        <f t="shared" si="131"/>
        <v>13752.5</v>
      </c>
    </row>
    <row r="66" spans="1:65" ht="34.35" customHeight="1">
      <c r="A66" s="91" t="s">
        <v>8</v>
      </c>
      <c r="B66" s="358" t="s">
        <v>2257</v>
      </c>
      <c r="C66" s="50" t="s">
        <v>80</v>
      </c>
      <c r="D66" s="99" t="s">
        <v>416</v>
      </c>
      <c r="E66" s="392" t="s">
        <v>14</v>
      </c>
      <c r="F66" s="410">
        <v>14050</v>
      </c>
      <c r="G66" s="10">
        <v>18000</v>
      </c>
      <c r="H66" s="167">
        <v>54000</v>
      </c>
      <c r="I66" s="10">
        <v>12000</v>
      </c>
      <c r="J66" s="76">
        <f t="shared" si="105"/>
        <v>15000</v>
      </c>
      <c r="K66" s="24">
        <f t="shared" si="106"/>
        <v>950</v>
      </c>
      <c r="L66" s="281">
        <f t="shared" si="107"/>
        <v>6.7615658362989328E-2</v>
      </c>
      <c r="M66" s="431">
        <f t="shared" si="108"/>
        <v>54000</v>
      </c>
      <c r="N66" s="410">
        <v>12776</v>
      </c>
      <c r="O66" s="10">
        <v>25000</v>
      </c>
      <c r="P66" s="10">
        <v>27000</v>
      </c>
      <c r="Q66" s="268">
        <v>27000</v>
      </c>
      <c r="R66" s="10">
        <v>30000</v>
      </c>
      <c r="S66" s="76">
        <f t="shared" si="109"/>
        <v>27250</v>
      </c>
      <c r="T66" s="24">
        <f t="shared" si="110"/>
        <v>14474</v>
      </c>
      <c r="U66" s="281">
        <f t="shared" si="111"/>
        <v>1.1329054477144647</v>
      </c>
      <c r="V66" s="462">
        <f t="shared" si="112"/>
        <v>27250</v>
      </c>
      <c r="W66" s="410">
        <v>22566</v>
      </c>
      <c r="X66" s="10">
        <v>29349</v>
      </c>
      <c r="Y66" s="33">
        <v>38154</v>
      </c>
      <c r="Z66" s="472">
        <v>25653.200000000001</v>
      </c>
      <c r="AA66" s="76">
        <f t="shared" si="113"/>
        <v>31052.066666666666</v>
      </c>
      <c r="AB66" s="24">
        <f t="shared" si="114"/>
        <v>8486.0666666666657</v>
      </c>
      <c r="AC66" s="25">
        <f t="shared" si="115"/>
        <v>0.37605542261218938</v>
      </c>
      <c r="AD66" s="309" t="str">
        <f t="shared" si="116"/>
        <v>REVISAR PRECIO</v>
      </c>
      <c r="AE66" s="462">
        <f t="shared" si="117"/>
        <v>31052.066666666666</v>
      </c>
      <c r="AF66" s="410">
        <v>14267</v>
      </c>
      <c r="AG66" s="45">
        <v>35000</v>
      </c>
      <c r="AH66" s="45">
        <v>16580</v>
      </c>
      <c r="AI66" s="45">
        <v>15000</v>
      </c>
      <c r="AJ66" s="76">
        <f t="shared" si="118"/>
        <v>22193.333333333332</v>
      </c>
      <c r="AK66" s="24">
        <f t="shared" si="119"/>
        <v>7926.3333333333321</v>
      </c>
      <c r="AL66" s="281">
        <f t="shared" si="120"/>
        <v>0.55557113151561865</v>
      </c>
      <c r="AM66" s="462">
        <f t="shared" si="121"/>
        <v>22193.333333333332</v>
      </c>
      <c r="AN66" s="513">
        <v>14333</v>
      </c>
      <c r="AO66" s="88">
        <v>18000</v>
      </c>
      <c r="AP66" s="116">
        <v>18000</v>
      </c>
      <c r="AQ66" s="74">
        <v>19800</v>
      </c>
      <c r="AR66" s="76">
        <f t="shared" si="122"/>
        <v>18600</v>
      </c>
      <c r="AS66" s="24">
        <f t="shared" si="123"/>
        <v>4267</v>
      </c>
      <c r="AT66" s="25">
        <f t="shared" si="124"/>
        <v>0.29770459778134373</v>
      </c>
      <c r="AU66" s="309">
        <f t="shared" si="125"/>
        <v>18600</v>
      </c>
      <c r="AV66" s="462">
        <f t="shared" si="126"/>
        <v>18600</v>
      </c>
      <c r="AW66" s="513">
        <v>14333</v>
      </c>
      <c r="AX66" s="74">
        <v>20700</v>
      </c>
      <c r="AY66" s="74">
        <v>35000</v>
      </c>
      <c r="AZ66" s="75">
        <v>23850</v>
      </c>
      <c r="BA66" s="61">
        <v>27599.999999999996</v>
      </c>
      <c r="BB66" s="60">
        <v>18000</v>
      </c>
      <c r="BC66" s="74">
        <v>31739.999999999993</v>
      </c>
      <c r="BD66" s="79">
        <v>23850</v>
      </c>
      <c r="BE66" s="79">
        <v>18000</v>
      </c>
      <c r="BF66" s="127">
        <v>21600</v>
      </c>
      <c r="BG66" s="128">
        <v>22000</v>
      </c>
      <c r="BH66" s="128">
        <v>20000</v>
      </c>
      <c r="BI66" s="76">
        <f t="shared" si="127"/>
        <v>26148.333333333332</v>
      </c>
      <c r="BJ66" s="24">
        <f t="shared" si="128"/>
        <v>11815.333333333332</v>
      </c>
      <c r="BK66" s="25">
        <f t="shared" si="129"/>
        <v>0.82434475220353953</v>
      </c>
      <c r="BL66" s="259" t="str">
        <f t="shared" si="130"/>
        <v>REVISAR PRECIO</v>
      </c>
      <c r="BM66" s="533">
        <f t="shared" si="131"/>
        <v>26148.333333333332</v>
      </c>
    </row>
    <row r="67" spans="1:65" ht="34.35" customHeight="1">
      <c r="A67" s="91" t="s">
        <v>8</v>
      </c>
      <c r="B67" s="358" t="s">
        <v>2258</v>
      </c>
      <c r="C67" s="50" t="s">
        <v>81</v>
      </c>
      <c r="D67" s="99" t="s">
        <v>417</v>
      </c>
      <c r="E67" s="392" t="s">
        <v>14</v>
      </c>
      <c r="F67" s="410">
        <v>14050</v>
      </c>
      <c r="G67" s="10">
        <v>18000</v>
      </c>
      <c r="H67" s="167">
        <v>72000</v>
      </c>
      <c r="I67" s="10">
        <v>12000</v>
      </c>
      <c r="J67" s="76">
        <f t="shared" si="105"/>
        <v>15000</v>
      </c>
      <c r="K67" s="24">
        <f t="shared" si="106"/>
        <v>950</v>
      </c>
      <c r="L67" s="281">
        <f t="shared" si="107"/>
        <v>6.7615658362989328E-2</v>
      </c>
      <c r="M67" s="431">
        <f t="shared" si="108"/>
        <v>72000</v>
      </c>
      <c r="N67" s="410">
        <v>12776</v>
      </c>
      <c r="O67" s="10">
        <v>20000</v>
      </c>
      <c r="P67" s="10">
        <v>23000</v>
      </c>
      <c r="Q67" s="268">
        <v>23000</v>
      </c>
      <c r="R67" s="10">
        <v>30000</v>
      </c>
      <c r="S67" s="76">
        <f t="shared" si="109"/>
        <v>24000</v>
      </c>
      <c r="T67" s="24">
        <f t="shared" si="110"/>
        <v>11224</v>
      </c>
      <c r="U67" s="281">
        <f t="shared" si="111"/>
        <v>0.87852222917971201</v>
      </c>
      <c r="V67" s="462">
        <f t="shared" si="112"/>
        <v>24000</v>
      </c>
      <c r="W67" s="410">
        <v>22566</v>
      </c>
      <c r="X67" s="10">
        <v>29349</v>
      </c>
      <c r="Y67" s="33">
        <v>38154</v>
      </c>
      <c r="Z67" s="472">
        <v>25653.200000000001</v>
      </c>
      <c r="AA67" s="76">
        <f t="shared" si="113"/>
        <v>31052.066666666666</v>
      </c>
      <c r="AB67" s="24">
        <f t="shared" si="114"/>
        <v>8486.0666666666657</v>
      </c>
      <c r="AC67" s="25">
        <f t="shared" si="115"/>
        <v>0.37605542261218938</v>
      </c>
      <c r="AD67" s="309" t="str">
        <f t="shared" si="116"/>
        <v>REVISAR PRECIO</v>
      </c>
      <c r="AE67" s="462">
        <f t="shared" si="117"/>
        <v>31052.066666666666</v>
      </c>
      <c r="AF67" s="410">
        <v>14267</v>
      </c>
      <c r="AG67" s="45">
        <v>35000</v>
      </c>
      <c r="AH67" s="45">
        <v>16580</v>
      </c>
      <c r="AI67" s="45">
        <v>15000</v>
      </c>
      <c r="AJ67" s="76">
        <f t="shared" si="118"/>
        <v>22193.333333333332</v>
      </c>
      <c r="AK67" s="24">
        <f t="shared" si="119"/>
        <v>7926.3333333333321</v>
      </c>
      <c r="AL67" s="281">
        <f t="shared" si="120"/>
        <v>0.55557113151561865</v>
      </c>
      <c r="AM67" s="462">
        <f t="shared" si="121"/>
        <v>22193.333333333332</v>
      </c>
      <c r="AN67" s="513">
        <v>14333</v>
      </c>
      <c r="AO67" s="88">
        <v>20000</v>
      </c>
      <c r="AP67" s="116">
        <v>20000</v>
      </c>
      <c r="AQ67" s="74">
        <v>19800</v>
      </c>
      <c r="AR67" s="76">
        <f t="shared" si="122"/>
        <v>19933.333333333332</v>
      </c>
      <c r="AS67" s="24">
        <f t="shared" si="123"/>
        <v>5600.3333333333321</v>
      </c>
      <c r="AT67" s="25">
        <f t="shared" si="124"/>
        <v>0.39073001697713894</v>
      </c>
      <c r="AU67" s="309" t="str">
        <f t="shared" si="125"/>
        <v>REVISAR PRECIO</v>
      </c>
      <c r="AV67" s="462">
        <f t="shared" si="126"/>
        <v>19933.333333333332</v>
      </c>
      <c r="AW67" s="513">
        <v>14333</v>
      </c>
      <c r="AX67" s="74">
        <v>20700</v>
      </c>
      <c r="AY67" s="74">
        <v>30000</v>
      </c>
      <c r="AZ67" s="75">
        <v>23850</v>
      </c>
      <c r="BA67" s="61">
        <v>26449.999999999996</v>
      </c>
      <c r="BB67" s="60">
        <v>15000</v>
      </c>
      <c r="BC67" s="74">
        <v>30417.499999999993</v>
      </c>
      <c r="BD67" s="79">
        <v>23850</v>
      </c>
      <c r="BE67" s="79">
        <v>18000</v>
      </c>
      <c r="BF67" s="127">
        <v>21600</v>
      </c>
      <c r="BG67" s="128">
        <v>22000</v>
      </c>
      <c r="BH67" s="128">
        <v>20000</v>
      </c>
      <c r="BI67" s="76">
        <f t="shared" si="127"/>
        <v>24402.916666666668</v>
      </c>
      <c r="BJ67" s="24">
        <f t="shared" si="128"/>
        <v>10069.916666666668</v>
      </c>
      <c r="BK67" s="25">
        <f t="shared" si="129"/>
        <v>0.70256866438754395</v>
      </c>
      <c r="BL67" s="259" t="str">
        <f t="shared" si="130"/>
        <v>REVISAR PRECIO</v>
      </c>
      <c r="BM67" s="533">
        <f t="shared" si="131"/>
        <v>24402.916666666668</v>
      </c>
    </row>
    <row r="68" spans="1:65" ht="34.35" customHeight="1">
      <c r="A68" s="91" t="s">
        <v>8</v>
      </c>
      <c r="B68" s="358" t="s">
        <v>2259</v>
      </c>
      <c r="C68" s="50" t="s">
        <v>82</v>
      </c>
      <c r="D68" s="99" t="s">
        <v>418</v>
      </c>
      <c r="E68" s="392" t="s">
        <v>14</v>
      </c>
      <c r="F68" s="410">
        <v>16101</v>
      </c>
      <c r="G68" s="10">
        <v>5000</v>
      </c>
      <c r="H68" s="167">
        <v>25000</v>
      </c>
      <c r="I68" s="10">
        <v>5000</v>
      </c>
      <c r="J68" s="76">
        <f t="shared" si="105"/>
        <v>5000</v>
      </c>
      <c r="K68" s="24">
        <f t="shared" si="106"/>
        <v>-11101</v>
      </c>
      <c r="L68" s="281">
        <f t="shared" si="107"/>
        <v>-0.68946028197006393</v>
      </c>
      <c r="M68" s="431">
        <f t="shared" si="108"/>
        <v>25000</v>
      </c>
      <c r="N68" s="410">
        <v>14637</v>
      </c>
      <c r="O68" s="10">
        <v>35000</v>
      </c>
      <c r="P68" s="10">
        <v>39000</v>
      </c>
      <c r="Q68" s="268">
        <v>38000</v>
      </c>
      <c r="R68" s="10">
        <v>35000</v>
      </c>
      <c r="S68" s="76">
        <f t="shared" si="109"/>
        <v>36750</v>
      </c>
      <c r="T68" s="24">
        <f t="shared" si="110"/>
        <v>22113</v>
      </c>
      <c r="U68" s="281">
        <f t="shared" si="111"/>
        <v>1.5107604017216643</v>
      </c>
      <c r="V68" s="462">
        <f t="shared" si="112"/>
        <v>36750</v>
      </c>
      <c r="W68" s="410">
        <v>25857</v>
      </c>
      <c r="X68" s="10">
        <v>33629</v>
      </c>
      <c r="Y68" s="31">
        <v>33629</v>
      </c>
      <c r="Z68" s="472">
        <v>29393.8</v>
      </c>
      <c r="AA68" s="76">
        <f t="shared" si="113"/>
        <v>32217.266666666666</v>
      </c>
      <c r="AB68" s="24">
        <f t="shared" si="114"/>
        <v>6360.2666666666664</v>
      </c>
      <c r="AC68" s="25">
        <f t="shared" si="115"/>
        <v>0.24597852290159983</v>
      </c>
      <c r="AD68" s="309">
        <f t="shared" si="116"/>
        <v>32217.266666666666</v>
      </c>
      <c r="AE68" s="462">
        <f>AA68</f>
        <v>32217.266666666666</v>
      </c>
      <c r="AF68" s="410">
        <v>16337</v>
      </c>
      <c r="AG68" s="45">
        <v>23000</v>
      </c>
      <c r="AH68" s="45">
        <v>9498</v>
      </c>
      <c r="AI68" s="45">
        <v>15000</v>
      </c>
      <c r="AJ68" s="76">
        <f t="shared" si="118"/>
        <v>15832.666666666666</v>
      </c>
      <c r="AK68" s="24">
        <f t="shared" si="119"/>
        <v>-504.33333333333394</v>
      </c>
      <c r="AL68" s="281">
        <f t="shared" si="120"/>
        <v>-3.0870620881026746E-2</v>
      </c>
      <c r="AM68" s="462">
        <f t="shared" si="121"/>
        <v>15832.666666666666</v>
      </c>
      <c r="AN68" s="513">
        <v>16422</v>
      </c>
      <c r="AO68" s="88">
        <v>5000</v>
      </c>
      <c r="AP68" s="116">
        <v>7000</v>
      </c>
      <c r="AQ68" s="74">
        <v>5500</v>
      </c>
      <c r="AR68" s="76">
        <f t="shared" si="122"/>
        <v>5833.333333333333</v>
      </c>
      <c r="AS68" s="24">
        <f t="shared" si="123"/>
        <v>-10588.666666666668</v>
      </c>
      <c r="AT68" s="25">
        <f t="shared" si="124"/>
        <v>-0.64478545041204893</v>
      </c>
      <c r="AU68" s="309">
        <f t="shared" si="125"/>
        <v>5833.333333333333</v>
      </c>
      <c r="AV68" s="462">
        <f t="shared" si="126"/>
        <v>5833.333333333333</v>
      </c>
      <c r="AW68" s="513">
        <v>16422</v>
      </c>
      <c r="AX68" s="74">
        <v>5750</v>
      </c>
      <c r="AY68" s="74">
        <v>30000</v>
      </c>
      <c r="AZ68" s="75">
        <v>6625</v>
      </c>
      <c r="BA68" s="61">
        <v>38640</v>
      </c>
      <c r="BB68" s="60">
        <v>28000</v>
      </c>
      <c r="BC68" s="74">
        <v>44436</v>
      </c>
      <c r="BD68" s="79">
        <v>6625</v>
      </c>
      <c r="BE68" s="79">
        <v>5000</v>
      </c>
      <c r="BF68" s="127">
        <v>6000</v>
      </c>
      <c r="BG68" s="128">
        <v>5500</v>
      </c>
      <c r="BH68" s="128">
        <v>6000</v>
      </c>
      <c r="BI68" s="76">
        <f t="shared" si="127"/>
        <v>25575.166666666668</v>
      </c>
      <c r="BJ68" s="24">
        <f t="shared" si="128"/>
        <v>9153.1666666666679</v>
      </c>
      <c r="BK68" s="25">
        <f t="shared" si="129"/>
        <v>0.55737222425201971</v>
      </c>
      <c r="BL68" s="259" t="str">
        <f t="shared" si="130"/>
        <v>REVISAR PRECIO</v>
      </c>
      <c r="BM68" s="533">
        <f t="shared" si="131"/>
        <v>25575.166666666668</v>
      </c>
    </row>
    <row r="69" spans="1:65" ht="34.35" customHeight="1">
      <c r="A69" s="91" t="s">
        <v>8</v>
      </c>
      <c r="B69" s="358" t="s">
        <v>2260</v>
      </c>
      <c r="C69" s="50" t="s">
        <v>83</v>
      </c>
      <c r="D69" s="99" t="s">
        <v>419</v>
      </c>
      <c r="E69" s="391" t="s">
        <v>13</v>
      </c>
      <c r="F69" s="410">
        <v>11420</v>
      </c>
      <c r="G69" s="10">
        <v>40000</v>
      </c>
      <c r="H69" s="167">
        <v>80000</v>
      </c>
      <c r="I69" s="10">
        <v>35000</v>
      </c>
      <c r="J69" s="76">
        <f t="shared" si="105"/>
        <v>37500</v>
      </c>
      <c r="K69" s="24">
        <f t="shared" si="106"/>
        <v>26080</v>
      </c>
      <c r="L69" s="281">
        <f t="shared" si="107"/>
        <v>2.2837127845884413</v>
      </c>
      <c r="M69" s="431">
        <f t="shared" si="108"/>
        <v>80000</v>
      </c>
      <c r="N69" s="410">
        <v>10385</v>
      </c>
      <c r="O69" s="10">
        <v>35000</v>
      </c>
      <c r="P69" s="10">
        <v>39000</v>
      </c>
      <c r="Q69" s="268">
        <v>38000</v>
      </c>
      <c r="R69" s="10">
        <v>35000</v>
      </c>
      <c r="S69" s="76">
        <f t="shared" si="109"/>
        <v>36750</v>
      </c>
      <c r="T69" s="24">
        <f t="shared" si="110"/>
        <v>26365</v>
      </c>
      <c r="U69" s="281">
        <f t="shared" si="111"/>
        <v>2.5387578237843043</v>
      </c>
      <c r="V69" s="462">
        <f t="shared" si="112"/>
        <v>36750</v>
      </c>
      <c r="W69" s="410">
        <v>18341</v>
      </c>
      <c r="X69" s="10">
        <v>23855</v>
      </c>
      <c r="Y69" s="31">
        <v>31011</v>
      </c>
      <c r="Z69" s="472">
        <v>20850.599999999999</v>
      </c>
      <c r="AA69" s="76">
        <f t="shared" si="113"/>
        <v>25238.866666666669</v>
      </c>
      <c r="AB69" s="24">
        <f t="shared" si="114"/>
        <v>6897.8666666666686</v>
      </c>
      <c r="AC69" s="25">
        <f t="shared" si="115"/>
        <v>0.37608999872780485</v>
      </c>
      <c r="AD69" s="309" t="str">
        <f t="shared" si="116"/>
        <v>REVISAR PRECIO</v>
      </c>
      <c r="AE69" s="462">
        <f t="shared" ref="AE69:AE95" si="132">AA69</f>
        <v>25238.866666666669</v>
      </c>
      <c r="AF69" s="410">
        <v>11591</v>
      </c>
      <c r="AG69" s="45">
        <v>50000</v>
      </c>
      <c r="AH69" s="45">
        <v>40000</v>
      </c>
      <c r="AI69" s="45">
        <v>15000</v>
      </c>
      <c r="AJ69" s="76">
        <f t="shared" si="118"/>
        <v>35000</v>
      </c>
      <c r="AK69" s="24">
        <f t="shared" si="119"/>
        <v>23409</v>
      </c>
      <c r="AL69" s="281">
        <f t="shared" si="120"/>
        <v>2.0195841601242344</v>
      </c>
      <c r="AM69" s="462">
        <f t="shared" si="121"/>
        <v>35000</v>
      </c>
      <c r="AN69" s="513">
        <v>11648</v>
      </c>
      <c r="AO69" s="88">
        <v>43000</v>
      </c>
      <c r="AP69" s="116">
        <v>43000</v>
      </c>
      <c r="AQ69" s="74">
        <v>44000</v>
      </c>
      <c r="AR69" s="76">
        <f t="shared" si="122"/>
        <v>43333.333333333336</v>
      </c>
      <c r="AS69" s="24">
        <f t="shared" si="123"/>
        <v>31685.333333333336</v>
      </c>
      <c r="AT69" s="25">
        <f t="shared" si="124"/>
        <v>2.7202380952380953</v>
      </c>
      <c r="AU69" s="309" t="str">
        <f t="shared" si="125"/>
        <v>REVISAR PRECIO</v>
      </c>
      <c r="AV69" s="462">
        <f t="shared" si="126"/>
        <v>43333.333333333336</v>
      </c>
      <c r="AW69" s="513">
        <v>11648</v>
      </c>
      <c r="AX69" s="74">
        <v>46000</v>
      </c>
      <c r="AY69" s="74">
        <v>80000</v>
      </c>
      <c r="AZ69" s="75">
        <v>53000</v>
      </c>
      <c r="BA69" s="61">
        <v>46000</v>
      </c>
      <c r="BB69" s="60">
        <v>16000</v>
      </c>
      <c r="BC69" s="74">
        <v>52899.999999999993</v>
      </c>
      <c r="BD69" s="79">
        <v>53000</v>
      </c>
      <c r="BE69" s="79">
        <v>40000</v>
      </c>
      <c r="BF69" s="127">
        <v>48000</v>
      </c>
      <c r="BG69" s="128">
        <v>40000</v>
      </c>
      <c r="BH69" s="128">
        <v>45000</v>
      </c>
      <c r="BI69" s="76">
        <f t="shared" si="127"/>
        <v>48983.333333333336</v>
      </c>
      <c r="BJ69" s="24">
        <f t="shared" si="128"/>
        <v>37335.333333333336</v>
      </c>
      <c r="BK69" s="25">
        <f t="shared" si="129"/>
        <v>3.2052999084249088</v>
      </c>
      <c r="BL69" s="259" t="str">
        <f t="shared" si="130"/>
        <v>REVISAR PRECIO</v>
      </c>
      <c r="BM69" s="533">
        <f t="shared" si="131"/>
        <v>48983.333333333336</v>
      </c>
    </row>
    <row r="70" spans="1:65" ht="34.35" customHeight="1">
      <c r="A70" s="91" t="s">
        <v>8</v>
      </c>
      <c r="B70" s="358" t="s">
        <v>2261</v>
      </c>
      <c r="C70" s="50" t="s">
        <v>84</v>
      </c>
      <c r="D70" s="178" t="s">
        <v>420</v>
      </c>
      <c r="E70" s="391" t="s">
        <v>13</v>
      </c>
      <c r="F70" s="408"/>
      <c r="G70" s="293"/>
      <c r="H70" s="293"/>
      <c r="I70" s="293"/>
      <c r="J70" s="293"/>
      <c r="K70" s="293"/>
      <c r="L70" s="327"/>
      <c r="M70" s="432"/>
      <c r="N70" s="443"/>
      <c r="O70" s="250"/>
      <c r="P70" s="250"/>
      <c r="Q70" s="250"/>
      <c r="R70" s="250"/>
      <c r="S70" s="250"/>
      <c r="T70" s="250"/>
      <c r="U70" s="250"/>
      <c r="V70" s="443"/>
      <c r="W70" s="410">
        <v>8968</v>
      </c>
      <c r="X70" s="10">
        <v>11664</v>
      </c>
      <c r="Y70" s="33">
        <v>15163</v>
      </c>
      <c r="Z70" s="472">
        <v>10195.200000000001</v>
      </c>
      <c r="AA70" s="76">
        <f t="shared" si="113"/>
        <v>12340.733333333332</v>
      </c>
      <c r="AB70" s="24">
        <f t="shared" si="114"/>
        <v>3372.7333333333318</v>
      </c>
      <c r="AC70" s="25">
        <f t="shared" si="115"/>
        <v>0.37608534046981845</v>
      </c>
      <c r="AD70" s="309" t="str">
        <f t="shared" si="116"/>
        <v>REVISAR PRECIO</v>
      </c>
      <c r="AE70" s="462">
        <f t="shared" si="132"/>
        <v>12340.733333333332</v>
      </c>
      <c r="AF70" s="412"/>
      <c r="AG70" s="120"/>
      <c r="AH70" s="120"/>
      <c r="AI70" s="120"/>
      <c r="AJ70" s="120"/>
      <c r="AK70" s="120"/>
      <c r="AL70" s="422"/>
      <c r="AM70" s="508"/>
      <c r="AN70" s="513">
        <v>5695</v>
      </c>
      <c r="AO70" s="88">
        <v>25000</v>
      </c>
      <c r="AP70" s="116">
        <v>25000</v>
      </c>
      <c r="AQ70" s="74">
        <v>21340</v>
      </c>
      <c r="AR70" s="76">
        <f t="shared" si="122"/>
        <v>23780</v>
      </c>
      <c r="AS70" s="24">
        <f t="shared" si="123"/>
        <v>18085</v>
      </c>
      <c r="AT70" s="25">
        <f t="shared" si="124"/>
        <v>3.1755926251097453</v>
      </c>
      <c r="AU70" s="309" t="str">
        <f t="shared" si="125"/>
        <v>REVISAR PRECIO</v>
      </c>
      <c r="AV70" s="462">
        <f t="shared" si="126"/>
        <v>23780</v>
      </c>
      <c r="AW70" s="513">
        <v>5695</v>
      </c>
      <c r="AX70" s="74">
        <v>22310</v>
      </c>
      <c r="AY70" s="74">
        <v>25000</v>
      </c>
      <c r="AZ70" s="75">
        <v>25705</v>
      </c>
      <c r="BA70" s="61">
        <v>22310</v>
      </c>
      <c r="BB70" s="60">
        <v>12000</v>
      </c>
      <c r="BC70" s="74">
        <v>25656.499999999996</v>
      </c>
      <c r="BD70" s="79">
        <v>25705</v>
      </c>
      <c r="BE70" s="79">
        <v>19400</v>
      </c>
      <c r="BF70" s="127">
        <v>23280</v>
      </c>
      <c r="BG70" s="128">
        <v>21000</v>
      </c>
      <c r="BH70" s="128">
        <v>20000</v>
      </c>
      <c r="BI70" s="76">
        <f t="shared" si="127"/>
        <v>22163.583333333332</v>
      </c>
      <c r="BJ70" s="24">
        <f t="shared" si="128"/>
        <v>16468.583333333332</v>
      </c>
      <c r="BK70" s="25">
        <f t="shared" si="129"/>
        <v>2.891761779338601</v>
      </c>
      <c r="BL70" s="259" t="str">
        <f t="shared" si="130"/>
        <v>REVISAR PRECIO</v>
      </c>
      <c r="BM70" s="533">
        <f t="shared" si="131"/>
        <v>22163.583333333332</v>
      </c>
    </row>
    <row r="71" spans="1:65" ht="34.35" customHeight="1">
      <c r="A71" s="91" t="s">
        <v>8</v>
      </c>
      <c r="B71" s="358" t="s">
        <v>2262</v>
      </c>
      <c r="C71" s="50" t="s">
        <v>85</v>
      </c>
      <c r="D71" s="99" t="s">
        <v>421</v>
      </c>
      <c r="E71" s="391" t="s">
        <v>13</v>
      </c>
      <c r="F71" s="410">
        <v>23267</v>
      </c>
      <c r="G71" s="10">
        <v>18200</v>
      </c>
      <c r="H71" s="167">
        <v>36400</v>
      </c>
      <c r="I71" s="10">
        <v>19600</v>
      </c>
      <c r="J71" s="76">
        <f t="shared" ref="J71:J89" si="133">AVERAGE(G71,I71)</f>
        <v>18900</v>
      </c>
      <c r="K71" s="24">
        <f t="shared" ref="K71:K89" si="134">J71-F71</f>
        <v>-4367</v>
      </c>
      <c r="L71" s="281">
        <f t="shared" ref="L71:L89" si="135">+K71/F71</f>
        <v>-0.18769072076331283</v>
      </c>
      <c r="M71" s="431">
        <f t="shared" ref="M71:M89" si="136">H71</f>
        <v>36400</v>
      </c>
      <c r="N71" s="410">
        <v>21149</v>
      </c>
      <c r="O71" s="10">
        <v>35000</v>
      </c>
      <c r="P71" s="10">
        <v>39000</v>
      </c>
      <c r="Q71" s="268">
        <v>38000</v>
      </c>
      <c r="R71" s="10">
        <v>40000</v>
      </c>
      <c r="S71" s="76">
        <f t="shared" ref="S71:S72" si="137">AVERAGE(O71,P71,Q71,R71)</f>
        <v>38000</v>
      </c>
      <c r="T71" s="24">
        <f t="shared" ref="T71:T72" si="138">S71-N71</f>
        <v>16851</v>
      </c>
      <c r="U71" s="281">
        <f t="shared" ref="U71:U72" si="139">+T71/N71</f>
        <v>0.79677526124166631</v>
      </c>
      <c r="V71" s="462">
        <f t="shared" ref="V71:V72" si="140">S71</f>
        <v>38000</v>
      </c>
      <c r="W71" s="410">
        <v>37368</v>
      </c>
      <c r="X71" s="10">
        <v>48600</v>
      </c>
      <c r="Y71" s="33">
        <v>63180</v>
      </c>
      <c r="Z71" s="472">
        <v>42480</v>
      </c>
      <c r="AA71" s="76">
        <f t="shared" si="113"/>
        <v>51420</v>
      </c>
      <c r="AB71" s="24">
        <f t="shared" si="114"/>
        <v>14052</v>
      </c>
      <c r="AC71" s="25">
        <f t="shared" si="115"/>
        <v>0.37604367373153502</v>
      </c>
      <c r="AD71" s="309" t="str">
        <f t="shared" si="116"/>
        <v>REVISAR PRECIO</v>
      </c>
      <c r="AE71" s="462">
        <f t="shared" si="132"/>
        <v>51420</v>
      </c>
      <c r="AF71" s="412"/>
      <c r="AG71" s="120"/>
      <c r="AH71" s="120"/>
      <c r="AI71" s="120"/>
      <c r="AJ71" s="120"/>
      <c r="AK71" s="120"/>
      <c r="AL71" s="422"/>
      <c r="AM71" s="508"/>
      <c r="AN71" s="513">
        <v>23731</v>
      </c>
      <c r="AO71" s="88">
        <v>20000</v>
      </c>
      <c r="AP71" s="116">
        <v>20000</v>
      </c>
      <c r="AQ71" s="74">
        <v>20020</v>
      </c>
      <c r="AR71" s="76">
        <f t="shared" si="122"/>
        <v>20006.666666666668</v>
      </c>
      <c r="AS71" s="24">
        <f t="shared" si="123"/>
        <v>-3724.3333333333321</v>
      </c>
      <c r="AT71" s="25">
        <f t="shared" si="124"/>
        <v>-0.15693958675712494</v>
      </c>
      <c r="AU71" s="309">
        <f t="shared" si="125"/>
        <v>20006.666666666668</v>
      </c>
      <c r="AV71" s="462">
        <f t="shared" si="126"/>
        <v>20006.666666666668</v>
      </c>
      <c r="AW71" s="513">
        <v>23731</v>
      </c>
      <c r="AX71" s="74">
        <v>20930</v>
      </c>
      <c r="AY71" s="74">
        <v>25000</v>
      </c>
      <c r="AZ71" s="75">
        <v>24115</v>
      </c>
      <c r="BA71" s="61">
        <v>25874.999999999996</v>
      </c>
      <c r="BB71" s="60">
        <v>9000</v>
      </c>
      <c r="BC71" s="74">
        <v>29756.249999999993</v>
      </c>
      <c r="BD71" s="79">
        <v>24115</v>
      </c>
      <c r="BE71" s="79">
        <v>18200</v>
      </c>
      <c r="BF71" s="127">
        <v>21840</v>
      </c>
      <c r="BG71" s="128">
        <v>60000</v>
      </c>
      <c r="BH71" s="128">
        <v>20000</v>
      </c>
      <c r="BI71" s="76">
        <f t="shared" si="127"/>
        <v>22446.041666666668</v>
      </c>
      <c r="BJ71" s="24">
        <f t="shared" si="128"/>
        <v>-1284.9583333333321</v>
      </c>
      <c r="BK71" s="25">
        <f t="shared" si="129"/>
        <v>-5.4146826232916105E-2</v>
      </c>
      <c r="BL71" s="259">
        <f t="shared" si="130"/>
        <v>22446.041666666668</v>
      </c>
      <c r="BM71" s="534">
        <f>AVERAGE(AX71,AY71,AZ71,BA71,BC71)</f>
        <v>25135.25</v>
      </c>
    </row>
    <row r="72" spans="1:65" ht="34.35" customHeight="1">
      <c r="A72" s="91" t="s">
        <v>8</v>
      </c>
      <c r="B72" s="358" t="s">
        <v>2263</v>
      </c>
      <c r="C72" s="50" t="s">
        <v>86</v>
      </c>
      <c r="D72" s="99" t="s">
        <v>422</v>
      </c>
      <c r="E72" s="392" t="s">
        <v>14</v>
      </c>
      <c r="F72" s="410">
        <v>74450</v>
      </c>
      <c r="G72" s="10">
        <v>55000</v>
      </c>
      <c r="H72" s="167">
        <v>165000</v>
      </c>
      <c r="I72" s="10">
        <v>55000</v>
      </c>
      <c r="J72" s="76">
        <f t="shared" si="133"/>
        <v>55000</v>
      </c>
      <c r="K72" s="24">
        <f t="shared" si="134"/>
        <v>-19450</v>
      </c>
      <c r="L72" s="281">
        <f t="shared" si="135"/>
        <v>-0.26124916051040969</v>
      </c>
      <c r="M72" s="431">
        <f t="shared" si="136"/>
        <v>165000</v>
      </c>
      <c r="N72" s="410">
        <v>67671</v>
      </c>
      <c r="O72" s="10">
        <v>55000</v>
      </c>
      <c r="P72" s="10">
        <v>60500</v>
      </c>
      <c r="Q72" s="268">
        <v>60500</v>
      </c>
      <c r="R72" s="10">
        <v>50000</v>
      </c>
      <c r="S72" s="76">
        <f t="shared" si="137"/>
        <v>56500</v>
      </c>
      <c r="T72" s="24">
        <f t="shared" si="138"/>
        <v>-11171</v>
      </c>
      <c r="U72" s="281">
        <f t="shared" si="139"/>
        <v>-0.1650780984468975</v>
      </c>
      <c r="V72" s="462">
        <f t="shared" si="140"/>
        <v>56500</v>
      </c>
      <c r="W72" s="410">
        <v>119578</v>
      </c>
      <c r="X72" s="10">
        <v>155520</v>
      </c>
      <c r="Y72" s="31">
        <v>202176</v>
      </c>
      <c r="Z72" s="472">
        <v>135936</v>
      </c>
      <c r="AA72" s="76">
        <f t="shared" si="113"/>
        <v>164544</v>
      </c>
      <c r="AB72" s="24">
        <f t="shared" si="114"/>
        <v>44966</v>
      </c>
      <c r="AC72" s="25">
        <f t="shared" si="115"/>
        <v>0.37603907073207449</v>
      </c>
      <c r="AD72" s="309" t="str">
        <f t="shared" si="116"/>
        <v>REVISAR PRECIO</v>
      </c>
      <c r="AE72" s="462">
        <f t="shared" si="132"/>
        <v>164544</v>
      </c>
      <c r="AF72" s="410">
        <v>75559</v>
      </c>
      <c r="AG72" s="45">
        <v>70000</v>
      </c>
      <c r="AH72" s="45">
        <v>87844</v>
      </c>
      <c r="AI72" s="45">
        <v>15000</v>
      </c>
      <c r="AJ72" s="76">
        <f t="shared" ref="AJ72:AJ87" si="141">AVERAGE(AG72,AH72,AI72)</f>
        <v>57614.666666666664</v>
      </c>
      <c r="AK72" s="24">
        <f t="shared" ref="AK72:AK87" si="142">AJ72-AF72</f>
        <v>-17944.333333333336</v>
      </c>
      <c r="AL72" s="281">
        <f t="shared" ref="AL72:AL87" si="143">+AK72/AF72</f>
        <v>-0.23748770276649156</v>
      </c>
      <c r="AM72" s="462">
        <f t="shared" ref="AM72:AM81" si="144">AJ72</f>
        <v>57614.666666666664</v>
      </c>
      <c r="AN72" s="513">
        <v>75939</v>
      </c>
      <c r="AO72" s="88">
        <v>65000</v>
      </c>
      <c r="AP72" s="116">
        <v>65000</v>
      </c>
      <c r="AQ72" s="74">
        <v>60500</v>
      </c>
      <c r="AR72" s="76">
        <f t="shared" si="122"/>
        <v>63500</v>
      </c>
      <c r="AS72" s="24">
        <f t="shared" si="123"/>
        <v>-12439</v>
      </c>
      <c r="AT72" s="25">
        <f t="shared" si="124"/>
        <v>-0.16380252571142628</v>
      </c>
      <c r="AU72" s="309">
        <f t="shared" si="125"/>
        <v>63500</v>
      </c>
      <c r="AV72" s="462">
        <f t="shared" si="126"/>
        <v>63500</v>
      </c>
      <c r="AW72" s="513">
        <v>75939</v>
      </c>
      <c r="AX72" s="74">
        <v>63250</v>
      </c>
      <c r="AY72" s="74">
        <v>80000</v>
      </c>
      <c r="AZ72" s="75">
        <v>72875</v>
      </c>
      <c r="BA72" s="61">
        <v>63249.999999999993</v>
      </c>
      <c r="BB72" s="60">
        <v>180000</v>
      </c>
      <c r="BC72" s="74">
        <v>72737.499999999985</v>
      </c>
      <c r="BD72" s="79">
        <v>72875</v>
      </c>
      <c r="BE72" s="79">
        <v>55000</v>
      </c>
      <c r="BF72" s="127">
        <v>85250</v>
      </c>
      <c r="BG72" s="128">
        <v>60000</v>
      </c>
      <c r="BH72" s="128">
        <v>70000</v>
      </c>
      <c r="BI72" s="76">
        <f t="shared" si="127"/>
        <v>88685.416666666672</v>
      </c>
      <c r="BJ72" s="24">
        <f t="shared" si="128"/>
        <v>12746.416666666672</v>
      </c>
      <c r="BK72" s="25">
        <f t="shared" si="129"/>
        <v>0.16785073106923545</v>
      </c>
      <c r="BL72" s="259">
        <f t="shared" si="130"/>
        <v>88685.416666666672</v>
      </c>
      <c r="BM72" s="533">
        <f t="shared" ref="BM72" si="145">BI72</f>
        <v>88685.416666666672</v>
      </c>
    </row>
    <row r="73" spans="1:65" ht="34.35" customHeight="1">
      <c r="A73" s="91" t="s">
        <v>8</v>
      </c>
      <c r="B73" s="358" t="s">
        <v>2264</v>
      </c>
      <c r="C73" s="50" t="s">
        <v>87</v>
      </c>
      <c r="D73" s="99" t="s">
        <v>423</v>
      </c>
      <c r="E73" s="391" t="s">
        <v>13</v>
      </c>
      <c r="F73" s="410">
        <v>11610</v>
      </c>
      <c r="G73" s="10">
        <v>6000</v>
      </c>
      <c r="H73" s="167">
        <v>18000</v>
      </c>
      <c r="I73" s="10">
        <v>5000</v>
      </c>
      <c r="J73" s="76">
        <f t="shared" si="133"/>
        <v>5500</v>
      </c>
      <c r="K73" s="24">
        <f t="shared" si="134"/>
        <v>-6110</v>
      </c>
      <c r="L73" s="281">
        <f t="shared" si="135"/>
        <v>-0.52627045650301463</v>
      </c>
      <c r="M73" s="431">
        <f t="shared" si="136"/>
        <v>18000</v>
      </c>
      <c r="N73" s="443"/>
      <c r="O73" s="250"/>
      <c r="P73" s="250"/>
      <c r="Q73" s="250"/>
      <c r="R73" s="250"/>
      <c r="S73" s="250"/>
      <c r="T73" s="250"/>
      <c r="U73" s="250"/>
      <c r="V73" s="443"/>
      <c r="W73" s="410">
        <v>18642</v>
      </c>
      <c r="X73" s="10">
        <v>24246</v>
      </c>
      <c r="Y73" s="31">
        <v>31520</v>
      </c>
      <c r="Z73" s="472">
        <v>21192.799999999999</v>
      </c>
      <c r="AA73" s="76">
        <f t="shared" si="113"/>
        <v>25652.933333333334</v>
      </c>
      <c r="AB73" s="24">
        <f t="shared" si="114"/>
        <v>7010.9333333333343</v>
      </c>
      <c r="AC73" s="25">
        <f t="shared" si="115"/>
        <v>0.37608268068519118</v>
      </c>
      <c r="AD73" s="309" t="str">
        <f t="shared" si="116"/>
        <v>REVISAR PRECIO</v>
      </c>
      <c r="AE73" s="462">
        <f t="shared" si="132"/>
        <v>25652.933333333334</v>
      </c>
      <c r="AF73" s="410">
        <v>11780</v>
      </c>
      <c r="AG73" s="45">
        <v>6000</v>
      </c>
      <c r="AH73" s="45">
        <v>13692</v>
      </c>
      <c r="AI73" s="45">
        <v>15000</v>
      </c>
      <c r="AJ73" s="76">
        <f t="shared" si="141"/>
        <v>11564</v>
      </c>
      <c r="AK73" s="24">
        <f t="shared" si="142"/>
        <v>-216</v>
      </c>
      <c r="AL73" s="281">
        <f t="shared" si="143"/>
        <v>-1.833616298811545E-2</v>
      </c>
      <c r="AM73" s="462">
        <f t="shared" si="144"/>
        <v>11564</v>
      </c>
      <c r="AN73" s="513">
        <v>11837</v>
      </c>
      <c r="AO73" s="88">
        <v>6300</v>
      </c>
      <c r="AP73" s="116">
        <v>8400</v>
      </c>
      <c r="AQ73" s="74">
        <v>6600</v>
      </c>
      <c r="AR73" s="76">
        <f t="shared" si="122"/>
        <v>7100</v>
      </c>
      <c r="AS73" s="24">
        <f t="shared" si="123"/>
        <v>-4737</v>
      </c>
      <c r="AT73" s="25">
        <f t="shared" si="124"/>
        <v>-0.40018585790318495</v>
      </c>
      <c r="AU73" s="309">
        <f t="shared" si="125"/>
        <v>7100</v>
      </c>
      <c r="AV73" s="462">
        <f t="shared" si="126"/>
        <v>7100</v>
      </c>
      <c r="AW73" s="513">
        <v>11837</v>
      </c>
      <c r="AX73" s="74">
        <v>6900</v>
      </c>
      <c r="AY73" s="74">
        <v>8000</v>
      </c>
      <c r="AZ73" s="75">
        <v>7950</v>
      </c>
      <c r="BA73" s="61">
        <v>13109.999999999998</v>
      </c>
      <c r="BB73" s="60">
        <v>25000</v>
      </c>
      <c r="BC73" s="74">
        <v>15076.499999999996</v>
      </c>
      <c r="BD73" s="79">
        <v>7950</v>
      </c>
      <c r="BE73" s="79">
        <v>6000</v>
      </c>
      <c r="BF73" s="127">
        <v>7200</v>
      </c>
      <c r="BG73" s="128">
        <v>6500</v>
      </c>
      <c r="BH73" s="128">
        <v>6000</v>
      </c>
      <c r="BI73" s="76">
        <f t="shared" si="127"/>
        <v>12672.75</v>
      </c>
      <c r="BJ73" s="24">
        <f t="shared" si="128"/>
        <v>835.75</v>
      </c>
      <c r="BK73" s="25">
        <f t="shared" si="129"/>
        <v>7.0604882994001861E-2</v>
      </c>
      <c r="BL73" s="259">
        <f t="shared" si="130"/>
        <v>12672.75</v>
      </c>
      <c r="BM73" s="534">
        <f>AVERAGE(AX73,AY73,AZ73,BA73,BC73)</f>
        <v>10207.299999999999</v>
      </c>
    </row>
    <row r="74" spans="1:65" ht="34.35" customHeight="1">
      <c r="A74" s="91" t="s">
        <v>8</v>
      </c>
      <c r="B74" s="358" t="s">
        <v>2265</v>
      </c>
      <c r="C74" s="50" t="s">
        <v>88</v>
      </c>
      <c r="D74" s="99" t="s">
        <v>424</v>
      </c>
      <c r="E74" s="391" t="s">
        <v>13</v>
      </c>
      <c r="F74" s="410">
        <v>12844</v>
      </c>
      <c r="G74" s="10">
        <v>4000</v>
      </c>
      <c r="H74" s="167">
        <v>12000</v>
      </c>
      <c r="I74" s="10">
        <v>3500</v>
      </c>
      <c r="J74" s="76">
        <f t="shared" si="133"/>
        <v>3750</v>
      </c>
      <c r="K74" s="24">
        <f t="shared" si="134"/>
        <v>-9094</v>
      </c>
      <c r="L74" s="281">
        <f t="shared" si="135"/>
        <v>-0.70803488009965743</v>
      </c>
      <c r="M74" s="431">
        <f t="shared" si="136"/>
        <v>12000</v>
      </c>
      <c r="N74" s="410">
        <v>11676</v>
      </c>
      <c r="O74" s="10">
        <v>35000</v>
      </c>
      <c r="P74" s="10">
        <v>39000</v>
      </c>
      <c r="Q74" s="268">
        <v>38000</v>
      </c>
      <c r="R74" s="10">
        <v>35000</v>
      </c>
      <c r="S74" s="76">
        <f t="shared" ref="S74" si="146">AVERAGE(O74,P74,Q74,R74)</f>
        <v>36750</v>
      </c>
      <c r="T74" s="24">
        <f t="shared" ref="T74" si="147">S74-N74</f>
        <v>25074</v>
      </c>
      <c r="U74" s="281">
        <f t="shared" ref="U74" si="148">+T74/N74</f>
        <v>2.1474820143884892</v>
      </c>
      <c r="V74" s="462">
        <f t="shared" ref="V74" si="149">S74</f>
        <v>36750</v>
      </c>
      <c r="W74" s="410">
        <v>20635</v>
      </c>
      <c r="X74" s="10">
        <v>26838</v>
      </c>
      <c r="Y74" s="33">
        <v>34889</v>
      </c>
      <c r="Z74" s="472">
        <v>23458.400000000001</v>
      </c>
      <c r="AA74" s="76">
        <f t="shared" si="113"/>
        <v>28395.133333333331</v>
      </c>
      <c r="AB74" s="24">
        <f t="shared" si="114"/>
        <v>7760.1333333333314</v>
      </c>
      <c r="AC74" s="25">
        <f t="shared" si="115"/>
        <v>0.37606655359017843</v>
      </c>
      <c r="AD74" s="309" t="str">
        <f t="shared" si="116"/>
        <v>REVISAR PRECIO</v>
      </c>
      <c r="AE74" s="462">
        <f t="shared" si="132"/>
        <v>28395.133333333331</v>
      </c>
      <c r="AF74" s="410">
        <v>13034</v>
      </c>
      <c r="AG74" s="45">
        <v>18000</v>
      </c>
      <c r="AH74" s="45">
        <v>15156</v>
      </c>
      <c r="AI74" s="45">
        <v>15000</v>
      </c>
      <c r="AJ74" s="76">
        <f t="shared" si="141"/>
        <v>16052</v>
      </c>
      <c r="AK74" s="24">
        <f t="shared" si="142"/>
        <v>3018</v>
      </c>
      <c r="AL74" s="281">
        <f t="shared" si="143"/>
        <v>0.2315482584011048</v>
      </c>
      <c r="AM74" s="462">
        <f t="shared" si="144"/>
        <v>16052</v>
      </c>
      <c r="AN74" s="513">
        <v>13100</v>
      </c>
      <c r="AO74" s="88">
        <v>4500</v>
      </c>
      <c r="AP74" s="116">
        <v>4500</v>
      </c>
      <c r="AQ74" s="74">
        <v>4400</v>
      </c>
      <c r="AR74" s="76">
        <f t="shared" si="122"/>
        <v>4466.666666666667</v>
      </c>
      <c r="AS74" s="24">
        <f t="shared" si="123"/>
        <v>-8633.3333333333321</v>
      </c>
      <c r="AT74" s="25">
        <f t="shared" si="124"/>
        <v>-0.65903307888040707</v>
      </c>
      <c r="AU74" s="309">
        <f t="shared" si="125"/>
        <v>4466.666666666667</v>
      </c>
      <c r="AV74" s="462">
        <f t="shared" si="126"/>
        <v>4466.666666666667</v>
      </c>
      <c r="AW74" s="513">
        <v>13100</v>
      </c>
      <c r="AX74" s="74">
        <v>4600</v>
      </c>
      <c r="AY74" s="74">
        <v>8000</v>
      </c>
      <c r="AZ74" s="75">
        <v>5300</v>
      </c>
      <c r="BA74" s="61">
        <v>8740</v>
      </c>
      <c r="BB74" s="60">
        <v>15000</v>
      </c>
      <c r="BC74" s="74">
        <v>10051</v>
      </c>
      <c r="BD74" s="79">
        <v>5300</v>
      </c>
      <c r="BE74" s="79">
        <v>4000</v>
      </c>
      <c r="BF74" s="127">
        <v>4800</v>
      </c>
      <c r="BG74" s="128">
        <v>5000</v>
      </c>
      <c r="BH74" s="128">
        <v>5000</v>
      </c>
      <c r="BI74" s="76">
        <f t="shared" si="127"/>
        <v>8615.1666666666661</v>
      </c>
      <c r="BJ74" s="24">
        <f t="shared" si="128"/>
        <v>-4484.8333333333339</v>
      </c>
      <c r="BK74" s="25">
        <f t="shared" si="129"/>
        <v>-0.34235368956743006</v>
      </c>
      <c r="BL74" s="259">
        <f t="shared" si="130"/>
        <v>8615.1666666666661</v>
      </c>
      <c r="BM74" s="533">
        <f t="shared" ref="BM74:BM79" si="150">BI74</f>
        <v>8615.1666666666661</v>
      </c>
    </row>
    <row r="75" spans="1:65" ht="34.35" customHeight="1">
      <c r="A75" s="91" t="s">
        <v>8</v>
      </c>
      <c r="B75" s="358" t="s">
        <v>2266</v>
      </c>
      <c r="C75" s="50" t="s">
        <v>89</v>
      </c>
      <c r="D75" s="99" t="s">
        <v>425</v>
      </c>
      <c r="E75" s="391" t="s">
        <v>14</v>
      </c>
      <c r="F75" s="410">
        <v>38512</v>
      </c>
      <c r="G75" s="10">
        <v>3300</v>
      </c>
      <c r="H75" s="167">
        <v>13200</v>
      </c>
      <c r="I75" s="10">
        <v>8500</v>
      </c>
      <c r="J75" s="76">
        <f t="shared" si="133"/>
        <v>5900</v>
      </c>
      <c r="K75" s="24">
        <f t="shared" si="134"/>
        <v>-32612</v>
      </c>
      <c r="L75" s="281">
        <f t="shared" si="135"/>
        <v>-0.84680099709181555</v>
      </c>
      <c r="M75" s="431">
        <f t="shared" si="136"/>
        <v>13200</v>
      </c>
      <c r="N75" s="443"/>
      <c r="O75" s="250"/>
      <c r="P75" s="250"/>
      <c r="Q75" s="250"/>
      <c r="R75" s="250"/>
      <c r="S75" s="250"/>
      <c r="T75" s="250"/>
      <c r="U75" s="250"/>
      <c r="V75" s="443"/>
      <c r="W75" s="410">
        <v>61854</v>
      </c>
      <c r="X75" s="10">
        <v>80447</v>
      </c>
      <c r="Y75" s="31">
        <v>104580</v>
      </c>
      <c r="Z75" s="472">
        <v>70316.2</v>
      </c>
      <c r="AA75" s="76">
        <f t="shared" si="113"/>
        <v>85114.400000000009</v>
      </c>
      <c r="AB75" s="24">
        <f t="shared" si="114"/>
        <v>23260.400000000009</v>
      </c>
      <c r="AC75" s="25">
        <f t="shared" si="115"/>
        <v>0.37605328677207633</v>
      </c>
      <c r="AD75" s="309" t="str">
        <f t="shared" si="116"/>
        <v>REVISAR PRECIO</v>
      </c>
      <c r="AE75" s="462">
        <f t="shared" si="132"/>
        <v>85114.400000000009</v>
      </c>
      <c r="AF75" s="410">
        <v>39089</v>
      </c>
      <c r="AG75" s="316">
        <v>20000</v>
      </c>
      <c r="AH75" s="45">
        <v>45438</v>
      </c>
      <c r="AI75" s="317">
        <v>30000</v>
      </c>
      <c r="AJ75" s="76">
        <f t="shared" si="141"/>
        <v>31812.666666666668</v>
      </c>
      <c r="AK75" s="24">
        <f t="shared" si="142"/>
        <v>-7276.3333333333321</v>
      </c>
      <c r="AL75" s="281">
        <f t="shared" si="143"/>
        <v>-0.18614785063146491</v>
      </c>
      <c r="AM75" s="462">
        <f t="shared" si="144"/>
        <v>31812.666666666668</v>
      </c>
      <c r="AN75" s="513"/>
      <c r="AO75" s="88">
        <v>4000</v>
      </c>
      <c r="AP75" s="116">
        <v>4000</v>
      </c>
      <c r="AQ75" s="74">
        <v>3630</v>
      </c>
      <c r="AR75" s="76">
        <f t="shared" si="122"/>
        <v>3876.6666666666665</v>
      </c>
      <c r="AS75" s="24">
        <f t="shared" si="123"/>
        <v>3876.6666666666665</v>
      </c>
      <c r="AT75" s="25"/>
      <c r="AU75" s="309"/>
      <c r="AV75" s="462">
        <f t="shared" si="126"/>
        <v>3876.6666666666665</v>
      </c>
      <c r="AW75" s="513"/>
      <c r="AX75" s="74">
        <v>3795</v>
      </c>
      <c r="AY75" s="74">
        <v>40000</v>
      </c>
      <c r="AZ75" s="75">
        <v>4372.5</v>
      </c>
      <c r="BA75" s="61">
        <v>18170</v>
      </c>
      <c r="BB75" s="60">
        <v>12000</v>
      </c>
      <c r="BC75" s="74">
        <v>20895.5</v>
      </c>
      <c r="BD75" s="79">
        <v>4372.5</v>
      </c>
      <c r="BE75" s="79">
        <v>3300</v>
      </c>
      <c r="BF75" s="127">
        <v>3960</v>
      </c>
      <c r="BG75" s="128">
        <v>4000</v>
      </c>
      <c r="BH75" s="128">
        <v>3000</v>
      </c>
      <c r="BI75" s="76">
        <f t="shared" si="127"/>
        <v>16538.833333333332</v>
      </c>
      <c r="BJ75" s="24">
        <f t="shared" si="128"/>
        <v>16538.833333333332</v>
      </c>
      <c r="BK75" s="25"/>
      <c r="BL75" s="259">
        <f t="shared" si="130"/>
        <v>16538.833333333332</v>
      </c>
      <c r="BM75" s="533">
        <f t="shared" si="150"/>
        <v>16538.833333333332</v>
      </c>
    </row>
    <row r="76" spans="1:65" ht="34.35" customHeight="1">
      <c r="A76" s="91" t="s">
        <v>8</v>
      </c>
      <c r="B76" s="358" t="s">
        <v>2267</v>
      </c>
      <c r="C76" s="50" t="s">
        <v>90</v>
      </c>
      <c r="D76" s="99" t="s">
        <v>426</v>
      </c>
      <c r="E76" s="391" t="s">
        <v>14</v>
      </c>
      <c r="F76" s="410">
        <v>22242</v>
      </c>
      <c r="G76" s="10">
        <v>4000</v>
      </c>
      <c r="H76" s="167">
        <v>16000</v>
      </c>
      <c r="I76" s="10">
        <v>4000</v>
      </c>
      <c r="J76" s="76">
        <f t="shared" si="133"/>
        <v>4000</v>
      </c>
      <c r="K76" s="24">
        <f t="shared" si="134"/>
        <v>-18242</v>
      </c>
      <c r="L76" s="281">
        <f t="shared" si="135"/>
        <v>-0.82016005754878163</v>
      </c>
      <c r="M76" s="431">
        <f t="shared" si="136"/>
        <v>16000</v>
      </c>
      <c r="N76" s="410">
        <v>20218</v>
      </c>
      <c r="O76" s="10">
        <v>42000</v>
      </c>
      <c r="P76" s="10">
        <v>45000</v>
      </c>
      <c r="Q76" s="268">
        <v>45000</v>
      </c>
      <c r="R76" s="10">
        <v>45000</v>
      </c>
      <c r="S76" s="76">
        <f t="shared" ref="S76:S79" si="151">AVERAGE(O76,P76,Q76,R76)</f>
        <v>44250</v>
      </c>
      <c r="T76" s="24">
        <f t="shared" ref="T76:T79" si="152">S76-N76</f>
        <v>24032</v>
      </c>
      <c r="U76" s="281">
        <f t="shared" ref="U76:U79" si="153">+T76/N76</f>
        <v>1.1886437827678307</v>
      </c>
      <c r="V76" s="462">
        <f t="shared" ref="V76:V79" si="154">S76</f>
        <v>44250</v>
      </c>
      <c r="W76" s="410">
        <v>35728</v>
      </c>
      <c r="X76" s="10">
        <v>46467</v>
      </c>
      <c r="Y76" s="31">
        <v>60407</v>
      </c>
      <c r="Z76" s="98">
        <v>40615.599999999999</v>
      </c>
      <c r="AA76" s="76">
        <f t="shared" si="113"/>
        <v>49163.200000000004</v>
      </c>
      <c r="AB76" s="24">
        <f t="shared" si="114"/>
        <v>13435.200000000004</v>
      </c>
      <c r="AC76" s="25">
        <f t="shared" si="115"/>
        <v>0.37604120017913134</v>
      </c>
      <c r="AD76" s="309" t="str">
        <f t="shared" si="116"/>
        <v>REVISAR PRECIO</v>
      </c>
      <c r="AE76" s="462">
        <f t="shared" si="132"/>
        <v>49163.200000000004</v>
      </c>
      <c r="AF76" s="410">
        <v>22573</v>
      </c>
      <c r="AG76" s="45">
        <v>12000</v>
      </c>
      <c r="AH76" s="45">
        <v>26246</v>
      </c>
      <c r="AI76" s="317">
        <v>35000</v>
      </c>
      <c r="AJ76" s="76">
        <f t="shared" si="141"/>
        <v>24415.333333333332</v>
      </c>
      <c r="AK76" s="24">
        <f t="shared" si="142"/>
        <v>1842.3333333333321</v>
      </c>
      <c r="AL76" s="281">
        <f t="shared" si="143"/>
        <v>8.1616680695225804E-2</v>
      </c>
      <c r="AM76" s="462">
        <f t="shared" si="144"/>
        <v>24415.333333333332</v>
      </c>
      <c r="AN76" s="513">
        <v>22686</v>
      </c>
      <c r="AO76" s="88">
        <v>5000</v>
      </c>
      <c r="AP76" s="116">
        <v>5000</v>
      </c>
      <c r="AQ76" s="74">
        <v>4400</v>
      </c>
      <c r="AR76" s="76">
        <f t="shared" si="122"/>
        <v>4800</v>
      </c>
      <c r="AS76" s="24">
        <f t="shared" si="123"/>
        <v>-17886</v>
      </c>
      <c r="AT76" s="25">
        <f t="shared" ref="AT76:AT79" si="155">+AS76/AN76</f>
        <v>-0.78841576302565464</v>
      </c>
      <c r="AU76" s="309">
        <f t="shared" ref="AU76:AU79" si="156">+IF(AT76&lt;35%,AR76,"REVISAR PRECIO")</f>
        <v>4800</v>
      </c>
      <c r="AV76" s="462">
        <f t="shared" si="126"/>
        <v>4800</v>
      </c>
      <c r="AW76" s="513">
        <v>22686</v>
      </c>
      <c r="AX76" s="74">
        <v>4600</v>
      </c>
      <c r="AY76" s="74">
        <v>12000</v>
      </c>
      <c r="AZ76" s="75">
        <v>5300</v>
      </c>
      <c r="BA76" s="61">
        <v>18170</v>
      </c>
      <c r="BB76" s="60">
        <v>12000</v>
      </c>
      <c r="BC76" s="74">
        <v>20895.5</v>
      </c>
      <c r="BD76" s="79">
        <v>5300</v>
      </c>
      <c r="BE76" s="79">
        <v>4000</v>
      </c>
      <c r="BF76" s="127">
        <v>5800</v>
      </c>
      <c r="BG76" s="128">
        <v>4000</v>
      </c>
      <c r="BH76" s="128">
        <v>10000</v>
      </c>
      <c r="BI76" s="76">
        <f t="shared" si="127"/>
        <v>12160.916666666666</v>
      </c>
      <c r="BJ76" s="24">
        <f t="shared" si="128"/>
        <v>-10525.083333333334</v>
      </c>
      <c r="BK76" s="25">
        <f>+BJ76/AW76</f>
        <v>-0.46394619295306949</v>
      </c>
      <c r="BL76" s="259">
        <f t="shared" si="130"/>
        <v>12160.916666666666</v>
      </c>
      <c r="BM76" s="533">
        <f t="shared" si="150"/>
        <v>12160.916666666666</v>
      </c>
    </row>
    <row r="77" spans="1:65" ht="34.35" customHeight="1">
      <c r="A77" s="91" t="s">
        <v>8</v>
      </c>
      <c r="B77" s="358" t="s">
        <v>2268</v>
      </c>
      <c r="C77" s="50" t="s">
        <v>91</v>
      </c>
      <c r="D77" s="99" t="s">
        <v>427</v>
      </c>
      <c r="E77" s="391" t="s">
        <v>13</v>
      </c>
      <c r="F77" s="410">
        <v>8705</v>
      </c>
      <c r="G77" s="10">
        <v>4600</v>
      </c>
      <c r="H77" s="167">
        <v>23000</v>
      </c>
      <c r="I77" s="10">
        <v>4562</v>
      </c>
      <c r="J77" s="76">
        <f t="shared" si="133"/>
        <v>4581</v>
      </c>
      <c r="K77" s="24">
        <f t="shared" si="134"/>
        <v>-4124</v>
      </c>
      <c r="L77" s="281">
        <f t="shared" si="135"/>
        <v>-0.47375071797817347</v>
      </c>
      <c r="M77" s="431">
        <f t="shared" si="136"/>
        <v>23000</v>
      </c>
      <c r="N77" s="410">
        <v>7907</v>
      </c>
      <c r="O77" s="10">
        <v>25000</v>
      </c>
      <c r="P77" s="10">
        <v>28000</v>
      </c>
      <c r="Q77" s="268">
        <v>28000</v>
      </c>
      <c r="R77" s="10">
        <v>20000</v>
      </c>
      <c r="S77" s="76">
        <f t="shared" si="151"/>
        <v>25250</v>
      </c>
      <c r="T77" s="24">
        <f t="shared" si="152"/>
        <v>17343</v>
      </c>
      <c r="U77" s="281">
        <f t="shared" si="153"/>
        <v>2.1933729606677628</v>
      </c>
      <c r="V77" s="462">
        <f t="shared" si="154"/>
        <v>25250</v>
      </c>
      <c r="W77" s="410">
        <v>31555</v>
      </c>
      <c r="X77" s="10">
        <v>41040</v>
      </c>
      <c r="Y77" s="33">
        <v>41040</v>
      </c>
      <c r="Z77" s="98">
        <v>35872</v>
      </c>
      <c r="AA77" s="76">
        <f t="shared" si="113"/>
        <v>39317.333333333336</v>
      </c>
      <c r="AB77" s="24">
        <f t="shared" si="114"/>
        <v>7762.3333333333358</v>
      </c>
      <c r="AC77" s="25">
        <f t="shared" si="115"/>
        <v>0.24599376749590671</v>
      </c>
      <c r="AD77" s="309">
        <f t="shared" si="116"/>
        <v>39317.333333333336</v>
      </c>
      <c r="AE77" s="462">
        <f t="shared" si="132"/>
        <v>39317.333333333336</v>
      </c>
      <c r="AF77" s="410">
        <v>8828</v>
      </c>
      <c r="AG77" s="45">
        <v>14000</v>
      </c>
      <c r="AH77" s="45">
        <v>10267</v>
      </c>
      <c r="AI77" s="45">
        <v>13000</v>
      </c>
      <c r="AJ77" s="76">
        <f t="shared" si="141"/>
        <v>12422.333333333334</v>
      </c>
      <c r="AK77" s="24">
        <f t="shared" si="142"/>
        <v>3594.3333333333339</v>
      </c>
      <c r="AL77" s="281">
        <f t="shared" si="143"/>
        <v>0.40715148769068121</v>
      </c>
      <c r="AM77" s="462">
        <f t="shared" si="144"/>
        <v>12422.333333333334</v>
      </c>
      <c r="AN77" s="513">
        <v>8876</v>
      </c>
      <c r="AO77" s="88">
        <v>5000</v>
      </c>
      <c r="AP77" s="116">
        <v>5000</v>
      </c>
      <c r="AQ77" s="74">
        <v>5060</v>
      </c>
      <c r="AR77" s="76">
        <f t="shared" si="122"/>
        <v>5020</v>
      </c>
      <c r="AS77" s="24">
        <f t="shared" si="123"/>
        <v>-3856</v>
      </c>
      <c r="AT77" s="25">
        <f t="shared" si="155"/>
        <v>-0.43442992338891395</v>
      </c>
      <c r="AU77" s="309">
        <f t="shared" si="156"/>
        <v>5020</v>
      </c>
      <c r="AV77" s="462">
        <f t="shared" si="126"/>
        <v>5020</v>
      </c>
      <c r="AW77" s="513">
        <v>8876</v>
      </c>
      <c r="AX77" s="74">
        <v>5290</v>
      </c>
      <c r="AY77" s="74">
        <v>12000</v>
      </c>
      <c r="AZ77" s="75">
        <v>6095</v>
      </c>
      <c r="BA77" s="61">
        <v>15524.999999999998</v>
      </c>
      <c r="BB77" s="60">
        <v>9000</v>
      </c>
      <c r="BC77" s="74">
        <v>17853.749999999996</v>
      </c>
      <c r="BD77" s="79">
        <v>6095</v>
      </c>
      <c r="BE77" s="79">
        <v>4600</v>
      </c>
      <c r="BF77" s="127">
        <v>5520</v>
      </c>
      <c r="BG77" s="128">
        <v>4000</v>
      </c>
      <c r="BH77" s="128">
        <v>5000</v>
      </c>
      <c r="BI77" s="76">
        <f t="shared" si="127"/>
        <v>10960.625</v>
      </c>
      <c r="BJ77" s="24">
        <f t="shared" si="128"/>
        <v>2084.625</v>
      </c>
      <c r="BK77" s="25">
        <f>+BJ77/AW77</f>
        <v>0.23486086074808471</v>
      </c>
      <c r="BL77" s="259">
        <f t="shared" si="130"/>
        <v>10960.625</v>
      </c>
      <c r="BM77" s="533">
        <f t="shared" si="150"/>
        <v>10960.625</v>
      </c>
    </row>
    <row r="78" spans="1:65" ht="34.35" customHeight="1">
      <c r="A78" s="91" t="s">
        <v>8</v>
      </c>
      <c r="B78" s="358" t="s">
        <v>2269</v>
      </c>
      <c r="C78" s="50" t="s">
        <v>92</v>
      </c>
      <c r="D78" s="99" t="s">
        <v>428</v>
      </c>
      <c r="E78" s="391" t="s">
        <v>13</v>
      </c>
      <c r="F78" s="410">
        <v>14591</v>
      </c>
      <c r="G78" s="10">
        <v>12300</v>
      </c>
      <c r="H78" s="167">
        <v>61500</v>
      </c>
      <c r="I78" s="10">
        <v>12000</v>
      </c>
      <c r="J78" s="76">
        <f t="shared" si="133"/>
        <v>12150</v>
      </c>
      <c r="K78" s="24">
        <f t="shared" si="134"/>
        <v>-2441</v>
      </c>
      <c r="L78" s="281">
        <f t="shared" si="135"/>
        <v>-0.16729490781988898</v>
      </c>
      <c r="M78" s="431">
        <f t="shared" si="136"/>
        <v>61500</v>
      </c>
      <c r="N78" s="410">
        <v>13261</v>
      </c>
      <c r="O78" s="10">
        <v>45000</v>
      </c>
      <c r="P78" s="10">
        <v>48000</v>
      </c>
      <c r="Q78" s="268">
        <v>47000</v>
      </c>
      <c r="R78" s="10">
        <v>50000</v>
      </c>
      <c r="S78" s="76">
        <f t="shared" si="151"/>
        <v>47500</v>
      </c>
      <c r="T78" s="24">
        <f t="shared" si="152"/>
        <v>34239</v>
      </c>
      <c r="U78" s="281">
        <f t="shared" si="153"/>
        <v>2.5819319809969081</v>
      </c>
      <c r="V78" s="462">
        <f t="shared" si="154"/>
        <v>47500</v>
      </c>
      <c r="W78" s="410">
        <v>93752</v>
      </c>
      <c r="X78" s="10">
        <v>121932</v>
      </c>
      <c r="Y78" s="31">
        <v>158512</v>
      </c>
      <c r="Z78" s="98">
        <v>106577.60000000001</v>
      </c>
      <c r="AA78" s="76">
        <f t="shared" si="113"/>
        <v>129007.2</v>
      </c>
      <c r="AB78" s="24">
        <f t="shared" si="114"/>
        <v>35255.199999999997</v>
      </c>
      <c r="AC78" s="25">
        <f t="shared" si="115"/>
        <v>0.37604744432118781</v>
      </c>
      <c r="AD78" s="309" t="str">
        <f t="shared" si="116"/>
        <v>REVISAR PRECIO</v>
      </c>
      <c r="AE78" s="462">
        <f t="shared" si="132"/>
        <v>129007.2</v>
      </c>
      <c r="AF78" s="410">
        <v>14809</v>
      </c>
      <c r="AG78" s="45"/>
      <c r="AH78" s="45">
        <v>17218</v>
      </c>
      <c r="AI78" s="45">
        <v>75000</v>
      </c>
      <c r="AJ78" s="76">
        <f t="shared" si="141"/>
        <v>46109</v>
      </c>
      <c r="AK78" s="24">
        <f t="shared" si="142"/>
        <v>31300</v>
      </c>
      <c r="AL78" s="281">
        <f t="shared" si="143"/>
        <v>2.113579579985144</v>
      </c>
      <c r="AM78" s="462">
        <f t="shared" si="144"/>
        <v>46109</v>
      </c>
      <c r="AN78" s="513">
        <v>14884</v>
      </c>
      <c r="AO78" s="88">
        <v>15000</v>
      </c>
      <c r="AP78" s="116">
        <v>17500</v>
      </c>
      <c r="AQ78" s="74">
        <v>13530</v>
      </c>
      <c r="AR78" s="76">
        <f t="shared" si="122"/>
        <v>15343.333333333334</v>
      </c>
      <c r="AS78" s="24">
        <f t="shared" si="123"/>
        <v>459.33333333333394</v>
      </c>
      <c r="AT78" s="25">
        <f t="shared" si="155"/>
        <v>3.0860879691839153E-2</v>
      </c>
      <c r="AU78" s="309">
        <f t="shared" si="156"/>
        <v>15343.333333333334</v>
      </c>
      <c r="AV78" s="462">
        <f t="shared" si="126"/>
        <v>15343.333333333334</v>
      </c>
      <c r="AW78" s="513">
        <v>14884</v>
      </c>
      <c r="AX78" s="74">
        <v>14145</v>
      </c>
      <c r="AY78" s="74">
        <v>30000</v>
      </c>
      <c r="AZ78" s="75">
        <v>16297.5</v>
      </c>
      <c r="BA78" s="61">
        <v>33235</v>
      </c>
      <c r="BB78" s="60">
        <v>38000</v>
      </c>
      <c r="BC78" s="74">
        <v>38220.25</v>
      </c>
      <c r="BD78" s="79">
        <v>16297.5</v>
      </c>
      <c r="BE78" s="79">
        <v>12300</v>
      </c>
      <c r="BF78" s="127">
        <v>14760</v>
      </c>
      <c r="BG78" s="128">
        <v>13500</v>
      </c>
      <c r="BH78" s="128">
        <v>13000</v>
      </c>
      <c r="BI78" s="76">
        <f t="shared" si="127"/>
        <v>28316.291666666668</v>
      </c>
      <c r="BJ78" s="24">
        <f t="shared" si="128"/>
        <v>13432.291666666668</v>
      </c>
      <c r="BK78" s="25">
        <f>+BJ78/AW78</f>
        <v>0.90246517513213298</v>
      </c>
      <c r="BL78" s="259" t="str">
        <f t="shared" si="130"/>
        <v>REVISAR PRECIO</v>
      </c>
      <c r="BM78" s="533">
        <f t="shared" si="150"/>
        <v>28316.291666666668</v>
      </c>
    </row>
    <row r="79" spans="1:65" s="68" customFormat="1" ht="34.35" customHeight="1">
      <c r="A79" s="231" t="s">
        <v>8</v>
      </c>
      <c r="B79" s="358" t="s">
        <v>2270</v>
      </c>
      <c r="C79" s="50" t="s">
        <v>93</v>
      </c>
      <c r="D79" s="101" t="s">
        <v>429</v>
      </c>
      <c r="E79" s="395" t="s">
        <v>13</v>
      </c>
      <c r="F79" s="410">
        <v>9493</v>
      </c>
      <c r="G79" s="10">
        <v>4000</v>
      </c>
      <c r="H79" s="167">
        <v>20000</v>
      </c>
      <c r="I79" s="10">
        <v>4000</v>
      </c>
      <c r="J79" s="76">
        <f t="shared" si="133"/>
        <v>4000</v>
      </c>
      <c r="K79" s="24">
        <f t="shared" si="134"/>
        <v>-5493</v>
      </c>
      <c r="L79" s="281">
        <f t="shared" si="135"/>
        <v>-0.57863689034025068</v>
      </c>
      <c r="M79" s="431">
        <f t="shared" si="136"/>
        <v>20000</v>
      </c>
      <c r="N79" s="410">
        <v>8629</v>
      </c>
      <c r="O79" s="10">
        <v>35000</v>
      </c>
      <c r="P79" s="10">
        <v>39000</v>
      </c>
      <c r="Q79" s="268">
        <v>38000</v>
      </c>
      <c r="R79" s="10">
        <v>38000</v>
      </c>
      <c r="S79" s="76">
        <f t="shared" si="151"/>
        <v>37500</v>
      </c>
      <c r="T79" s="24">
        <f t="shared" si="152"/>
        <v>28871</v>
      </c>
      <c r="U79" s="281">
        <f t="shared" si="153"/>
        <v>3.3458106385444433</v>
      </c>
      <c r="V79" s="462">
        <f t="shared" si="154"/>
        <v>37500</v>
      </c>
      <c r="W79" s="477">
        <v>17158</v>
      </c>
      <c r="X79" s="60">
        <v>22316</v>
      </c>
      <c r="Y79" s="66">
        <v>29010</v>
      </c>
      <c r="Z79" s="98">
        <v>19505.400000000001</v>
      </c>
      <c r="AA79" s="86">
        <f t="shared" si="113"/>
        <v>23610.466666666664</v>
      </c>
      <c r="AB79" s="67">
        <f t="shared" si="114"/>
        <v>6452.4666666666635</v>
      </c>
      <c r="AC79" s="64">
        <f t="shared" si="115"/>
        <v>0.37606170105295861</v>
      </c>
      <c r="AD79" s="486" t="str">
        <f t="shared" si="116"/>
        <v>REVISAR PRECIO</v>
      </c>
      <c r="AE79" s="490">
        <f t="shared" si="132"/>
        <v>23610.466666666664</v>
      </c>
      <c r="AF79" s="410">
        <v>9635</v>
      </c>
      <c r="AG79" s="45">
        <v>4500</v>
      </c>
      <c r="AH79" s="45">
        <v>11237</v>
      </c>
      <c r="AI79" s="45">
        <v>9000</v>
      </c>
      <c r="AJ79" s="76">
        <f t="shared" si="141"/>
        <v>8245.6666666666661</v>
      </c>
      <c r="AK79" s="24">
        <f t="shared" si="142"/>
        <v>-1389.3333333333339</v>
      </c>
      <c r="AL79" s="281">
        <f t="shared" si="143"/>
        <v>-0.14419650579484525</v>
      </c>
      <c r="AM79" s="462">
        <f t="shared" si="144"/>
        <v>8245.6666666666661</v>
      </c>
      <c r="AN79" s="515">
        <v>9682</v>
      </c>
      <c r="AO79" s="88">
        <v>4200</v>
      </c>
      <c r="AP79" s="116">
        <v>4200</v>
      </c>
      <c r="AQ79" s="74">
        <v>4400</v>
      </c>
      <c r="AR79" s="76">
        <f t="shared" si="122"/>
        <v>4266.666666666667</v>
      </c>
      <c r="AS79" s="24">
        <f t="shared" si="123"/>
        <v>-5415.333333333333</v>
      </c>
      <c r="AT79" s="25">
        <f t="shared" si="155"/>
        <v>-0.5593196997865455</v>
      </c>
      <c r="AU79" s="309">
        <f t="shared" si="156"/>
        <v>4266.666666666667</v>
      </c>
      <c r="AV79" s="462">
        <f t="shared" si="126"/>
        <v>4266.666666666667</v>
      </c>
      <c r="AW79" s="515">
        <v>9682</v>
      </c>
      <c r="AX79" s="83">
        <v>4600</v>
      </c>
      <c r="AY79" s="83">
        <v>8000</v>
      </c>
      <c r="AZ79" s="84">
        <v>5300</v>
      </c>
      <c r="BA79" s="85">
        <v>7244.9999999999991</v>
      </c>
      <c r="BB79" s="60">
        <v>14000</v>
      </c>
      <c r="BC79" s="83">
        <v>8331.7499999999982</v>
      </c>
      <c r="BD79" s="79">
        <v>5300</v>
      </c>
      <c r="BE79" s="79">
        <f>+BE74</f>
        <v>4000</v>
      </c>
      <c r="BF79" s="127">
        <v>4800</v>
      </c>
      <c r="BG79" s="127">
        <v>4200</v>
      </c>
      <c r="BH79" s="127">
        <v>4000</v>
      </c>
      <c r="BI79" s="86">
        <f t="shared" si="127"/>
        <v>7912.791666666667</v>
      </c>
      <c r="BJ79" s="67">
        <f t="shared" si="128"/>
        <v>-1769.208333333333</v>
      </c>
      <c r="BK79" s="64">
        <f>+BJ79/AW79</f>
        <v>-0.18273170143909656</v>
      </c>
      <c r="BL79" s="478">
        <f t="shared" si="130"/>
        <v>7912.791666666667</v>
      </c>
      <c r="BM79" s="535">
        <f t="shared" si="150"/>
        <v>7912.791666666667</v>
      </c>
    </row>
    <row r="80" spans="1:65" s="68" customFormat="1" ht="34.35" customHeight="1">
      <c r="A80" s="231" t="s">
        <v>8</v>
      </c>
      <c r="B80" s="358" t="s">
        <v>2271</v>
      </c>
      <c r="C80" s="50" t="s">
        <v>94</v>
      </c>
      <c r="D80" s="101" t="s">
        <v>430</v>
      </c>
      <c r="E80" s="395" t="s">
        <v>12</v>
      </c>
      <c r="F80" s="410">
        <v>6152</v>
      </c>
      <c r="G80" s="10"/>
      <c r="H80" s="167">
        <v>0</v>
      </c>
      <c r="I80" s="10">
        <v>6500</v>
      </c>
      <c r="J80" s="76">
        <f t="shared" si="133"/>
        <v>6500</v>
      </c>
      <c r="K80" s="24">
        <f t="shared" si="134"/>
        <v>348</v>
      </c>
      <c r="L80" s="281">
        <f t="shared" si="135"/>
        <v>5.6566970091027305E-2</v>
      </c>
      <c r="M80" s="431">
        <f t="shared" si="136"/>
        <v>0</v>
      </c>
      <c r="N80" s="443"/>
      <c r="O80" s="250"/>
      <c r="P80" s="250"/>
      <c r="Q80" s="250"/>
      <c r="R80" s="250"/>
      <c r="S80" s="250"/>
      <c r="T80" s="250"/>
      <c r="U80" s="250"/>
      <c r="V80" s="443"/>
      <c r="W80" s="477">
        <v>11117</v>
      </c>
      <c r="X80" s="60">
        <v>14459</v>
      </c>
      <c r="Y80" s="92">
        <v>18796</v>
      </c>
      <c r="Z80" s="98">
        <v>12637.8</v>
      </c>
      <c r="AA80" s="86">
        <f t="shared" si="113"/>
        <v>15297.6</v>
      </c>
      <c r="AB80" s="67">
        <f t="shared" si="114"/>
        <v>4180.6000000000004</v>
      </c>
      <c r="AC80" s="64">
        <f t="shared" si="115"/>
        <v>0.37605469101376277</v>
      </c>
      <c r="AD80" s="486" t="str">
        <f t="shared" si="116"/>
        <v>REVISAR PRECIO</v>
      </c>
      <c r="AE80" s="490">
        <f t="shared" si="132"/>
        <v>15297.6</v>
      </c>
      <c r="AF80" s="410">
        <v>6246</v>
      </c>
      <c r="AG80" s="45"/>
      <c r="AH80" s="45">
        <v>7258</v>
      </c>
      <c r="AI80" s="45">
        <v>18000</v>
      </c>
      <c r="AJ80" s="76">
        <f t="shared" si="141"/>
        <v>12629</v>
      </c>
      <c r="AK80" s="24">
        <f t="shared" si="142"/>
        <v>6383</v>
      </c>
      <c r="AL80" s="281">
        <f t="shared" si="143"/>
        <v>1.0219340377841819</v>
      </c>
      <c r="AM80" s="462">
        <f t="shared" si="144"/>
        <v>12629</v>
      </c>
      <c r="AN80" s="515"/>
      <c r="AO80" s="117"/>
      <c r="AP80" s="117"/>
      <c r="AQ80" s="117"/>
      <c r="AR80" s="117"/>
      <c r="AS80" s="117"/>
      <c r="AT80" s="117"/>
      <c r="AU80" s="518"/>
      <c r="AV80" s="548"/>
      <c r="AW80" s="515"/>
      <c r="AX80" s="83"/>
      <c r="AY80" s="83"/>
      <c r="AZ80" s="84"/>
      <c r="BA80" s="85"/>
      <c r="BB80" s="60"/>
      <c r="BC80" s="83"/>
      <c r="BD80" s="250"/>
      <c r="BE80" s="250"/>
      <c r="BF80" s="250"/>
      <c r="BG80" s="250"/>
      <c r="BH80" s="250"/>
      <c r="BI80" s="86"/>
      <c r="BJ80" s="67"/>
      <c r="BK80" s="64"/>
      <c r="BL80" s="478"/>
      <c r="BM80" s="535"/>
    </row>
    <row r="81" spans="1:65" ht="34.35" customHeight="1">
      <c r="A81" s="91" t="s">
        <v>8</v>
      </c>
      <c r="B81" s="358" t="s">
        <v>2272</v>
      </c>
      <c r="C81" s="50" t="s">
        <v>95</v>
      </c>
      <c r="D81" s="99" t="s">
        <v>431</v>
      </c>
      <c r="E81" s="391" t="s">
        <v>13</v>
      </c>
      <c r="F81" s="410">
        <v>6427</v>
      </c>
      <c r="G81" s="10">
        <v>16000</v>
      </c>
      <c r="H81" s="167">
        <v>96000</v>
      </c>
      <c r="I81" s="10">
        <v>13850</v>
      </c>
      <c r="J81" s="76">
        <f t="shared" si="133"/>
        <v>14925</v>
      </c>
      <c r="K81" s="24">
        <f t="shared" si="134"/>
        <v>8498</v>
      </c>
      <c r="L81" s="281">
        <f t="shared" si="135"/>
        <v>1.3222343239458534</v>
      </c>
      <c r="M81" s="431">
        <f t="shared" si="136"/>
        <v>96000</v>
      </c>
      <c r="N81" s="443"/>
      <c r="O81" s="250"/>
      <c r="P81" s="250"/>
      <c r="Q81" s="250"/>
      <c r="R81" s="250"/>
      <c r="S81" s="250"/>
      <c r="T81" s="250"/>
      <c r="U81" s="250"/>
      <c r="V81" s="443"/>
      <c r="W81" s="410">
        <v>11615</v>
      </c>
      <c r="X81" s="10">
        <v>15107</v>
      </c>
      <c r="Y81" s="33">
        <v>19638</v>
      </c>
      <c r="Z81" s="473">
        <v>13204.2</v>
      </c>
      <c r="AA81" s="76">
        <f t="shared" si="113"/>
        <v>15983.066666666666</v>
      </c>
      <c r="AB81" s="24">
        <f t="shared" si="114"/>
        <v>4368.0666666666657</v>
      </c>
      <c r="AC81" s="25">
        <f t="shared" si="115"/>
        <v>0.37607117233462467</v>
      </c>
      <c r="AD81" s="309" t="str">
        <f t="shared" si="116"/>
        <v>REVISAR PRECIO</v>
      </c>
      <c r="AE81" s="462">
        <f t="shared" si="132"/>
        <v>15983.066666666666</v>
      </c>
      <c r="AF81" s="410">
        <v>6521</v>
      </c>
      <c r="AG81" s="45">
        <v>15000</v>
      </c>
      <c r="AH81" s="45">
        <v>7585</v>
      </c>
      <c r="AI81" s="45">
        <v>15000</v>
      </c>
      <c r="AJ81" s="76">
        <f t="shared" si="141"/>
        <v>12528.333333333334</v>
      </c>
      <c r="AK81" s="24">
        <f t="shared" si="142"/>
        <v>6007.3333333333339</v>
      </c>
      <c r="AL81" s="281">
        <f t="shared" si="143"/>
        <v>0.92122885038082103</v>
      </c>
      <c r="AM81" s="462">
        <f t="shared" si="144"/>
        <v>12528.333333333334</v>
      </c>
      <c r="AN81" s="513">
        <v>6559</v>
      </c>
      <c r="AO81" s="88">
        <v>18000</v>
      </c>
      <c r="AP81" s="116">
        <v>18000</v>
      </c>
      <c r="AQ81" s="74">
        <v>17600</v>
      </c>
      <c r="AR81" s="76">
        <f t="shared" ref="AR81" si="157">AVERAGE(AO81,AP81,AQ81)</f>
        <v>17866.666666666668</v>
      </c>
      <c r="AS81" s="24">
        <f t="shared" ref="AS81" si="158">AR81-AN81</f>
        <v>11307.666666666668</v>
      </c>
      <c r="AT81" s="25">
        <f t="shared" ref="AT81" si="159">+AS81/AN81</f>
        <v>1.723992478528231</v>
      </c>
      <c r="AU81" s="309" t="str">
        <f t="shared" ref="AU81" si="160">+IF(AT81&lt;35%,AR81,"REVISAR PRECIO")</f>
        <v>REVISAR PRECIO</v>
      </c>
      <c r="AV81" s="462">
        <f t="shared" ref="AV81" si="161">AR81</f>
        <v>17866.666666666668</v>
      </c>
      <c r="AW81" s="513">
        <v>6559</v>
      </c>
      <c r="AX81" s="74">
        <v>18400</v>
      </c>
      <c r="AY81" s="74">
        <v>16000</v>
      </c>
      <c r="AZ81" s="75">
        <v>21200</v>
      </c>
      <c r="BA81" s="61">
        <v>18400</v>
      </c>
      <c r="BB81" s="60">
        <v>14000</v>
      </c>
      <c r="BC81" s="74">
        <v>21160</v>
      </c>
      <c r="BD81" s="79">
        <v>21200</v>
      </c>
      <c r="BE81" s="79">
        <v>16000</v>
      </c>
      <c r="BF81" s="127">
        <v>19200</v>
      </c>
      <c r="BG81" s="128">
        <v>16000</v>
      </c>
      <c r="BH81" s="128">
        <v>20000</v>
      </c>
      <c r="BI81" s="76">
        <f t="shared" ref="BI81:BI95" si="162">AVERAGE(AX81,AY81,AZ81,BA81,BB81,BC81)</f>
        <v>18193.333333333332</v>
      </c>
      <c r="BJ81" s="24">
        <f t="shared" ref="BJ81:BJ95" si="163">BI81-AW81</f>
        <v>11634.333333333332</v>
      </c>
      <c r="BK81" s="25">
        <f>+BJ81/AW81</f>
        <v>1.7737968186207245</v>
      </c>
      <c r="BL81" s="259" t="str">
        <f t="shared" ref="BL81:BL95" si="164">+IF(BK81&lt;35%,BI81,"REVISAR PRECIO")</f>
        <v>REVISAR PRECIO</v>
      </c>
      <c r="BM81" s="533">
        <f t="shared" ref="BM81" si="165">BI81</f>
        <v>18193.333333333332</v>
      </c>
    </row>
    <row r="82" spans="1:65" ht="42.6" customHeight="1">
      <c r="A82" s="91" t="s">
        <v>8</v>
      </c>
      <c r="B82" s="358" t="s">
        <v>2273</v>
      </c>
      <c r="C82" s="50" t="s">
        <v>96</v>
      </c>
      <c r="D82" s="99" t="s">
        <v>432</v>
      </c>
      <c r="E82" s="391" t="s">
        <v>14</v>
      </c>
      <c r="F82" s="410">
        <v>512116</v>
      </c>
      <c r="G82" s="10"/>
      <c r="H82" s="167">
        <v>12000</v>
      </c>
      <c r="I82" s="10">
        <v>460500</v>
      </c>
      <c r="J82" s="76">
        <f t="shared" si="133"/>
        <v>460500</v>
      </c>
      <c r="K82" s="24">
        <f t="shared" si="134"/>
        <v>-51616</v>
      </c>
      <c r="L82" s="281">
        <f t="shared" si="135"/>
        <v>-0.10078966484155934</v>
      </c>
      <c r="M82" s="431">
        <f t="shared" si="136"/>
        <v>12000</v>
      </c>
      <c r="N82" s="410">
        <v>465469</v>
      </c>
      <c r="O82" s="10"/>
      <c r="P82" s="10">
        <v>39000</v>
      </c>
      <c r="Q82" s="268">
        <v>39000</v>
      </c>
      <c r="R82" s="10">
        <v>55000</v>
      </c>
      <c r="S82" s="76">
        <f t="shared" ref="S82:S85" si="166">AVERAGE(O82,P82,Q82,R82)</f>
        <v>44333.333333333336</v>
      </c>
      <c r="T82" s="24">
        <f t="shared" ref="T82:T85" si="167">S82-N82</f>
        <v>-421135.66666666669</v>
      </c>
      <c r="U82" s="281">
        <f t="shared" ref="U82:U85" si="168">+T82/N82</f>
        <v>-0.90475556195292639</v>
      </c>
      <c r="V82" s="462">
        <f t="shared" ref="V82:V85" si="169">S82</f>
        <v>44333.333333333336</v>
      </c>
      <c r="W82" s="410">
        <v>925356</v>
      </c>
      <c r="X82" s="10">
        <v>1203498</v>
      </c>
      <c r="Y82" s="31">
        <v>1564547</v>
      </c>
      <c r="Z82" s="473">
        <v>1051946.3999999999</v>
      </c>
      <c r="AA82" s="76">
        <f t="shared" si="113"/>
        <v>1273330.4666666666</v>
      </c>
      <c r="AB82" s="24">
        <f t="shared" si="114"/>
        <v>347974.46666666656</v>
      </c>
      <c r="AC82" s="25">
        <f t="shared" si="115"/>
        <v>0.37604388653303872</v>
      </c>
      <c r="AD82" s="309" t="str">
        <f t="shared" si="116"/>
        <v>REVISAR PRECIO</v>
      </c>
      <c r="AE82" s="462">
        <f t="shared" si="132"/>
        <v>1273330.4666666666</v>
      </c>
      <c r="AF82" s="410">
        <v>519767</v>
      </c>
      <c r="AG82" s="45"/>
      <c r="AH82" s="45">
        <v>604244</v>
      </c>
      <c r="AI82" s="45">
        <v>85000</v>
      </c>
      <c r="AJ82" s="76">
        <f t="shared" si="141"/>
        <v>344622</v>
      </c>
      <c r="AK82" s="24">
        <f t="shared" si="142"/>
        <v>-175145</v>
      </c>
      <c r="AL82" s="281">
        <f t="shared" si="143"/>
        <v>-0.33696829540928919</v>
      </c>
      <c r="AM82" s="462" t="s">
        <v>807</v>
      </c>
      <c r="AN82" s="513">
        <v>522358</v>
      </c>
      <c r="AO82" s="88"/>
      <c r="AP82" s="123"/>
      <c r="AQ82" s="74" t="s">
        <v>810</v>
      </c>
      <c r="AR82" s="76"/>
      <c r="AS82" s="24"/>
      <c r="AT82" s="25"/>
      <c r="AU82" s="310"/>
      <c r="AV82" s="468" t="s">
        <v>807</v>
      </c>
      <c r="AW82" s="513">
        <v>522358</v>
      </c>
      <c r="AX82" s="74" t="s">
        <v>810</v>
      </c>
      <c r="AY82" s="74"/>
      <c r="AZ82" s="75"/>
      <c r="BA82" s="61">
        <v>1380000</v>
      </c>
      <c r="BB82" s="60">
        <v>350000</v>
      </c>
      <c r="BC82" s="74">
        <v>1586999.9999999998</v>
      </c>
      <c r="BD82" s="79"/>
      <c r="BE82" s="79"/>
      <c r="BF82" s="127"/>
      <c r="BG82" s="128">
        <v>350000</v>
      </c>
      <c r="BH82" s="128"/>
      <c r="BI82" s="76">
        <f t="shared" si="162"/>
        <v>1105666.6666666667</v>
      </c>
      <c r="BJ82" s="24">
        <f t="shared" si="163"/>
        <v>583308.66666666674</v>
      </c>
      <c r="BK82" s="25">
        <f>+BJ82/AW82</f>
        <v>1.1166837047899463</v>
      </c>
      <c r="BL82" s="259" t="str">
        <f t="shared" si="164"/>
        <v>REVISAR PRECIO</v>
      </c>
      <c r="BM82" s="536" t="s">
        <v>807</v>
      </c>
    </row>
    <row r="83" spans="1:65" ht="30.6" customHeight="1">
      <c r="A83" s="91" t="s">
        <v>8</v>
      </c>
      <c r="B83" s="358" t="s">
        <v>2274</v>
      </c>
      <c r="C83" s="50" t="s">
        <v>97</v>
      </c>
      <c r="D83" s="99" t="s">
        <v>433</v>
      </c>
      <c r="E83" s="391" t="s">
        <v>10</v>
      </c>
      <c r="F83" s="410">
        <v>36717</v>
      </c>
      <c r="G83" s="10">
        <v>35000</v>
      </c>
      <c r="H83" s="167">
        <v>70000</v>
      </c>
      <c r="I83" s="10">
        <v>33502</v>
      </c>
      <c r="J83" s="76">
        <f t="shared" si="133"/>
        <v>34251</v>
      </c>
      <c r="K83" s="24">
        <f t="shared" si="134"/>
        <v>-2466</v>
      </c>
      <c r="L83" s="281">
        <f t="shared" si="135"/>
        <v>-6.7162349865185059E-2</v>
      </c>
      <c r="M83" s="431">
        <f t="shared" si="136"/>
        <v>70000</v>
      </c>
      <c r="N83" s="410">
        <v>33366</v>
      </c>
      <c r="O83" s="10">
        <v>35000</v>
      </c>
      <c r="P83" s="10">
        <v>39000</v>
      </c>
      <c r="Q83" s="268">
        <v>38000</v>
      </c>
      <c r="R83" s="10">
        <v>40000</v>
      </c>
      <c r="S83" s="76">
        <f t="shared" si="166"/>
        <v>38000</v>
      </c>
      <c r="T83" s="24">
        <f t="shared" si="167"/>
        <v>4634</v>
      </c>
      <c r="U83" s="281">
        <f t="shared" si="168"/>
        <v>0.13888389378409158</v>
      </c>
      <c r="V83" s="462">
        <f t="shared" si="169"/>
        <v>38000</v>
      </c>
      <c r="W83" s="410">
        <v>66339</v>
      </c>
      <c r="X83" s="10">
        <v>86279</v>
      </c>
      <c r="Y83" s="33">
        <v>112162</v>
      </c>
      <c r="Z83" s="473">
        <v>75413.8</v>
      </c>
      <c r="AA83" s="76">
        <f t="shared" si="113"/>
        <v>91284.933333333334</v>
      </c>
      <c r="AB83" s="24">
        <f t="shared" si="114"/>
        <v>24945.933333333334</v>
      </c>
      <c r="AC83" s="25">
        <f t="shared" si="115"/>
        <v>0.37603722295080322</v>
      </c>
      <c r="AD83" s="309" t="str">
        <f t="shared" si="116"/>
        <v>REVISAR PRECIO</v>
      </c>
      <c r="AE83" s="462">
        <f t="shared" si="132"/>
        <v>91284.933333333334</v>
      </c>
      <c r="AF83" s="410">
        <v>37257</v>
      </c>
      <c r="AG83" s="45">
        <v>35000</v>
      </c>
      <c r="AH83" s="45">
        <v>43317</v>
      </c>
      <c r="AI83" s="45">
        <v>65000</v>
      </c>
      <c r="AJ83" s="76">
        <f t="shared" si="141"/>
        <v>47772.333333333336</v>
      </c>
      <c r="AK83" s="24">
        <f t="shared" si="142"/>
        <v>10515.333333333336</v>
      </c>
      <c r="AL83" s="281">
        <f t="shared" si="143"/>
        <v>0.28223778976657637</v>
      </c>
      <c r="AM83" s="462">
        <f t="shared" ref="AM83:AM87" si="170">AJ83</f>
        <v>47772.333333333336</v>
      </c>
      <c r="AN83" s="513">
        <v>37447</v>
      </c>
      <c r="AO83" s="88">
        <v>40000</v>
      </c>
      <c r="AP83" s="116">
        <v>40000</v>
      </c>
      <c r="AQ83" s="74">
        <v>38500</v>
      </c>
      <c r="AR83" s="76">
        <f t="shared" ref="AR83:AR95" si="171">AVERAGE(AO83,AP83,AQ83)</f>
        <v>39500</v>
      </c>
      <c r="AS83" s="24">
        <f t="shared" ref="AS83:AS95" si="172">AR83-AN83</f>
        <v>2053</v>
      </c>
      <c r="AT83" s="25">
        <f t="shared" ref="AT83" si="173">+AS83/AN83</f>
        <v>5.4824151467407267E-2</v>
      </c>
      <c r="AU83" s="309">
        <f t="shared" ref="AU83" si="174">+IF(AT83&lt;35%,AR83,"REVISAR PRECIO")</f>
        <v>39500</v>
      </c>
      <c r="AV83" s="462">
        <f t="shared" ref="AV83:AV95" si="175">AR83</f>
        <v>39500</v>
      </c>
      <c r="AW83" s="513">
        <v>37447</v>
      </c>
      <c r="AX83" s="74">
        <v>40250</v>
      </c>
      <c r="AY83" s="74">
        <v>45000</v>
      </c>
      <c r="AZ83" s="75">
        <v>46375</v>
      </c>
      <c r="BA83" s="61">
        <v>40250</v>
      </c>
      <c r="BB83" s="60">
        <v>10000</v>
      </c>
      <c r="BC83" s="74">
        <v>46287.5</v>
      </c>
      <c r="BD83" s="79">
        <v>46375</v>
      </c>
      <c r="BE83" s="79">
        <v>35000</v>
      </c>
      <c r="BF83" s="127">
        <v>42000</v>
      </c>
      <c r="BG83" s="128">
        <v>42000</v>
      </c>
      <c r="BH83" s="128">
        <v>40000</v>
      </c>
      <c r="BI83" s="76">
        <f t="shared" si="162"/>
        <v>38027.083333333336</v>
      </c>
      <c r="BJ83" s="24">
        <f t="shared" si="163"/>
        <v>580.08333333333576</v>
      </c>
      <c r="BK83" s="25">
        <f>+BJ83/AW83</f>
        <v>1.549078252819547E-2</v>
      </c>
      <c r="BL83" s="259">
        <f t="shared" si="164"/>
        <v>38027.083333333336</v>
      </c>
      <c r="BM83" s="532">
        <f>AVERAGE(AX83,AY83,AZ83,BA83,BC83,BI83)</f>
        <v>42698.263888888891</v>
      </c>
    </row>
    <row r="84" spans="1:65" ht="30.6" customHeight="1">
      <c r="A84" s="91" t="s">
        <v>8</v>
      </c>
      <c r="B84" s="358" t="s">
        <v>2275</v>
      </c>
      <c r="C84" s="50" t="s">
        <v>98</v>
      </c>
      <c r="D84" s="99" t="s">
        <v>434</v>
      </c>
      <c r="E84" s="391" t="s">
        <v>14</v>
      </c>
      <c r="F84" s="410">
        <v>4263</v>
      </c>
      <c r="G84" s="10">
        <v>1000</v>
      </c>
      <c r="H84" s="167">
        <v>2000</v>
      </c>
      <c r="I84" s="10">
        <v>1500</v>
      </c>
      <c r="J84" s="76">
        <f t="shared" si="133"/>
        <v>1250</v>
      </c>
      <c r="K84" s="24">
        <f t="shared" si="134"/>
        <v>-3013</v>
      </c>
      <c r="L84" s="281">
        <f t="shared" si="135"/>
        <v>-0.7067792634295097</v>
      </c>
      <c r="M84" s="431">
        <f t="shared" si="136"/>
        <v>2000</v>
      </c>
      <c r="N84" s="410">
        <v>3873</v>
      </c>
      <c r="O84" s="10">
        <v>15000</v>
      </c>
      <c r="P84" s="10">
        <v>18000</v>
      </c>
      <c r="Q84" s="268">
        <v>18000</v>
      </c>
      <c r="R84" s="10">
        <v>10000</v>
      </c>
      <c r="S84" s="76">
        <f t="shared" si="166"/>
        <v>15250</v>
      </c>
      <c r="T84" s="24">
        <f t="shared" si="167"/>
        <v>11377</v>
      </c>
      <c r="U84" s="281">
        <f t="shared" si="168"/>
        <v>2.9375161373612189</v>
      </c>
      <c r="V84" s="462">
        <f t="shared" si="169"/>
        <v>15250</v>
      </c>
      <c r="W84" s="410">
        <v>7692</v>
      </c>
      <c r="X84" s="10">
        <v>10004</v>
      </c>
      <c r="Y84" s="31">
        <v>13005</v>
      </c>
      <c r="Z84" s="473">
        <v>8743.7999999999993</v>
      </c>
      <c r="AA84" s="76">
        <f t="shared" si="113"/>
        <v>10584.266666666666</v>
      </c>
      <c r="AB84" s="24">
        <f t="shared" si="114"/>
        <v>2892.2666666666664</v>
      </c>
      <c r="AC84" s="25">
        <f t="shared" si="115"/>
        <v>0.37600970705494885</v>
      </c>
      <c r="AD84" s="309" t="str">
        <f t="shared" si="116"/>
        <v>REVISAR PRECIO</v>
      </c>
      <c r="AE84" s="462">
        <f t="shared" si="132"/>
        <v>10584.266666666666</v>
      </c>
      <c r="AF84" s="410">
        <v>4319</v>
      </c>
      <c r="AG84" s="45">
        <v>3000</v>
      </c>
      <c r="AH84" s="45">
        <v>5025</v>
      </c>
      <c r="AI84" s="45">
        <v>15000</v>
      </c>
      <c r="AJ84" s="76">
        <f t="shared" si="141"/>
        <v>7675</v>
      </c>
      <c r="AK84" s="24">
        <f t="shared" si="142"/>
        <v>3356</v>
      </c>
      <c r="AL84" s="281">
        <f t="shared" si="143"/>
        <v>0.77703172030562628</v>
      </c>
      <c r="AM84" s="462">
        <f t="shared" si="170"/>
        <v>7675</v>
      </c>
      <c r="AN84" s="513"/>
      <c r="AO84" s="88">
        <v>1000</v>
      </c>
      <c r="AP84" s="116">
        <v>1000</v>
      </c>
      <c r="AQ84" s="74">
        <v>1100</v>
      </c>
      <c r="AR84" s="76">
        <f t="shared" si="171"/>
        <v>1033.3333333333333</v>
      </c>
      <c r="AS84" s="24">
        <f t="shared" si="172"/>
        <v>1033.3333333333333</v>
      </c>
      <c r="AT84" s="25"/>
      <c r="AU84" s="309"/>
      <c r="AV84" s="462">
        <f t="shared" si="175"/>
        <v>1033.3333333333333</v>
      </c>
      <c r="AW84" s="513"/>
      <c r="AX84" s="74">
        <v>1150</v>
      </c>
      <c r="AY84" s="74">
        <v>5000</v>
      </c>
      <c r="AZ84" s="75">
        <v>1325</v>
      </c>
      <c r="BA84" s="61">
        <v>6209.9999999999991</v>
      </c>
      <c r="BB84" s="60">
        <v>12000</v>
      </c>
      <c r="BC84" s="74">
        <v>7141.4999999999982</v>
      </c>
      <c r="BD84" s="79">
        <v>1325</v>
      </c>
      <c r="BE84" s="79">
        <v>1000</v>
      </c>
      <c r="BF84" s="127">
        <v>1200</v>
      </c>
      <c r="BG84" s="128">
        <v>2000</v>
      </c>
      <c r="BH84" s="128">
        <v>2000</v>
      </c>
      <c r="BI84" s="76">
        <f t="shared" si="162"/>
        <v>5471.083333333333</v>
      </c>
      <c r="BJ84" s="24">
        <f t="shared" si="163"/>
        <v>5471.083333333333</v>
      </c>
      <c r="BK84" s="25"/>
      <c r="BL84" s="259">
        <f t="shared" si="164"/>
        <v>5471.083333333333</v>
      </c>
      <c r="BM84" s="534">
        <f>AVERAGE(AY84,BA84,BB84,BC84)</f>
        <v>7587.875</v>
      </c>
    </row>
    <row r="85" spans="1:65" ht="30.6" customHeight="1">
      <c r="A85" s="91" t="s">
        <v>8</v>
      </c>
      <c r="B85" s="358" t="s">
        <v>2276</v>
      </c>
      <c r="C85" s="50" t="s">
        <v>99</v>
      </c>
      <c r="D85" s="99" t="s">
        <v>435</v>
      </c>
      <c r="E85" s="391" t="s">
        <v>14</v>
      </c>
      <c r="F85" s="410">
        <v>39091</v>
      </c>
      <c r="G85" s="10">
        <v>800</v>
      </c>
      <c r="H85" s="167">
        <v>2400</v>
      </c>
      <c r="I85" s="10">
        <v>2600</v>
      </c>
      <c r="J85" s="76">
        <f t="shared" si="133"/>
        <v>1700</v>
      </c>
      <c r="K85" s="24">
        <f t="shared" si="134"/>
        <v>-37391</v>
      </c>
      <c r="L85" s="281">
        <f t="shared" si="135"/>
        <v>-0.9565117290424906</v>
      </c>
      <c r="M85" s="431">
        <f t="shared" si="136"/>
        <v>2400</v>
      </c>
      <c r="N85" s="410">
        <v>35530</v>
      </c>
      <c r="O85" s="10">
        <v>10000</v>
      </c>
      <c r="P85" s="10">
        <v>12000</v>
      </c>
      <c r="Q85" s="268">
        <v>12000</v>
      </c>
      <c r="R85" s="10">
        <v>15000</v>
      </c>
      <c r="S85" s="76">
        <f t="shared" si="166"/>
        <v>12250</v>
      </c>
      <c r="T85" s="24">
        <f t="shared" si="167"/>
        <v>-23280</v>
      </c>
      <c r="U85" s="281">
        <f t="shared" si="168"/>
        <v>-0.65522094005066145</v>
      </c>
      <c r="V85" s="462">
        <f t="shared" si="169"/>
        <v>12250</v>
      </c>
      <c r="W85" s="410">
        <v>70626</v>
      </c>
      <c r="X85" s="10">
        <v>91854</v>
      </c>
      <c r="Y85" s="31">
        <v>119410</v>
      </c>
      <c r="Z85" s="473">
        <v>80287.199999999997</v>
      </c>
      <c r="AA85" s="76">
        <f t="shared" si="113"/>
        <v>97183.733333333337</v>
      </c>
      <c r="AB85" s="24">
        <f t="shared" si="114"/>
        <v>26557.733333333337</v>
      </c>
      <c r="AC85" s="25">
        <f t="shared" si="115"/>
        <v>0.37603337769848694</v>
      </c>
      <c r="AD85" s="309" t="str">
        <f t="shared" si="116"/>
        <v>REVISAR PRECIO</v>
      </c>
      <c r="AE85" s="462">
        <f t="shared" si="132"/>
        <v>97183.733333333337</v>
      </c>
      <c r="AF85" s="410">
        <v>39669</v>
      </c>
      <c r="AG85" s="45">
        <v>4000</v>
      </c>
      <c r="AH85" s="45">
        <v>52838</v>
      </c>
      <c r="AI85" s="45">
        <v>25000</v>
      </c>
      <c r="AJ85" s="76">
        <f t="shared" si="141"/>
        <v>27279.333333333332</v>
      </c>
      <c r="AK85" s="24">
        <f t="shared" si="142"/>
        <v>-12389.666666666668</v>
      </c>
      <c r="AL85" s="281">
        <f t="shared" si="143"/>
        <v>-0.31232616568773269</v>
      </c>
      <c r="AM85" s="462">
        <f t="shared" si="170"/>
        <v>27279.333333333332</v>
      </c>
      <c r="AN85" s="513"/>
      <c r="AO85" s="88">
        <v>1000</v>
      </c>
      <c r="AP85" s="116">
        <v>1000</v>
      </c>
      <c r="AQ85" s="74">
        <v>880</v>
      </c>
      <c r="AR85" s="76">
        <f t="shared" si="171"/>
        <v>960</v>
      </c>
      <c r="AS85" s="24">
        <f t="shared" si="172"/>
        <v>960</v>
      </c>
      <c r="AT85" s="25"/>
      <c r="AU85" s="309"/>
      <c r="AV85" s="462">
        <f t="shared" si="175"/>
        <v>960</v>
      </c>
      <c r="AW85" s="513"/>
      <c r="AX85" s="74">
        <v>920</v>
      </c>
      <c r="AY85" s="74">
        <v>25000</v>
      </c>
      <c r="AZ85" s="75">
        <v>1060</v>
      </c>
      <c r="BA85" s="61">
        <v>1380</v>
      </c>
      <c r="BB85" s="60">
        <v>32000</v>
      </c>
      <c r="BC85" s="74">
        <v>1586.9999999999998</v>
      </c>
      <c r="BD85" s="79">
        <v>1060</v>
      </c>
      <c r="BE85" s="79">
        <v>800</v>
      </c>
      <c r="BF85" s="127">
        <v>960</v>
      </c>
      <c r="BG85" s="128">
        <v>1500</v>
      </c>
      <c r="BH85" s="128">
        <v>1000</v>
      </c>
      <c r="BI85" s="76">
        <f t="shared" si="162"/>
        <v>10324.5</v>
      </c>
      <c r="BJ85" s="24">
        <f t="shared" si="163"/>
        <v>10324.5</v>
      </c>
      <c r="BK85" s="25"/>
      <c r="BL85" s="259">
        <f t="shared" si="164"/>
        <v>10324.5</v>
      </c>
      <c r="BM85" s="533">
        <f t="shared" ref="BM85" si="176">BI85</f>
        <v>10324.5</v>
      </c>
    </row>
    <row r="86" spans="1:65" ht="30.6" customHeight="1">
      <c r="A86" s="91" t="s">
        <v>8</v>
      </c>
      <c r="B86" s="358" t="s">
        <v>2277</v>
      </c>
      <c r="C86" s="50" t="s">
        <v>100</v>
      </c>
      <c r="D86" s="99" t="s">
        <v>436</v>
      </c>
      <c r="E86" s="391" t="s">
        <v>14</v>
      </c>
      <c r="F86" s="410">
        <v>15559</v>
      </c>
      <c r="G86" s="10">
        <v>1800</v>
      </c>
      <c r="H86" s="167">
        <v>5400</v>
      </c>
      <c r="I86" s="10">
        <v>3650</v>
      </c>
      <c r="J86" s="76">
        <f t="shared" si="133"/>
        <v>2725</v>
      </c>
      <c r="K86" s="24">
        <f t="shared" si="134"/>
        <v>-12834</v>
      </c>
      <c r="L86" s="281">
        <f t="shared" si="135"/>
        <v>-0.82486020952503369</v>
      </c>
      <c r="M86" s="431">
        <f t="shared" si="136"/>
        <v>5400</v>
      </c>
      <c r="N86" s="443"/>
      <c r="O86" s="250"/>
      <c r="P86" s="250"/>
      <c r="Q86" s="250"/>
      <c r="R86" s="250"/>
      <c r="S86" s="250"/>
      <c r="T86" s="250"/>
      <c r="U86" s="250"/>
      <c r="V86" s="443"/>
      <c r="W86" s="410">
        <v>28109</v>
      </c>
      <c r="X86" s="10">
        <v>36558</v>
      </c>
      <c r="Y86" s="31">
        <v>36558</v>
      </c>
      <c r="Z86" s="31">
        <v>31742</v>
      </c>
      <c r="AA86" s="76">
        <f t="shared" si="113"/>
        <v>34952.666666666664</v>
      </c>
      <c r="AB86" s="24">
        <f t="shared" si="114"/>
        <v>6843.6666666666642</v>
      </c>
      <c r="AC86" s="25">
        <f t="shared" si="115"/>
        <v>0.24346887710934806</v>
      </c>
      <c r="AD86" s="309">
        <f t="shared" si="116"/>
        <v>34952.666666666664</v>
      </c>
      <c r="AE86" s="462">
        <f t="shared" si="132"/>
        <v>34952.666666666664</v>
      </c>
      <c r="AF86" s="410">
        <v>15786</v>
      </c>
      <c r="AG86" s="45"/>
      <c r="AH86" s="45">
        <v>18353</v>
      </c>
      <c r="AI86" s="45">
        <v>15000</v>
      </c>
      <c r="AJ86" s="76">
        <f t="shared" si="141"/>
        <v>16676.5</v>
      </c>
      <c r="AK86" s="24">
        <f t="shared" si="142"/>
        <v>890.5</v>
      </c>
      <c r="AL86" s="281">
        <f t="shared" si="143"/>
        <v>5.6410743696946659E-2</v>
      </c>
      <c r="AM86" s="462">
        <f t="shared" si="170"/>
        <v>16676.5</v>
      </c>
      <c r="AN86" s="513"/>
      <c r="AO86" s="88">
        <v>2000</v>
      </c>
      <c r="AP86" s="116">
        <v>2000</v>
      </c>
      <c r="AQ86" s="74">
        <v>1980</v>
      </c>
      <c r="AR86" s="76">
        <f t="shared" si="171"/>
        <v>1993.3333333333333</v>
      </c>
      <c r="AS86" s="24">
        <f t="shared" si="172"/>
        <v>1993.3333333333333</v>
      </c>
      <c r="AT86" s="25"/>
      <c r="AU86" s="309"/>
      <c r="AV86" s="462">
        <f t="shared" si="175"/>
        <v>1993.3333333333333</v>
      </c>
      <c r="AW86" s="513"/>
      <c r="AX86" s="74">
        <v>2070</v>
      </c>
      <c r="AY86" s="74">
        <v>30000</v>
      </c>
      <c r="AZ86" s="75">
        <v>2385</v>
      </c>
      <c r="BA86" s="61">
        <v>14719.999999999998</v>
      </c>
      <c r="BB86" s="60">
        <v>12000</v>
      </c>
      <c r="BC86" s="74">
        <v>16927.999999999996</v>
      </c>
      <c r="BD86" s="79">
        <v>2385</v>
      </c>
      <c r="BE86" s="79">
        <v>1800</v>
      </c>
      <c r="BF86" s="127">
        <v>2160</v>
      </c>
      <c r="BG86" s="128">
        <v>2500</v>
      </c>
      <c r="BH86" s="128">
        <v>3000</v>
      </c>
      <c r="BI86" s="76">
        <f t="shared" si="162"/>
        <v>13017.166666666666</v>
      </c>
      <c r="BJ86" s="24">
        <f t="shared" si="163"/>
        <v>13017.166666666666</v>
      </c>
      <c r="BK86" s="25"/>
      <c r="BL86" s="259">
        <f t="shared" si="164"/>
        <v>13017.166666666666</v>
      </c>
      <c r="BM86" s="534">
        <f>AVERAGE(AY86,AZ86,BA86,BB86,BC86)</f>
        <v>15206.6</v>
      </c>
    </row>
    <row r="87" spans="1:65" ht="30.6" customHeight="1">
      <c r="A87" s="91" t="s">
        <v>8</v>
      </c>
      <c r="B87" s="358" t="s">
        <v>2278</v>
      </c>
      <c r="C87" s="50" t="s">
        <v>101</v>
      </c>
      <c r="D87" s="99" t="s">
        <v>437</v>
      </c>
      <c r="E87" s="391" t="s">
        <v>13</v>
      </c>
      <c r="F87" s="410">
        <v>1216</v>
      </c>
      <c r="G87" s="10">
        <v>5200</v>
      </c>
      <c r="H87" s="167">
        <v>20800</v>
      </c>
      <c r="I87" s="10">
        <v>5000</v>
      </c>
      <c r="J87" s="76">
        <f t="shared" si="133"/>
        <v>5100</v>
      </c>
      <c r="K87" s="24">
        <f t="shared" si="134"/>
        <v>3884</v>
      </c>
      <c r="L87" s="281">
        <f t="shared" si="135"/>
        <v>3.1940789473684212</v>
      </c>
      <c r="M87" s="431">
        <f t="shared" si="136"/>
        <v>20800</v>
      </c>
      <c r="N87" s="410">
        <v>1101</v>
      </c>
      <c r="O87" s="10">
        <v>10000</v>
      </c>
      <c r="P87" s="10">
        <v>12000</v>
      </c>
      <c r="Q87" s="268">
        <v>12000</v>
      </c>
      <c r="R87" s="10">
        <v>10000</v>
      </c>
      <c r="S87" s="76">
        <f t="shared" ref="S87" si="177">AVERAGE(O87,P87,Q87,R87)</f>
        <v>11000</v>
      </c>
      <c r="T87" s="24">
        <f t="shared" ref="T87" si="178">S87-N87</f>
        <v>9899</v>
      </c>
      <c r="U87" s="281">
        <f t="shared" ref="U87" si="179">+T87/N87</f>
        <v>8.9909173478655759</v>
      </c>
      <c r="V87" s="462">
        <f t="shared" ref="V87" si="180">S87</f>
        <v>11000</v>
      </c>
      <c r="W87" s="410">
        <v>2190</v>
      </c>
      <c r="X87" s="10">
        <v>2849</v>
      </c>
      <c r="Y87" s="33">
        <v>3703</v>
      </c>
      <c r="Z87" s="473">
        <v>2489.8000000000002</v>
      </c>
      <c r="AA87" s="76">
        <f t="shared" si="113"/>
        <v>3013.9333333333329</v>
      </c>
      <c r="AB87" s="24">
        <f t="shared" si="114"/>
        <v>823.93333333333294</v>
      </c>
      <c r="AC87" s="25">
        <f t="shared" si="115"/>
        <v>0.37622526636225251</v>
      </c>
      <c r="AD87" s="309" t="str">
        <f t="shared" si="116"/>
        <v>REVISAR PRECIO</v>
      </c>
      <c r="AE87" s="462">
        <f t="shared" si="132"/>
        <v>3013.9333333333329</v>
      </c>
      <c r="AF87" s="410">
        <v>1224</v>
      </c>
      <c r="AG87" s="45">
        <v>6000</v>
      </c>
      <c r="AH87" s="45">
        <v>1428</v>
      </c>
      <c r="AI87" s="45">
        <v>15000</v>
      </c>
      <c r="AJ87" s="76">
        <f t="shared" si="141"/>
        <v>7476</v>
      </c>
      <c r="AK87" s="24">
        <f t="shared" si="142"/>
        <v>6252</v>
      </c>
      <c r="AL87" s="281">
        <f t="shared" si="143"/>
        <v>5.1078431372549016</v>
      </c>
      <c r="AM87" s="462">
        <f t="shared" si="170"/>
        <v>7476</v>
      </c>
      <c r="AN87" s="513">
        <v>1234</v>
      </c>
      <c r="AO87" s="88">
        <v>5500</v>
      </c>
      <c r="AP87" s="116">
        <v>5500</v>
      </c>
      <c r="AQ87" s="74">
        <v>5720</v>
      </c>
      <c r="AR87" s="76">
        <f t="shared" si="171"/>
        <v>5573.333333333333</v>
      </c>
      <c r="AS87" s="24">
        <f t="shared" si="172"/>
        <v>4339.333333333333</v>
      </c>
      <c r="AT87" s="25">
        <f t="shared" ref="AT87:AT90" si="181">+AS87/AN87</f>
        <v>3.5164775796866556</v>
      </c>
      <c r="AU87" s="309" t="str">
        <f t="shared" ref="AU87:AU90" si="182">+IF(AT87&lt;35%,AR87,"REVISAR PRECIO")</f>
        <v>REVISAR PRECIO</v>
      </c>
      <c r="AV87" s="462">
        <f t="shared" si="175"/>
        <v>5573.333333333333</v>
      </c>
      <c r="AW87" s="513">
        <v>1234</v>
      </c>
      <c r="AX87" s="74">
        <v>5980</v>
      </c>
      <c r="AY87" s="74">
        <v>8000</v>
      </c>
      <c r="AZ87" s="75">
        <v>6890</v>
      </c>
      <c r="BA87" s="61">
        <v>8625</v>
      </c>
      <c r="BB87" s="60">
        <v>6000</v>
      </c>
      <c r="BC87" s="74">
        <v>9918.75</v>
      </c>
      <c r="BD87" s="79">
        <v>6890</v>
      </c>
      <c r="BE87" s="79">
        <v>5200</v>
      </c>
      <c r="BF87" s="127">
        <v>6240</v>
      </c>
      <c r="BG87" s="128">
        <v>6000</v>
      </c>
      <c r="BH87" s="128">
        <v>6000</v>
      </c>
      <c r="BI87" s="76">
        <f t="shared" si="162"/>
        <v>7568.958333333333</v>
      </c>
      <c r="BJ87" s="24">
        <f t="shared" si="163"/>
        <v>6334.958333333333</v>
      </c>
      <c r="BK87" s="25">
        <f>+BJ87/AW87</f>
        <v>5.1336777417612103</v>
      </c>
      <c r="BL87" s="259" t="str">
        <f t="shared" si="164"/>
        <v>REVISAR PRECIO</v>
      </c>
      <c r="BM87" s="533">
        <f t="shared" ref="BM87" si="183">BI87</f>
        <v>7568.958333333333</v>
      </c>
    </row>
    <row r="88" spans="1:65" ht="17.100000000000001" customHeight="1">
      <c r="A88" s="91" t="s">
        <v>8</v>
      </c>
      <c r="B88" s="358" t="s">
        <v>2279</v>
      </c>
      <c r="C88" s="50" t="s">
        <v>102</v>
      </c>
      <c r="D88" s="99" t="s">
        <v>438</v>
      </c>
      <c r="E88" s="391" t="s">
        <v>15</v>
      </c>
      <c r="F88" s="410">
        <v>139596</v>
      </c>
      <c r="G88" s="10">
        <v>30760.6</v>
      </c>
      <c r="H88" s="167">
        <v>123042.4</v>
      </c>
      <c r="I88" s="10">
        <v>160000</v>
      </c>
      <c r="J88" s="76">
        <f t="shared" si="133"/>
        <v>95380.3</v>
      </c>
      <c r="K88" s="24">
        <f t="shared" si="134"/>
        <v>-44215.7</v>
      </c>
      <c r="L88" s="281">
        <f t="shared" si="135"/>
        <v>-0.3167404510157884</v>
      </c>
      <c r="M88" s="431">
        <f t="shared" si="136"/>
        <v>123042.4</v>
      </c>
      <c r="N88" s="443"/>
      <c r="O88" s="250"/>
      <c r="P88" s="250"/>
      <c r="Q88" s="250"/>
      <c r="R88" s="250"/>
      <c r="S88" s="250"/>
      <c r="T88" s="250"/>
      <c r="U88" s="250"/>
      <c r="V88" s="443"/>
      <c r="W88" s="410">
        <v>544431</v>
      </c>
      <c r="X88" s="10">
        <v>708075</v>
      </c>
      <c r="Y88" s="31">
        <v>920498</v>
      </c>
      <c r="Z88" s="473">
        <v>618910</v>
      </c>
      <c r="AA88" s="76">
        <f t="shared" si="113"/>
        <v>749161</v>
      </c>
      <c r="AB88" s="24">
        <f t="shared" si="114"/>
        <v>204730</v>
      </c>
      <c r="AC88" s="25">
        <f t="shared" si="115"/>
        <v>0.37604397986154353</v>
      </c>
      <c r="AD88" s="309" t="str">
        <f t="shared" si="116"/>
        <v>REVISAR PRECIO</v>
      </c>
      <c r="AE88" s="462">
        <f t="shared" si="132"/>
        <v>749161</v>
      </c>
      <c r="AF88" s="408"/>
      <c r="AG88" s="293"/>
      <c r="AH88" s="293"/>
      <c r="AI88" s="293"/>
      <c r="AJ88" s="293"/>
      <c r="AK88" s="293"/>
      <c r="AL88" s="327"/>
      <c r="AM88" s="463"/>
      <c r="AN88" s="513">
        <v>142386</v>
      </c>
      <c r="AO88" s="88">
        <v>315000</v>
      </c>
      <c r="AP88" s="116">
        <v>325000</v>
      </c>
      <c r="AQ88" s="74">
        <v>330000</v>
      </c>
      <c r="AR88" s="76">
        <f t="shared" si="171"/>
        <v>323333.33333333331</v>
      </c>
      <c r="AS88" s="24">
        <f t="shared" si="172"/>
        <v>180947.33333333331</v>
      </c>
      <c r="AT88" s="25">
        <f t="shared" si="181"/>
        <v>1.2708225059579825</v>
      </c>
      <c r="AU88" s="309" t="str">
        <f t="shared" si="182"/>
        <v>REVISAR PRECIO</v>
      </c>
      <c r="AV88" s="462">
        <f t="shared" si="175"/>
        <v>323333.33333333331</v>
      </c>
      <c r="AW88" s="513">
        <v>142386</v>
      </c>
      <c r="AX88" s="74">
        <v>345000</v>
      </c>
      <c r="AY88" s="74">
        <v>450000</v>
      </c>
      <c r="AZ88" s="75">
        <v>397500</v>
      </c>
      <c r="BA88" s="61">
        <v>517499.99999999994</v>
      </c>
      <c r="BB88" s="60">
        <v>160000</v>
      </c>
      <c r="BC88" s="74">
        <v>595124.99999999988</v>
      </c>
      <c r="BD88" s="79">
        <v>397500</v>
      </c>
      <c r="BE88" s="79">
        <v>300000</v>
      </c>
      <c r="BF88" s="127">
        <v>360000</v>
      </c>
      <c r="BG88" s="128">
        <v>350000</v>
      </c>
      <c r="BH88" s="128">
        <v>320000</v>
      </c>
      <c r="BI88" s="76">
        <f t="shared" si="162"/>
        <v>410854.16666666669</v>
      </c>
      <c r="BJ88" s="24">
        <f t="shared" si="163"/>
        <v>268468.16666666669</v>
      </c>
      <c r="BK88" s="25">
        <f>+BJ88/AW88</f>
        <v>1.8854955309276662</v>
      </c>
      <c r="BL88" s="259" t="str">
        <f t="shared" si="164"/>
        <v>REVISAR PRECIO</v>
      </c>
      <c r="BM88" s="534">
        <f>AVERAGE(AX88,AY88,AZ88,BA88,BC88)</f>
        <v>461025</v>
      </c>
    </row>
    <row r="89" spans="1:65" ht="17.100000000000001" customHeight="1">
      <c r="A89" s="91" t="s">
        <v>8</v>
      </c>
      <c r="B89" s="358" t="s">
        <v>2280</v>
      </c>
      <c r="C89" s="50" t="s">
        <v>103</v>
      </c>
      <c r="D89" s="99" t="s">
        <v>9</v>
      </c>
      <c r="E89" s="391" t="s">
        <v>16</v>
      </c>
      <c r="F89" s="410">
        <v>1776</v>
      </c>
      <c r="G89" s="10">
        <v>6000</v>
      </c>
      <c r="H89" s="167">
        <v>24000</v>
      </c>
      <c r="I89" s="10">
        <v>38000</v>
      </c>
      <c r="J89" s="76">
        <f t="shared" si="133"/>
        <v>22000</v>
      </c>
      <c r="K89" s="24">
        <f t="shared" si="134"/>
        <v>20224</v>
      </c>
      <c r="L89" s="281">
        <f t="shared" si="135"/>
        <v>11.387387387387387</v>
      </c>
      <c r="M89" s="431">
        <f t="shared" si="136"/>
        <v>24000</v>
      </c>
      <c r="N89" s="443"/>
      <c r="O89" s="250"/>
      <c r="P89" s="250"/>
      <c r="Q89" s="250"/>
      <c r="R89" s="250"/>
      <c r="S89" s="250"/>
      <c r="T89" s="250"/>
      <c r="U89" s="250"/>
      <c r="V89" s="443"/>
      <c r="W89" s="410">
        <v>17750</v>
      </c>
      <c r="X89" s="10">
        <v>23085</v>
      </c>
      <c r="Y89" s="31">
        <v>30011</v>
      </c>
      <c r="Z89" s="473">
        <v>20178</v>
      </c>
      <c r="AA89" s="76">
        <f t="shared" si="113"/>
        <v>24424.666666666668</v>
      </c>
      <c r="AB89" s="24">
        <f t="shared" si="114"/>
        <v>6674.6666666666679</v>
      </c>
      <c r="AC89" s="25">
        <f t="shared" si="115"/>
        <v>0.37603755868544608</v>
      </c>
      <c r="AD89" s="309" t="str">
        <f t="shared" si="116"/>
        <v>REVISAR PRECIO</v>
      </c>
      <c r="AE89" s="462">
        <f t="shared" si="132"/>
        <v>24424.666666666668</v>
      </c>
      <c r="AF89" s="410">
        <v>1804</v>
      </c>
      <c r="AG89" s="45">
        <v>8000</v>
      </c>
      <c r="AH89" s="45">
        <v>2091</v>
      </c>
      <c r="AI89" s="45">
        <v>230000</v>
      </c>
      <c r="AJ89" s="76">
        <f t="shared" ref="AJ89" si="184">AVERAGE(AG89,AH89,AI89)</f>
        <v>80030.333333333328</v>
      </c>
      <c r="AK89" s="24">
        <f t="shared" ref="AK89" si="185">AJ89-AF89</f>
        <v>78226.333333333328</v>
      </c>
      <c r="AL89" s="281">
        <f t="shared" ref="AL89" si="186">+AK89/AF89</f>
        <v>43.362712490761268</v>
      </c>
      <c r="AM89" s="462" t="s">
        <v>807</v>
      </c>
      <c r="AN89" s="513">
        <v>1804</v>
      </c>
      <c r="AO89" s="88">
        <v>6000</v>
      </c>
      <c r="AP89" s="116">
        <v>6000</v>
      </c>
      <c r="AQ89" s="74">
        <v>6600</v>
      </c>
      <c r="AR89" s="76">
        <f t="shared" si="171"/>
        <v>6200</v>
      </c>
      <c r="AS89" s="24">
        <f t="shared" si="172"/>
        <v>4396</v>
      </c>
      <c r="AT89" s="25">
        <f t="shared" si="181"/>
        <v>2.4368070953436809</v>
      </c>
      <c r="AU89" s="309" t="str">
        <f t="shared" si="182"/>
        <v>REVISAR PRECIO</v>
      </c>
      <c r="AV89" s="462">
        <f t="shared" si="175"/>
        <v>6200</v>
      </c>
      <c r="AW89" s="513">
        <v>1804</v>
      </c>
      <c r="AX89" s="74">
        <v>6900</v>
      </c>
      <c r="AY89" s="74">
        <v>8000</v>
      </c>
      <c r="AZ89" s="75">
        <v>7950</v>
      </c>
      <c r="BA89" s="61">
        <v>6899.9999999999991</v>
      </c>
      <c r="BB89" s="60">
        <v>7500</v>
      </c>
      <c r="BC89" s="74">
        <v>7934.9999999999982</v>
      </c>
      <c r="BD89" s="79">
        <v>7950</v>
      </c>
      <c r="BE89" s="79">
        <v>6000</v>
      </c>
      <c r="BF89" s="127">
        <v>7200</v>
      </c>
      <c r="BG89" s="128">
        <v>8000</v>
      </c>
      <c r="BH89" s="128">
        <v>7000</v>
      </c>
      <c r="BI89" s="76">
        <f t="shared" si="162"/>
        <v>7530.833333333333</v>
      </c>
      <c r="BJ89" s="24">
        <f t="shared" si="163"/>
        <v>5726.833333333333</v>
      </c>
      <c r="BK89" s="25">
        <f>+BJ89/AW89</f>
        <v>3.1745195861049518</v>
      </c>
      <c r="BL89" s="259" t="str">
        <f t="shared" si="164"/>
        <v>REVISAR PRECIO</v>
      </c>
      <c r="BM89" s="533">
        <f t="shared" ref="BM89:BM90" si="187">BI89</f>
        <v>7530.833333333333</v>
      </c>
    </row>
    <row r="90" spans="1:65" ht="17.100000000000001" customHeight="1">
      <c r="A90" s="91" t="s">
        <v>8</v>
      </c>
      <c r="B90" s="358" t="s">
        <v>2281</v>
      </c>
      <c r="C90" s="50" t="s">
        <v>104</v>
      </c>
      <c r="D90" s="99" t="s">
        <v>439</v>
      </c>
      <c r="E90" s="391" t="s">
        <v>740</v>
      </c>
      <c r="F90" s="408"/>
      <c r="G90" s="293"/>
      <c r="H90" s="293"/>
      <c r="I90" s="293"/>
      <c r="J90" s="293"/>
      <c r="K90" s="293"/>
      <c r="L90" s="327"/>
      <c r="M90" s="432"/>
      <c r="N90" s="443"/>
      <c r="O90" s="250"/>
      <c r="P90" s="250"/>
      <c r="Q90" s="250"/>
      <c r="R90" s="250"/>
      <c r="S90" s="250"/>
      <c r="T90" s="250"/>
      <c r="U90" s="250"/>
      <c r="V90" s="443"/>
      <c r="W90" s="410">
        <v>61564</v>
      </c>
      <c r="X90" s="10">
        <v>80069</v>
      </c>
      <c r="Y90" s="33">
        <v>104089</v>
      </c>
      <c r="Z90" s="473">
        <v>69985.8</v>
      </c>
      <c r="AA90" s="76">
        <f t="shared" si="113"/>
        <v>84714.599999999991</v>
      </c>
      <c r="AB90" s="24">
        <f t="shared" si="114"/>
        <v>23150.599999999991</v>
      </c>
      <c r="AC90" s="25">
        <f t="shared" si="115"/>
        <v>0.37604119290494431</v>
      </c>
      <c r="AD90" s="309" t="str">
        <f t="shared" si="116"/>
        <v>REVISAR PRECIO</v>
      </c>
      <c r="AE90" s="462">
        <f t="shared" si="132"/>
        <v>84714.599999999991</v>
      </c>
      <c r="AF90" s="408"/>
      <c r="AG90" s="293"/>
      <c r="AH90" s="293"/>
      <c r="AI90" s="293"/>
      <c r="AJ90" s="293"/>
      <c r="AK90" s="293"/>
      <c r="AL90" s="327"/>
      <c r="AM90" s="463"/>
      <c r="AN90" s="513">
        <v>15188</v>
      </c>
      <c r="AO90" s="88">
        <v>13000</v>
      </c>
      <c r="AP90" s="116">
        <v>13000</v>
      </c>
      <c r="AQ90" s="74">
        <v>13200</v>
      </c>
      <c r="AR90" s="76">
        <f t="shared" si="171"/>
        <v>13066.666666666666</v>
      </c>
      <c r="AS90" s="24">
        <f t="shared" si="172"/>
        <v>-2121.3333333333339</v>
      </c>
      <c r="AT90" s="25">
        <f t="shared" si="181"/>
        <v>-0.13967167061715394</v>
      </c>
      <c r="AU90" s="309">
        <f t="shared" si="182"/>
        <v>13066.666666666666</v>
      </c>
      <c r="AV90" s="462">
        <f t="shared" si="175"/>
        <v>13066.666666666666</v>
      </c>
      <c r="AW90" s="513">
        <v>15188</v>
      </c>
      <c r="AX90" s="74">
        <v>13800</v>
      </c>
      <c r="AY90" s="74">
        <v>15000</v>
      </c>
      <c r="AZ90" s="75">
        <v>15900</v>
      </c>
      <c r="BA90" s="61">
        <v>13799.999999999998</v>
      </c>
      <c r="BB90" s="60"/>
      <c r="BC90" s="74">
        <v>15869.999999999996</v>
      </c>
      <c r="BD90" s="79">
        <v>15900</v>
      </c>
      <c r="BE90" s="79">
        <v>12000</v>
      </c>
      <c r="BF90" s="127">
        <v>14400</v>
      </c>
      <c r="BG90" s="128">
        <v>13500</v>
      </c>
      <c r="BH90" s="128">
        <v>13000</v>
      </c>
      <c r="BI90" s="76">
        <f t="shared" si="162"/>
        <v>14874</v>
      </c>
      <c r="BJ90" s="24">
        <f t="shared" si="163"/>
        <v>-314</v>
      </c>
      <c r="BK90" s="25">
        <f>+BJ90/AW90</f>
        <v>-2.0674216486700026E-2</v>
      </c>
      <c r="BL90" s="259">
        <f t="shared" si="164"/>
        <v>14874</v>
      </c>
      <c r="BM90" s="533">
        <f t="shared" si="187"/>
        <v>14874</v>
      </c>
    </row>
    <row r="91" spans="1:65" ht="17.100000000000001" customHeight="1">
      <c r="A91" s="91" t="s">
        <v>8</v>
      </c>
      <c r="B91" s="358" t="s">
        <v>2282</v>
      </c>
      <c r="C91" s="50" t="s">
        <v>763</v>
      </c>
      <c r="D91" s="99" t="s">
        <v>440</v>
      </c>
      <c r="E91" s="391" t="s">
        <v>740</v>
      </c>
      <c r="F91" s="408"/>
      <c r="G91" s="293"/>
      <c r="H91" s="293"/>
      <c r="I91" s="293"/>
      <c r="J91" s="293"/>
      <c r="K91" s="293"/>
      <c r="L91" s="327"/>
      <c r="M91" s="432"/>
      <c r="N91" s="443"/>
      <c r="O91" s="250"/>
      <c r="P91" s="250"/>
      <c r="Q91" s="250"/>
      <c r="R91" s="250"/>
      <c r="S91" s="250"/>
      <c r="T91" s="250"/>
      <c r="U91" s="250"/>
      <c r="V91" s="443"/>
      <c r="W91" s="410">
        <v>195767</v>
      </c>
      <c r="X91" s="10">
        <v>254610</v>
      </c>
      <c r="Y91" s="33">
        <v>330993</v>
      </c>
      <c r="Z91" s="473">
        <v>222548</v>
      </c>
      <c r="AA91" s="76">
        <f t="shared" si="113"/>
        <v>269383.66666666669</v>
      </c>
      <c r="AB91" s="24">
        <f t="shared" si="114"/>
        <v>73616.666666666686</v>
      </c>
      <c r="AC91" s="25">
        <f t="shared" si="115"/>
        <v>0.3760422679341599</v>
      </c>
      <c r="AD91" s="309" t="str">
        <f t="shared" si="116"/>
        <v>REVISAR PRECIO</v>
      </c>
      <c r="AE91" s="462">
        <f t="shared" si="132"/>
        <v>269383.66666666669</v>
      </c>
      <c r="AF91" s="408"/>
      <c r="AG91" s="293"/>
      <c r="AH91" s="293"/>
      <c r="AI91" s="293"/>
      <c r="AJ91" s="293"/>
      <c r="AK91" s="293"/>
      <c r="AL91" s="327"/>
      <c r="AM91" s="463"/>
      <c r="AN91" s="513"/>
      <c r="AO91" s="88">
        <v>1000</v>
      </c>
      <c r="AP91" s="116">
        <v>1000</v>
      </c>
      <c r="AQ91" s="74">
        <v>990</v>
      </c>
      <c r="AR91" s="76">
        <f t="shared" si="171"/>
        <v>996.66666666666663</v>
      </c>
      <c r="AS91" s="24">
        <f t="shared" si="172"/>
        <v>996.66666666666663</v>
      </c>
      <c r="AT91" s="25"/>
      <c r="AU91" s="309"/>
      <c r="AV91" s="462">
        <f t="shared" si="175"/>
        <v>996.66666666666663</v>
      </c>
      <c r="AW91" s="513"/>
      <c r="AX91" s="74">
        <v>1035</v>
      </c>
      <c r="AY91" s="74">
        <v>10000</v>
      </c>
      <c r="AZ91" s="75">
        <v>1192.5</v>
      </c>
      <c r="BA91" s="61">
        <v>18170</v>
      </c>
      <c r="BB91" s="60"/>
      <c r="BC91" s="74">
        <v>20895.5</v>
      </c>
      <c r="BD91" s="79">
        <v>1192.5</v>
      </c>
      <c r="BE91" s="79">
        <v>900</v>
      </c>
      <c r="BF91" s="127">
        <v>1620</v>
      </c>
      <c r="BG91" s="128">
        <v>2000</v>
      </c>
      <c r="BH91" s="128">
        <v>1000</v>
      </c>
      <c r="BI91" s="76">
        <f t="shared" si="162"/>
        <v>10258.6</v>
      </c>
      <c r="BJ91" s="24">
        <f t="shared" si="163"/>
        <v>10258.6</v>
      </c>
      <c r="BK91" s="25"/>
      <c r="BL91" s="259">
        <f t="shared" si="164"/>
        <v>10258.6</v>
      </c>
      <c r="BM91" s="534">
        <f>AVERAGE(AY91,BA91,BB91,BC91)</f>
        <v>16355.166666666666</v>
      </c>
    </row>
    <row r="92" spans="1:65" ht="32.450000000000003" customHeight="1">
      <c r="A92" s="91" t="s">
        <v>8</v>
      </c>
      <c r="B92" s="358" t="s">
        <v>2283</v>
      </c>
      <c r="C92" s="50" t="s">
        <v>764</v>
      </c>
      <c r="D92" s="99" t="s">
        <v>441</v>
      </c>
      <c r="E92" s="391" t="s">
        <v>12</v>
      </c>
      <c r="F92" s="408"/>
      <c r="G92" s="293"/>
      <c r="H92" s="293"/>
      <c r="I92" s="293"/>
      <c r="J92" s="293"/>
      <c r="K92" s="293"/>
      <c r="L92" s="327"/>
      <c r="M92" s="432"/>
      <c r="N92" s="443"/>
      <c r="O92" s="250"/>
      <c r="P92" s="250"/>
      <c r="Q92" s="250"/>
      <c r="R92" s="250"/>
      <c r="S92" s="250"/>
      <c r="T92" s="250"/>
      <c r="U92" s="250"/>
      <c r="V92" s="443"/>
      <c r="W92" s="410">
        <v>16276</v>
      </c>
      <c r="X92" s="10">
        <v>21168</v>
      </c>
      <c r="Y92" s="31">
        <v>27518</v>
      </c>
      <c r="Z92" s="473">
        <v>18502.400000000001</v>
      </c>
      <c r="AA92" s="76">
        <f t="shared" si="113"/>
        <v>22396.133333333331</v>
      </c>
      <c r="AB92" s="24">
        <f t="shared" si="114"/>
        <v>6120.1333333333314</v>
      </c>
      <c r="AC92" s="25">
        <f t="shared" si="115"/>
        <v>0.37602195461620369</v>
      </c>
      <c r="AD92" s="309" t="str">
        <f t="shared" si="116"/>
        <v>REVISAR PRECIO</v>
      </c>
      <c r="AE92" s="462">
        <f t="shared" si="132"/>
        <v>22396.133333333331</v>
      </c>
      <c r="AF92" s="408"/>
      <c r="AG92" s="293"/>
      <c r="AH92" s="293"/>
      <c r="AI92" s="293"/>
      <c r="AJ92" s="293"/>
      <c r="AK92" s="293"/>
      <c r="AL92" s="327"/>
      <c r="AM92" s="463"/>
      <c r="AN92" s="513"/>
      <c r="AO92" s="88">
        <v>3500</v>
      </c>
      <c r="AP92" s="116">
        <v>3500</v>
      </c>
      <c r="AQ92" s="74">
        <v>3300</v>
      </c>
      <c r="AR92" s="76">
        <f t="shared" si="171"/>
        <v>3433.3333333333335</v>
      </c>
      <c r="AS92" s="24">
        <f t="shared" si="172"/>
        <v>3433.3333333333335</v>
      </c>
      <c r="AT92" s="25"/>
      <c r="AU92" s="309"/>
      <c r="AV92" s="462">
        <f t="shared" si="175"/>
        <v>3433.3333333333335</v>
      </c>
      <c r="AW92" s="513"/>
      <c r="AX92" s="74">
        <v>3450</v>
      </c>
      <c r="AY92" s="74">
        <v>5000</v>
      </c>
      <c r="AZ92" s="75">
        <v>3975</v>
      </c>
      <c r="BA92" s="61">
        <v>3449.9999999999995</v>
      </c>
      <c r="BB92" s="60"/>
      <c r="BC92" s="74">
        <v>3967.4999999999991</v>
      </c>
      <c r="BD92" s="79">
        <v>3975</v>
      </c>
      <c r="BE92" s="79">
        <v>3000</v>
      </c>
      <c r="BF92" s="127">
        <v>3600</v>
      </c>
      <c r="BG92" s="128">
        <v>4000</v>
      </c>
      <c r="BH92" s="128">
        <v>4000</v>
      </c>
      <c r="BI92" s="76">
        <f t="shared" si="162"/>
        <v>3968.5</v>
      </c>
      <c r="BJ92" s="24">
        <f t="shared" si="163"/>
        <v>3968.5</v>
      </c>
      <c r="BK92" s="25"/>
      <c r="BL92" s="259">
        <f t="shared" si="164"/>
        <v>3968.5</v>
      </c>
      <c r="BM92" s="533">
        <f t="shared" ref="BM92" si="188">BI92</f>
        <v>3968.5</v>
      </c>
    </row>
    <row r="93" spans="1:65" ht="24.6" customHeight="1">
      <c r="A93" s="91" t="s">
        <v>8</v>
      </c>
      <c r="B93" s="358" t="s">
        <v>2284</v>
      </c>
      <c r="C93" s="50" t="s">
        <v>765</v>
      </c>
      <c r="D93" s="99" t="s">
        <v>442</v>
      </c>
      <c r="E93" s="391" t="s">
        <v>740</v>
      </c>
      <c r="F93" s="408"/>
      <c r="G93" s="293"/>
      <c r="H93" s="293"/>
      <c r="I93" s="293"/>
      <c r="J93" s="293"/>
      <c r="K93" s="293"/>
      <c r="L93" s="327"/>
      <c r="M93" s="432"/>
      <c r="N93" s="443"/>
      <c r="O93" s="250"/>
      <c r="P93" s="250"/>
      <c r="Q93" s="250"/>
      <c r="R93" s="250"/>
      <c r="S93" s="250"/>
      <c r="T93" s="250"/>
      <c r="U93" s="250"/>
      <c r="V93" s="443"/>
      <c r="W93" s="410">
        <v>249120</v>
      </c>
      <c r="X93" s="10">
        <v>324000</v>
      </c>
      <c r="Y93" s="31">
        <v>421200</v>
      </c>
      <c r="Z93" s="473">
        <v>283200</v>
      </c>
      <c r="AA93" s="76">
        <f t="shared" si="113"/>
        <v>342800</v>
      </c>
      <c r="AB93" s="24">
        <f t="shared" si="114"/>
        <v>93680</v>
      </c>
      <c r="AC93" s="25">
        <f t="shared" si="115"/>
        <v>0.37604367373153502</v>
      </c>
      <c r="AD93" s="309" t="str">
        <f t="shared" si="116"/>
        <v>REVISAR PRECIO</v>
      </c>
      <c r="AE93" s="462">
        <f t="shared" si="132"/>
        <v>342800</v>
      </c>
      <c r="AF93" s="408"/>
      <c r="AG93" s="293"/>
      <c r="AH93" s="293"/>
      <c r="AI93" s="293"/>
      <c r="AJ93" s="293"/>
      <c r="AK93" s="293"/>
      <c r="AL93" s="327"/>
      <c r="AM93" s="463"/>
      <c r="AN93" s="513">
        <v>142386</v>
      </c>
      <c r="AO93" s="88">
        <v>20000</v>
      </c>
      <c r="AP93" s="116">
        <v>20000</v>
      </c>
      <c r="AQ93" s="74">
        <v>18480</v>
      </c>
      <c r="AR93" s="76">
        <f t="shared" si="171"/>
        <v>19493.333333333332</v>
      </c>
      <c r="AS93" s="24">
        <f t="shared" si="172"/>
        <v>-122892.66666666667</v>
      </c>
      <c r="AT93" s="25">
        <f t="shared" ref="AT93:AT95" si="189">+AS93/AN93</f>
        <v>-0.86309515448616203</v>
      </c>
      <c r="AU93" s="309">
        <f t="shared" ref="AU93:AU95" si="190">+IF(AT93&lt;35%,AR93,"REVISAR PRECIO")</f>
        <v>19493.333333333332</v>
      </c>
      <c r="AV93" s="462">
        <f t="shared" si="175"/>
        <v>19493.333333333332</v>
      </c>
      <c r="AW93" s="513">
        <v>142386</v>
      </c>
      <c r="AX93" s="74">
        <v>19320</v>
      </c>
      <c r="AY93" s="74">
        <v>50000</v>
      </c>
      <c r="AZ93" s="75">
        <v>22260</v>
      </c>
      <c r="BA93" s="61">
        <v>100624.99999999999</v>
      </c>
      <c r="BB93" s="60"/>
      <c r="BC93" s="74">
        <v>115718.74999999997</v>
      </c>
      <c r="BD93" s="79">
        <v>22260</v>
      </c>
      <c r="BE93" s="79">
        <v>16800</v>
      </c>
      <c r="BF93" s="127">
        <v>20160</v>
      </c>
      <c r="BG93" s="128">
        <v>20000</v>
      </c>
      <c r="BH93" s="128">
        <v>18000</v>
      </c>
      <c r="BI93" s="76">
        <f t="shared" si="162"/>
        <v>61584.75</v>
      </c>
      <c r="BJ93" s="24">
        <f t="shared" si="163"/>
        <v>-80801.25</v>
      </c>
      <c r="BK93" s="25">
        <f>+BJ93/AW93</f>
        <v>-0.56748030002949723</v>
      </c>
      <c r="BL93" s="259">
        <f t="shared" si="164"/>
        <v>61584.75</v>
      </c>
      <c r="BM93" s="534">
        <f>AVERAGE(AY93,AZ93,BA93,BB93,BC93)</f>
        <v>72150.9375</v>
      </c>
    </row>
    <row r="94" spans="1:65" ht="24.6" customHeight="1">
      <c r="A94" s="91" t="s">
        <v>8</v>
      </c>
      <c r="B94" s="358" t="s">
        <v>2285</v>
      </c>
      <c r="C94" s="50" t="s">
        <v>766</v>
      </c>
      <c r="D94" s="99" t="s">
        <v>443</v>
      </c>
      <c r="E94" s="391" t="s">
        <v>24</v>
      </c>
      <c r="F94" s="408"/>
      <c r="G94" s="293"/>
      <c r="H94" s="293"/>
      <c r="I94" s="293"/>
      <c r="J94" s="293"/>
      <c r="K94" s="293"/>
      <c r="L94" s="327"/>
      <c r="M94" s="432"/>
      <c r="N94" s="443"/>
      <c r="O94" s="250"/>
      <c r="P94" s="250"/>
      <c r="Q94" s="250"/>
      <c r="R94" s="250"/>
      <c r="S94" s="250"/>
      <c r="T94" s="250"/>
      <c r="U94" s="250"/>
      <c r="V94" s="443"/>
      <c r="W94" s="410">
        <v>58128</v>
      </c>
      <c r="X94" s="10">
        <v>75600</v>
      </c>
      <c r="Y94" s="33">
        <v>98280</v>
      </c>
      <c r="Z94" s="473">
        <v>66080</v>
      </c>
      <c r="AA94" s="76">
        <f t="shared" si="113"/>
        <v>79986.666666666672</v>
      </c>
      <c r="AB94" s="24">
        <f t="shared" si="114"/>
        <v>21858.666666666672</v>
      </c>
      <c r="AC94" s="25">
        <f t="shared" si="115"/>
        <v>0.37604367373153508</v>
      </c>
      <c r="AD94" s="309" t="str">
        <f t="shared" si="116"/>
        <v>REVISAR PRECIO</v>
      </c>
      <c r="AE94" s="462">
        <f t="shared" si="132"/>
        <v>79986.666666666672</v>
      </c>
      <c r="AF94" s="408"/>
      <c r="AG94" s="293"/>
      <c r="AH94" s="293"/>
      <c r="AI94" s="293"/>
      <c r="AJ94" s="293"/>
      <c r="AK94" s="293"/>
      <c r="AL94" s="327"/>
      <c r="AM94" s="463"/>
      <c r="AN94" s="513">
        <v>18985</v>
      </c>
      <c r="AO94" s="88">
        <v>45000</v>
      </c>
      <c r="AP94" s="116">
        <v>45000</v>
      </c>
      <c r="AQ94" s="74">
        <v>44330</v>
      </c>
      <c r="AR94" s="76">
        <f t="shared" si="171"/>
        <v>44776.666666666664</v>
      </c>
      <c r="AS94" s="24">
        <f t="shared" si="172"/>
        <v>25791.666666666664</v>
      </c>
      <c r="AT94" s="25">
        <f t="shared" si="189"/>
        <v>1.3585286629795452</v>
      </c>
      <c r="AU94" s="309" t="str">
        <f t="shared" si="190"/>
        <v>REVISAR PRECIO</v>
      </c>
      <c r="AV94" s="462">
        <f t="shared" si="175"/>
        <v>44776.666666666664</v>
      </c>
      <c r="AW94" s="513">
        <v>18985</v>
      </c>
      <c r="AX94" s="74">
        <v>46345</v>
      </c>
      <c r="AY94" s="74">
        <v>60000</v>
      </c>
      <c r="AZ94" s="75">
        <v>53397.5</v>
      </c>
      <c r="BA94" s="61">
        <v>55889.999999999993</v>
      </c>
      <c r="BB94" s="60"/>
      <c r="BC94" s="74">
        <v>64273.499999999985</v>
      </c>
      <c r="BD94" s="79">
        <v>53397.5</v>
      </c>
      <c r="BE94" s="79">
        <f>31000*1.3</f>
        <v>40300</v>
      </c>
      <c r="BF94" s="127">
        <v>48360</v>
      </c>
      <c r="BG94" s="128">
        <v>50000</v>
      </c>
      <c r="BH94" s="128">
        <v>45000</v>
      </c>
      <c r="BI94" s="76">
        <f t="shared" si="162"/>
        <v>55981.2</v>
      </c>
      <c r="BJ94" s="24">
        <f t="shared" si="163"/>
        <v>36996.199999999997</v>
      </c>
      <c r="BK94" s="25">
        <f>+BJ94/AW94</f>
        <v>1.9487068738477744</v>
      </c>
      <c r="BL94" s="259" t="str">
        <f t="shared" si="164"/>
        <v>REVISAR PRECIO</v>
      </c>
      <c r="BM94" s="533">
        <f t="shared" ref="BM94:BM95" si="191">BI94</f>
        <v>55981.2</v>
      </c>
    </row>
    <row r="95" spans="1:65" ht="24.6" customHeight="1">
      <c r="A95" s="91" t="s">
        <v>8</v>
      </c>
      <c r="B95" s="358" t="s">
        <v>2286</v>
      </c>
      <c r="C95" s="50" t="s">
        <v>767</v>
      </c>
      <c r="D95" s="99" t="s">
        <v>444</v>
      </c>
      <c r="E95" s="391" t="s">
        <v>11</v>
      </c>
      <c r="F95" s="408"/>
      <c r="G95" s="293"/>
      <c r="H95" s="293"/>
      <c r="I95" s="293"/>
      <c r="J95" s="293"/>
      <c r="K95" s="293"/>
      <c r="L95" s="327"/>
      <c r="M95" s="432"/>
      <c r="N95" s="443"/>
      <c r="O95" s="250"/>
      <c r="P95" s="250"/>
      <c r="Q95" s="250"/>
      <c r="R95" s="250"/>
      <c r="S95" s="250"/>
      <c r="T95" s="250"/>
      <c r="U95" s="250"/>
      <c r="V95" s="443"/>
      <c r="W95" s="410">
        <v>179750</v>
      </c>
      <c r="X95" s="10">
        <v>233780</v>
      </c>
      <c r="Y95" s="33">
        <v>233780</v>
      </c>
      <c r="Z95" s="473">
        <v>204340.6</v>
      </c>
      <c r="AA95" s="76">
        <f t="shared" si="113"/>
        <v>223966.86666666667</v>
      </c>
      <c r="AB95" s="24">
        <f t="shared" si="114"/>
        <v>44216.866666666669</v>
      </c>
      <c r="AC95" s="25">
        <f t="shared" si="115"/>
        <v>0.24599091330551692</v>
      </c>
      <c r="AD95" s="309">
        <f t="shared" si="116"/>
        <v>223966.86666666667</v>
      </c>
      <c r="AE95" s="462">
        <f t="shared" si="132"/>
        <v>223966.86666666667</v>
      </c>
      <c r="AF95" s="408"/>
      <c r="AG95" s="293"/>
      <c r="AH95" s="293"/>
      <c r="AI95" s="293"/>
      <c r="AJ95" s="293"/>
      <c r="AK95" s="293"/>
      <c r="AL95" s="327"/>
      <c r="AM95" s="463"/>
      <c r="AN95" s="513">
        <v>102736</v>
      </c>
      <c r="AO95" s="88">
        <v>3000</v>
      </c>
      <c r="AP95" s="116">
        <v>3000</v>
      </c>
      <c r="AQ95" s="74">
        <v>2750</v>
      </c>
      <c r="AR95" s="76">
        <f t="shared" si="171"/>
        <v>2916.6666666666665</v>
      </c>
      <c r="AS95" s="24">
        <f t="shared" si="172"/>
        <v>-99819.333333333328</v>
      </c>
      <c r="AT95" s="25">
        <f t="shared" si="189"/>
        <v>-0.97161008150340022</v>
      </c>
      <c r="AU95" s="309">
        <f t="shared" si="190"/>
        <v>2916.6666666666665</v>
      </c>
      <c r="AV95" s="462">
        <f t="shared" si="175"/>
        <v>2916.6666666666665</v>
      </c>
      <c r="AW95" s="513">
        <v>102736</v>
      </c>
      <c r="AX95" s="74">
        <v>2875</v>
      </c>
      <c r="AY95" s="74">
        <v>9000</v>
      </c>
      <c r="AZ95" s="75">
        <v>3312.5</v>
      </c>
      <c r="BA95" s="61">
        <v>74175</v>
      </c>
      <c r="BB95" s="60"/>
      <c r="BC95" s="74">
        <v>85301.25</v>
      </c>
      <c r="BD95" s="79">
        <v>3312.5</v>
      </c>
      <c r="BE95" s="79">
        <v>2500</v>
      </c>
      <c r="BF95" s="127">
        <v>3000</v>
      </c>
      <c r="BG95" s="128">
        <v>2200</v>
      </c>
      <c r="BH95" s="128">
        <v>2000</v>
      </c>
      <c r="BI95" s="76">
        <f t="shared" si="162"/>
        <v>34932.75</v>
      </c>
      <c r="BJ95" s="24">
        <f t="shared" si="163"/>
        <v>-67803.25</v>
      </c>
      <c r="BK95" s="25">
        <f>+BJ95/AW95</f>
        <v>-0.65997556844728233</v>
      </c>
      <c r="BL95" s="259">
        <f t="shared" si="164"/>
        <v>34932.75</v>
      </c>
      <c r="BM95" s="533">
        <f t="shared" si="191"/>
        <v>34932.75</v>
      </c>
    </row>
    <row r="96" spans="1:65" ht="35.1" customHeight="1">
      <c r="A96" s="91"/>
      <c r="B96" s="358" t="s">
        <v>2287</v>
      </c>
      <c r="C96" s="50" t="s">
        <v>842</v>
      </c>
      <c r="D96" s="177" t="s">
        <v>840</v>
      </c>
      <c r="E96" s="385" t="s">
        <v>13</v>
      </c>
      <c r="F96" s="410">
        <v>5583</v>
      </c>
      <c r="G96" s="10">
        <v>22029.85</v>
      </c>
      <c r="H96" s="167">
        <v>44059.7</v>
      </c>
      <c r="I96" s="10">
        <v>18690</v>
      </c>
      <c r="J96" s="76">
        <f t="shared" ref="J96:J97" si="192">AVERAGE(G96,I96)</f>
        <v>20359.924999999999</v>
      </c>
      <c r="K96" s="24">
        <f t="shared" ref="K96:K97" si="193">J96-F96</f>
        <v>14776.924999999999</v>
      </c>
      <c r="L96" s="281">
        <f t="shared" ref="L96:L97" si="194">+K96/F96</f>
        <v>2.6467714490417338</v>
      </c>
      <c r="M96" s="431">
        <f t="shared" ref="M96:M97" si="195">H96</f>
        <v>44059.7</v>
      </c>
      <c r="N96" s="443"/>
      <c r="O96" s="250"/>
      <c r="P96" s="250"/>
      <c r="Q96" s="250"/>
      <c r="R96" s="250"/>
      <c r="S96" s="250"/>
      <c r="T96" s="250"/>
      <c r="U96" s="250"/>
      <c r="V96" s="443"/>
      <c r="W96" s="410"/>
      <c r="X96" s="10"/>
      <c r="Y96" s="33"/>
      <c r="Z96" s="473"/>
      <c r="AA96" s="76"/>
      <c r="AB96" s="24"/>
      <c r="AC96" s="25"/>
      <c r="AD96" s="309"/>
      <c r="AE96" s="462"/>
      <c r="AF96" s="408"/>
      <c r="AG96" s="293"/>
      <c r="AH96" s="293"/>
      <c r="AI96" s="293"/>
      <c r="AJ96" s="293"/>
      <c r="AK96" s="293"/>
      <c r="AL96" s="327"/>
      <c r="AM96" s="463"/>
      <c r="AN96" s="513"/>
      <c r="AO96" s="88"/>
      <c r="AP96" s="116"/>
      <c r="AQ96" s="74"/>
      <c r="AR96" s="76"/>
      <c r="AS96" s="24"/>
      <c r="AT96" s="25"/>
      <c r="AU96" s="309"/>
      <c r="AV96" s="462"/>
      <c r="AW96" s="513"/>
      <c r="AX96" s="74"/>
      <c r="AY96" s="74"/>
      <c r="AZ96" s="75"/>
      <c r="BA96" s="61"/>
      <c r="BB96" s="60"/>
      <c r="BC96" s="74"/>
      <c r="BD96" s="79"/>
      <c r="BE96" s="79"/>
      <c r="BF96" s="127"/>
      <c r="BG96" s="128"/>
      <c r="BH96" s="128"/>
      <c r="BI96" s="76"/>
      <c r="BJ96" s="24"/>
      <c r="BK96" s="25"/>
      <c r="BL96" s="259"/>
      <c r="BM96" s="533"/>
    </row>
    <row r="97" spans="1:65" ht="39.950000000000003" customHeight="1">
      <c r="A97" s="91"/>
      <c r="B97" s="358" t="s">
        <v>2288</v>
      </c>
      <c r="C97" s="50" t="s">
        <v>843</v>
      </c>
      <c r="D97" s="177" t="s">
        <v>841</v>
      </c>
      <c r="E97" s="385" t="s">
        <v>14</v>
      </c>
      <c r="F97" s="410">
        <v>37117</v>
      </c>
      <c r="G97" s="10">
        <v>3300</v>
      </c>
      <c r="H97" s="167">
        <v>13200</v>
      </c>
      <c r="I97" s="10">
        <v>8500</v>
      </c>
      <c r="J97" s="76">
        <f t="shared" si="192"/>
        <v>5900</v>
      </c>
      <c r="K97" s="24">
        <f t="shared" si="193"/>
        <v>-31217</v>
      </c>
      <c r="L97" s="281">
        <f t="shared" si="194"/>
        <v>-0.84104318775763132</v>
      </c>
      <c r="M97" s="431">
        <f t="shared" si="195"/>
        <v>13200</v>
      </c>
      <c r="N97" s="410">
        <v>33726</v>
      </c>
      <c r="O97" s="10">
        <v>45000</v>
      </c>
      <c r="P97" s="10">
        <v>48000</v>
      </c>
      <c r="Q97" s="268">
        <v>47000</v>
      </c>
      <c r="R97" s="10">
        <v>60000</v>
      </c>
      <c r="S97" s="76">
        <f t="shared" ref="S97:S122" si="196">AVERAGE(O97,P97,Q97,R97)</f>
        <v>50000</v>
      </c>
      <c r="T97" s="24">
        <f t="shared" ref="T97:T119" si="197">S97-N97</f>
        <v>16274</v>
      </c>
      <c r="U97" s="281">
        <f t="shared" ref="U97:U119" si="198">+T97/N97</f>
        <v>0.48253572911107157</v>
      </c>
      <c r="V97" s="462">
        <f t="shared" ref="V97:V119" si="199">S97</f>
        <v>50000</v>
      </c>
      <c r="W97" s="410"/>
      <c r="X97" s="10"/>
      <c r="Y97" s="33"/>
      <c r="Z97" s="473"/>
      <c r="AA97" s="76"/>
      <c r="AB97" s="24"/>
      <c r="AC97" s="25"/>
      <c r="AD97" s="309"/>
      <c r="AE97" s="462"/>
      <c r="AF97" s="408"/>
      <c r="AG97" s="293"/>
      <c r="AH97" s="293"/>
      <c r="AI97" s="293"/>
      <c r="AJ97" s="293"/>
      <c r="AK97" s="293"/>
      <c r="AL97" s="327"/>
      <c r="AM97" s="463"/>
      <c r="AN97" s="513"/>
      <c r="AO97" s="88"/>
      <c r="AP97" s="116"/>
      <c r="AQ97" s="74"/>
      <c r="AR97" s="76"/>
      <c r="AS97" s="24"/>
      <c r="AT97" s="25"/>
      <c r="AU97" s="309"/>
      <c r="AV97" s="462"/>
      <c r="AW97" s="513"/>
      <c r="AX97" s="74"/>
      <c r="AY97" s="74"/>
      <c r="AZ97" s="75"/>
      <c r="BA97" s="61"/>
      <c r="BB97" s="60"/>
      <c r="BC97" s="74"/>
      <c r="BD97" s="79"/>
      <c r="BE97" s="79"/>
      <c r="BF97" s="127"/>
      <c r="BG97" s="128"/>
      <c r="BH97" s="128"/>
      <c r="BI97" s="76"/>
      <c r="BJ97" s="24"/>
      <c r="BK97" s="25"/>
      <c r="BL97" s="259"/>
      <c r="BM97" s="533"/>
    </row>
    <row r="98" spans="1:65" ht="39.950000000000003" customHeight="1">
      <c r="A98" s="91"/>
      <c r="B98" s="358" t="s">
        <v>2289</v>
      </c>
      <c r="C98" s="50" t="s">
        <v>1468</v>
      </c>
      <c r="D98" s="264" t="s">
        <v>1442</v>
      </c>
      <c r="E98" s="394" t="s">
        <v>999</v>
      </c>
      <c r="F98" s="410"/>
      <c r="G98" s="10"/>
      <c r="H98" s="167"/>
      <c r="I98" s="10"/>
      <c r="J98" s="76"/>
      <c r="K98" s="24"/>
      <c r="L98" s="281"/>
      <c r="M98" s="431"/>
      <c r="N98" s="410">
        <v>11211</v>
      </c>
      <c r="O98" s="10">
        <v>25000</v>
      </c>
      <c r="P98" s="10">
        <v>28000</v>
      </c>
      <c r="Q98" s="268">
        <v>28000</v>
      </c>
      <c r="R98" s="10">
        <v>30000</v>
      </c>
      <c r="S98" s="76">
        <f t="shared" si="196"/>
        <v>27750</v>
      </c>
      <c r="T98" s="24">
        <f t="shared" si="197"/>
        <v>16539</v>
      </c>
      <c r="U98" s="281">
        <f t="shared" si="198"/>
        <v>1.4752475247524752</v>
      </c>
      <c r="V98" s="462">
        <f t="shared" si="199"/>
        <v>27750</v>
      </c>
      <c r="W98" s="410"/>
      <c r="X98" s="10"/>
      <c r="Y98" s="33"/>
      <c r="Z98" s="473"/>
      <c r="AA98" s="76"/>
      <c r="AB98" s="24"/>
      <c r="AC98" s="25"/>
      <c r="AD98" s="309"/>
      <c r="AE98" s="462"/>
      <c r="AF98" s="408"/>
      <c r="AG98" s="293"/>
      <c r="AH98" s="293"/>
      <c r="AI98" s="293"/>
      <c r="AJ98" s="293"/>
      <c r="AK98" s="293"/>
      <c r="AL98" s="327"/>
      <c r="AM98" s="463"/>
      <c r="AN98" s="513"/>
      <c r="AO98" s="88"/>
      <c r="AP98" s="116"/>
      <c r="AQ98" s="74"/>
      <c r="AR98" s="76"/>
      <c r="AS98" s="24"/>
      <c r="AT98" s="25"/>
      <c r="AU98" s="309"/>
      <c r="AV98" s="462"/>
      <c r="AW98" s="513"/>
      <c r="AX98" s="74"/>
      <c r="AY98" s="74"/>
      <c r="AZ98" s="75"/>
      <c r="BA98" s="61"/>
      <c r="BB98" s="60"/>
      <c r="BC98" s="74"/>
      <c r="BD98" s="79"/>
      <c r="BE98" s="79"/>
      <c r="BF98" s="127"/>
      <c r="BG98" s="128"/>
      <c r="BH98" s="128"/>
      <c r="BI98" s="76"/>
      <c r="BJ98" s="24"/>
      <c r="BK98" s="25"/>
      <c r="BL98" s="259"/>
      <c r="BM98" s="533"/>
    </row>
    <row r="99" spans="1:65" ht="39.950000000000003" customHeight="1">
      <c r="A99" s="91"/>
      <c r="B99" s="358" t="s">
        <v>2290</v>
      </c>
      <c r="C99" s="50" t="s">
        <v>1469</v>
      </c>
      <c r="D99" s="264" t="s">
        <v>1443</v>
      </c>
      <c r="E99" s="394" t="s">
        <v>999</v>
      </c>
      <c r="F99" s="410"/>
      <c r="G99" s="10"/>
      <c r="H99" s="167"/>
      <c r="I99" s="10"/>
      <c r="J99" s="76"/>
      <c r="K99" s="24"/>
      <c r="L99" s="281"/>
      <c r="M99" s="431"/>
      <c r="N99" s="410">
        <v>14011</v>
      </c>
      <c r="O99" s="10">
        <v>20000</v>
      </c>
      <c r="P99" s="10">
        <v>23000</v>
      </c>
      <c r="Q99" s="268">
        <v>22000</v>
      </c>
      <c r="R99" s="10">
        <v>30000</v>
      </c>
      <c r="S99" s="76">
        <f t="shared" si="196"/>
        <v>23750</v>
      </c>
      <c r="T99" s="24">
        <f t="shared" si="197"/>
        <v>9739</v>
      </c>
      <c r="U99" s="281">
        <f t="shared" si="198"/>
        <v>0.69509670972807081</v>
      </c>
      <c r="V99" s="462">
        <f t="shared" si="199"/>
        <v>23750</v>
      </c>
      <c r="W99" s="410"/>
      <c r="X99" s="10"/>
      <c r="Y99" s="33"/>
      <c r="Z99" s="473"/>
      <c r="AA99" s="76"/>
      <c r="AB99" s="24"/>
      <c r="AC99" s="25"/>
      <c r="AD99" s="309"/>
      <c r="AE99" s="462"/>
      <c r="AF99" s="408"/>
      <c r="AG99" s="293"/>
      <c r="AH99" s="293"/>
      <c r="AI99" s="293"/>
      <c r="AJ99" s="293"/>
      <c r="AK99" s="293"/>
      <c r="AL99" s="327"/>
      <c r="AM99" s="463"/>
      <c r="AN99" s="513"/>
      <c r="AO99" s="88"/>
      <c r="AP99" s="116"/>
      <c r="AQ99" s="74"/>
      <c r="AR99" s="76"/>
      <c r="AS99" s="24"/>
      <c r="AT99" s="25"/>
      <c r="AU99" s="309"/>
      <c r="AV99" s="462"/>
      <c r="AW99" s="513"/>
      <c r="AX99" s="74"/>
      <c r="AY99" s="74"/>
      <c r="AZ99" s="75"/>
      <c r="BA99" s="61"/>
      <c r="BB99" s="60"/>
      <c r="BC99" s="74"/>
      <c r="BD99" s="79"/>
      <c r="BE99" s="79"/>
      <c r="BF99" s="127"/>
      <c r="BG99" s="128"/>
      <c r="BH99" s="128"/>
      <c r="BI99" s="76"/>
      <c r="BJ99" s="24"/>
      <c r="BK99" s="25"/>
      <c r="BL99" s="259"/>
      <c r="BM99" s="533"/>
    </row>
    <row r="100" spans="1:65" ht="39.950000000000003" customHeight="1">
      <c r="A100" s="91"/>
      <c r="B100" s="358" t="s">
        <v>2291</v>
      </c>
      <c r="C100" s="50" t="s">
        <v>1470</v>
      </c>
      <c r="D100" s="264" t="s">
        <v>1444</v>
      </c>
      <c r="E100" s="394" t="s">
        <v>999</v>
      </c>
      <c r="F100" s="410"/>
      <c r="G100" s="10"/>
      <c r="H100" s="167"/>
      <c r="I100" s="10"/>
      <c r="J100" s="76"/>
      <c r="K100" s="24"/>
      <c r="L100" s="281"/>
      <c r="M100" s="431"/>
      <c r="N100" s="410">
        <v>56053</v>
      </c>
      <c r="O100" s="10">
        <v>15000</v>
      </c>
      <c r="P100" s="10">
        <v>18000</v>
      </c>
      <c r="Q100" s="268">
        <v>18000</v>
      </c>
      <c r="R100" s="10">
        <v>25000</v>
      </c>
      <c r="S100" s="76">
        <f t="shared" si="196"/>
        <v>19000</v>
      </c>
      <c r="T100" s="24">
        <f t="shared" si="197"/>
        <v>-37053</v>
      </c>
      <c r="U100" s="281">
        <f t="shared" si="198"/>
        <v>-0.66103509178812914</v>
      </c>
      <c r="V100" s="462">
        <f t="shared" si="199"/>
        <v>19000</v>
      </c>
      <c r="W100" s="410"/>
      <c r="X100" s="10"/>
      <c r="Y100" s="33"/>
      <c r="Z100" s="473"/>
      <c r="AA100" s="76"/>
      <c r="AB100" s="24"/>
      <c r="AC100" s="25"/>
      <c r="AD100" s="309"/>
      <c r="AE100" s="462"/>
      <c r="AF100" s="408"/>
      <c r="AG100" s="293"/>
      <c r="AH100" s="293"/>
      <c r="AI100" s="293"/>
      <c r="AJ100" s="293"/>
      <c r="AK100" s="293"/>
      <c r="AL100" s="327"/>
      <c r="AM100" s="463"/>
      <c r="AN100" s="513"/>
      <c r="AO100" s="88"/>
      <c r="AP100" s="116"/>
      <c r="AQ100" s="74"/>
      <c r="AR100" s="76"/>
      <c r="AS100" s="24"/>
      <c r="AT100" s="25"/>
      <c r="AU100" s="309"/>
      <c r="AV100" s="462"/>
      <c r="AW100" s="513"/>
      <c r="AX100" s="74"/>
      <c r="AY100" s="74"/>
      <c r="AZ100" s="75"/>
      <c r="BA100" s="61"/>
      <c r="BB100" s="60"/>
      <c r="BC100" s="74"/>
      <c r="BD100" s="79"/>
      <c r="BE100" s="79"/>
      <c r="BF100" s="127"/>
      <c r="BG100" s="128"/>
      <c r="BH100" s="128"/>
      <c r="BI100" s="76"/>
      <c r="BJ100" s="24"/>
      <c r="BK100" s="25"/>
      <c r="BL100" s="259"/>
      <c r="BM100" s="533"/>
    </row>
    <row r="101" spans="1:65" ht="39.950000000000003" customHeight="1">
      <c r="A101" s="91"/>
      <c r="B101" s="358" t="s">
        <v>2292</v>
      </c>
      <c r="C101" s="50" t="s">
        <v>1471</v>
      </c>
      <c r="D101" s="264" t="s">
        <v>1445</v>
      </c>
      <c r="E101" s="394" t="s">
        <v>1399</v>
      </c>
      <c r="F101" s="410"/>
      <c r="G101" s="10"/>
      <c r="H101" s="167"/>
      <c r="I101" s="10"/>
      <c r="J101" s="76"/>
      <c r="K101" s="24"/>
      <c r="L101" s="281"/>
      <c r="M101" s="431"/>
      <c r="N101" s="410">
        <v>56964</v>
      </c>
      <c r="O101" s="10">
        <v>35000</v>
      </c>
      <c r="P101" s="10">
        <v>39000</v>
      </c>
      <c r="Q101" s="268">
        <v>38000</v>
      </c>
      <c r="R101" s="10">
        <v>35000</v>
      </c>
      <c r="S101" s="76">
        <f t="shared" si="196"/>
        <v>36750</v>
      </c>
      <c r="T101" s="24">
        <f t="shared" si="197"/>
        <v>-20214</v>
      </c>
      <c r="U101" s="281">
        <f t="shared" si="198"/>
        <v>-0.354855698335791</v>
      </c>
      <c r="V101" s="462">
        <f t="shared" si="199"/>
        <v>36750</v>
      </c>
      <c r="W101" s="410"/>
      <c r="X101" s="10"/>
      <c r="Y101" s="33"/>
      <c r="Z101" s="473"/>
      <c r="AA101" s="76"/>
      <c r="AB101" s="24"/>
      <c r="AC101" s="25"/>
      <c r="AD101" s="309"/>
      <c r="AE101" s="462"/>
      <c r="AF101" s="408"/>
      <c r="AG101" s="293"/>
      <c r="AH101" s="293"/>
      <c r="AI101" s="293"/>
      <c r="AJ101" s="293"/>
      <c r="AK101" s="293"/>
      <c r="AL101" s="327"/>
      <c r="AM101" s="463"/>
      <c r="AN101" s="513"/>
      <c r="AO101" s="88"/>
      <c r="AP101" s="116"/>
      <c r="AQ101" s="74"/>
      <c r="AR101" s="76"/>
      <c r="AS101" s="24"/>
      <c r="AT101" s="25"/>
      <c r="AU101" s="309"/>
      <c r="AV101" s="462"/>
      <c r="AW101" s="513"/>
      <c r="AX101" s="74"/>
      <c r="AY101" s="74"/>
      <c r="AZ101" s="75"/>
      <c r="BA101" s="61"/>
      <c r="BB101" s="60"/>
      <c r="BC101" s="74"/>
      <c r="BD101" s="79"/>
      <c r="BE101" s="79"/>
      <c r="BF101" s="127"/>
      <c r="BG101" s="128"/>
      <c r="BH101" s="128"/>
      <c r="BI101" s="76"/>
      <c r="BJ101" s="24"/>
      <c r="BK101" s="25"/>
      <c r="BL101" s="259"/>
      <c r="BM101" s="533"/>
    </row>
    <row r="102" spans="1:65" ht="39.950000000000003" customHeight="1">
      <c r="A102" s="91"/>
      <c r="B102" s="358" t="s">
        <v>2293</v>
      </c>
      <c r="C102" s="50" t="s">
        <v>1472</v>
      </c>
      <c r="D102" s="264" t="s">
        <v>840</v>
      </c>
      <c r="E102" s="394" t="s">
        <v>1399</v>
      </c>
      <c r="F102" s="410"/>
      <c r="G102" s="10"/>
      <c r="H102" s="167"/>
      <c r="I102" s="10"/>
      <c r="J102" s="76"/>
      <c r="K102" s="24"/>
      <c r="L102" s="281"/>
      <c r="M102" s="431"/>
      <c r="N102" s="410">
        <v>5078</v>
      </c>
      <c r="O102" s="10">
        <v>45000</v>
      </c>
      <c r="P102" s="10">
        <v>48000</v>
      </c>
      <c r="Q102" s="268">
        <v>48000</v>
      </c>
      <c r="R102" s="10">
        <v>50000</v>
      </c>
      <c r="S102" s="76">
        <f t="shared" si="196"/>
        <v>47750</v>
      </c>
      <c r="T102" s="24">
        <f t="shared" si="197"/>
        <v>42672</v>
      </c>
      <c r="U102" s="281">
        <f t="shared" si="198"/>
        <v>8.4033083891295792</v>
      </c>
      <c r="V102" s="462">
        <f t="shared" si="199"/>
        <v>47750</v>
      </c>
      <c r="W102" s="410"/>
      <c r="X102" s="10"/>
      <c r="Y102" s="33"/>
      <c r="Z102" s="473"/>
      <c r="AA102" s="76"/>
      <c r="AB102" s="24"/>
      <c r="AC102" s="25"/>
      <c r="AD102" s="309"/>
      <c r="AE102" s="462"/>
      <c r="AF102" s="408"/>
      <c r="AG102" s="293"/>
      <c r="AH102" s="293"/>
      <c r="AI102" s="293"/>
      <c r="AJ102" s="293"/>
      <c r="AK102" s="293"/>
      <c r="AL102" s="327"/>
      <c r="AM102" s="463"/>
      <c r="AN102" s="513"/>
      <c r="AO102" s="88"/>
      <c r="AP102" s="116"/>
      <c r="AQ102" s="74"/>
      <c r="AR102" s="76"/>
      <c r="AS102" s="24"/>
      <c r="AT102" s="25"/>
      <c r="AU102" s="309"/>
      <c r="AV102" s="462"/>
      <c r="AW102" s="513"/>
      <c r="AX102" s="74"/>
      <c r="AY102" s="74"/>
      <c r="AZ102" s="75"/>
      <c r="BA102" s="61"/>
      <c r="BB102" s="60"/>
      <c r="BC102" s="74"/>
      <c r="BD102" s="79"/>
      <c r="BE102" s="79"/>
      <c r="BF102" s="127"/>
      <c r="BG102" s="128"/>
      <c r="BH102" s="128"/>
      <c r="BI102" s="76"/>
      <c r="BJ102" s="24"/>
      <c r="BK102" s="25"/>
      <c r="BL102" s="259"/>
      <c r="BM102" s="533"/>
    </row>
    <row r="103" spans="1:65" ht="39.950000000000003" customHeight="1">
      <c r="A103" s="91"/>
      <c r="B103" s="358" t="s">
        <v>2294</v>
      </c>
      <c r="C103" s="50" t="s">
        <v>1473</v>
      </c>
      <c r="D103" s="264" t="s">
        <v>1446</v>
      </c>
      <c r="E103" s="393" t="s">
        <v>999</v>
      </c>
      <c r="F103" s="410"/>
      <c r="G103" s="10"/>
      <c r="H103" s="167"/>
      <c r="I103" s="10"/>
      <c r="J103" s="76"/>
      <c r="K103" s="24"/>
      <c r="L103" s="281"/>
      <c r="M103" s="431"/>
      <c r="N103" s="410">
        <v>28022</v>
      </c>
      <c r="O103" s="10">
        <v>20000</v>
      </c>
      <c r="P103" s="10">
        <v>22000</v>
      </c>
      <c r="Q103" s="268">
        <v>22000</v>
      </c>
      <c r="R103" s="10">
        <v>25000</v>
      </c>
      <c r="S103" s="76">
        <f t="shared" si="196"/>
        <v>22250</v>
      </c>
      <c r="T103" s="24">
        <f t="shared" si="197"/>
        <v>-5772</v>
      </c>
      <c r="U103" s="281">
        <f t="shared" si="198"/>
        <v>-0.20598101491685106</v>
      </c>
      <c r="V103" s="462">
        <f t="shared" si="199"/>
        <v>22250</v>
      </c>
      <c r="W103" s="410"/>
      <c r="X103" s="10"/>
      <c r="Y103" s="33"/>
      <c r="Z103" s="473"/>
      <c r="AA103" s="76"/>
      <c r="AB103" s="24"/>
      <c r="AC103" s="25"/>
      <c r="AD103" s="309"/>
      <c r="AE103" s="462"/>
      <c r="AF103" s="408"/>
      <c r="AG103" s="293"/>
      <c r="AH103" s="293"/>
      <c r="AI103" s="293"/>
      <c r="AJ103" s="293"/>
      <c r="AK103" s="293"/>
      <c r="AL103" s="327"/>
      <c r="AM103" s="463"/>
      <c r="AN103" s="513"/>
      <c r="AO103" s="88"/>
      <c r="AP103" s="116"/>
      <c r="AQ103" s="74"/>
      <c r="AR103" s="76"/>
      <c r="AS103" s="24"/>
      <c r="AT103" s="25"/>
      <c r="AU103" s="309"/>
      <c r="AV103" s="462"/>
      <c r="AW103" s="513"/>
      <c r="AX103" s="74"/>
      <c r="AY103" s="74"/>
      <c r="AZ103" s="75"/>
      <c r="BA103" s="61"/>
      <c r="BB103" s="60"/>
      <c r="BC103" s="74"/>
      <c r="BD103" s="79"/>
      <c r="BE103" s="79"/>
      <c r="BF103" s="127"/>
      <c r="BG103" s="128"/>
      <c r="BH103" s="128"/>
      <c r="BI103" s="76"/>
      <c r="BJ103" s="24"/>
      <c r="BK103" s="25"/>
      <c r="BL103" s="259"/>
      <c r="BM103" s="533"/>
    </row>
    <row r="104" spans="1:65" ht="39.950000000000003" customHeight="1">
      <c r="A104" s="91"/>
      <c r="B104" s="358" t="s">
        <v>2295</v>
      </c>
      <c r="C104" s="50" t="s">
        <v>1474</v>
      </c>
      <c r="D104" s="264" t="s">
        <v>1447</v>
      </c>
      <c r="E104" s="394" t="s">
        <v>1399</v>
      </c>
      <c r="F104" s="410"/>
      <c r="G104" s="10"/>
      <c r="H104" s="167"/>
      <c r="I104" s="10"/>
      <c r="J104" s="76"/>
      <c r="K104" s="24"/>
      <c r="L104" s="281"/>
      <c r="M104" s="431"/>
      <c r="N104" s="410">
        <v>39925</v>
      </c>
      <c r="O104" s="10"/>
      <c r="P104" s="10">
        <v>39000</v>
      </c>
      <c r="Q104" s="268">
        <v>39000</v>
      </c>
      <c r="R104" s="10">
        <v>10000</v>
      </c>
      <c r="S104" s="76">
        <f t="shared" si="196"/>
        <v>29333.333333333332</v>
      </c>
      <c r="T104" s="24">
        <f t="shared" si="197"/>
        <v>-10591.666666666668</v>
      </c>
      <c r="U104" s="281">
        <f t="shared" si="198"/>
        <v>-0.2652890836986016</v>
      </c>
      <c r="V104" s="462">
        <f t="shared" si="199"/>
        <v>29333.333333333332</v>
      </c>
      <c r="W104" s="410"/>
      <c r="X104" s="10"/>
      <c r="Y104" s="33"/>
      <c r="Z104" s="473"/>
      <c r="AA104" s="76"/>
      <c r="AB104" s="24"/>
      <c r="AC104" s="25"/>
      <c r="AD104" s="309"/>
      <c r="AE104" s="462"/>
      <c r="AF104" s="408"/>
      <c r="AG104" s="293"/>
      <c r="AH104" s="293"/>
      <c r="AI104" s="293"/>
      <c r="AJ104" s="293"/>
      <c r="AK104" s="293"/>
      <c r="AL104" s="327"/>
      <c r="AM104" s="463"/>
      <c r="AN104" s="513"/>
      <c r="AO104" s="88"/>
      <c r="AP104" s="116"/>
      <c r="AQ104" s="74"/>
      <c r="AR104" s="76"/>
      <c r="AS104" s="24"/>
      <c r="AT104" s="25"/>
      <c r="AU104" s="309"/>
      <c r="AV104" s="462"/>
      <c r="AW104" s="513"/>
      <c r="AX104" s="74"/>
      <c r="AY104" s="74"/>
      <c r="AZ104" s="75"/>
      <c r="BA104" s="61"/>
      <c r="BB104" s="60"/>
      <c r="BC104" s="74"/>
      <c r="BD104" s="79"/>
      <c r="BE104" s="79"/>
      <c r="BF104" s="127"/>
      <c r="BG104" s="128"/>
      <c r="BH104" s="128"/>
      <c r="BI104" s="76"/>
      <c r="BJ104" s="24"/>
      <c r="BK104" s="25"/>
      <c r="BL104" s="259"/>
      <c r="BM104" s="533"/>
    </row>
    <row r="105" spans="1:65" ht="39.950000000000003" customHeight="1">
      <c r="A105" s="91"/>
      <c r="B105" s="358" t="s">
        <v>2296</v>
      </c>
      <c r="C105" s="50" t="s">
        <v>1475</v>
      </c>
      <c r="D105" s="264" t="s">
        <v>1448</v>
      </c>
      <c r="E105" s="393" t="s">
        <v>999</v>
      </c>
      <c r="F105" s="410"/>
      <c r="G105" s="10"/>
      <c r="H105" s="167"/>
      <c r="I105" s="10"/>
      <c r="J105" s="76"/>
      <c r="K105" s="24"/>
      <c r="L105" s="281"/>
      <c r="M105" s="431"/>
      <c r="N105" s="410">
        <v>30575</v>
      </c>
      <c r="O105" s="10">
        <v>35000</v>
      </c>
      <c r="P105" s="10">
        <v>39000</v>
      </c>
      <c r="Q105" s="268">
        <v>38000</v>
      </c>
      <c r="R105" s="10">
        <v>50000</v>
      </c>
      <c r="S105" s="76">
        <f t="shared" si="196"/>
        <v>40500</v>
      </c>
      <c r="T105" s="24">
        <f t="shared" si="197"/>
        <v>9925</v>
      </c>
      <c r="U105" s="281">
        <f t="shared" si="198"/>
        <v>0.32461161079313167</v>
      </c>
      <c r="V105" s="462">
        <f t="shared" si="199"/>
        <v>40500</v>
      </c>
      <c r="W105" s="410"/>
      <c r="X105" s="10"/>
      <c r="Y105" s="33"/>
      <c r="Z105" s="473"/>
      <c r="AA105" s="76"/>
      <c r="AB105" s="24"/>
      <c r="AC105" s="25"/>
      <c r="AD105" s="309"/>
      <c r="AE105" s="462"/>
      <c r="AF105" s="408"/>
      <c r="AG105" s="293"/>
      <c r="AH105" s="293"/>
      <c r="AI105" s="293"/>
      <c r="AJ105" s="293"/>
      <c r="AK105" s="293"/>
      <c r="AL105" s="327"/>
      <c r="AM105" s="463"/>
      <c r="AN105" s="513"/>
      <c r="AO105" s="88"/>
      <c r="AP105" s="116"/>
      <c r="AQ105" s="74"/>
      <c r="AR105" s="76"/>
      <c r="AS105" s="24"/>
      <c r="AT105" s="25"/>
      <c r="AU105" s="309"/>
      <c r="AV105" s="462"/>
      <c r="AW105" s="513"/>
      <c r="AX105" s="74"/>
      <c r="AY105" s="74"/>
      <c r="AZ105" s="75"/>
      <c r="BA105" s="61"/>
      <c r="BB105" s="60"/>
      <c r="BC105" s="74"/>
      <c r="BD105" s="79"/>
      <c r="BE105" s="79"/>
      <c r="BF105" s="127"/>
      <c r="BG105" s="128"/>
      <c r="BH105" s="128"/>
      <c r="BI105" s="76"/>
      <c r="BJ105" s="24"/>
      <c r="BK105" s="25"/>
      <c r="BL105" s="259"/>
      <c r="BM105" s="533"/>
    </row>
    <row r="106" spans="1:65" ht="39.950000000000003" customHeight="1">
      <c r="A106" s="91"/>
      <c r="B106" s="358" t="s">
        <v>2297</v>
      </c>
      <c r="C106" s="50" t="s">
        <v>1476</v>
      </c>
      <c r="D106" s="264" t="s">
        <v>1449</v>
      </c>
      <c r="E106" s="393" t="s">
        <v>999</v>
      </c>
      <c r="F106" s="410"/>
      <c r="G106" s="10"/>
      <c r="H106" s="167"/>
      <c r="I106" s="10"/>
      <c r="J106" s="76"/>
      <c r="K106" s="24"/>
      <c r="L106" s="281"/>
      <c r="M106" s="431"/>
      <c r="N106" s="410">
        <v>360512</v>
      </c>
      <c r="O106" s="10">
        <v>100000</v>
      </c>
      <c r="P106" s="10">
        <v>110000</v>
      </c>
      <c r="Q106" s="268">
        <v>105000</v>
      </c>
      <c r="R106" s="10">
        <v>120000</v>
      </c>
      <c r="S106" s="76">
        <f t="shared" si="196"/>
        <v>108750</v>
      </c>
      <c r="T106" s="24">
        <f t="shared" si="197"/>
        <v>-251762</v>
      </c>
      <c r="U106" s="281">
        <f t="shared" si="198"/>
        <v>-0.69834568613527426</v>
      </c>
      <c r="V106" s="462">
        <f t="shared" si="199"/>
        <v>108750</v>
      </c>
      <c r="W106" s="410"/>
      <c r="X106" s="10"/>
      <c r="Y106" s="33"/>
      <c r="Z106" s="473"/>
      <c r="AA106" s="76"/>
      <c r="AB106" s="24"/>
      <c r="AC106" s="25"/>
      <c r="AD106" s="309"/>
      <c r="AE106" s="462"/>
      <c r="AF106" s="408"/>
      <c r="AG106" s="293"/>
      <c r="AH106" s="293"/>
      <c r="AI106" s="293"/>
      <c r="AJ106" s="293"/>
      <c r="AK106" s="293"/>
      <c r="AL106" s="327"/>
      <c r="AM106" s="463"/>
      <c r="AN106" s="513"/>
      <c r="AO106" s="88"/>
      <c r="AP106" s="116"/>
      <c r="AQ106" s="74"/>
      <c r="AR106" s="76"/>
      <c r="AS106" s="24"/>
      <c r="AT106" s="25"/>
      <c r="AU106" s="309"/>
      <c r="AV106" s="462"/>
      <c r="AW106" s="513"/>
      <c r="AX106" s="74"/>
      <c r="AY106" s="74"/>
      <c r="AZ106" s="75"/>
      <c r="BA106" s="61"/>
      <c r="BB106" s="60"/>
      <c r="BC106" s="74"/>
      <c r="BD106" s="79"/>
      <c r="BE106" s="79"/>
      <c r="BF106" s="127"/>
      <c r="BG106" s="128"/>
      <c r="BH106" s="128"/>
      <c r="BI106" s="76"/>
      <c r="BJ106" s="24"/>
      <c r="BK106" s="25"/>
      <c r="BL106" s="259"/>
      <c r="BM106" s="533"/>
    </row>
    <row r="107" spans="1:65" ht="39.950000000000003" customHeight="1">
      <c r="A107" s="91"/>
      <c r="B107" s="358" t="s">
        <v>2298</v>
      </c>
      <c r="C107" s="50" t="s">
        <v>1477</v>
      </c>
      <c r="D107" s="264" t="s">
        <v>1450</v>
      </c>
      <c r="E107" s="393" t="s">
        <v>999</v>
      </c>
      <c r="F107" s="410"/>
      <c r="G107" s="10"/>
      <c r="H107" s="167"/>
      <c r="I107" s="10"/>
      <c r="J107" s="76"/>
      <c r="K107" s="24"/>
      <c r="L107" s="281"/>
      <c r="M107" s="431"/>
      <c r="N107" s="410">
        <v>9711</v>
      </c>
      <c r="O107" s="10"/>
      <c r="P107" s="10">
        <v>80000</v>
      </c>
      <c r="Q107" s="268">
        <v>80000</v>
      </c>
      <c r="R107" s="10">
        <v>50000</v>
      </c>
      <c r="S107" s="76">
        <f t="shared" si="196"/>
        <v>70000</v>
      </c>
      <c r="T107" s="24">
        <f t="shared" si="197"/>
        <v>60289</v>
      </c>
      <c r="U107" s="281">
        <f t="shared" si="198"/>
        <v>6.2083204613325096</v>
      </c>
      <c r="V107" s="462">
        <f t="shared" si="199"/>
        <v>70000</v>
      </c>
      <c r="W107" s="410"/>
      <c r="X107" s="10"/>
      <c r="Y107" s="33"/>
      <c r="Z107" s="473"/>
      <c r="AA107" s="76"/>
      <c r="AB107" s="24"/>
      <c r="AC107" s="25"/>
      <c r="AD107" s="309"/>
      <c r="AE107" s="462"/>
      <c r="AF107" s="408"/>
      <c r="AG107" s="293"/>
      <c r="AH107" s="293"/>
      <c r="AI107" s="293"/>
      <c r="AJ107" s="293"/>
      <c r="AK107" s="293"/>
      <c r="AL107" s="327"/>
      <c r="AM107" s="463"/>
      <c r="AN107" s="513"/>
      <c r="AO107" s="88"/>
      <c r="AP107" s="116"/>
      <c r="AQ107" s="74"/>
      <c r="AR107" s="76"/>
      <c r="AS107" s="24"/>
      <c r="AT107" s="25"/>
      <c r="AU107" s="309"/>
      <c r="AV107" s="462"/>
      <c r="AW107" s="513"/>
      <c r="AX107" s="74"/>
      <c r="AY107" s="74"/>
      <c r="AZ107" s="75"/>
      <c r="BA107" s="61"/>
      <c r="BB107" s="60"/>
      <c r="BC107" s="74"/>
      <c r="BD107" s="79"/>
      <c r="BE107" s="79"/>
      <c r="BF107" s="127"/>
      <c r="BG107" s="128"/>
      <c r="BH107" s="128"/>
      <c r="BI107" s="76"/>
      <c r="BJ107" s="24"/>
      <c r="BK107" s="25"/>
      <c r="BL107" s="259"/>
      <c r="BM107" s="533"/>
    </row>
    <row r="108" spans="1:65" ht="39.950000000000003" customHeight="1">
      <c r="A108" s="91"/>
      <c r="B108" s="358" t="s">
        <v>2299</v>
      </c>
      <c r="C108" s="50" t="s">
        <v>1478</v>
      </c>
      <c r="D108" s="264" t="s">
        <v>1451</v>
      </c>
      <c r="E108" s="394" t="s">
        <v>1399</v>
      </c>
      <c r="F108" s="410"/>
      <c r="G108" s="10"/>
      <c r="H108" s="167"/>
      <c r="I108" s="10"/>
      <c r="J108" s="76"/>
      <c r="K108" s="24"/>
      <c r="L108" s="281"/>
      <c r="M108" s="431"/>
      <c r="N108" s="410">
        <v>18349</v>
      </c>
      <c r="O108" s="10">
        <v>55000</v>
      </c>
      <c r="P108" s="10">
        <v>61000</v>
      </c>
      <c r="Q108" s="268">
        <v>60000</v>
      </c>
      <c r="R108" s="10">
        <v>60000</v>
      </c>
      <c r="S108" s="76">
        <f t="shared" si="196"/>
        <v>59000</v>
      </c>
      <c r="T108" s="24">
        <f t="shared" si="197"/>
        <v>40651</v>
      </c>
      <c r="U108" s="281">
        <f t="shared" si="198"/>
        <v>2.215434083601286</v>
      </c>
      <c r="V108" s="462">
        <f t="shared" si="199"/>
        <v>59000</v>
      </c>
      <c r="W108" s="410"/>
      <c r="X108" s="10"/>
      <c r="Y108" s="33"/>
      <c r="Z108" s="473"/>
      <c r="AA108" s="76"/>
      <c r="AB108" s="24"/>
      <c r="AC108" s="25"/>
      <c r="AD108" s="309"/>
      <c r="AE108" s="462"/>
      <c r="AF108" s="408"/>
      <c r="AG108" s="293"/>
      <c r="AH108" s="293"/>
      <c r="AI108" s="293"/>
      <c r="AJ108" s="293"/>
      <c r="AK108" s="293"/>
      <c r="AL108" s="327"/>
      <c r="AM108" s="463"/>
      <c r="AN108" s="513"/>
      <c r="AO108" s="88"/>
      <c r="AP108" s="116"/>
      <c r="AQ108" s="74"/>
      <c r="AR108" s="76"/>
      <c r="AS108" s="24"/>
      <c r="AT108" s="25"/>
      <c r="AU108" s="309"/>
      <c r="AV108" s="462"/>
      <c r="AW108" s="513"/>
      <c r="AX108" s="74"/>
      <c r="AY108" s="74"/>
      <c r="AZ108" s="75"/>
      <c r="BA108" s="61"/>
      <c r="BB108" s="60"/>
      <c r="BC108" s="74"/>
      <c r="BD108" s="79"/>
      <c r="BE108" s="79"/>
      <c r="BF108" s="127"/>
      <c r="BG108" s="128"/>
      <c r="BH108" s="128"/>
      <c r="BI108" s="76"/>
      <c r="BJ108" s="24"/>
      <c r="BK108" s="25"/>
      <c r="BL108" s="259"/>
      <c r="BM108" s="533"/>
    </row>
    <row r="109" spans="1:65" ht="39.950000000000003" customHeight="1">
      <c r="A109" s="91"/>
      <c r="B109" s="358" t="s">
        <v>2300</v>
      </c>
      <c r="C109" s="50" t="s">
        <v>1479</v>
      </c>
      <c r="D109" s="264" t="s">
        <v>1452</v>
      </c>
      <c r="E109" s="393" t="s">
        <v>999</v>
      </c>
      <c r="F109" s="410"/>
      <c r="G109" s="10"/>
      <c r="H109" s="167"/>
      <c r="I109" s="10"/>
      <c r="J109" s="76"/>
      <c r="K109" s="24"/>
      <c r="L109" s="281"/>
      <c r="M109" s="431"/>
      <c r="N109" s="410">
        <v>14134</v>
      </c>
      <c r="O109" s="10">
        <v>35000</v>
      </c>
      <c r="P109" s="10">
        <v>38000</v>
      </c>
      <c r="Q109" s="268">
        <v>38000</v>
      </c>
      <c r="R109" s="10">
        <v>60000</v>
      </c>
      <c r="S109" s="76">
        <f t="shared" si="196"/>
        <v>42750</v>
      </c>
      <c r="T109" s="24">
        <f t="shared" si="197"/>
        <v>28616</v>
      </c>
      <c r="U109" s="281">
        <f t="shared" si="198"/>
        <v>2.0246214801188622</v>
      </c>
      <c r="V109" s="462">
        <f t="shared" si="199"/>
        <v>42750</v>
      </c>
      <c r="W109" s="410"/>
      <c r="X109" s="10"/>
      <c r="Y109" s="33"/>
      <c r="Z109" s="473"/>
      <c r="AA109" s="76"/>
      <c r="AB109" s="24"/>
      <c r="AC109" s="25"/>
      <c r="AD109" s="309"/>
      <c r="AE109" s="462"/>
      <c r="AF109" s="408"/>
      <c r="AG109" s="293"/>
      <c r="AH109" s="293"/>
      <c r="AI109" s="293"/>
      <c r="AJ109" s="293"/>
      <c r="AK109" s="293"/>
      <c r="AL109" s="327"/>
      <c r="AM109" s="463"/>
      <c r="AN109" s="513"/>
      <c r="AO109" s="88"/>
      <c r="AP109" s="116"/>
      <c r="AQ109" s="74"/>
      <c r="AR109" s="76"/>
      <c r="AS109" s="24"/>
      <c r="AT109" s="25"/>
      <c r="AU109" s="309"/>
      <c r="AV109" s="462"/>
      <c r="AW109" s="513"/>
      <c r="AX109" s="74"/>
      <c r="AY109" s="74"/>
      <c r="AZ109" s="75"/>
      <c r="BA109" s="61"/>
      <c r="BB109" s="60"/>
      <c r="BC109" s="74"/>
      <c r="BD109" s="79"/>
      <c r="BE109" s="79"/>
      <c r="BF109" s="127"/>
      <c r="BG109" s="128"/>
      <c r="BH109" s="128"/>
      <c r="BI109" s="76"/>
      <c r="BJ109" s="24"/>
      <c r="BK109" s="25"/>
      <c r="BL109" s="259"/>
      <c r="BM109" s="533"/>
    </row>
    <row r="110" spans="1:65" ht="39.950000000000003" customHeight="1">
      <c r="A110" s="91"/>
      <c r="B110" s="358" t="s">
        <v>2301</v>
      </c>
      <c r="C110" s="50" t="s">
        <v>1480</v>
      </c>
      <c r="D110" s="264" t="s">
        <v>1453</v>
      </c>
      <c r="E110" s="394" t="s">
        <v>1399</v>
      </c>
      <c r="F110" s="410"/>
      <c r="G110" s="10"/>
      <c r="H110" s="167"/>
      <c r="I110" s="10"/>
      <c r="J110" s="76"/>
      <c r="K110" s="24"/>
      <c r="L110" s="281"/>
      <c r="M110" s="431"/>
      <c r="N110" s="410">
        <v>56898</v>
      </c>
      <c r="O110" s="10"/>
      <c r="P110" s="10"/>
      <c r="Q110" s="10"/>
      <c r="R110" s="10">
        <v>20000</v>
      </c>
      <c r="S110" s="76">
        <f t="shared" si="196"/>
        <v>20000</v>
      </c>
      <c r="T110" s="24">
        <f t="shared" si="197"/>
        <v>-36898</v>
      </c>
      <c r="U110" s="281">
        <f t="shared" si="198"/>
        <v>-0.64849379591549794</v>
      </c>
      <c r="V110" s="462">
        <f t="shared" si="199"/>
        <v>20000</v>
      </c>
      <c r="W110" s="410"/>
      <c r="X110" s="10"/>
      <c r="Y110" s="33"/>
      <c r="Z110" s="473"/>
      <c r="AA110" s="76"/>
      <c r="AB110" s="24"/>
      <c r="AC110" s="25"/>
      <c r="AD110" s="309"/>
      <c r="AE110" s="462"/>
      <c r="AF110" s="408"/>
      <c r="AG110" s="293"/>
      <c r="AH110" s="293"/>
      <c r="AI110" s="293"/>
      <c r="AJ110" s="293"/>
      <c r="AK110" s="293"/>
      <c r="AL110" s="327"/>
      <c r="AM110" s="463"/>
      <c r="AN110" s="513"/>
      <c r="AO110" s="88"/>
      <c r="AP110" s="116"/>
      <c r="AQ110" s="74"/>
      <c r="AR110" s="76"/>
      <c r="AS110" s="24"/>
      <c r="AT110" s="25"/>
      <c r="AU110" s="309"/>
      <c r="AV110" s="462"/>
      <c r="AW110" s="513"/>
      <c r="AX110" s="74"/>
      <c r="AY110" s="74"/>
      <c r="AZ110" s="75"/>
      <c r="BA110" s="61"/>
      <c r="BB110" s="60"/>
      <c r="BC110" s="74"/>
      <c r="BD110" s="79"/>
      <c r="BE110" s="79"/>
      <c r="BF110" s="127"/>
      <c r="BG110" s="128"/>
      <c r="BH110" s="128"/>
      <c r="BI110" s="76"/>
      <c r="BJ110" s="24"/>
      <c r="BK110" s="25"/>
      <c r="BL110" s="259"/>
      <c r="BM110" s="533"/>
    </row>
    <row r="111" spans="1:65" ht="39.950000000000003" customHeight="1">
      <c r="A111" s="91"/>
      <c r="B111" s="358" t="s">
        <v>2302</v>
      </c>
      <c r="C111" s="50" t="s">
        <v>1481</v>
      </c>
      <c r="D111" s="264" t="s">
        <v>1454</v>
      </c>
      <c r="E111" s="394" t="s">
        <v>1399</v>
      </c>
      <c r="F111" s="410"/>
      <c r="G111" s="10"/>
      <c r="H111" s="167"/>
      <c r="I111" s="10"/>
      <c r="J111" s="76"/>
      <c r="K111" s="24"/>
      <c r="L111" s="281"/>
      <c r="M111" s="431"/>
      <c r="N111" s="410">
        <v>5848</v>
      </c>
      <c r="O111" s="10"/>
      <c r="P111" s="10"/>
      <c r="Q111" s="10"/>
      <c r="R111" s="10">
        <v>15000</v>
      </c>
      <c r="S111" s="76">
        <f t="shared" si="196"/>
        <v>15000</v>
      </c>
      <c r="T111" s="24">
        <f t="shared" si="197"/>
        <v>9152</v>
      </c>
      <c r="U111" s="281">
        <f t="shared" si="198"/>
        <v>1.5649794801641588</v>
      </c>
      <c r="V111" s="462">
        <f t="shared" si="199"/>
        <v>15000</v>
      </c>
      <c r="W111" s="410"/>
      <c r="X111" s="10"/>
      <c r="Y111" s="33"/>
      <c r="Z111" s="473"/>
      <c r="AA111" s="76"/>
      <c r="AB111" s="24"/>
      <c r="AC111" s="25"/>
      <c r="AD111" s="309"/>
      <c r="AE111" s="462"/>
      <c r="AF111" s="408"/>
      <c r="AG111" s="293"/>
      <c r="AH111" s="293"/>
      <c r="AI111" s="293"/>
      <c r="AJ111" s="293"/>
      <c r="AK111" s="293"/>
      <c r="AL111" s="327"/>
      <c r="AM111" s="463"/>
      <c r="AN111" s="513"/>
      <c r="AO111" s="88"/>
      <c r="AP111" s="116"/>
      <c r="AQ111" s="74"/>
      <c r="AR111" s="76"/>
      <c r="AS111" s="24"/>
      <c r="AT111" s="25"/>
      <c r="AU111" s="309"/>
      <c r="AV111" s="462"/>
      <c r="AW111" s="513"/>
      <c r="AX111" s="74"/>
      <c r="AY111" s="74"/>
      <c r="AZ111" s="75"/>
      <c r="BA111" s="61"/>
      <c r="BB111" s="60"/>
      <c r="BC111" s="74"/>
      <c r="BD111" s="79"/>
      <c r="BE111" s="79"/>
      <c r="BF111" s="127"/>
      <c r="BG111" s="128"/>
      <c r="BH111" s="128"/>
      <c r="BI111" s="76"/>
      <c r="BJ111" s="24"/>
      <c r="BK111" s="25"/>
      <c r="BL111" s="259"/>
      <c r="BM111" s="533"/>
    </row>
    <row r="112" spans="1:65" ht="39.950000000000003" customHeight="1">
      <c r="A112" s="91"/>
      <c r="B112" s="358" t="s">
        <v>2303</v>
      </c>
      <c r="C112" s="50" t="s">
        <v>1482</v>
      </c>
      <c r="D112" s="264" t="s">
        <v>1455</v>
      </c>
      <c r="E112" s="394" t="s">
        <v>1399</v>
      </c>
      <c r="F112" s="410"/>
      <c r="G112" s="10"/>
      <c r="H112" s="167"/>
      <c r="I112" s="10"/>
      <c r="J112" s="76"/>
      <c r="K112" s="24"/>
      <c r="L112" s="281"/>
      <c r="M112" s="431"/>
      <c r="N112" s="410">
        <v>14011</v>
      </c>
      <c r="O112" s="10"/>
      <c r="P112" s="10"/>
      <c r="Q112" s="10"/>
      <c r="R112" s="10">
        <v>20000</v>
      </c>
      <c r="S112" s="76">
        <f t="shared" si="196"/>
        <v>20000</v>
      </c>
      <c r="T112" s="24">
        <f t="shared" si="197"/>
        <v>5989</v>
      </c>
      <c r="U112" s="281">
        <f t="shared" si="198"/>
        <v>0.42744986082363856</v>
      </c>
      <c r="V112" s="462">
        <f t="shared" si="199"/>
        <v>20000</v>
      </c>
      <c r="W112" s="410"/>
      <c r="X112" s="10"/>
      <c r="Y112" s="33"/>
      <c r="Z112" s="473"/>
      <c r="AA112" s="76"/>
      <c r="AB112" s="24"/>
      <c r="AC112" s="25"/>
      <c r="AD112" s="309"/>
      <c r="AE112" s="462"/>
      <c r="AF112" s="408"/>
      <c r="AG112" s="293"/>
      <c r="AH112" s="293"/>
      <c r="AI112" s="293"/>
      <c r="AJ112" s="293"/>
      <c r="AK112" s="293"/>
      <c r="AL112" s="327"/>
      <c r="AM112" s="463"/>
      <c r="AN112" s="513"/>
      <c r="AO112" s="88"/>
      <c r="AP112" s="116"/>
      <c r="AQ112" s="74"/>
      <c r="AR112" s="76"/>
      <c r="AS112" s="24"/>
      <c r="AT112" s="25"/>
      <c r="AU112" s="309"/>
      <c r="AV112" s="462"/>
      <c r="AW112" s="513"/>
      <c r="AX112" s="74"/>
      <c r="AY112" s="74"/>
      <c r="AZ112" s="75"/>
      <c r="BA112" s="61"/>
      <c r="BB112" s="60"/>
      <c r="BC112" s="74"/>
      <c r="BD112" s="79"/>
      <c r="BE112" s="79"/>
      <c r="BF112" s="127"/>
      <c r="BG112" s="128"/>
      <c r="BH112" s="128"/>
      <c r="BI112" s="76"/>
      <c r="BJ112" s="24"/>
      <c r="BK112" s="25"/>
      <c r="BL112" s="259"/>
      <c r="BM112" s="533"/>
    </row>
    <row r="113" spans="1:65" ht="39.950000000000003" customHeight="1">
      <c r="A113" s="91"/>
      <c r="B113" s="358" t="s">
        <v>2304</v>
      </c>
      <c r="C113" s="50" t="s">
        <v>1483</v>
      </c>
      <c r="D113" s="264" t="s">
        <v>1456</v>
      </c>
      <c r="E113" s="393" t="s">
        <v>1457</v>
      </c>
      <c r="F113" s="410"/>
      <c r="G113" s="10"/>
      <c r="H113" s="167"/>
      <c r="I113" s="10"/>
      <c r="J113" s="76"/>
      <c r="K113" s="24"/>
      <c r="L113" s="281"/>
      <c r="M113" s="431"/>
      <c r="N113" s="410">
        <v>6237</v>
      </c>
      <c r="O113" s="10">
        <v>35000</v>
      </c>
      <c r="P113" s="10">
        <v>38000</v>
      </c>
      <c r="Q113" s="268">
        <v>38000</v>
      </c>
      <c r="R113" s="10">
        <v>40000</v>
      </c>
      <c r="S113" s="76">
        <f t="shared" si="196"/>
        <v>37750</v>
      </c>
      <c r="T113" s="24">
        <f t="shared" si="197"/>
        <v>31513</v>
      </c>
      <c r="U113" s="281">
        <f t="shared" si="198"/>
        <v>5.0525893859227189</v>
      </c>
      <c r="V113" s="462">
        <f t="shared" si="199"/>
        <v>37750</v>
      </c>
      <c r="W113" s="410"/>
      <c r="X113" s="10"/>
      <c r="Y113" s="33"/>
      <c r="Z113" s="473"/>
      <c r="AA113" s="76"/>
      <c r="AB113" s="24"/>
      <c r="AC113" s="25"/>
      <c r="AD113" s="309"/>
      <c r="AE113" s="462"/>
      <c r="AF113" s="408"/>
      <c r="AG113" s="293"/>
      <c r="AH113" s="293"/>
      <c r="AI113" s="293"/>
      <c r="AJ113" s="293"/>
      <c r="AK113" s="293"/>
      <c r="AL113" s="327"/>
      <c r="AM113" s="463"/>
      <c r="AN113" s="513"/>
      <c r="AO113" s="88"/>
      <c r="AP113" s="116"/>
      <c r="AQ113" s="74"/>
      <c r="AR113" s="76"/>
      <c r="AS113" s="24"/>
      <c r="AT113" s="25"/>
      <c r="AU113" s="309"/>
      <c r="AV113" s="462"/>
      <c r="AW113" s="513"/>
      <c r="AX113" s="74"/>
      <c r="AY113" s="74"/>
      <c r="AZ113" s="75"/>
      <c r="BA113" s="61"/>
      <c r="BB113" s="60"/>
      <c r="BC113" s="74"/>
      <c r="BD113" s="79"/>
      <c r="BE113" s="79"/>
      <c r="BF113" s="127"/>
      <c r="BG113" s="128"/>
      <c r="BH113" s="128"/>
      <c r="BI113" s="76"/>
      <c r="BJ113" s="24"/>
      <c r="BK113" s="25"/>
      <c r="BL113" s="259"/>
      <c r="BM113" s="533"/>
    </row>
    <row r="114" spans="1:65" ht="39.950000000000003" customHeight="1">
      <c r="A114" s="91"/>
      <c r="B114" s="358" t="s">
        <v>2305</v>
      </c>
      <c r="C114" s="50" t="s">
        <v>1484</v>
      </c>
      <c r="D114" s="264" t="s">
        <v>1458</v>
      </c>
      <c r="E114" s="393" t="s">
        <v>827</v>
      </c>
      <c r="F114" s="410"/>
      <c r="G114" s="10"/>
      <c r="H114" s="167"/>
      <c r="I114" s="10"/>
      <c r="J114" s="76"/>
      <c r="K114" s="24"/>
      <c r="L114" s="281"/>
      <c r="M114" s="431"/>
      <c r="N114" s="410">
        <v>5591</v>
      </c>
      <c r="O114" s="10">
        <v>15000</v>
      </c>
      <c r="P114" s="10">
        <v>18000</v>
      </c>
      <c r="Q114" s="268">
        <v>18000</v>
      </c>
      <c r="R114" s="10">
        <v>12000</v>
      </c>
      <c r="S114" s="76">
        <f t="shared" si="196"/>
        <v>15750</v>
      </c>
      <c r="T114" s="24">
        <f t="shared" si="197"/>
        <v>10159</v>
      </c>
      <c r="U114" s="281">
        <f t="shared" si="198"/>
        <v>1.8170273654086926</v>
      </c>
      <c r="V114" s="462">
        <f t="shared" si="199"/>
        <v>15750</v>
      </c>
      <c r="W114" s="410"/>
      <c r="X114" s="10"/>
      <c r="Y114" s="33"/>
      <c r="Z114" s="473"/>
      <c r="AA114" s="76"/>
      <c r="AB114" s="24"/>
      <c r="AC114" s="25"/>
      <c r="AD114" s="309"/>
      <c r="AE114" s="462"/>
      <c r="AF114" s="408"/>
      <c r="AG114" s="293"/>
      <c r="AH114" s="293"/>
      <c r="AI114" s="293"/>
      <c r="AJ114" s="293"/>
      <c r="AK114" s="293"/>
      <c r="AL114" s="327"/>
      <c r="AM114" s="463"/>
      <c r="AN114" s="513"/>
      <c r="AO114" s="88"/>
      <c r="AP114" s="116"/>
      <c r="AQ114" s="74"/>
      <c r="AR114" s="76"/>
      <c r="AS114" s="24"/>
      <c r="AT114" s="25"/>
      <c r="AU114" s="309"/>
      <c r="AV114" s="462"/>
      <c r="AW114" s="513"/>
      <c r="AX114" s="74"/>
      <c r="AY114" s="74"/>
      <c r="AZ114" s="75"/>
      <c r="BA114" s="61"/>
      <c r="BB114" s="60"/>
      <c r="BC114" s="74"/>
      <c r="BD114" s="79"/>
      <c r="BE114" s="79"/>
      <c r="BF114" s="127"/>
      <c r="BG114" s="128"/>
      <c r="BH114" s="128"/>
      <c r="BI114" s="76"/>
      <c r="BJ114" s="24"/>
      <c r="BK114" s="25"/>
      <c r="BL114" s="259"/>
      <c r="BM114" s="533"/>
    </row>
    <row r="115" spans="1:65" ht="39.950000000000003" customHeight="1">
      <c r="A115" s="91"/>
      <c r="B115" s="358" t="s">
        <v>2306</v>
      </c>
      <c r="C115" s="50" t="s">
        <v>1485</v>
      </c>
      <c r="D115" s="264" t="s">
        <v>1459</v>
      </c>
      <c r="E115" s="394" t="s">
        <v>1399</v>
      </c>
      <c r="F115" s="410"/>
      <c r="G115" s="10"/>
      <c r="H115" s="167"/>
      <c r="I115" s="10"/>
      <c r="J115" s="76"/>
      <c r="K115" s="24"/>
      <c r="L115" s="281"/>
      <c r="M115" s="431"/>
      <c r="N115" s="410">
        <v>10546</v>
      </c>
      <c r="O115" s="10">
        <v>25000</v>
      </c>
      <c r="P115" s="10">
        <v>27500</v>
      </c>
      <c r="Q115" s="268">
        <v>27500</v>
      </c>
      <c r="R115" s="10">
        <v>30000</v>
      </c>
      <c r="S115" s="76">
        <f t="shared" si="196"/>
        <v>27500</v>
      </c>
      <c r="T115" s="24">
        <f t="shared" si="197"/>
        <v>16954</v>
      </c>
      <c r="U115" s="281">
        <f t="shared" si="198"/>
        <v>1.6076237435994689</v>
      </c>
      <c r="V115" s="462">
        <f t="shared" si="199"/>
        <v>27500</v>
      </c>
      <c r="W115" s="410"/>
      <c r="X115" s="10"/>
      <c r="Y115" s="33"/>
      <c r="Z115" s="473"/>
      <c r="AA115" s="76"/>
      <c r="AB115" s="24"/>
      <c r="AC115" s="25"/>
      <c r="AD115" s="309"/>
      <c r="AE115" s="462"/>
      <c r="AF115" s="408"/>
      <c r="AG115" s="293"/>
      <c r="AH115" s="293"/>
      <c r="AI115" s="293"/>
      <c r="AJ115" s="293"/>
      <c r="AK115" s="293"/>
      <c r="AL115" s="327"/>
      <c r="AM115" s="463"/>
      <c r="AN115" s="513"/>
      <c r="AO115" s="88"/>
      <c r="AP115" s="116"/>
      <c r="AQ115" s="74"/>
      <c r="AR115" s="76"/>
      <c r="AS115" s="24"/>
      <c r="AT115" s="25"/>
      <c r="AU115" s="309"/>
      <c r="AV115" s="462"/>
      <c r="AW115" s="513"/>
      <c r="AX115" s="74"/>
      <c r="AY115" s="74"/>
      <c r="AZ115" s="75"/>
      <c r="BA115" s="61"/>
      <c r="BB115" s="60"/>
      <c r="BC115" s="74"/>
      <c r="BD115" s="79"/>
      <c r="BE115" s="79"/>
      <c r="BF115" s="127"/>
      <c r="BG115" s="128"/>
      <c r="BH115" s="128"/>
      <c r="BI115" s="76"/>
      <c r="BJ115" s="24"/>
      <c r="BK115" s="25"/>
      <c r="BL115" s="259"/>
      <c r="BM115" s="533"/>
    </row>
    <row r="116" spans="1:65" ht="39.950000000000003" customHeight="1">
      <c r="A116" s="91"/>
      <c r="B116" s="358" t="s">
        <v>2307</v>
      </c>
      <c r="C116" s="50" t="s">
        <v>1486</v>
      </c>
      <c r="D116" s="264" t="s">
        <v>1460</v>
      </c>
      <c r="E116" s="393" t="s">
        <v>999</v>
      </c>
      <c r="F116" s="410"/>
      <c r="G116" s="10"/>
      <c r="H116" s="167"/>
      <c r="I116" s="10"/>
      <c r="J116" s="76"/>
      <c r="K116" s="24"/>
      <c r="L116" s="281"/>
      <c r="M116" s="431"/>
      <c r="N116" s="410">
        <v>30575</v>
      </c>
      <c r="O116" s="10">
        <v>55000</v>
      </c>
      <c r="P116" s="10">
        <v>58000</v>
      </c>
      <c r="Q116" s="268">
        <v>57000</v>
      </c>
      <c r="R116" s="10">
        <v>50000</v>
      </c>
      <c r="S116" s="76">
        <f t="shared" si="196"/>
        <v>55000</v>
      </c>
      <c r="T116" s="24">
        <f t="shared" si="197"/>
        <v>24425</v>
      </c>
      <c r="U116" s="281">
        <f t="shared" si="198"/>
        <v>0.7988552739165985</v>
      </c>
      <c r="V116" s="462">
        <f t="shared" si="199"/>
        <v>55000</v>
      </c>
      <c r="W116" s="410"/>
      <c r="X116" s="10"/>
      <c r="Y116" s="33"/>
      <c r="Z116" s="473"/>
      <c r="AA116" s="76"/>
      <c r="AB116" s="24"/>
      <c r="AC116" s="25"/>
      <c r="AD116" s="309"/>
      <c r="AE116" s="462"/>
      <c r="AF116" s="408"/>
      <c r="AG116" s="293"/>
      <c r="AH116" s="293"/>
      <c r="AI116" s="293"/>
      <c r="AJ116" s="293"/>
      <c r="AK116" s="293"/>
      <c r="AL116" s="327"/>
      <c r="AM116" s="463"/>
      <c r="AN116" s="513"/>
      <c r="AO116" s="88"/>
      <c r="AP116" s="116"/>
      <c r="AQ116" s="74"/>
      <c r="AR116" s="76"/>
      <c r="AS116" s="24"/>
      <c r="AT116" s="25"/>
      <c r="AU116" s="309"/>
      <c r="AV116" s="462"/>
      <c r="AW116" s="513"/>
      <c r="AX116" s="74"/>
      <c r="AY116" s="74"/>
      <c r="AZ116" s="75"/>
      <c r="BA116" s="61"/>
      <c r="BB116" s="60"/>
      <c r="BC116" s="74"/>
      <c r="BD116" s="79"/>
      <c r="BE116" s="79"/>
      <c r="BF116" s="127"/>
      <c r="BG116" s="128"/>
      <c r="BH116" s="128"/>
      <c r="BI116" s="76"/>
      <c r="BJ116" s="24"/>
      <c r="BK116" s="25"/>
      <c r="BL116" s="259"/>
      <c r="BM116" s="533"/>
    </row>
    <row r="117" spans="1:65" ht="39.950000000000003" customHeight="1">
      <c r="A117" s="91"/>
      <c r="B117" s="358" t="s">
        <v>2308</v>
      </c>
      <c r="C117" s="50" t="s">
        <v>1487</v>
      </c>
      <c r="D117" s="264" t="s">
        <v>1461</v>
      </c>
      <c r="E117" s="393" t="s">
        <v>999</v>
      </c>
      <c r="F117" s="410"/>
      <c r="G117" s="10"/>
      <c r="H117" s="167"/>
      <c r="I117" s="10"/>
      <c r="J117" s="76"/>
      <c r="K117" s="24"/>
      <c r="L117" s="281"/>
      <c r="M117" s="431"/>
      <c r="N117" s="410">
        <v>19621</v>
      </c>
      <c r="O117" s="10">
        <v>15000</v>
      </c>
      <c r="P117" s="10">
        <v>18000</v>
      </c>
      <c r="Q117" s="268">
        <v>18000</v>
      </c>
      <c r="R117" s="10">
        <v>20000</v>
      </c>
      <c r="S117" s="76">
        <f t="shared" si="196"/>
        <v>17750</v>
      </c>
      <c r="T117" s="24">
        <f t="shared" si="197"/>
        <v>-1871</v>
      </c>
      <c r="U117" s="281">
        <f t="shared" si="198"/>
        <v>-9.5357015442637985E-2</v>
      </c>
      <c r="V117" s="462">
        <f t="shared" si="199"/>
        <v>17750</v>
      </c>
      <c r="W117" s="410"/>
      <c r="X117" s="10"/>
      <c r="Y117" s="33"/>
      <c r="Z117" s="473"/>
      <c r="AA117" s="76"/>
      <c r="AB117" s="24"/>
      <c r="AC117" s="25"/>
      <c r="AD117" s="309"/>
      <c r="AE117" s="462"/>
      <c r="AF117" s="408"/>
      <c r="AG117" s="293"/>
      <c r="AH117" s="293"/>
      <c r="AI117" s="293"/>
      <c r="AJ117" s="293"/>
      <c r="AK117" s="293"/>
      <c r="AL117" s="327"/>
      <c r="AM117" s="463"/>
      <c r="AN117" s="513"/>
      <c r="AO117" s="88"/>
      <c r="AP117" s="116"/>
      <c r="AQ117" s="74"/>
      <c r="AR117" s="76"/>
      <c r="AS117" s="24"/>
      <c r="AT117" s="25"/>
      <c r="AU117" s="309"/>
      <c r="AV117" s="462"/>
      <c r="AW117" s="513"/>
      <c r="AX117" s="74"/>
      <c r="AY117" s="74"/>
      <c r="AZ117" s="75"/>
      <c r="BA117" s="61"/>
      <c r="BB117" s="60"/>
      <c r="BC117" s="74"/>
      <c r="BD117" s="79"/>
      <c r="BE117" s="79"/>
      <c r="BF117" s="127"/>
      <c r="BG117" s="128"/>
      <c r="BH117" s="128"/>
      <c r="BI117" s="76"/>
      <c r="BJ117" s="24"/>
      <c r="BK117" s="25"/>
      <c r="BL117" s="259"/>
      <c r="BM117" s="533"/>
    </row>
    <row r="118" spans="1:65" ht="39.950000000000003" customHeight="1">
      <c r="A118" s="91"/>
      <c r="B118" s="358" t="s">
        <v>2309</v>
      </c>
      <c r="C118" s="50" t="s">
        <v>1488</v>
      </c>
      <c r="D118" s="264" t="s">
        <v>1462</v>
      </c>
      <c r="E118" s="393" t="s">
        <v>1457</v>
      </c>
      <c r="F118" s="410"/>
      <c r="G118" s="10"/>
      <c r="H118" s="167"/>
      <c r="I118" s="10"/>
      <c r="J118" s="76"/>
      <c r="K118" s="24"/>
      <c r="L118" s="281"/>
      <c r="M118" s="431"/>
      <c r="N118" s="410">
        <v>7660</v>
      </c>
      <c r="O118" s="10">
        <v>7000</v>
      </c>
      <c r="P118" s="10">
        <v>10000</v>
      </c>
      <c r="Q118" s="268">
        <v>9000</v>
      </c>
      <c r="R118" s="10">
        <v>20000</v>
      </c>
      <c r="S118" s="76">
        <f t="shared" si="196"/>
        <v>11500</v>
      </c>
      <c r="T118" s="24">
        <f t="shared" si="197"/>
        <v>3840</v>
      </c>
      <c r="U118" s="281">
        <f t="shared" si="198"/>
        <v>0.50130548302872058</v>
      </c>
      <c r="V118" s="462">
        <f t="shared" si="199"/>
        <v>11500</v>
      </c>
      <c r="W118" s="410"/>
      <c r="X118" s="10"/>
      <c r="Y118" s="33"/>
      <c r="Z118" s="473"/>
      <c r="AA118" s="76"/>
      <c r="AB118" s="24"/>
      <c r="AC118" s="25"/>
      <c r="AD118" s="309"/>
      <c r="AE118" s="462"/>
      <c r="AF118" s="408"/>
      <c r="AG118" s="293"/>
      <c r="AH118" s="293"/>
      <c r="AI118" s="293"/>
      <c r="AJ118" s="293"/>
      <c r="AK118" s="293"/>
      <c r="AL118" s="327"/>
      <c r="AM118" s="463"/>
      <c r="AN118" s="513"/>
      <c r="AO118" s="88"/>
      <c r="AP118" s="116"/>
      <c r="AQ118" s="74"/>
      <c r="AR118" s="76"/>
      <c r="AS118" s="24"/>
      <c r="AT118" s="25"/>
      <c r="AU118" s="309"/>
      <c r="AV118" s="462"/>
      <c r="AW118" s="513"/>
      <c r="AX118" s="74"/>
      <c r="AY118" s="74"/>
      <c r="AZ118" s="75"/>
      <c r="BA118" s="61"/>
      <c r="BB118" s="60"/>
      <c r="BC118" s="74"/>
      <c r="BD118" s="79"/>
      <c r="BE118" s="79"/>
      <c r="BF118" s="127"/>
      <c r="BG118" s="128"/>
      <c r="BH118" s="128"/>
      <c r="BI118" s="76"/>
      <c r="BJ118" s="24"/>
      <c r="BK118" s="25"/>
      <c r="BL118" s="259"/>
      <c r="BM118" s="533"/>
    </row>
    <row r="119" spans="1:65" ht="39.950000000000003" customHeight="1">
      <c r="A119" s="91"/>
      <c r="B119" s="358" t="s">
        <v>2310</v>
      </c>
      <c r="C119" s="50" t="s">
        <v>1489</v>
      </c>
      <c r="D119" s="264" t="s">
        <v>1463</v>
      </c>
      <c r="E119" s="394" t="s">
        <v>1399</v>
      </c>
      <c r="F119" s="410"/>
      <c r="G119" s="10"/>
      <c r="H119" s="167"/>
      <c r="I119" s="10"/>
      <c r="J119" s="76"/>
      <c r="K119" s="24"/>
      <c r="L119" s="281"/>
      <c r="M119" s="431"/>
      <c r="N119" s="410">
        <v>6274</v>
      </c>
      <c r="O119" s="10">
        <v>65000</v>
      </c>
      <c r="P119" s="10">
        <v>68000</v>
      </c>
      <c r="Q119" s="268">
        <v>67000</v>
      </c>
      <c r="R119" s="10">
        <v>75000</v>
      </c>
      <c r="S119" s="76">
        <f t="shared" si="196"/>
        <v>68750</v>
      </c>
      <c r="T119" s="24">
        <f t="shared" si="197"/>
        <v>62476</v>
      </c>
      <c r="U119" s="281">
        <f t="shared" si="198"/>
        <v>9.9579215811284669</v>
      </c>
      <c r="V119" s="462">
        <f t="shared" si="199"/>
        <v>68750</v>
      </c>
      <c r="W119" s="410"/>
      <c r="X119" s="10"/>
      <c r="Y119" s="33"/>
      <c r="Z119" s="473"/>
      <c r="AA119" s="76"/>
      <c r="AB119" s="24"/>
      <c r="AC119" s="25"/>
      <c r="AD119" s="309"/>
      <c r="AE119" s="462"/>
      <c r="AF119" s="408"/>
      <c r="AG119" s="293"/>
      <c r="AH119" s="293"/>
      <c r="AI119" s="293"/>
      <c r="AJ119" s="293"/>
      <c r="AK119" s="293"/>
      <c r="AL119" s="327"/>
      <c r="AM119" s="463"/>
      <c r="AN119" s="513"/>
      <c r="AO119" s="88"/>
      <c r="AP119" s="116"/>
      <c r="AQ119" s="74"/>
      <c r="AR119" s="76"/>
      <c r="AS119" s="24"/>
      <c r="AT119" s="25"/>
      <c r="AU119" s="309"/>
      <c r="AV119" s="462"/>
      <c r="AW119" s="513"/>
      <c r="AX119" s="74"/>
      <c r="AY119" s="74"/>
      <c r="AZ119" s="75"/>
      <c r="BA119" s="61"/>
      <c r="BB119" s="60"/>
      <c r="BC119" s="74"/>
      <c r="BD119" s="79"/>
      <c r="BE119" s="79"/>
      <c r="BF119" s="127"/>
      <c r="BG119" s="128"/>
      <c r="BH119" s="128"/>
      <c r="BI119" s="76"/>
      <c r="BJ119" s="24"/>
      <c r="BK119" s="25"/>
      <c r="BL119" s="259"/>
      <c r="BM119" s="533"/>
    </row>
    <row r="120" spans="1:65" ht="39.950000000000003" customHeight="1">
      <c r="A120" s="91"/>
      <c r="B120" s="358" t="s">
        <v>2311</v>
      </c>
      <c r="C120" s="50" t="s">
        <v>1490</v>
      </c>
      <c r="D120" s="264" t="s">
        <v>1464</v>
      </c>
      <c r="E120" s="394" t="s">
        <v>999</v>
      </c>
      <c r="F120" s="410"/>
      <c r="G120" s="10"/>
      <c r="H120" s="167"/>
      <c r="I120" s="10"/>
      <c r="J120" s="76"/>
      <c r="K120" s="24"/>
      <c r="L120" s="281"/>
      <c r="M120" s="431"/>
      <c r="N120" s="410">
        <v>45199</v>
      </c>
      <c r="O120" s="10"/>
      <c r="P120" s="10"/>
      <c r="Q120" s="10"/>
      <c r="R120" s="10" t="s">
        <v>1421</v>
      </c>
      <c r="S120" s="76" t="e">
        <f t="shared" si="196"/>
        <v>#DIV/0!</v>
      </c>
      <c r="T120" s="24"/>
      <c r="U120" s="281"/>
      <c r="V120" s="464" t="s">
        <v>807</v>
      </c>
      <c r="W120" s="410"/>
      <c r="X120" s="10"/>
      <c r="Y120" s="33"/>
      <c r="Z120" s="473"/>
      <c r="AA120" s="76"/>
      <c r="AB120" s="24"/>
      <c r="AC120" s="25"/>
      <c r="AD120" s="309"/>
      <c r="AE120" s="462"/>
      <c r="AF120" s="408"/>
      <c r="AG120" s="293"/>
      <c r="AH120" s="293"/>
      <c r="AI120" s="293"/>
      <c r="AJ120" s="293"/>
      <c r="AK120" s="293"/>
      <c r="AL120" s="327"/>
      <c r="AM120" s="463"/>
      <c r="AN120" s="513"/>
      <c r="AO120" s="88"/>
      <c r="AP120" s="116"/>
      <c r="AQ120" s="74"/>
      <c r="AR120" s="76"/>
      <c r="AS120" s="24"/>
      <c r="AT120" s="25"/>
      <c r="AU120" s="309"/>
      <c r="AV120" s="462"/>
      <c r="AW120" s="513"/>
      <c r="AX120" s="74"/>
      <c r="AY120" s="74"/>
      <c r="AZ120" s="75"/>
      <c r="BA120" s="61"/>
      <c r="BB120" s="60"/>
      <c r="BC120" s="74"/>
      <c r="BD120" s="79"/>
      <c r="BE120" s="79"/>
      <c r="BF120" s="127"/>
      <c r="BG120" s="128"/>
      <c r="BH120" s="128"/>
      <c r="BI120" s="76"/>
      <c r="BJ120" s="24"/>
      <c r="BK120" s="25"/>
      <c r="BL120" s="259"/>
      <c r="BM120" s="533"/>
    </row>
    <row r="121" spans="1:65" ht="51" customHeight="1">
      <c r="A121" s="91"/>
      <c r="B121" s="358" t="s">
        <v>2312</v>
      </c>
      <c r="C121" s="50" t="s">
        <v>1491</v>
      </c>
      <c r="D121" s="264" t="s">
        <v>1465</v>
      </c>
      <c r="E121" s="394" t="s">
        <v>1466</v>
      </c>
      <c r="F121" s="410"/>
      <c r="G121" s="10"/>
      <c r="H121" s="167"/>
      <c r="I121" s="10"/>
      <c r="J121" s="76"/>
      <c r="K121" s="24"/>
      <c r="L121" s="281"/>
      <c r="M121" s="431"/>
      <c r="N121" s="410">
        <v>153431</v>
      </c>
      <c r="O121" s="10">
        <v>75000</v>
      </c>
      <c r="P121" s="10"/>
      <c r="Q121" s="10">
        <v>80000</v>
      </c>
      <c r="R121" s="10">
        <v>150000</v>
      </c>
      <c r="S121" s="76">
        <f t="shared" si="196"/>
        <v>101666.66666666667</v>
      </c>
      <c r="T121" s="24">
        <f t="shared" ref="T121:T122" si="200">S121-N121</f>
        <v>-51764.333333333328</v>
      </c>
      <c r="U121" s="281">
        <f t="shared" ref="U121:U122" si="201">+T121/N121</f>
        <v>-0.33737858277227761</v>
      </c>
      <c r="V121" s="462">
        <f t="shared" ref="V121:V122" si="202">S121</f>
        <v>101666.66666666667</v>
      </c>
      <c r="W121" s="410"/>
      <c r="X121" s="10"/>
      <c r="Y121" s="33"/>
      <c r="Z121" s="473"/>
      <c r="AA121" s="76"/>
      <c r="AB121" s="24"/>
      <c r="AC121" s="25"/>
      <c r="AD121" s="309"/>
      <c r="AE121" s="462"/>
      <c r="AF121" s="408"/>
      <c r="AG121" s="293"/>
      <c r="AH121" s="293"/>
      <c r="AI121" s="293"/>
      <c r="AJ121" s="293"/>
      <c r="AK121" s="293"/>
      <c r="AL121" s="327"/>
      <c r="AM121" s="463"/>
      <c r="AN121" s="513"/>
      <c r="AO121" s="88"/>
      <c r="AP121" s="116"/>
      <c r="AQ121" s="74"/>
      <c r="AR121" s="76"/>
      <c r="AS121" s="24"/>
      <c r="AT121" s="25"/>
      <c r="AU121" s="309"/>
      <c r="AV121" s="462"/>
      <c r="AW121" s="513"/>
      <c r="AX121" s="74"/>
      <c r="AY121" s="74"/>
      <c r="AZ121" s="75"/>
      <c r="BA121" s="61"/>
      <c r="BB121" s="60"/>
      <c r="BC121" s="74"/>
      <c r="BD121" s="79"/>
      <c r="BE121" s="79"/>
      <c r="BF121" s="127"/>
      <c r="BG121" s="128"/>
      <c r="BH121" s="128"/>
      <c r="BI121" s="76"/>
      <c r="BJ121" s="24"/>
      <c r="BK121" s="25"/>
      <c r="BL121" s="259"/>
      <c r="BM121" s="533"/>
    </row>
    <row r="122" spans="1:65" ht="39.950000000000003" customHeight="1">
      <c r="A122" s="91"/>
      <c r="B122" s="358" t="s">
        <v>2313</v>
      </c>
      <c r="C122" s="50" t="s">
        <v>1492</v>
      </c>
      <c r="D122" s="264" t="s">
        <v>1467</v>
      </c>
      <c r="E122" s="394" t="s">
        <v>827</v>
      </c>
      <c r="F122" s="410"/>
      <c r="G122" s="10"/>
      <c r="H122" s="167"/>
      <c r="I122" s="10"/>
      <c r="J122" s="76"/>
      <c r="K122" s="24"/>
      <c r="L122" s="281"/>
      <c r="M122" s="431"/>
      <c r="N122" s="410">
        <v>14433</v>
      </c>
      <c r="O122" s="10">
        <v>12000</v>
      </c>
      <c r="P122" s="10">
        <v>12000</v>
      </c>
      <c r="Q122" s="10">
        <v>13000</v>
      </c>
      <c r="R122" s="10">
        <v>15000</v>
      </c>
      <c r="S122" s="76">
        <f t="shared" si="196"/>
        <v>13000</v>
      </c>
      <c r="T122" s="24">
        <f t="shared" si="200"/>
        <v>-1433</v>
      </c>
      <c r="U122" s="281">
        <f t="shared" si="201"/>
        <v>-9.9286357652601673E-2</v>
      </c>
      <c r="V122" s="462">
        <f t="shared" si="202"/>
        <v>13000</v>
      </c>
      <c r="W122" s="410"/>
      <c r="X122" s="10"/>
      <c r="Y122" s="33"/>
      <c r="Z122" s="473"/>
      <c r="AA122" s="76"/>
      <c r="AB122" s="24"/>
      <c r="AC122" s="25"/>
      <c r="AD122" s="309"/>
      <c r="AE122" s="462"/>
      <c r="AF122" s="408"/>
      <c r="AG122" s="293"/>
      <c r="AH122" s="293"/>
      <c r="AI122" s="293"/>
      <c r="AJ122" s="293"/>
      <c r="AK122" s="293"/>
      <c r="AL122" s="327"/>
      <c r="AM122" s="463"/>
      <c r="AN122" s="513"/>
      <c r="AO122" s="88"/>
      <c r="AP122" s="116"/>
      <c r="AQ122" s="74"/>
      <c r="AR122" s="76"/>
      <c r="AS122" s="24"/>
      <c r="AT122" s="25"/>
      <c r="AU122" s="309"/>
      <c r="AV122" s="462"/>
      <c r="AW122" s="513"/>
      <c r="AX122" s="74"/>
      <c r="AY122" s="74"/>
      <c r="AZ122" s="75"/>
      <c r="BA122" s="61"/>
      <c r="BB122" s="60"/>
      <c r="BC122" s="74"/>
      <c r="BD122" s="79"/>
      <c r="BE122" s="79"/>
      <c r="BF122" s="127"/>
      <c r="BG122" s="128"/>
      <c r="BH122" s="128"/>
      <c r="BI122" s="76"/>
      <c r="BJ122" s="24"/>
      <c r="BK122" s="25"/>
      <c r="BL122" s="259"/>
      <c r="BM122" s="533"/>
    </row>
    <row r="123" spans="1:65" ht="39.950000000000003" customHeight="1">
      <c r="A123" s="91"/>
      <c r="B123" s="358" t="s">
        <v>2314</v>
      </c>
      <c r="C123" s="50" t="s">
        <v>2153</v>
      </c>
      <c r="D123" s="318" t="s">
        <v>840</v>
      </c>
      <c r="E123" s="391" t="s">
        <v>13</v>
      </c>
      <c r="F123" s="410"/>
      <c r="G123" s="10"/>
      <c r="H123" s="167"/>
      <c r="I123" s="10"/>
      <c r="J123" s="76"/>
      <c r="K123" s="24"/>
      <c r="L123" s="281"/>
      <c r="M123" s="431"/>
      <c r="N123" s="410"/>
      <c r="O123" s="10"/>
      <c r="P123" s="10"/>
      <c r="Q123" s="10"/>
      <c r="R123" s="10"/>
      <c r="S123" s="76"/>
      <c r="T123" s="24"/>
      <c r="U123" s="281"/>
      <c r="V123" s="462"/>
      <c r="W123" s="410"/>
      <c r="X123" s="10"/>
      <c r="Y123" s="33"/>
      <c r="Z123" s="473"/>
      <c r="AA123" s="76"/>
      <c r="AB123" s="24"/>
      <c r="AC123" s="25"/>
      <c r="AD123" s="309"/>
      <c r="AE123" s="462"/>
      <c r="AF123" s="499">
        <v>5734</v>
      </c>
      <c r="AG123" s="317">
        <v>7000</v>
      </c>
      <c r="AH123" s="317">
        <v>6589</v>
      </c>
      <c r="AI123" s="45">
        <v>45000</v>
      </c>
      <c r="AJ123" s="76">
        <f t="shared" ref="AJ123:AJ128" si="203">AVERAGE(AG123,AH123,AI123)</f>
        <v>19529.666666666668</v>
      </c>
      <c r="AK123" s="24">
        <f t="shared" ref="AK123:AK128" si="204">AJ123-AF123</f>
        <v>13795.666666666668</v>
      </c>
      <c r="AL123" s="281">
        <f t="shared" ref="AL123:AL128" si="205">+AK123/AF123</f>
        <v>2.4059411696314386</v>
      </c>
      <c r="AM123" s="462">
        <f t="shared" ref="AM123:AM128" si="206">AJ123</f>
        <v>19529.666666666668</v>
      </c>
      <c r="AN123" s="513"/>
      <c r="AO123" s="88"/>
      <c r="AP123" s="116"/>
      <c r="AQ123" s="74"/>
      <c r="AR123" s="76"/>
      <c r="AS123" s="24"/>
      <c r="AT123" s="25"/>
      <c r="AU123" s="309"/>
      <c r="AV123" s="462"/>
      <c r="AW123" s="513"/>
      <c r="AX123" s="74"/>
      <c r="AY123" s="74"/>
      <c r="AZ123" s="75"/>
      <c r="BA123" s="61"/>
      <c r="BB123" s="60"/>
      <c r="BC123" s="74"/>
      <c r="BD123" s="79"/>
      <c r="BE123" s="79"/>
      <c r="BF123" s="127"/>
      <c r="BG123" s="128"/>
      <c r="BH123" s="128"/>
      <c r="BI123" s="76"/>
      <c r="BJ123" s="24"/>
      <c r="BK123" s="25"/>
      <c r="BL123" s="259"/>
      <c r="BM123" s="533"/>
    </row>
    <row r="124" spans="1:65" ht="39.950000000000003" customHeight="1">
      <c r="A124" s="91"/>
      <c r="B124" s="358" t="s">
        <v>2315</v>
      </c>
      <c r="C124" s="50" t="s">
        <v>2154</v>
      </c>
      <c r="D124" s="318" t="s">
        <v>2150</v>
      </c>
      <c r="E124" s="391" t="s">
        <v>13</v>
      </c>
      <c r="F124" s="410"/>
      <c r="G124" s="10"/>
      <c r="H124" s="167"/>
      <c r="I124" s="10"/>
      <c r="J124" s="76"/>
      <c r="K124" s="24"/>
      <c r="L124" s="281"/>
      <c r="M124" s="431"/>
      <c r="N124" s="410"/>
      <c r="O124" s="10"/>
      <c r="P124" s="10"/>
      <c r="Q124" s="10"/>
      <c r="R124" s="10"/>
      <c r="S124" s="76"/>
      <c r="T124" s="24"/>
      <c r="U124" s="281"/>
      <c r="V124" s="462"/>
      <c r="W124" s="410"/>
      <c r="X124" s="10"/>
      <c r="Y124" s="33"/>
      <c r="Z124" s="473"/>
      <c r="AA124" s="76"/>
      <c r="AB124" s="24"/>
      <c r="AC124" s="25"/>
      <c r="AD124" s="309"/>
      <c r="AE124" s="462"/>
      <c r="AF124" s="410">
        <v>23617</v>
      </c>
      <c r="AG124" s="45">
        <v>19000</v>
      </c>
      <c r="AH124" s="45">
        <v>27451</v>
      </c>
      <c r="AI124" s="45">
        <v>30000</v>
      </c>
      <c r="AJ124" s="76">
        <f t="shared" si="203"/>
        <v>25483.666666666668</v>
      </c>
      <c r="AK124" s="24">
        <f t="shared" si="204"/>
        <v>1866.6666666666679</v>
      </c>
      <c r="AL124" s="281">
        <f t="shared" si="205"/>
        <v>7.9039110245444716E-2</v>
      </c>
      <c r="AM124" s="462">
        <f t="shared" si="206"/>
        <v>25483.666666666668</v>
      </c>
      <c r="AN124" s="513"/>
      <c r="AO124" s="88"/>
      <c r="AP124" s="116"/>
      <c r="AQ124" s="74"/>
      <c r="AR124" s="76"/>
      <c r="AS124" s="24"/>
      <c r="AT124" s="25"/>
      <c r="AU124" s="309"/>
      <c r="AV124" s="462"/>
      <c r="AW124" s="513"/>
      <c r="AX124" s="74"/>
      <c r="AY124" s="74"/>
      <c r="AZ124" s="75"/>
      <c r="BA124" s="61"/>
      <c r="BB124" s="60"/>
      <c r="BC124" s="74"/>
      <c r="BD124" s="79"/>
      <c r="BE124" s="79"/>
      <c r="BF124" s="127"/>
      <c r="BG124" s="128"/>
      <c r="BH124" s="128"/>
      <c r="BI124" s="76"/>
      <c r="BJ124" s="24"/>
      <c r="BK124" s="25"/>
      <c r="BL124" s="259"/>
      <c r="BM124" s="533"/>
    </row>
    <row r="125" spans="1:65" ht="39.950000000000003" customHeight="1">
      <c r="A125" s="91"/>
      <c r="B125" s="358" t="s">
        <v>2316</v>
      </c>
      <c r="C125" s="50" t="s">
        <v>2155</v>
      </c>
      <c r="D125" s="318" t="s">
        <v>841</v>
      </c>
      <c r="E125" s="391" t="s">
        <v>14</v>
      </c>
      <c r="F125" s="410"/>
      <c r="G125" s="10"/>
      <c r="H125" s="167"/>
      <c r="I125" s="10"/>
      <c r="J125" s="76"/>
      <c r="K125" s="24"/>
      <c r="L125" s="281"/>
      <c r="M125" s="431"/>
      <c r="N125" s="410"/>
      <c r="O125" s="10"/>
      <c r="P125" s="10"/>
      <c r="Q125" s="10"/>
      <c r="R125" s="10"/>
      <c r="S125" s="76"/>
      <c r="T125" s="24"/>
      <c r="U125" s="281"/>
      <c r="V125" s="462"/>
      <c r="W125" s="410"/>
      <c r="X125" s="10"/>
      <c r="Y125" s="33"/>
      <c r="Z125" s="473"/>
      <c r="AA125" s="76"/>
      <c r="AB125" s="24"/>
      <c r="AC125" s="25"/>
      <c r="AD125" s="309"/>
      <c r="AE125" s="462"/>
      <c r="AF125" s="410">
        <v>37666</v>
      </c>
      <c r="AG125" s="316">
        <v>20000</v>
      </c>
      <c r="AH125" s="45">
        <v>43788</v>
      </c>
      <c r="AI125" s="317">
        <v>40000</v>
      </c>
      <c r="AJ125" s="76">
        <f t="shared" si="203"/>
        <v>34596</v>
      </c>
      <c r="AK125" s="24">
        <f t="shared" si="204"/>
        <v>-3070</v>
      </c>
      <c r="AL125" s="281">
        <f t="shared" si="205"/>
        <v>-8.1505867360484263E-2</v>
      </c>
      <c r="AM125" s="462">
        <f t="shared" si="206"/>
        <v>34596</v>
      </c>
      <c r="AN125" s="513"/>
      <c r="AO125" s="88"/>
      <c r="AP125" s="116"/>
      <c r="AQ125" s="74"/>
      <c r="AR125" s="76"/>
      <c r="AS125" s="24"/>
      <c r="AT125" s="25"/>
      <c r="AU125" s="309"/>
      <c r="AV125" s="462"/>
      <c r="AW125" s="513"/>
      <c r="AX125" s="74"/>
      <c r="AY125" s="74"/>
      <c r="AZ125" s="75"/>
      <c r="BA125" s="61"/>
      <c r="BB125" s="60"/>
      <c r="BC125" s="74"/>
      <c r="BD125" s="79"/>
      <c r="BE125" s="79"/>
      <c r="BF125" s="127"/>
      <c r="BG125" s="128"/>
      <c r="BH125" s="128"/>
      <c r="BI125" s="76"/>
      <c r="BJ125" s="24"/>
      <c r="BK125" s="25"/>
      <c r="BL125" s="259"/>
      <c r="BM125" s="533"/>
    </row>
    <row r="126" spans="1:65" ht="39.950000000000003" customHeight="1">
      <c r="A126" s="91"/>
      <c r="B126" s="358" t="s">
        <v>2317</v>
      </c>
      <c r="C126" s="50" t="s">
        <v>2156</v>
      </c>
      <c r="D126" s="318" t="s">
        <v>2086</v>
      </c>
      <c r="E126" s="391" t="s">
        <v>15</v>
      </c>
      <c r="F126" s="410"/>
      <c r="G126" s="10"/>
      <c r="H126" s="167"/>
      <c r="I126" s="10"/>
      <c r="J126" s="76"/>
      <c r="K126" s="24"/>
      <c r="L126" s="281"/>
      <c r="M126" s="431"/>
      <c r="N126" s="410"/>
      <c r="O126" s="10"/>
      <c r="P126" s="10"/>
      <c r="Q126" s="10"/>
      <c r="R126" s="10"/>
      <c r="S126" s="76"/>
      <c r="T126" s="24"/>
      <c r="U126" s="281"/>
      <c r="V126" s="462"/>
      <c r="W126" s="410"/>
      <c r="X126" s="10"/>
      <c r="Y126" s="33"/>
      <c r="Z126" s="473"/>
      <c r="AA126" s="76"/>
      <c r="AB126" s="24"/>
      <c r="AC126" s="25"/>
      <c r="AD126" s="309"/>
      <c r="AE126" s="462"/>
      <c r="AF126" s="410">
        <v>141674</v>
      </c>
      <c r="AG126" s="45">
        <v>350000</v>
      </c>
      <c r="AH126" s="45">
        <v>164706</v>
      </c>
      <c r="AI126" s="45">
        <v>230000</v>
      </c>
      <c r="AJ126" s="76">
        <f t="shared" si="203"/>
        <v>248235.33333333334</v>
      </c>
      <c r="AK126" s="24">
        <f t="shared" si="204"/>
        <v>106561.33333333334</v>
      </c>
      <c r="AL126" s="281">
        <f t="shared" si="205"/>
        <v>0.75215871178433125</v>
      </c>
      <c r="AM126" s="462">
        <f t="shared" si="206"/>
        <v>248235.33333333334</v>
      </c>
      <c r="AN126" s="513"/>
      <c r="AO126" s="88"/>
      <c r="AP126" s="116"/>
      <c r="AQ126" s="74"/>
      <c r="AR126" s="76"/>
      <c r="AS126" s="24"/>
      <c r="AT126" s="25"/>
      <c r="AU126" s="309"/>
      <c r="AV126" s="462"/>
      <c r="AW126" s="513"/>
      <c r="AX126" s="74"/>
      <c r="AY126" s="74"/>
      <c r="AZ126" s="75"/>
      <c r="BA126" s="61"/>
      <c r="BB126" s="60"/>
      <c r="BC126" s="74"/>
      <c r="BD126" s="79"/>
      <c r="BE126" s="79"/>
      <c r="BF126" s="127"/>
      <c r="BG126" s="128"/>
      <c r="BH126" s="128"/>
      <c r="BI126" s="76"/>
      <c r="BJ126" s="24"/>
      <c r="BK126" s="25"/>
      <c r="BL126" s="259"/>
      <c r="BM126" s="533"/>
    </row>
    <row r="127" spans="1:65" ht="39.950000000000003" customHeight="1">
      <c r="A127" s="91"/>
      <c r="B127" s="358" t="s">
        <v>2318</v>
      </c>
      <c r="C127" s="50" t="s">
        <v>2157</v>
      </c>
      <c r="D127" s="318" t="s">
        <v>2151</v>
      </c>
      <c r="E127" s="391" t="s">
        <v>1466</v>
      </c>
      <c r="F127" s="410"/>
      <c r="G127" s="10"/>
      <c r="H127" s="167"/>
      <c r="I127" s="10"/>
      <c r="J127" s="76"/>
      <c r="K127" s="24"/>
      <c r="L127" s="281"/>
      <c r="M127" s="431"/>
      <c r="N127" s="410"/>
      <c r="O127" s="10"/>
      <c r="P127" s="10"/>
      <c r="Q127" s="10"/>
      <c r="R127" s="10"/>
      <c r="S127" s="76"/>
      <c r="T127" s="24"/>
      <c r="U127" s="281"/>
      <c r="V127" s="462"/>
      <c r="W127" s="410"/>
      <c r="X127" s="10"/>
      <c r="Y127" s="33"/>
      <c r="Z127" s="473"/>
      <c r="AA127" s="76"/>
      <c r="AB127" s="24"/>
      <c r="AC127" s="25"/>
      <c r="AD127" s="309"/>
      <c r="AE127" s="462"/>
      <c r="AF127" s="410">
        <v>16564</v>
      </c>
      <c r="AG127" s="45">
        <v>17000</v>
      </c>
      <c r="AH127" s="45">
        <v>17450</v>
      </c>
      <c r="AI127" s="45">
        <v>45000</v>
      </c>
      <c r="AJ127" s="76">
        <f t="shared" si="203"/>
        <v>26483.333333333332</v>
      </c>
      <c r="AK127" s="24">
        <f t="shared" si="204"/>
        <v>9919.3333333333321</v>
      </c>
      <c r="AL127" s="281">
        <f t="shared" si="205"/>
        <v>0.59884890928117196</v>
      </c>
      <c r="AM127" s="462">
        <f t="shared" si="206"/>
        <v>26483.333333333332</v>
      </c>
      <c r="AN127" s="513"/>
      <c r="AO127" s="88"/>
      <c r="AP127" s="116"/>
      <c r="AQ127" s="74"/>
      <c r="AR127" s="76"/>
      <c r="AS127" s="24"/>
      <c r="AT127" s="25"/>
      <c r="AU127" s="309"/>
      <c r="AV127" s="462"/>
      <c r="AW127" s="513"/>
      <c r="AX127" s="74"/>
      <c r="AY127" s="74"/>
      <c r="AZ127" s="75"/>
      <c r="BA127" s="61"/>
      <c r="BB127" s="60"/>
      <c r="BC127" s="74"/>
      <c r="BD127" s="79"/>
      <c r="BE127" s="79"/>
      <c r="BF127" s="127"/>
      <c r="BG127" s="128"/>
      <c r="BH127" s="128"/>
      <c r="BI127" s="76"/>
      <c r="BJ127" s="24"/>
      <c r="BK127" s="25"/>
      <c r="BL127" s="259"/>
      <c r="BM127" s="533"/>
    </row>
    <row r="128" spans="1:65" ht="39.950000000000003" customHeight="1">
      <c r="A128" s="91"/>
      <c r="B128" s="358" t="s">
        <v>2319</v>
      </c>
      <c r="C128" s="50" t="s">
        <v>2158</v>
      </c>
      <c r="D128" s="318" t="s">
        <v>2152</v>
      </c>
      <c r="E128" s="391" t="s">
        <v>1466</v>
      </c>
      <c r="F128" s="410"/>
      <c r="G128" s="10"/>
      <c r="H128" s="167"/>
      <c r="I128" s="10"/>
      <c r="J128" s="76"/>
      <c r="K128" s="24"/>
      <c r="L128" s="281"/>
      <c r="M128" s="431"/>
      <c r="N128" s="410"/>
      <c r="O128" s="10"/>
      <c r="P128" s="10"/>
      <c r="Q128" s="10"/>
      <c r="R128" s="10"/>
      <c r="S128" s="76"/>
      <c r="T128" s="24"/>
      <c r="U128" s="281"/>
      <c r="V128" s="462"/>
      <c r="W128" s="410"/>
      <c r="X128" s="10"/>
      <c r="Y128" s="33"/>
      <c r="Z128" s="473"/>
      <c r="AA128" s="76"/>
      <c r="AB128" s="24"/>
      <c r="AC128" s="25"/>
      <c r="AD128" s="309"/>
      <c r="AE128" s="462"/>
      <c r="AF128" s="410">
        <v>43836</v>
      </c>
      <c r="AG128" s="45">
        <v>8500</v>
      </c>
      <c r="AH128" s="45">
        <f>5100+1500</f>
        <v>6600</v>
      </c>
      <c r="AI128" s="45">
        <v>50000</v>
      </c>
      <c r="AJ128" s="76">
        <f t="shared" si="203"/>
        <v>21700</v>
      </c>
      <c r="AK128" s="24">
        <f t="shared" si="204"/>
        <v>-22136</v>
      </c>
      <c r="AL128" s="281">
        <f t="shared" si="205"/>
        <v>-0.50497308148553699</v>
      </c>
      <c r="AM128" s="462">
        <f t="shared" si="206"/>
        <v>21700</v>
      </c>
      <c r="AN128" s="513"/>
      <c r="AO128" s="88"/>
      <c r="AP128" s="116"/>
      <c r="AQ128" s="74"/>
      <c r="AR128" s="76"/>
      <c r="AS128" s="24"/>
      <c r="AT128" s="25"/>
      <c r="AU128" s="309"/>
      <c r="AV128" s="462"/>
      <c r="AW128" s="513"/>
      <c r="AX128" s="74"/>
      <c r="AY128" s="74"/>
      <c r="AZ128" s="75"/>
      <c r="BA128" s="61"/>
      <c r="BB128" s="60"/>
      <c r="BC128" s="74"/>
      <c r="BD128" s="79"/>
      <c r="BE128" s="79"/>
      <c r="BF128" s="127"/>
      <c r="BG128" s="128"/>
      <c r="BH128" s="128"/>
      <c r="BI128" s="76"/>
      <c r="BJ128" s="24"/>
      <c r="BK128" s="25"/>
      <c r="BL128" s="259"/>
      <c r="BM128" s="533"/>
    </row>
    <row r="129" spans="1:65" ht="29.45" customHeight="1">
      <c r="A129" s="91" t="s">
        <v>17</v>
      </c>
      <c r="B129" s="358" t="s">
        <v>2320</v>
      </c>
      <c r="C129" s="252" t="s">
        <v>751</v>
      </c>
      <c r="D129" s="100" t="s">
        <v>17</v>
      </c>
      <c r="E129" s="91"/>
      <c r="F129" s="411"/>
      <c r="G129" s="173"/>
      <c r="H129" s="174"/>
      <c r="I129" s="173"/>
      <c r="J129" s="76"/>
      <c r="K129" s="24"/>
      <c r="L129" s="281"/>
      <c r="M129" s="431"/>
      <c r="N129" s="411"/>
      <c r="O129" s="173"/>
      <c r="P129" s="173"/>
      <c r="Q129" s="274"/>
      <c r="R129" s="173"/>
      <c r="S129" s="76"/>
      <c r="T129" s="24"/>
      <c r="U129" s="281"/>
      <c r="V129" s="462"/>
      <c r="W129" s="413"/>
      <c r="X129" s="47"/>
      <c r="Y129" s="47"/>
      <c r="Z129" s="47"/>
      <c r="AA129" s="47"/>
      <c r="AB129" s="47"/>
      <c r="AC129" s="47"/>
      <c r="AD129" s="91"/>
      <c r="AE129" s="467"/>
      <c r="AF129" s="500"/>
      <c r="AG129" s="321"/>
      <c r="AH129" s="321"/>
      <c r="AI129" s="320"/>
      <c r="AJ129" s="76"/>
      <c r="AK129" s="24"/>
      <c r="AL129" s="281"/>
      <c r="AM129" s="462"/>
      <c r="AN129" s="413"/>
      <c r="AO129" s="47"/>
      <c r="AP129" s="47"/>
      <c r="AQ129" s="47"/>
      <c r="AR129" s="47"/>
      <c r="AS129" s="47"/>
      <c r="AT129" s="47"/>
      <c r="AU129" s="91"/>
      <c r="AV129" s="467"/>
      <c r="AW129" s="413"/>
      <c r="AX129" s="47"/>
      <c r="AY129" s="47"/>
      <c r="AZ129" s="47"/>
      <c r="BA129" s="47"/>
      <c r="BB129" s="47"/>
      <c r="BC129" s="47"/>
      <c r="BD129" s="148"/>
      <c r="BE129" s="148"/>
      <c r="BF129" s="149"/>
      <c r="BG129" s="148"/>
      <c r="BH129" s="148"/>
      <c r="BI129" s="47"/>
      <c r="BJ129" s="47"/>
      <c r="BK129" s="47"/>
      <c r="BL129" s="414"/>
      <c r="BM129" s="457"/>
    </row>
    <row r="130" spans="1:65" ht="60.6" customHeight="1">
      <c r="A130" s="91" t="s">
        <v>17</v>
      </c>
      <c r="B130" s="358" t="s">
        <v>2321</v>
      </c>
      <c r="C130" s="50" t="s">
        <v>105</v>
      </c>
      <c r="D130" s="99" t="s">
        <v>445</v>
      </c>
      <c r="E130" s="391" t="s">
        <v>13</v>
      </c>
      <c r="F130" s="410">
        <v>9379</v>
      </c>
      <c r="G130" s="10">
        <v>14000</v>
      </c>
      <c r="H130" s="167">
        <v>28000</v>
      </c>
      <c r="I130" s="10">
        <v>13650</v>
      </c>
      <c r="J130" s="76">
        <f t="shared" ref="J130:J132" si="207">AVERAGE(G130,I130)</f>
        <v>13825</v>
      </c>
      <c r="K130" s="24">
        <f t="shared" ref="K130:K132" si="208">J130-F130</f>
        <v>4446</v>
      </c>
      <c r="L130" s="281">
        <f t="shared" ref="L130:L132" si="209">+K130/F130</f>
        <v>0.47403774389593772</v>
      </c>
      <c r="M130" s="431">
        <f t="shared" ref="M130:M132" si="210">H130</f>
        <v>28000</v>
      </c>
      <c r="N130" s="410">
        <v>8524</v>
      </c>
      <c r="O130" s="10">
        <v>35000</v>
      </c>
      <c r="P130" s="10">
        <v>38000</v>
      </c>
      <c r="Q130" s="268">
        <v>38000</v>
      </c>
      <c r="R130" s="10">
        <v>35000</v>
      </c>
      <c r="S130" s="76">
        <f t="shared" ref="S130:S132" si="211">AVERAGE(O130,P130,Q130,R130)</f>
        <v>36500</v>
      </c>
      <c r="T130" s="24">
        <f t="shared" ref="T130:T132" si="212">S130-N130</f>
        <v>27976</v>
      </c>
      <c r="U130" s="281">
        <f t="shared" ref="U130:U132" si="213">+T130/N130</f>
        <v>3.282027217268888</v>
      </c>
      <c r="V130" s="462">
        <f t="shared" ref="V130:V132" si="214">S130</f>
        <v>36500</v>
      </c>
      <c r="W130" s="410">
        <v>14117</v>
      </c>
      <c r="X130" s="38">
        <v>18360</v>
      </c>
      <c r="Y130" s="31">
        <v>23868</v>
      </c>
      <c r="Z130" s="98">
        <v>16048</v>
      </c>
      <c r="AA130" s="76">
        <f t="shared" ref="AA130:AA143" si="215">AVERAGE(X130,Y130,Z130)</f>
        <v>19425.333333333332</v>
      </c>
      <c r="AB130" s="24">
        <f t="shared" ref="AB130:AB143" si="216">AA130-W130</f>
        <v>5308.3333333333321</v>
      </c>
      <c r="AC130" s="25">
        <f t="shared" ref="AC130:AC143" si="217">+AB130/W130</f>
        <v>0.37602417888597661</v>
      </c>
      <c r="AD130" s="309" t="str">
        <f t="shared" ref="AD130:AD143" si="218">+IF(AC130&lt;35%,AA130,"REVISAR PRECIO")</f>
        <v>REVISAR PRECIO</v>
      </c>
      <c r="AE130" s="462">
        <f t="shared" ref="AE130:AE133" si="219">AA130</f>
        <v>19425.333333333332</v>
      </c>
      <c r="AF130" s="410">
        <v>9512</v>
      </c>
      <c r="AG130" s="45">
        <v>21000</v>
      </c>
      <c r="AH130" s="45">
        <v>11061</v>
      </c>
      <c r="AI130" s="45">
        <v>27000</v>
      </c>
      <c r="AJ130" s="76">
        <f t="shared" ref="AJ130:AJ132" si="220">AVERAGE(AG130,AH130,AI130)</f>
        <v>19687</v>
      </c>
      <c r="AK130" s="24">
        <f t="shared" ref="AK130:AK132" si="221">AJ130-AF130</f>
        <v>10175</v>
      </c>
      <c r="AL130" s="281">
        <f t="shared" ref="AL130:AL132" si="222">+AK130/AF130</f>
        <v>1.0697014297729184</v>
      </c>
      <c r="AM130" s="462">
        <f t="shared" ref="AM130:AM132" si="223">AJ130</f>
        <v>19687</v>
      </c>
      <c r="AN130" s="513">
        <v>9558</v>
      </c>
      <c r="AO130" s="88">
        <v>15000</v>
      </c>
      <c r="AP130" s="116">
        <v>16500</v>
      </c>
      <c r="AQ130" s="74">
        <v>15400</v>
      </c>
      <c r="AR130" s="76">
        <f t="shared" ref="AR130:AR135" si="224">AVERAGE(AO130,AP130,AQ130)</f>
        <v>15633.333333333334</v>
      </c>
      <c r="AS130" s="24">
        <f t="shared" ref="AS130:AS135" si="225">AR130-AN130</f>
        <v>6075.3333333333339</v>
      </c>
      <c r="AT130" s="25">
        <f t="shared" ref="AT130:AT135" si="226">+AS130/AN130</f>
        <v>0.63562809513845298</v>
      </c>
      <c r="AU130" s="309" t="str">
        <f t="shared" ref="AU130:AU135" si="227">+IF(AT130&lt;35%,AR130,"REVISAR PRECIO")</f>
        <v>REVISAR PRECIO</v>
      </c>
      <c r="AV130" s="462">
        <f t="shared" ref="AV130:AV135" si="228">AR130</f>
        <v>15633.333333333334</v>
      </c>
      <c r="AW130" s="513">
        <v>9558</v>
      </c>
      <c r="AX130" s="74">
        <v>16100</v>
      </c>
      <c r="AY130" s="74">
        <v>30000</v>
      </c>
      <c r="AZ130" s="75">
        <v>18550</v>
      </c>
      <c r="BA130" s="61">
        <v>20930</v>
      </c>
      <c r="BB130" s="60">
        <v>68000</v>
      </c>
      <c r="BC130" s="74">
        <v>24069.499999999996</v>
      </c>
      <c r="BD130" s="79">
        <v>18550</v>
      </c>
      <c r="BE130" s="79">
        <v>14000</v>
      </c>
      <c r="BF130" s="127">
        <v>16800</v>
      </c>
      <c r="BG130" s="128">
        <v>17000</v>
      </c>
      <c r="BH130" s="128">
        <v>15000</v>
      </c>
      <c r="BI130" s="76">
        <f t="shared" ref="BI130:BI135" si="229">AVERAGE(AX130,AY130,AZ130,BA130,BB130,BC130)</f>
        <v>29608.25</v>
      </c>
      <c r="BJ130" s="24">
        <f t="shared" ref="BJ130:BJ135" si="230">BI130-AW130</f>
        <v>20050.25</v>
      </c>
      <c r="BK130" s="25">
        <f t="shared" ref="BK130:BK135" si="231">+BJ130/AW130</f>
        <v>2.0977453442142706</v>
      </c>
      <c r="BL130" s="259" t="str">
        <f t="shared" ref="BL130:BL135" si="232">+IF(BK130&lt;35%,BI130,"REVISAR PRECIO")</f>
        <v>REVISAR PRECIO</v>
      </c>
      <c r="BM130" s="533">
        <f t="shared" ref="BM130:BM133" si="233">BI130</f>
        <v>29608.25</v>
      </c>
    </row>
    <row r="131" spans="1:65" ht="60.6" customHeight="1">
      <c r="A131" s="91" t="s">
        <v>17</v>
      </c>
      <c r="B131" s="358" t="s">
        <v>2322</v>
      </c>
      <c r="C131" s="50" t="s">
        <v>106</v>
      </c>
      <c r="D131" s="99" t="s">
        <v>446</v>
      </c>
      <c r="E131" s="391" t="s">
        <v>10</v>
      </c>
      <c r="F131" s="410">
        <v>7282</v>
      </c>
      <c r="G131" s="10">
        <v>6700</v>
      </c>
      <c r="H131" s="167">
        <v>13400</v>
      </c>
      <c r="I131" s="10">
        <v>6950</v>
      </c>
      <c r="J131" s="76">
        <f t="shared" si="207"/>
        <v>6825</v>
      </c>
      <c r="K131" s="24">
        <f t="shared" si="208"/>
        <v>-457</v>
      </c>
      <c r="L131" s="281">
        <f t="shared" si="209"/>
        <v>-6.2757484207635258E-2</v>
      </c>
      <c r="M131" s="431">
        <f t="shared" si="210"/>
        <v>13400</v>
      </c>
      <c r="N131" s="410">
        <v>6616</v>
      </c>
      <c r="O131" s="10">
        <v>25000</v>
      </c>
      <c r="P131" s="10">
        <v>28000</v>
      </c>
      <c r="Q131" s="268">
        <v>28000</v>
      </c>
      <c r="R131" s="10">
        <v>25000</v>
      </c>
      <c r="S131" s="76">
        <f t="shared" si="211"/>
        <v>26500</v>
      </c>
      <c r="T131" s="24">
        <f t="shared" si="212"/>
        <v>19884</v>
      </c>
      <c r="U131" s="281">
        <f t="shared" si="213"/>
        <v>3.0054413542926239</v>
      </c>
      <c r="V131" s="462">
        <f t="shared" si="214"/>
        <v>26500</v>
      </c>
      <c r="W131" s="410">
        <v>10972</v>
      </c>
      <c r="X131" s="38">
        <v>14270</v>
      </c>
      <c r="Y131" s="31">
        <v>18550</v>
      </c>
      <c r="Z131" s="98">
        <v>12472.6</v>
      </c>
      <c r="AA131" s="76">
        <f t="shared" si="215"/>
        <v>15097.533333333333</v>
      </c>
      <c r="AB131" s="24">
        <f t="shared" si="216"/>
        <v>4125.5333333333328</v>
      </c>
      <c r="AC131" s="25">
        <f t="shared" si="217"/>
        <v>0.37600558998663258</v>
      </c>
      <c r="AD131" s="309" t="str">
        <f t="shared" si="218"/>
        <v>REVISAR PRECIO</v>
      </c>
      <c r="AE131" s="462">
        <f t="shared" si="219"/>
        <v>15097.533333333333</v>
      </c>
      <c r="AF131" s="410">
        <v>7394</v>
      </c>
      <c r="AG131" s="45">
        <v>7000</v>
      </c>
      <c r="AH131" s="45">
        <v>8593</v>
      </c>
      <c r="AI131" s="45">
        <v>18000</v>
      </c>
      <c r="AJ131" s="76">
        <f t="shared" si="220"/>
        <v>11197.666666666666</v>
      </c>
      <c r="AK131" s="24">
        <f t="shared" si="221"/>
        <v>3803.6666666666661</v>
      </c>
      <c r="AL131" s="281">
        <f t="shared" si="222"/>
        <v>0.51442611126138305</v>
      </c>
      <c r="AM131" s="462">
        <f t="shared" si="223"/>
        <v>11197.666666666666</v>
      </c>
      <c r="AN131" s="513">
        <v>7433</v>
      </c>
      <c r="AO131" s="88">
        <v>8000</v>
      </c>
      <c r="AP131" s="116">
        <v>8000</v>
      </c>
      <c r="AQ131" s="74">
        <v>7370</v>
      </c>
      <c r="AR131" s="76">
        <f t="shared" si="224"/>
        <v>7790</v>
      </c>
      <c r="AS131" s="24">
        <f t="shared" si="225"/>
        <v>357</v>
      </c>
      <c r="AT131" s="25">
        <f t="shared" si="226"/>
        <v>4.8029059599085162E-2</v>
      </c>
      <c r="AU131" s="309">
        <f t="shared" si="227"/>
        <v>7790</v>
      </c>
      <c r="AV131" s="462">
        <f t="shared" si="228"/>
        <v>7790</v>
      </c>
      <c r="AW131" s="513">
        <v>7433</v>
      </c>
      <c r="AX131" s="74">
        <v>7705</v>
      </c>
      <c r="AY131" s="74">
        <v>12000</v>
      </c>
      <c r="AZ131" s="75">
        <v>8877.5</v>
      </c>
      <c r="BA131" s="61">
        <v>9430</v>
      </c>
      <c r="BB131" s="60">
        <v>38000</v>
      </c>
      <c r="BC131" s="74">
        <v>10844.5</v>
      </c>
      <c r="BD131" s="79">
        <v>8877.5</v>
      </c>
      <c r="BE131" s="79">
        <v>6700</v>
      </c>
      <c r="BF131" s="127">
        <v>8040</v>
      </c>
      <c r="BG131" s="128">
        <v>8000</v>
      </c>
      <c r="BH131" s="128">
        <v>8000</v>
      </c>
      <c r="BI131" s="76">
        <f t="shared" si="229"/>
        <v>14476.166666666666</v>
      </c>
      <c r="BJ131" s="24">
        <f t="shared" si="230"/>
        <v>7043.1666666666661</v>
      </c>
      <c r="BK131" s="25">
        <f t="shared" si="231"/>
        <v>0.9475537019597291</v>
      </c>
      <c r="BL131" s="259" t="str">
        <f t="shared" si="232"/>
        <v>REVISAR PRECIO</v>
      </c>
      <c r="BM131" s="533">
        <f t="shared" si="233"/>
        <v>14476.166666666666</v>
      </c>
    </row>
    <row r="132" spans="1:65" ht="60.6" customHeight="1">
      <c r="A132" s="91" t="s">
        <v>17</v>
      </c>
      <c r="B132" s="358" t="s">
        <v>2323</v>
      </c>
      <c r="C132" s="50" t="s">
        <v>107</v>
      </c>
      <c r="D132" s="99" t="s">
        <v>447</v>
      </c>
      <c r="E132" s="391" t="s">
        <v>13</v>
      </c>
      <c r="F132" s="410">
        <v>15493</v>
      </c>
      <c r="G132" s="10">
        <v>16800</v>
      </c>
      <c r="H132" s="167">
        <v>33600</v>
      </c>
      <c r="I132" s="10">
        <v>14850</v>
      </c>
      <c r="J132" s="76">
        <f t="shared" si="207"/>
        <v>15825</v>
      </c>
      <c r="K132" s="24">
        <f t="shared" si="208"/>
        <v>332</v>
      </c>
      <c r="L132" s="281">
        <f t="shared" si="209"/>
        <v>2.1429032466275092E-2</v>
      </c>
      <c r="M132" s="431">
        <f t="shared" si="210"/>
        <v>33600</v>
      </c>
      <c r="N132" s="410">
        <v>14077</v>
      </c>
      <c r="O132" s="10">
        <v>35000</v>
      </c>
      <c r="P132" s="10">
        <v>38000</v>
      </c>
      <c r="Q132" s="268">
        <v>38000</v>
      </c>
      <c r="R132" s="10">
        <v>35000</v>
      </c>
      <c r="S132" s="76">
        <f t="shared" si="211"/>
        <v>36500</v>
      </c>
      <c r="T132" s="24">
        <f t="shared" si="212"/>
        <v>22423</v>
      </c>
      <c r="U132" s="281">
        <f t="shared" si="213"/>
        <v>1.5928820061092563</v>
      </c>
      <c r="V132" s="462">
        <f t="shared" si="214"/>
        <v>36500</v>
      </c>
      <c r="W132" s="410">
        <v>23324</v>
      </c>
      <c r="X132" s="38">
        <v>30335</v>
      </c>
      <c r="Y132" s="31">
        <v>39435</v>
      </c>
      <c r="Z132" s="98">
        <v>26514.6</v>
      </c>
      <c r="AA132" s="76">
        <f t="shared" si="215"/>
        <v>32094.866666666669</v>
      </c>
      <c r="AB132" s="24">
        <f t="shared" si="216"/>
        <v>8770.8666666666686</v>
      </c>
      <c r="AC132" s="25">
        <f t="shared" si="217"/>
        <v>0.37604470359572406</v>
      </c>
      <c r="AD132" s="309" t="str">
        <f t="shared" si="218"/>
        <v>REVISAR PRECIO</v>
      </c>
      <c r="AE132" s="462">
        <f t="shared" si="219"/>
        <v>32094.866666666669</v>
      </c>
      <c r="AF132" s="410">
        <v>15719</v>
      </c>
      <c r="AG132" s="45">
        <v>21000</v>
      </c>
      <c r="AH132" s="45">
        <v>18273</v>
      </c>
      <c r="AI132" s="45">
        <v>27000</v>
      </c>
      <c r="AJ132" s="76">
        <f t="shared" si="220"/>
        <v>22091</v>
      </c>
      <c r="AK132" s="24">
        <f t="shared" si="221"/>
        <v>6372</v>
      </c>
      <c r="AL132" s="281">
        <f t="shared" si="222"/>
        <v>0.40536929830141866</v>
      </c>
      <c r="AM132" s="462">
        <f t="shared" si="223"/>
        <v>22091</v>
      </c>
      <c r="AN132" s="513">
        <v>15795</v>
      </c>
      <c r="AO132" s="88">
        <v>18000</v>
      </c>
      <c r="AP132" s="116">
        <v>18000</v>
      </c>
      <c r="AQ132" s="74">
        <v>18480</v>
      </c>
      <c r="AR132" s="76">
        <f t="shared" si="224"/>
        <v>18160</v>
      </c>
      <c r="AS132" s="24">
        <f t="shared" si="225"/>
        <v>2365</v>
      </c>
      <c r="AT132" s="25">
        <f t="shared" si="226"/>
        <v>0.14973092750870529</v>
      </c>
      <c r="AU132" s="309">
        <f t="shared" si="227"/>
        <v>18160</v>
      </c>
      <c r="AV132" s="462">
        <f t="shared" si="228"/>
        <v>18160</v>
      </c>
      <c r="AW132" s="513">
        <v>15795</v>
      </c>
      <c r="AX132" s="74">
        <v>19320</v>
      </c>
      <c r="AY132" s="74">
        <v>35000</v>
      </c>
      <c r="AZ132" s="75">
        <v>22260</v>
      </c>
      <c r="BA132" s="61">
        <v>23460</v>
      </c>
      <c r="BB132" s="60">
        <v>68000</v>
      </c>
      <c r="BC132" s="74">
        <v>26978.999999999996</v>
      </c>
      <c r="BD132" s="79">
        <v>22260</v>
      </c>
      <c r="BE132" s="79">
        <v>16800</v>
      </c>
      <c r="BF132" s="127">
        <v>20160</v>
      </c>
      <c r="BG132" s="128">
        <v>20000</v>
      </c>
      <c r="BH132" s="128">
        <v>20000</v>
      </c>
      <c r="BI132" s="76">
        <f t="shared" si="229"/>
        <v>32503.166666666668</v>
      </c>
      <c r="BJ132" s="24">
        <f t="shared" si="230"/>
        <v>16708.166666666668</v>
      </c>
      <c r="BK132" s="25">
        <f t="shared" si="231"/>
        <v>1.0578136541099505</v>
      </c>
      <c r="BL132" s="259" t="str">
        <f t="shared" si="232"/>
        <v>REVISAR PRECIO</v>
      </c>
      <c r="BM132" s="533">
        <f t="shared" si="233"/>
        <v>32503.166666666668</v>
      </c>
    </row>
    <row r="133" spans="1:65" ht="47.45" customHeight="1">
      <c r="A133" s="91" t="s">
        <v>17</v>
      </c>
      <c r="B133" s="358" t="s">
        <v>2324</v>
      </c>
      <c r="C133" s="50" t="s">
        <v>108</v>
      </c>
      <c r="D133" s="99" t="s">
        <v>448</v>
      </c>
      <c r="E133" s="391" t="s">
        <v>13</v>
      </c>
      <c r="F133" s="408"/>
      <c r="G133" s="293"/>
      <c r="H133" s="293"/>
      <c r="I133" s="293"/>
      <c r="J133" s="293"/>
      <c r="K133" s="293"/>
      <c r="L133" s="327"/>
      <c r="M133" s="432"/>
      <c r="N133" s="443"/>
      <c r="O133" s="250"/>
      <c r="P133" s="250"/>
      <c r="Q133" s="250"/>
      <c r="R133" s="250"/>
      <c r="S133" s="250"/>
      <c r="T133" s="250"/>
      <c r="U133" s="250"/>
      <c r="V133" s="443"/>
      <c r="W133" s="410">
        <v>23832</v>
      </c>
      <c r="X133" s="38">
        <v>30996</v>
      </c>
      <c r="Y133" s="31">
        <v>40295</v>
      </c>
      <c r="Z133" s="98">
        <v>27092.799999999999</v>
      </c>
      <c r="AA133" s="76">
        <f t="shared" si="215"/>
        <v>32794.6</v>
      </c>
      <c r="AB133" s="24">
        <f t="shared" si="216"/>
        <v>8962.5999999999985</v>
      </c>
      <c r="AC133" s="25">
        <f t="shared" si="217"/>
        <v>0.37607418596844572</v>
      </c>
      <c r="AD133" s="309" t="str">
        <f t="shared" si="218"/>
        <v>REVISAR PRECIO</v>
      </c>
      <c r="AE133" s="462">
        <f t="shared" si="219"/>
        <v>32794.6</v>
      </c>
      <c r="AF133" s="408"/>
      <c r="AG133" s="293"/>
      <c r="AH133" s="293"/>
      <c r="AI133" s="293"/>
      <c r="AJ133" s="293"/>
      <c r="AK133" s="293"/>
      <c r="AL133" s="327"/>
      <c r="AM133" s="463"/>
      <c r="AN133" s="513">
        <v>16840</v>
      </c>
      <c r="AO133" s="88">
        <v>8300</v>
      </c>
      <c r="AP133" s="116">
        <v>9000</v>
      </c>
      <c r="AQ133" s="74">
        <v>6600</v>
      </c>
      <c r="AR133" s="76">
        <f t="shared" si="224"/>
        <v>7966.666666666667</v>
      </c>
      <c r="AS133" s="24">
        <f t="shared" si="225"/>
        <v>-8873.3333333333321</v>
      </c>
      <c r="AT133" s="25">
        <f t="shared" si="226"/>
        <v>-0.5269200316706254</v>
      </c>
      <c r="AU133" s="309">
        <f t="shared" si="227"/>
        <v>7966.666666666667</v>
      </c>
      <c r="AV133" s="462">
        <f t="shared" si="228"/>
        <v>7966.666666666667</v>
      </c>
      <c r="AW133" s="513">
        <v>16840</v>
      </c>
      <c r="AX133" s="74">
        <v>6900</v>
      </c>
      <c r="AY133" s="74">
        <v>22000</v>
      </c>
      <c r="AZ133" s="75">
        <v>7950</v>
      </c>
      <c r="BA133" s="61">
        <v>11040</v>
      </c>
      <c r="BB133" s="60">
        <v>24000</v>
      </c>
      <c r="BC133" s="74">
        <v>12695.999999999998</v>
      </c>
      <c r="BD133" s="79">
        <v>7950</v>
      </c>
      <c r="BE133" s="79">
        <v>6000</v>
      </c>
      <c r="BF133" s="127">
        <v>10200</v>
      </c>
      <c r="BG133" s="128">
        <v>6500</v>
      </c>
      <c r="BH133" s="128">
        <v>7000</v>
      </c>
      <c r="BI133" s="76">
        <f t="shared" si="229"/>
        <v>14097.666666666666</v>
      </c>
      <c r="BJ133" s="24">
        <f t="shared" si="230"/>
        <v>-2742.3333333333339</v>
      </c>
      <c r="BK133" s="25">
        <f t="shared" si="231"/>
        <v>-0.16284639746634999</v>
      </c>
      <c r="BL133" s="259">
        <f t="shared" si="232"/>
        <v>14097.666666666666</v>
      </c>
      <c r="BM133" s="533">
        <f t="shared" si="233"/>
        <v>14097.666666666666</v>
      </c>
    </row>
    <row r="134" spans="1:65" ht="47.45" customHeight="1">
      <c r="A134" s="91" t="s">
        <v>17</v>
      </c>
      <c r="B134" s="358" t="s">
        <v>2325</v>
      </c>
      <c r="C134" s="50" t="s">
        <v>109</v>
      </c>
      <c r="D134" s="99" t="s">
        <v>449</v>
      </c>
      <c r="E134" s="391" t="s">
        <v>13</v>
      </c>
      <c r="F134" s="408"/>
      <c r="G134" s="293"/>
      <c r="H134" s="293"/>
      <c r="I134" s="293"/>
      <c r="J134" s="293"/>
      <c r="K134" s="293"/>
      <c r="L134" s="327"/>
      <c r="M134" s="432"/>
      <c r="N134" s="443"/>
      <c r="O134" s="250"/>
      <c r="P134" s="250"/>
      <c r="Q134" s="250"/>
      <c r="R134" s="250"/>
      <c r="S134" s="250"/>
      <c r="T134" s="250"/>
      <c r="U134" s="250"/>
      <c r="V134" s="443"/>
      <c r="W134" s="410">
        <v>14740</v>
      </c>
      <c r="X134" s="38">
        <v>19170</v>
      </c>
      <c r="Y134" s="31">
        <v>24921</v>
      </c>
      <c r="Z134" s="31">
        <v>73820.800000000003</v>
      </c>
      <c r="AA134" s="76">
        <f t="shared" si="215"/>
        <v>39303.933333333334</v>
      </c>
      <c r="AB134" s="24">
        <f t="shared" si="216"/>
        <v>24563.933333333334</v>
      </c>
      <c r="AC134" s="25">
        <f t="shared" si="217"/>
        <v>1.6664812302125735</v>
      </c>
      <c r="AD134" s="309" t="str">
        <f t="shared" si="218"/>
        <v>REVISAR PRECIO</v>
      </c>
      <c r="AE134" s="491">
        <f>AVERAGE(X134,Y134,W134)</f>
        <v>19610.333333333332</v>
      </c>
      <c r="AF134" s="408"/>
      <c r="AG134" s="293"/>
      <c r="AH134" s="293"/>
      <c r="AI134" s="293"/>
      <c r="AJ134" s="293"/>
      <c r="AK134" s="293"/>
      <c r="AL134" s="327"/>
      <c r="AM134" s="463"/>
      <c r="AN134" s="513">
        <v>14903</v>
      </c>
      <c r="AO134" s="88">
        <v>10000</v>
      </c>
      <c r="AP134" s="116">
        <v>10000</v>
      </c>
      <c r="AQ134" s="74">
        <v>7700</v>
      </c>
      <c r="AR134" s="76">
        <f t="shared" si="224"/>
        <v>9233.3333333333339</v>
      </c>
      <c r="AS134" s="24">
        <f t="shared" si="225"/>
        <v>-5669.6666666666661</v>
      </c>
      <c r="AT134" s="25">
        <f t="shared" si="226"/>
        <v>-0.38043794314343865</v>
      </c>
      <c r="AU134" s="309">
        <f t="shared" si="227"/>
        <v>9233.3333333333339</v>
      </c>
      <c r="AV134" s="462">
        <f t="shared" si="228"/>
        <v>9233.3333333333339</v>
      </c>
      <c r="AW134" s="513">
        <v>14903</v>
      </c>
      <c r="AX134" s="74">
        <v>8050</v>
      </c>
      <c r="AY134" s="74">
        <v>25000</v>
      </c>
      <c r="AZ134" s="75">
        <v>9275</v>
      </c>
      <c r="BA134" s="61">
        <v>16675</v>
      </c>
      <c r="BB134" s="60">
        <v>24000</v>
      </c>
      <c r="BC134" s="74">
        <v>19176.25</v>
      </c>
      <c r="BD134" s="79">
        <v>9275</v>
      </c>
      <c r="BE134" s="79">
        <v>7000</v>
      </c>
      <c r="BF134" s="127">
        <v>11550</v>
      </c>
      <c r="BG134" s="128">
        <v>8600</v>
      </c>
      <c r="BH134" s="128">
        <v>8000</v>
      </c>
      <c r="BI134" s="76">
        <f t="shared" si="229"/>
        <v>17029.375</v>
      </c>
      <c r="BJ134" s="24">
        <f t="shared" si="230"/>
        <v>2126.375</v>
      </c>
      <c r="BK134" s="25">
        <f t="shared" si="231"/>
        <v>0.14268100382473328</v>
      </c>
      <c r="BL134" s="259">
        <f t="shared" si="232"/>
        <v>17029.375</v>
      </c>
      <c r="BM134" s="534">
        <f>AVERAGE(AY134,AZ134,BA134,BB134,BC134)</f>
        <v>18825.25</v>
      </c>
    </row>
    <row r="135" spans="1:65" ht="47.45" customHeight="1">
      <c r="A135" s="91" t="s">
        <v>17</v>
      </c>
      <c r="B135" s="358" t="s">
        <v>2326</v>
      </c>
      <c r="C135" s="50" t="s">
        <v>110</v>
      </c>
      <c r="D135" s="99" t="s">
        <v>450</v>
      </c>
      <c r="E135" s="391" t="s">
        <v>13</v>
      </c>
      <c r="F135" s="408"/>
      <c r="G135" s="293"/>
      <c r="H135" s="293"/>
      <c r="I135" s="293"/>
      <c r="J135" s="293"/>
      <c r="K135" s="293"/>
      <c r="L135" s="327"/>
      <c r="M135" s="432"/>
      <c r="N135" s="443"/>
      <c r="O135" s="250"/>
      <c r="P135" s="250"/>
      <c r="Q135" s="250"/>
      <c r="R135" s="250"/>
      <c r="S135" s="250"/>
      <c r="T135" s="250"/>
      <c r="U135" s="250"/>
      <c r="V135" s="443"/>
      <c r="W135" s="410">
        <v>29998</v>
      </c>
      <c r="X135" s="38">
        <v>39015</v>
      </c>
      <c r="Y135" s="31">
        <v>50720</v>
      </c>
      <c r="Z135" s="98">
        <v>34102</v>
      </c>
      <c r="AA135" s="76">
        <f t="shared" si="215"/>
        <v>41279</v>
      </c>
      <c r="AB135" s="24">
        <f t="shared" si="216"/>
        <v>11281</v>
      </c>
      <c r="AC135" s="25">
        <f t="shared" si="217"/>
        <v>0.37605840389359291</v>
      </c>
      <c r="AD135" s="309" t="str">
        <f t="shared" si="218"/>
        <v>REVISAR PRECIO</v>
      </c>
      <c r="AE135" s="462">
        <f t="shared" ref="AE135:AE143" si="234">AA135</f>
        <v>41279</v>
      </c>
      <c r="AF135" s="408"/>
      <c r="AG135" s="293"/>
      <c r="AH135" s="293"/>
      <c r="AI135" s="293"/>
      <c r="AJ135" s="293"/>
      <c r="AK135" s="293"/>
      <c r="AL135" s="327"/>
      <c r="AM135" s="463"/>
      <c r="AN135" s="445">
        <v>13926</v>
      </c>
      <c r="AO135" s="88">
        <v>19000</v>
      </c>
      <c r="AP135" s="116">
        <v>19000</v>
      </c>
      <c r="AQ135" s="74">
        <v>17600</v>
      </c>
      <c r="AR135" s="76">
        <f t="shared" si="224"/>
        <v>18533.333333333332</v>
      </c>
      <c r="AS135" s="24">
        <f t="shared" si="225"/>
        <v>4607.3333333333321</v>
      </c>
      <c r="AT135" s="25">
        <f t="shared" si="226"/>
        <v>0.33084398487242078</v>
      </c>
      <c r="AU135" s="309">
        <f t="shared" si="227"/>
        <v>18533.333333333332</v>
      </c>
      <c r="AV135" s="462">
        <f t="shared" si="228"/>
        <v>18533.333333333332</v>
      </c>
      <c r="AW135" s="445">
        <v>13926</v>
      </c>
      <c r="AX135" s="88">
        <v>18400</v>
      </c>
      <c r="AY135" s="88">
        <v>28000</v>
      </c>
      <c r="AZ135" s="89">
        <v>21200</v>
      </c>
      <c r="BA135" s="61">
        <v>22770</v>
      </c>
      <c r="BB135" s="60">
        <v>28000</v>
      </c>
      <c r="BC135" s="88">
        <v>26185.499999999996</v>
      </c>
      <c r="BD135" s="79">
        <v>21200</v>
      </c>
      <c r="BE135" s="79">
        <v>16000</v>
      </c>
      <c r="BF135" s="127">
        <v>19200</v>
      </c>
      <c r="BG135" s="128">
        <v>17500</v>
      </c>
      <c r="BH135" s="128">
        <v>18000</v>
      </c>
      <c r="BI135" s="86">
        <f t="shared" si="229"/>
        <v>24092.583333333332</v>
      </c>
      <c r="BJ135" s="24">
        <f t="shared" si="230"/>
        <v>10166.583333333332</v>
      </c>
      <c r="BK135" s="64">
        <f t="shared" si="231"/>
        <v>0.73004332423763696</v>
      </c>
      <c r="BL135" s="478" t="str">
        <f t="shared" si="232"/>
        <v>REVISAR PRECIO</v>
      </c>
      <c r="BM135" s="535">
        <f t="shared" ref="BM135" si="235">BI135</f>
        <v>24092.583333333332</v>
      </c>
    </row>
    <row r="136" spans="1:65" s="68" customFormat="1" ht="47.45" customHeight="1">
      <c r="A136" s="231" t="s">
        <v>17</v>
      </c>
      <c r="B136" s="358" t="s">
        <v>2327</v>
      </c>
      <c r="C136" s="50" t="s">
        <v>111</v>
      </c>
      <c r="D136" s="101" t="s">
        <v>451</v>
      </c>
      <c r="E136" s="395" t="s">
        <v>13</v>
      </c>
      <c r="F136" s="408"/>
      <c r="G136" s="293"/>
      <c r="H136" s="293"/>
      <c r="I136" s="293"/>
      <c r="J136" s="293"/>
      <c r="K136" s="293"/>
      <c r="L136" s="327"/>
      <c r="M136" s="432"/>
      <c r="N136" s="443"/>
      <c r="O136" s="250"/>
      <c r="P136" s="250"/>
      <c r="Q136" s="250"/>
      <c r="R136" s="250"/>
      <c r="S136" s="250"/>
      <c r="T136" s="250"/>
      <c r="U136" s="250"/>
      <c r="V136" s="443"/>
      <c r="W136" s="477">
        <v>23303</v>
      </c>
      <c r="X136" s="38">
        <v>30308</v>
      </c>
      <c r="Y136" s="66">
        <v>30308</v>
      </c>
      <c r="Z136" s="98">
        <v>26491</v>
      </c>
      <c r="AA136" s="86">
        <f t="shared" si="215"/>
        <v>29035.666666666668</v>
      </c>
      <c r="AB136" s="67">
        <f t="shared" si="216"/>
        <v>5732.6666666666679</v>
      </c>
      <c r="AC136" s="64">
        <f t="shared" si="217"/>
        <v>0.24600552146361704</v>
      </c>
      <c r="AD136" s="486">
        <f t="shared" si="218"/>
        <v>29035.666666666668</v>
      </c>
      <c r="AE136" s="490">
        <f t="shared" si="234"/>
        <v>29035.666666666668</v>
      </c>
      <c r="AF136" s="408"/>
      <c r="AG136" s="293"/>
      <c r="AH136" s="293"/>
      <c r="AI136" s="293"/>
      <c r="AJ136" s="293"/>
      <c r="AK136" s="293"/>
      <c r="AL136" s="327"/>
      <c r="AM136" s="463"/>
      <c r="AN136" s="515"/>
      <c r="AO136" s="117"/>
      <c r="AP136" s="117"/>
      <c r="AQ136" s="117"/>
      <c r="AR136" s="117"/>
      <c r="AS136" s="117"/>
      <c r="AT136" s="117"/>
      <c r="AU136" s="518"/>
      <c r="AV136" s="548"/>
      <c r="AW136" s="515"/>
      <c r="AX136" s="83"/>
      <c r="AY136" s="83"/>
      <c r="AZ136" s="84"/>
      <c r="BA136" s="85"/>
      <c r="BB136" s="60"/>
      <c r="BC136" s="83"/>
      <c r="BD136" s="250"/>
      <c r="BE136" s="250"/>
      <c r="BF136" s="250"/>
      <c r="BG136" s="250"/>
      <c r="BH136" s="250"/>
      <c r="BI136" s="86"/>
      <c r="BJ136" s="67"/>
      <c r="BK136" s="64"/>
      <c r="BL136" s="478"/>
      <c r="BM136" s="535"/>
    </row>
    <row r="137" spans="1:65" ht="47.45" customHeight="1">
      <c r="A137" s="91" t="s">
        <v>17</v>
      </c>
      <c r="B137" s="358" t="s">
        <v>2328</v>
      </c>
      <c r="C137" s="50" t="s">
        <v>112</v>
      </c>
      <c r="D137" s="99" t="s">
        <v>452</v>
      </c>
      <c r="E137" s="391" t="s">
        <v>13</v>
      </c>
      <c r="F137" s="410">
        <v>17220</v>
      </c>
      <c r="G137" s="10">
        <v>7500</v>
      </c>
      <c r="H137" s="167">
        <v>30000</v>
      </c>
      <c r="I137" s="10">
        <v>10500</v>
      </c>
      <c r="J137" s="76">
        <f t="shared" ref="J137:J140" si="236">AVERAGE(G137,I137)</f>
        <v>9000</v>
      </c>
      <c r="K137" s="24">
        <f t="shared" ref="K137:K140" si="237">J137-F137</f>
        <v>-8220</v>
      </c>
      <c r="L137" s="281">
        <f t="shared" ref="L137:L140" si="238">+K137/F137</f>
        <v>-0.47735191637630664</v>
      </c>
      <c r="M137" s="431">
        <f t="shared" ref="M137:M140" si="239">H137</f>
        <v>30000</v>
      </c>
      <c r="N137" s="443"/>
      <c r="O137" s="250"/>
      <c r="P137" s="250"/>
      <c r="Q137" s="250"/>
      <c r="R137" s="250"/>
      <c r="S137" s="250"/>
      <c r="T137" s="250"/>
      <c r="U137" s="250"/>
      <c r="V137" s="443"/>
      <c r="W137" s="410">
        <v>31119</v>
      </c>
      <c r="X137" s="38">
        <v>40473</v>
      </c>
      <c r="Y137" s="31">
        <v>52615</v>
      </c>
      <c r="Z137" s="98">
        <v>35376.400000000001</v>
      </c>
      <c r="AA137" s="76">
        <f t="shared" si="215"/>
        <v>42821.466666666667</v>
      </c>
      <c r="AB137" s="24">
        <f t="shared" si="216"/>
        <v>11702.466666666667</v>
      </c>
      <c r="AC137" s="25">
        <f t="shared" si="217"/>
        <v>0.37605535739151857</v>
      </c>
      <c r="AD137" s="309" t="str">
        <f t="shared" si="218"/>
        <v>REVISAR PRECIO</v>
      </c>
      <c r="AE137" s="462">
        <f t="shared" si="234"/>
        <v>42821.466666666667</v>
      </c>
      <c r="AF137" s="410">
        <v>17476</v>
      </c>
      <c r="AG137" s="45">
        <v>12000</v>
      </c>
      <c r="AH137" s="45">
        <v>20321</v>
      </c>
      <c r="AI137" s="45">
        <v>35000</v>
      </c>
      <c r="AJ137" s="76">
        <f t="shared" ref="AJ137:AJ142" si="240">AVERAGE(AG137,AH137,AI137)</f>
        <v>22440.333333333332</v>
      </c>
      <c r="AK137" s="24">
        <f t="shared" ref="AK137:AK142" si="241">AJ137-AF137</f>
        <v>4964.3333333333321</v>
      </c>
      <c r="AL137" s="281">
        <f t="shared" ref="AL137:AL142" si="242">+AK137/AF137</f>
        <v>0.2840657663843747</v>
      </c>
      <c r="AM137" s="462">
        <f t="shared" ref="AM137:AM142" si="243">AJ137</f>
        <v>22440.333333333332</v>
      </c>
      <c r="AN137" s="445">
        <v>17570</v>
      </c>
      <c r="AO137" s="88">
        <v>9500</v>
      </c>
      <c r="AP137" s="116">
        <v>10000</v>
      </c>
      <c r="AQ137" s="74">
        <v>8250</v>
      </c>
      <c r="AR137" s="76">
        <f t="shared" ref="AR137:AR143" si="244">AVERAGE(AO137,AP137,AQ137)</f>
        <v>9250</v>
      </c>
      <c r="AS137" s="24">
        <f t="shared" ref="AS137:AS143" si="245">AR137-AN137</f>
        <v>-8320</v>
      </c>
      <c r="AT137" s="25">
        <f t="shared" ref="AT137:AT143" si="246">+AS137/AN137</f>
        <v>-0.47353443369379622</v>
      </c>
      <c r="AU137" s="309">
        <f t="shared" ref="AU137:AU143" si="247">+IF(AT137&lt;35%,AR137,"REVISAR PRECIO")</f>
        <v>9250</v>
      </c>
      <c r="AV137" s="462">
        <f t="shared" ref="AV137:AV143" si="248">AR137</f>
        <v>9250</v>
      </c>
      <c r="AW137" s="445">
        <v>17570</v>
      </c>
      <c r="AX137" s="88">
        <v>8625</v>
      </c>
      <c r="AY137" s="88">
        <v>22000</v>
      </c>
      <c r="AZ137" s="89">
        <v>9937.5</v>
      </c>
      <c r="BA137" s="61">
        <v>16790</v>
      </c>
      <c r="BB137" s="60">
        <v>28000</v>
      </c>
      <c r="BC137" s="88">
        <v>19308.5</v>
      </c>
      <c r="BD137" s="79">
        <v>9937.5</v>
      </c>
      <c r="BE137" s="79">
        <v>7500</v>
      </c>
      <c r="BF137" s="127">
        <v>9750</v>
      </c>
      <c r="BG137" s="128">
        <v>8200</v>
      </c>
      <c r="BH137" s="128">
        <v>8000</v>
      </c>
      <c r="BI137" s="86">
        <f t="shared" ref="BI137:BI143" si="249">AVERAGE(AX137,AY137,AZ137,BA137,BB137,BC137)</f>
        <v>17443.5</v>
      </c>
      <c r="BJ137" s="24">
        <f t="shared" ref="BJ137:BJ143" si="250">BI137-AW137</f>
        <v>-126.5</v>
      </c>
      <c r="BK137" s="64">
        <f t="shared" ref="BK137:BK143" si="251">+BJ137/AW137</f>
        <v>-7.1997723392145706E-3</v>
      </c>
      <c r="BL137" s="478">
        <f t="shared" ref="BL137:BL143" si="252">+IF(BK137&lt;35%,BI137,"REVISAR PRECIO")</f>
        <v>17443.5</v>
      </c>
      <c r="BM137" s="535">
        <f t="shared" ref="BM137:BM143" si="253">BI137</f>
        <v>17443.5</v>
      </c>
    </row>
    <row r="138" spans="1:65" ht="50.1" customHeight="1">
      <c r="A138" s="91" t="s">
        <v>17</v>
      </c>
      <c r="B138" s="358" t="s">
        <v>2329</v>
      </c>
      <c r="C138" s="50" t="s">
        <v>113</v>
      </c>
      <c r="D138" s="99" t="s">
        <v>453</v>
      </c>
      <c r="E138" s="391" t="s">
        <v>13</v>
      </c>
      <c r="F138" s="410">
        <v>61095</v>
      </c>
      <c r="G138" s="10">
        <v>68000</v>
      </c>
      <c r="H138" s="167">
        <v>272000</v>
      </c>
      <c r="I138" s="10">
        <v>63856</v>
      </c>
      <c r="J138" s="76">
        <f t="shared" si="236"/>
        <v>65928</v>
      </c>
      <c r="K138" s="24">
        <f t="shared" si="237"/>
        <v>4833</v>
      </c>
      <c r="L138" s="281">
        <f t="shared" si="238"/>
        <v>7.9106309845322853E-2</v>
      </c>
      <c r="M138" s="431">
        <f t="shared" si="239"/>
        <v>272000</v>
      </c>
      <c r="N138" s="410">
        <v>55531</v>
      </c>
      <c r="O138" s="10">
        <v>42000</v>
      </c>
      <c r="P138" s="10">
        <v>45000</v>
      </c>
      <c r="Q138" s="268">
        <v>45000</v>
      </c>
      <c r="R138" s="10">
        <v>42000</v>
      </c>
      <c r="S138" s="76">
        <f t="shared" ref="S138:S142" si="254">AVERAGE(O138,P138,Q138,R138)</f>
        <v>43500</v>
      </c>
      <c r="T138" s="24">
        <f t="shared" ref="T138:T142" si="255">S138-N138</f>
        <v>-12031</v>
      </c>
      <c r="U138" s="281">
        <f t="shared" ref="U138:U142" si="256">+T138/N138</f>
        <v>-0.21665376096234534</v>
      </c>
      <c r="V138" s="462">
        <f t="shared" ref="V138:V142" si="257">S138</f>
        <v>43500</v>
      </c>
      <c r="W138" s="410">
        <v>91988</v>
      </c>
      <c r="X138" s="38">
        <v>119637</v>
      </c>
      <c r="Y138" s="31">
        <v>155528</v>
      </c>
      <c r="Z138" s="98">
        <v>104571.6</v>
      </c>
      <c r="AA138" s="76">
        <f t="shared" si="215"/>
        <v>126578.86666666665</v>
      </c>
      <c r="AB138" s="24">
        <f t="shared" si="216"/>
        <v>34590.866666666654</v>
      </c>
      <c r="AC138" s="25">
        <f t="shared" si="217"/>
        <v>0.37603672942847605</v>
      </c>
      <c r="AD138" s="309" t="str">
        <f t="shared" si="218"/>
        <v>REVISAR PRECIO</v>
      </c>
      <c r="AE138" s="462">
        <f t="shared" si="234"/>
        <v>126578.86666666665</v>
      </c>
      <c r="AF138" s="410">
        <v>62004</v>
      </c>
      <c r="AG138" s="45">
        <v>75000</v>
      </c>
      <c r="AH138" s="45">
        <v>72082</v>
      </c>
      <c r="AI138" s="45">
        <v>40000</v>
      </c>
      <c r="AJ138" s="76">
        <f t="shared" si="240"/>
        <v>62360.666666666664</v>
      </c>
      <c r="AK138" s="24">
        <f t="shared" si="241"/>
        <v>356.66666666666424</v>
      </c>
      <c r="AL138" s="281">
        <f t="shared" si="242"/>
        <v>5.7523170548136292E-3</v>
      </c>
      <c r="AM138" s="462">
        <f t="shared" si="243"/>
        <v>62360.666666666664</v>
      </c>
      <c r="AN138" s="513">
        <v>62317</v>
      </c>
      <c r="AO138" s="88">
        <v>92000</v>
      </c>
      <c r="AP138" s="116">
        <v>100000</v>
      </c>
      <c r="AQ138" s="74">
        <v>74800</v>
      </c>
      <c r="AR138" s="76">
        <f t="shared" si="244"/>
        <v>88933.333333333328</v>
      </c>
      <c r="AS138" s="24">
        <f t="shared" si="245"/>
        <v>26616.333333333328</v>
      </c>
      <c r="AT138" s="25">
        <f t="shared" si="246"/>
        <v>0.42711191702638651</v>
      </c>
      <c r="AU138" s="309" t="str">
        <f t="shared" si="247"/>
        <v>REVISAR PRECIO</v>
      </c>
      <c r="AV138" s="462">
        <f t="shared" si="248"/>
        <v>88933.333333333328</v>
      </c>
      <c r="AW138" s="513">
        <v>62317</v>
      </c>
      <c r="AX138" s="74">
        <v>78200</v>
      </c>
      <c r="AY138" s="74">
        <v>85000</v>
      </c>
      <c r="AZ138" s="75">
        <v>90100</v>
      </c>
      <c r="BA138" s="61">
        <v>86710</v>
      </c>
      <c r="BB138" s="60">
        <v>32000</v>
      </c>
      <c r="BC138" s="74">
        <v>99716.499999999985</v>
      </c>
      <c r="BD138" s="79">
        <v>90100</v>
      </c>
      <c r="BE138" s="79">
        <v>68000</v>
      </c>
      <c r="BF138" s="127">
        <v>81600</v>
      </c>
      <c r="BG138" s="128">
        <v>86000</v>
      </c>
      <c r="BH138" s="128">
        <v>70000</v>
      </c>
      <c r="BI138" s="76">
        <f t="shared" si="249"/>
        <v>78621.083333333328</v>
      </c>
      <c r="BJ138" s="24">
        <f t="shared" si="250"/>
        <v>16304.083333333328</v>
      </c>
      <c r="BK138" s="25">
        <f t="shared" si="251"/>
        <v>0.26163139004338026</v>
      </c>
      <c r="BL138" s="259">
        <f t="shared" si="252"/>
        <v>78621.083333333328</v>
      </c>
      <c r="BM138" s="533">
        <f t="shared" si="253"/>
        <v>78621.083333333328</v>
      </c>
    </row>
    <row r="139" spans="1:65" ht="50.1" customHeight="1">
      <c r="A139" s="91" t="s">
        <v>17</v>
      </c>
      <c r="B139" s="358" t="s">
        <v>2330</v>
      </c>
      <c r="C139" s="50" t="s">
        <v>114</v>
      </c>
      <c r="D139" s="99" t="s">
        <v>454</v>
      </c>
      <c r="E139" s="391" t="s">
        <v>10</v>
      </c>
      <c r="F139" s="410">
        <v>6266</v>
      </c>
      <c r="G139" s="10">
        <v>4800</v>
      </c>
      <c r="H139" s="167">
        <v>19200</v>
      </c>
      <c r="I139" s="10">
        <v>4200</v>
      </c>
      <c r="J139" s="76">
        <f t="shared" si="236"/>
        <v>4500</v>
      </c>
      <c r="K139" s="24">
        <f t="shared" si="237"/>
        <v>-1766</v>
      </c>
      <c r="L139" s="281">
        <f t="shared" si="238"/>
        <v>-0.28183849345675072</v>
      </c>
      <c r="M139" s="431">
        <f t="shared" si="239"/>
        <v>19200</v>
      </c>
      <c r="N139" s="410">
        <v>5695</v>
      </c>
      <c r="O139" s="10">
        <v>35000</v>
      </c>
      <c r="P139" s="10">
        <v>38000</v>
      </c>
      <c r="Q139" s="268">
        <v>38000</v>
      </c>
      <c r="R139" s="10">
        <v>35000</v>
      </c>
      <c r="S139" s="76">
        <f t="shared" si="254"/>
        <v>36500</v>
      </c>
      <c r="T139" s="24">
        <f t="shared" si="255"/>
        <v>30805</v>
      </c>
      <c r="U139" s="281">
        <f t="shared" si="256"/>
        <v>5.4091308165057068</v>
      </c>
      <c r="V139" s="462">
        <f t="shared" si="257"/>
        <v>36500</v>
      </c>
      <c r="W139" s="410">
        <v>9435</v>
      </c>
      <c r="X139" s="38">
        <v>12272</v>
      </c>
      <c r="Y139" s="31">
        <v>15953</v>
      </c>
      <c r="Z139" s="98">
        <v>10726.2</v>
      </c>
      <c r="AA139" s="76">
        <f t="shared" si="215"/>
        <v>12983.733333333332</v>
      </c>
      <c r="AB139" s="24">
        <f t="shared" si="216"/>
        <v>3548.7333333333318</v>
      </c>
      <c r="AC139" s="25">
        <f t="shared" si="217"/>
        <v>0.37612435965377128</v>
      </c>
      <c r="AD139" s="309" t="str">
        <f t="shared" si="218"/>
        <v>REVISAR PRECIO</v>
      </c>
      <c r="AE139" s="462">
        <f t="shared" si="234"/>
        <v>12983.733333333332</v>
      </c>
      <c r="AF139" s="410">
        <v>6360</v>
      </c>
      <c r="AG139" s="45">
        <v>9000</v>
      </c>
      <c r="AH139" s="45">
        <v>7390</v>
      </c>
      <c r="AI139" s="45">
        <v>43000</v>
      </c>
      <c r="AJ139" s="76">
        <f t="shared" si="240"/>
        <v>19796.666666666668</v>
      </c>
      <c r="AK139" s="24">
        <f t="shared" si="241"/>
        <v>13436.666666666668</v>
      </c>
      <c r="AL139" s="281">
        <f t="shared" si="242"/>
        <v>2.1126834381551363</v>
      </c>
      <c r="AM139" s="462">
        <f t="shared" si="243"/>
        <v>19796.666666666668</v>
      </c>
      <c r="AN139" s="513">
        <v>6388</v>
      </c>
      <c r="AO139" s="88">
        <v>6000</v>
      </c>
      <c r="AP139" s="116">
        <v>9000</v>
      </c>
      <c r="AQ139" s="74">
        <v>5280</v>
      </c>
      <c r="AR139" s="76">
        <f t="shared" si="244"/>
        <v>6760</v>
      </c>
      <c r="AS139" s="24">
        <f t="shared" si="245"/>
        <v>372</v>
      </c>
      <c r="AT139" s="25">
        <f t="shared" si="246"/>
        <v>5.8234189104571073E-2</v>
      </c>
      <c r="AU139" s="309">
        <f t="shared" si="247"/>
        <v>6760</v>
      </c>
      <c r="AV139" s="462">
        <f t="shared" si="248"/>
        <v>6760</v>
      </c>
      <c r="AW139" s="513">
        <v>6388</v>
      </c>
      <c r="AX139" s="74">
        <v>5520</v>
      </c>
      <c r="AY139" s="74">
        <v>9000</v>
      </c>
      <c r="AZ139" s="75">
        <v>6360</v>
      </c>
      <c r="BA139" s="61">
        <v>10235</v>
      </c>
      <c r="BB139" s="60">
        <v>21000</v>
      </c>
      <c r="BC139" s="74">
        <v>11770.25</v>
      </c>
      <c r="BD139" s="79">
        <v>6360</v>
      </c>
      <c r="BE139" s="79">
        <v>4800</v>
      </c>
      <c r="BF139" s="127">
        <v>6720</v>
      </c>
      <c r="BG139" s="128">
        <v>6000</v>
      </c>
      <c r="BH139" s="128">
        <v>5000</v>
      </c>
      <c r="BI139" s="76">
        <f t="shared" si="249"/>
        <v>10647.541666666666</v>
      </c>
      <c r="BJ139" s="24">
        <f t="shared" si="250"/>
        <v>4259.5416666666661</v>
      </c>
      <c r="BK139" s="25">
        <f t="shared" si="251"/>
        <v>0.66680364224587763</v>
      </c>
      <c r="BL139" s="259" t="str">
        <f t="shared" si="252"/>
        <v>REVISAR PRECIO</v>
      </c>
      <c r="BM139" s="533">
        <f t="shared" si="253"/>
        <v>10647.541666666666</v>
      </c>
    </row>
    <row r="140" spans="1:65" ht="57.95" customHeight="1">
      <c r="A140" s="91" t="s">
        <v>17</v>
      </c>
      <c r="B140" s="358" t="s">
        <v>2331</v>
      </c>
      <c r="C140" s="50" t="s">
        <v>115</v>
      </c>
      <c r="D140" s="99" t="s">
        <v>455</v>
      </c>
      <c r="E140" s="391" t="s">
        <v>13</v>
      </c>
      <c r="F140" s="410">
        <v>41046</v>
      </c>
      <c r="G140" s="10">
        <v>7680</v>
      </c>
      <c r="H140" s="167">
        <v>38400</v>
      </c>
      <c r="I140" s="10">
        <v>10500</v>
      </c>
      <c r="J140" s="76">
        <f t="shared" si="236"/>
        <v>9090</v>
      </c>
      <c r="K140" s="24">
        <f t="shared" si="237"/>
        <v>-31956</v>
      </c>
      <c r="L140" s="281">
        <f t="shared" si="238"/>
        <v>-0.77854114895483117</v>
      </c>
      <c r="M140" s="431">
        <f t="shared" si="239"/>
        <v>38400</v>
      </c>
      <c r="N140" s="410">
        <v>37305</v>
      </c>
      <c r="O140" s="10">
        <v>45000</v>
      </c>
      <c r="P140" s="10">
        <v>48000</v>
      </c>
      <c r="Q140" s="268">
        <v>48000</v>
      </c>
      <c r="R140" s="10">
        <v>45000</v>
      </c>
      <c r="S140" s="76">
        <f t="shared" si="254"/>
        <v>46500</v>
      </c>
      <c r="T140" s="24">
        <f t="shared" si="255"/>
        <v>9195</v>
      </c>
      <c r="U140" s="281">
        <f t="shared" si="256"/>
        <v>0.24648170486529955</v>
      </c>
      <c r="V140" s="462">
        <f t="shared" si="257"/>
        <v>46500</v>
      </c>
      <c r="W140" s="410">
        <v>61803</v>
      </c>
      <c r="X140" s="38">
        <v>80379</v>
      </c>
      <c r="Y140" s="31">
        <v>104493</v>
      </c>
      <c r="Z140" s="98">
        <v>70257.2</v>
      </c>
      <c r="AA140" s="76">
        <f t="shared" si="215"/>
        <v>85043.066666666666</v>
      </c>
      <c r="AB140" s="24">
        <f t="shared" si="216"/>
        <v>23240.066666666666</v>
      </c>
      <c r="AC140" s="25">
        <f t="shared" si="217"/>
        <v>0.37603460457690835</v>
      </c>
      <c r="AD140" s="309" t="str">
        <f t="shared" si="218"/>
        <v>REVISAR PRECIO</v>
      </c>
      <c r="AE140" s="462">
        <f t="shared" si="234"/>
        <v>85043.066666666666</v>
      </c>
      <c r="AF140" s="410">
        <v>41662</v>
      </c>
      <c r="AG140" s="45">
        <v>19000</v>
      </c>
      <c r="AH140" s="45">
        <v>48430</v>
      </c>
      <c r="AI140" s="45">
        <v>40000</v>
      </c>
      <c r="AJ140" s="76">
        <f t="shared" si="240"/>
        <v>35810</v>
      </c>
      <c r="AK140" s="24">
        <f t="shared" si="241"/>
        <v>-5852</v>
      </c>
      <c r="AL140" s="281">
        <f t="shared" si="242"/>
        <v>-0.14046373193797707</v>
      </c>
      <c r="AM140" s="462">
        <f t="shared" si="243"/>
        <v>35810</v>
      </c>
      <c r="AN140" s="513">
        <v>41871</v>
      </c>
      <c r="AO140" s="88">
        <v>9000</v>
      </c>
      <c r="AP140" s="116">
        <v>9000</v>
      </c>
      <c r="AQ140" s="74">
        <v>8448</v>
      </c>
      <c r="AR140" s="76">
        <f t="shared" si="244"/>
        <v>8816</v>
      </c>
      <c r="AS140" s="24">
        <f t="shared" si="245"/>
        <v>-33055</v>
      </c>
      <c r="AT140" s="25">
        <f t="shared" si="246"/>
        <v>-0.78944854433856371</v>
      </c>
      <c r="AU140" s="309">
        <f t="shared" si="247"/>
        <v>8816</v>
      </c>
      <c r="AV140" s="462">
        <f t="shared" si="248"/>
        <v>8816</v>
      </c>
      <c r="AW140" s="513">
        <v>41871</v>
      </c>
      <c r="AX140" s="74">
        <v>8832</v>
      </c>
      <c r="AY140" s="74">
        <v>23000</v>
      </c>
      <c r="AZ140" s="75">
        <v>10176</v>
      </c>
      <c r="BA140" s="61">
        <v>14144.999999999998</v>
      </c>
      <c r="BB140" s="60">
        <v>42000</v>
      </c>
      <c r="BC140" s="74">
        <v>16266.749999999996</v>
      </c>
      <c r="BD140" s="79">
        <v>10176</v>
      </c>
      <c r="BE140" s="79">
        <f>+BE139*1.6</f>
        <v>7680</v>
      </c>
      <c r="BF140" s="127">
        <v>13056</v>
      </c>
      <c r="BG140" s="128">
        <v>8000</v>
      </c>
      <c r="BH140" s="128">
        <v>9000</v>
      </c>
      <c r="BI140" s="76">
        <f t="shared" si="249"/>
        <v>19069.958333333332</v>
      </c>
      <c r="BJ140" s="24">
        <f t="shared" si="250"/>
        <v>-22801.041666666668</v>
      </c>
      <c r="BK140" s="25">
        <f t="shared" si="251"/>
        <v>-0.54455450470890754</v>
      </c>
      <c r="BL140" s="259">
        <f t="shared" si="252"/>
        <v>19069.958333333332</v>
      </c>
      <c r="BM140" s="533">
        <f t="shared" si="253"/>
        <v>19069.958333333332</v>
      </c>
    </row>
    <row r="141" spans="1:65" ht="19.350000000000001" customHeight="1">
      <c r="A141" s="91" t="s">
        <v>17</v>
      </c>
      <c r="B141" s="358" t="s">
        <v>2332</v>
      </c>
      <c r="C141" s="50" t="s">
        <v>116</v>
      </c>
      <c r="D141" s="99" t="s">
        <v>456</v>
      </c>
      <c r="E141" s="391" t="s">
        <v>13</v>
      </c>
      <c r="F141" s="408"/>
      <c r="G141" s="293"/>
      <c r="H141" s="293"/>
      <c r="I141" s="293"/>
      <c r="J141" s="293"/>
      <c r="K141" s="293"/>
      <c r="L141" s="327"/>
      <c r="M141" s="432"/>
      <c r="N141" s="410">
        <v>16374</v>
      </c>
      <c r="O141" s="10">
        <v>45000</v>
      </c>
      <c r="P141" s="10">
        <v>48000</v>
      </c>
      <c r="Q141" s="268">
        <v>48000</v>
      </c>
      <c r="R141" s="10">
        <v>45000</v>
      </c>
      <c r="S141" s="76">
        <f t="shared" si="254"/>
        <v>46500</v>
      </c>
      <c r="T141" s="24">
        <f t="shared" si="255"/>
        <v>30126</v>
      </c>
      <c r="U141" s="281">
        <f t="shared" si="256"/>
        <v>1.8398680835470869</v>
      </c>
      <c r="V141" s="462">
        <f t="shared" si="257"/>
        <v>46500</v>
      </c>
      <c r="W141" s="410">
        <v>26863</v>
      </c>
      <c r="X141" s="39">
        <v>34938</v>
      </c>
      <c r="Y141" s="31">
        <v>45419</v>
      </c>
      <c r="Z141" s="98">
        <v>30538.400000000001</v>
      </c>
      <c r="AA141" s="76">
        <f t="shared" si="215"/>
        <v>36965.133333333331</v>
      </c>
      <c r="AB141" s="24">
        <f t="shared" si="216"/>
        <v>10102.133333333331</v>
      </c>
      <c r="AC141" s="25">
        <f t="shared" si="217"/>
        <v>0.37606124905384103</v>
      </c>
      <c r="AD141" s="309" t="str">
        <f t="shared" si="218"/>
        <v>REVISAR PRECIO</v>
      </c>
      <c r="AE141" s="462">
        <f t="shared" si="234"/>
        <v>36965.133333333331</v>
      </c>
      <c r="AF141" s="410">
        <v>18197</v>
      </c>
      <c r="AG141" s="45">
        <v>90000</v>
      </c>
      <c r="AH141" s="45">
        <v>21467</v>
      </c>
      <c r="AI141" s="45">
        <v>23000</v>
      </c>
      <c r="AJ141" s="76">
        <f t="shared" si="240"/>
        <v>44822.333333333336</v>
      </c>
      <c r="AK141" s="24">
        <f t="shared" si="241"/>
        <v>26625.333333333336</v>
      </c>
      <c r="AL141" s="281">
        <f t="shared" si="242"/>
        <v>1.4631715850598086</v>
      </c>
      <c r="AM141" s="462">
        <f t="shared" si="243"/>
        <v>44822.333333333336</v>
      </c>
      <c r="AN141" s="513">
        <v>18197</v>
      </c>
      <c r="AO141" s="88">
        <v>100000</v>
      </c>
      <c r="AP141" s="116">
        <v>117000</v>
      </c>
      <c r="AQ141" s="74">
        <v>93500</v>
      </c>
      <c r="AR141" s="76">
        <f t="shared" si="244"/>
        <v>103500</v>
      </c>
      <c r="AS141" s="24">
        <f t="shared" si="245"/>
        <v>85303</v>
      </c>
      <c r="AT141" s="25">
        <f t="shared" si="246"/>
        <v>4.6877507281420012</v>
      </c>
      <c r="AU141" s="309" t="str">
        <f t="shared" si="247"/>
        <v>REVISAR PRECIO</v>
      </c>
      <c r="AV141" s="462">
        <f t="shared" si="248"/>
        <v>103500</v>
      </c>
      <c r="AW141" s="513">
        <v>18197</v>
      </c>
      <c r="AX141" s="74">
        <v>97750</v>
      </c>
      <c r="AY141" s="74">
        <v>98000</v>
      </c>
      <c r="AZ141" s="75">
        <v>112625</v>
      </c>
      <c r="BA141" s="61">
        <v>126499.99999999999</v>
      </c>
      <c r="BB141" s="60">
        <v>42000</v>
      </c>
      <c r="BC141" s="74">
        <v>145474.99999999997</v>
      </c>
      <c r="BD141" s="79">
        <v>112625</v>
      </c>
      <c r="BE141" s="79">
        <v>85000</v>
      </c>
      <c r="BF141" s="127">
        <v>102000</v>
      </c>
      <c r="BG141" s="128">
        <v>89800</v>
      </c>
      <c r="BH141" s="128">
        <v>90000</v>
      </c>
      <c r="BI141" s="76">
        <f t="shared" si="249"/>
        <v>103725</v>
      </c>
      <c r="BJ141" s="24">
        <f t="shared" si="250"/>
        <v>85528</v>
      </c>
      <c r="BK141" s="25">
        <f t="shared" si="251"/>
        <v>4.7001154036379624</v>
      </c>
      <c r="BL141" s="259" t="str">
        <f t="shared" si="252"/>
        <v>REVISAR PRECIO</v>
      </c>
      <c r="BM141" s="533">
        <f t="shared" si="253"/>
        <v>103725</v>
      </c>
    </row>
    <row r="142" spans="1:65" ht="19.350000000000001" customHeight="1">
      <c r="A142" s="91" t="s">
        <v>17</v>
      </c>
      <c r="B142" s="358" t="s">
        <v>2333</v>
      </c>
      <c r="C142" s="50" t="s">
        <v>117</v>
      </c>
      <c r="D142" s="99" t="s">
        <v>1493</v>
      </c>
      <c r="E142" s="391" t="s">
        <v>13</v>
      </c>
      <c r="F142" s="408"/>
      <c r="G142" s="293"/>
      <c r="H142" s="293"/>
      <c r="I142" s="293"/>
      <c r="J142" s="293"/>
      <c r="K142" s="293"/>
      <c r="L142" s="327"/>
      <c r="M142" s="432"/>
      <c r="N142" s="410">
        <v>6008</v>
      </c>
      <c r="O142" s="10">
        <v>38000</v>
      </c>
      <c r="P142" s="10">
        <v>41000</v>
      </c>
      <c r="Q142" s="268">
        <v>41000</v>
      </c>
      <c r="R142" s="10">
        <v>38000</v>
      </c>
      <c r="S142" s="76">
        <f t="shared" si="254"/>
        <v>39500</v>
      </c>
      <c r="T142" s="24">
        <f t="shared" si="255"/>
        <v>33492</v>
      </c>
      <c r="U142" s="281">
        <f t="shared" si="256"/>
        <v>5.5745672436750997</v>
      </c>
      <c r="V142" s="462">
        <f t="shared" si="257"/>
        <v>39500</v>
      </c>
      <c r="W142" s="410">
        <v>9861</v>
      </c>
      <c r="X142" s="39">
        <v>12825</v>
      </c>
      <c r="Y142" s="31">
        <v>16673</v>
      </c>
      <c r="Z142" s="98">
        <v>11210</v>
      </c>
      <c r="AA142" s="76">
        <f t="shared" si="215"/>
        <v>13569.333333333334</v>
      </c>
      <c r="AB142" s="24">
        <f t="shared" si="216"/>
        <v>3708.3333333333339</v>
      </c>
      <c r="AC142" s="25">
        <f t="shared" si="217"/>
        <v>0.37606057533042631</v>
      </c>
      <c r="AD142" s="309" t="str">
        <f t="shared" si="218"/>
        <v>REVISAR PRECIO</v>
      </c>
      <c r="AE142" s="462">
        <f t="shared" si="234"/>
        <v>13569.333333333334</v>
      </c>
      <c r="AF142" s="410">
        <v>6683</v>
      </c>
      <c r="AG142" s="45">
        <v>20000</v>
      </c>
      <c r="AH142" s="45">
        <v>7880</v>
      </c>
      <c r="AI142" s="45">
        <v>23000</v>
      </c>
      <c r="AJ142" s="76">
        <f t="shared" si="240"/>
        <v>16960</v>
      </c>
      <c r="AK142" s="24">
        <f t="shared" si="241"/>
        <v>10277</v>
      </c>
      <c r="AL142" s="281">
        <f t="shared" si="242"/>
        <v>1.5377824330390544</v>
      </c>
      <c r="AM142" s="462">
        <f t="shared" si="243"/>
        <v>16960</v>
      </c>
      <c r="AN142" s="513">
        <v>6683</v>
      </c>
      <c r="AO142" s="88">
        <v>22000</v>
      </c>
      <c r="AP142" s="116">
        <v>26000</v>
      </c>
      <c r="AQ142" s="74">
        <v>19800</v>
      </c>
      <c r="AR142" s="76">
        <f t="shared" si="244"/>
        <v>22600</v>
      </c>
      <c r="AS142" s="24">
        <f t="shared" si="245"/>
        <v>15917</v>
      </c>
      <c r="AT142" s="25">
        <f t="shared" si="246"/>
        <v>2.3817147987430793</v>
      </c>
      <c r="AU142" s="309" t="str">
        <f t="shared" si="247"/>
        <v>REVISAR PRECIO</v>
      </c>
      <c r="AV142" s="462">
        <f t="shared" si="248"/>
        <v>22600</v>
      </c>
      <c r="AW142" s="513">
        <v>6683</v>
      </c>
      <c r="AX142" s="74">
        <v>20700</v>
      </c>
      <c r="AY142" s="74">
        <v>25000</v>
      </c>
      <c r="AZ142" s="75">
        <v>23850</v>
      </c>
      <c r="BA142" s="61">
        <v>20700</v>
      </c>
      <c r="BB142" s="60">
        <v>28000</v>
      </c>
      <c r="BC142" s="74">
        <v>23804.999999999996</v>
      </c>
      <c r="BD142" s="79">
        <v>23850</v>
      </c>
      <c r="BE142" s="79">
        <v>18000</v>
      </c>
      <c r="BF142" s="127">
        <v>21600</v>
      </c>
      <c r="BG142" s="128">
        <v>16500</v>
      </c>
      <c r="BH142" s="128">
        <v>20000</v>
      </c>
      <c r="BI142" s="76">
        <f t="shared" si="249"/>
        <v>23675.833333333332</v>
      </c>
      <c r="BJ142" s="24">
        <f t="shared" si="250"/>
        <v>16992.833333333332</v>
      </c>
      <c r="BK142" s="25">
        <f t="shared" si="251"/>
        <v>2.5426953962791159</v>
      </c>
      <c r="BL142" s="259" t="str">
        <f t="shared" si="252"/>
        <v>REVISAR PRECIO</v>
      </c>
      <c r="BM142" s="533">
        <f t="shared" si="253"/>
        <v>23675.833333333332</v>
      </c>
    </row>
    <row r="143" spans="1:65" ht="19.350000000000001" customHeight="1">
      <c r="A143" s="91" t="s">
        <v>17</v>
      </c>
      <c r="B143" s="358" t="s">
        <v>2334</v>
      </c>
      <c r="C143" s="50" t="s">
        <v>118</v>
      </c>
      <c r="D143" s="99" t="s">
        <v>457</v>
      </c>
      <c r="E143" s="391" t="s">
        <v>11</v>
      </c>
      <c r="F143" s="408"/>
      <c r="G143" s="293"/>
      <c r="H143" s="293"/>
      <c r="I143" s="293"/>
      <c r="J143" s="293"/>
      <c r="K143" s="293"/>
      <c r="L143" s="327"/>
      <c r="M143" s="432"/>
      <c r="N143" s="443"/>
      <c r="O143" s="250"/>
      <c r="P143" s="250"/>
      <c r="Q143" s="250"/>
      <c r="R143" s="250"/>
      <c r="S143" s="250"/>
      <c r="T143" s="250"/>
      <c r="U143" s="250"/>
      <c r="V143" s="443"/>
      <c r="W143" s="410">
        <v>41707</v>
      </c>
      <c r="X143" s="39">
        <v>54243</v>
      </c>
      <c r="Y143" s="33">
        <v>70516</v>
      </c>
      <c r="Z143" s="98">
        <v>47412.4</v>
      </c>
      <c r="AA143" s="76">
        <f t="shared" si="215"/>
        <v>57390.466666666667</v>
      </c>
      <c r="AB143" s="24">
        <f t="shared" si="216"/>
        <v>15683.466666666667</v>
      </c>
      <c r="AC143" s="25">
        <f t="shared" si="217"/>
        <v>0.3760391940601498</v>
      </c>
      <c r="AD143" s="309" t="str">
        <f t="shared" si="218"/>
        <v>REVISAR PRECIO</v>
      </c>
      <c r="AE143" s="462">
        <f t="shared" si="234"/>
        <v>57390.466666666667</v>
      </c>
      <c r="AF143" s="408"/>
      <c r="AG143" s="293"/>
      <c r="AH143" s="293"/>
      <c r="AI143" s="293"/>
      <c r="AJ143" s="293"/>
      <c r="AK143" s="293"/>
      <c r="AL143" s="327"/>
      <c r="AM143" s="463"/>
      <c r="AN143" s="513">
        <v>17087</v>
      </c>
      <c r="AO143" s="88">
        <v>17000</v>
      </c>
      <c r="AP143" s="116">
        <v>25000</v>
      </c>
      <c r="AQ143" s="74">
        <v>12100</v>
      </c>
      <c r="AR143" s="76">
        <f t="shared" si="244"/>
        <v>18033.333333333332</v>
      </c>
      <c r="AS143" s="24">
        <f t="shared" si="245"/>
        <v>946.33333333333212</v>
      </c>
      <c r="AT143" s="25">
        <f t="shared" si="246"/>
        <v>5.5383234817892674E-2</v>
      </c>
      <c r="AU143" s="309">
        <f t="shared" si="247"/>
        <v>18033.333333333332</v>
      </c>
      <c r="AV143" s="462">
        <f t="shared" si="248"/>
        <v>18033.333333333332</v>
      </c>
      <c r="AW143" s="513">
        <v>17087</v>
      </c>
      <c r="AX143" s="74">
        <v>12650</v>
      </c>
      <c r="AY143" s="74">
        <v>22000</v>
      </c>
      <c r="AZ143" s="75">
        <v>14575</v>
      </c>
      <c r="BA143" s="61">
        <v>33005</v>
      </c>
      <c r="BB143" s="60"/>
      <c r="BC143" s="74">
        <v>37955.75</v>
      </c>
      <c r="BD143" s="79">
        <v>14575</v>
      </c>
      <c r="BE143" s="79">
        <v>11000</v>
      </c>
      <c r="BF143" s="127">
        <v>13200</v>
      </c>
      <c r="BG143" s="128">
        <v>10200</v>
      </c>
      <c r="BH143" s="128">
        <v>11000</v>
      </c>
      <c r="BI143" s="76">
        <f t="shared" si="249"/>
        <v>24037.15</v>
      </c>
      <c r="BJ143" s="24">
        <f t="shared" si="250"/>
        <v>6950.1500000000015</v>
      </c>
      <c r="BK143" s="25">
        <f t="shared" si="251"/>
        <v>0.40675074618130752</v>
      </c>
      <c r="BL143" s="259" t="str">
        <f t="shared" si="252"/>
        <v>REVISAR PRECIO</v>
      </c>
      <c r="BM143" s="533">
        <f t="shared" si="253"/>
        <v>24037.15</v>
      </c>
    </row>
    <row r="144" spans="1:65" ht="47.1" customHeight="1">
      <c r="A144" s="91"/>
      <c r="B144" s="358" t="s">
        <v>2335</v>
      </c>
      <c r="C144" s="50" t="s">
        <v>855</v>
      </c>
      <c r="D144" s="177" t="s">
        <v>844</v>
      </c>
      <c r="E144" s="385" t="s">
        <v>13</v>
      </c>
      <c r="F144" s="410">
        <v>11772</v>
      </c>
      <c r="G144" s="10">
        <v>6000</v>
      </c>
      <c r="H144" s="167">
        <v>12000</v>
      </c>
      <c r="I144" s="10">
        <v>5904</v>
      </c>
      <c r="J144" s="76">
        <f t="shared" ref="J144:J154" si="258">AVERAGE(G144,I144)</f>
        <v>5952</v>
      </c>
      <c r="K144" s="24">
        <f t="shared" ref="K144:K154" si="259">J144-F144</f>
        <v>-5820</v>
      </c>
      <c r="L144" s="281">
        <f t="shared" ref="L144:L154" si="260">+K144/F144</f>
        <v>-0.49439347604485218</v>
      </c>
      <c r="M144" s="431">
        <f t="shared" ref="M144:M154" si="261">H144</f>
        <v>12000</v>
      </c>
      <c r="N144" s="443"/>
      <c r="O144" s="250"/>
      <c r="P144" s="250"/>
      <c r="Q144" s="250"/>
      <c r="R144" s="250"/>
      <c r="S144" s="250"/>
      <c r="T144" s="250"/>
      <c r="U144" s="250"/>
      <c r="V144" s="443"/>
      <c r="W144" s="410"/>
      <c r="X144" s="39"/>
      <c r="Y144" s="33"/>
      <c r="Z144" s="98"/>
      <c r="AA144" s="76"/>
      <c r="AB144" s="24"/>
      <c r="AC144" s="25"/>
      <c r="AD144" s="309"/>
      <c r="AE144" s="462"/>
      <c r="AF144" s="410">
        <v>11941</v>
      </c>
      <c r="AG144" s="45">
        <v>10000</v>
      </c>
      <c r="AH144" s="45">
        <v>13887</v>
      </c>
      <c r="AI144" s="45">
        <v>27000</v>
      </c>
      <c r="AJ144" s="76">
        <f t="shared" ref="AJ144:AJ151" si="262">AVERAGE(AG144,AH144,AI144)</f>
        <v>16962.333333333332</v>
      </c>
      <c r="AK144" s="24">
        <f t="shared" ref="AK144:AK151" si="263">AJ144-AF144</f>
        <v>5021.3333333333321</v>
      </c>
      <c r="AL144" s="281">
        <f t="shared" ref="AL144:AL151" si="264">+AK144/AF144</f>
        <v>0.42051196158892323</v>
      </c>
      <c r="AM144" s="462">
        <f t="shared" ref="AM144:AM151" si="265">AJ144</f>
        <v>16962.333333333332</v>
      </c>
      <c r="AN144" s="513"/>
      <c r="AO144" s="88"/>
      <c r="AP144" s="116"/>
      <c r="AQ144" s="74"/>
      <c r="AR144" s="76"/>
      <c r="AS144" s="24"/>
      <c r="AT144" s="25"/>
      <c r="AU144" s="309"/>
      <c r="AV144" s="462"/>
      <c r="AW144" s="513"/>
      <c r="AX144" s="74"/>
      <c r="AY144" s="74"/>
      <c r="AZ144" s="75"/>
      <c r="BA144" s="61"/>
      <c r="BB144" s="60"/>
      <c r="BC144" s="74"/>
      <c r="BD144" s="79"/>
      <c r="BE144" s="79"/>
      <c r="BF144" s="127"/>
      <c r="BG144" s="128"/>
      <c r="BH144" s="128"/>
      <c r="BI144" s="76"/>
      <c r="BJ144" s="24"/>
      <c r="BK144" s="25"/>
      <c r="BL144" s="259"/>
      <c r="BM144" s="533"/>
    </row>
    <row r="145" spans="1:65" ht="42" customHeight="1">
      <c r="A145" s="91"/>
      <c r="B145" s="358" t="s">
        <v>2336</v>
      </c>
      <c r="C145" s="50" t="s">
        <v>856</v>
      </c>
      <c r="D145" s="177" t="s">
        <v>845</v>
      </c>
      <c r="E145" s="385" t="s">
        <v>13</v>
      </c>
      <c r="F145" s="410">
        <v>10605</v>
      </c>
      <c r="G145" s="10">
        <v>12503.27</v>
      </c>
      <c r="H145" s="167">
        <v>25006.54</v>
      </c>
      <c r="I145" s="10">
        <v>10500</v>
      </c>
      <c r="J145" s="76">
        <f t="shared" si="258"/>
        <v>11501.635</v>
      </c>
      <c r="K145" s="24">
        <f t="shared" si="259"/>
        <v>896.63500000000022</v>
      </c>
      <c r="L145" s="281">
        <f t="shared" si="260"/>
        <v>8.4548326261197571E-2</v>
      </c>
      <c r="M145" s="431">
        <f t="shared" si="261"/>
        <v>25006.54</v>
      </c>
      <c r="N145" s="410">
        <v>9540</v>
      </c>
      <c r="O145" s="10">
        <v>18000</v>
      </c>
      <c r="P145" s="10">
        <v>21000</v>
      </c>
      <c r="Q145" s="268">
        <v>21000</v>
      </c>
      <c r="R145" s="10">
        <v>25000</v>
      </c>
      <c r="S145" s="76">
        <f t="shared" ref="S145:S149" si="266">AVERAGE(O145,P145,Q145,R145)</f>
        <v>21250</v>
      </c>
      <c r="T145" s="24">
        <f t="shared" ref="T145:T149" si="267">S145-N145</f>
        <v>11710</v>
      </c>
      <c r="U145" s="281">
        <f t="shared" ref="U145:U149" si="268">+T145/N145</f>
        <v>1.2274633123689727</v>
      </c>
      <c r="V145" s="462">
        <f t="shared" ref="V145:V149" si="269">S145</f>
        <v>21250</v>
      </c>
      <c r="W145" s="410"/>
      <c r="X145" s="39"/>
      <c r="Y145" s="33"/>
      <c r="Z145" s="98"/>
      <c r="AA145" s="76"/>
      <c r="AB145" s="24"/>
      <c r="AC145" s="25"/>
      <c r="AD145" s="309"/>
      <c r="AE145" s="462"/>
      <c r="AF145" s="499">
        <v>10603</v>
      </c>
      <c r="AG145" s="317">
        <v>14000</v>
      </c>
      <c r="AH145" s="317">
        <v>12507</v>
      </c>
      <c r="AI145" s="45">
        <v>28000</v>
      </c>
      <c r="AJ145" s="76">
        <f t="shared" si="262"/>
        <v>18169</v>
      </c>
      <c r="AK145" s="24">
        <f t="shared" si="263"/>
        <v>7566</v>
      </c>
      <c r="AL145" s="281">
        <f t="shared" si="264"/>
        <v>0.71357163067056495</v>
      </c>
      <c r="AM145" s="462">
        <f t="shared" si="265"/>
        <v>18169</v>
      </c>
      <c r="AN145" s="513"/>
      <c r="AO145" s="88"/>
      <c r="AP145" s="116"/>
      <c r="AQ145" s="74"/>
      <c r="AR145" s="76"/>
      <c r="AS145" s="24"/>
      <c r="AT145" s="25"/>
      <c r="AU145" s="309"/>
      <c r="AV145" s="462"/>
      <c r="AW145" s="513"/>
      <c r="AX145" s="74"/>
      <c r="AY145" s="74"/>
      <c r="AZ145" s="75"/>
      <c r="BA145" s="61"/>
      <c r="BB145" s="60"/>
      <c r="BC145" s="74"/>
      <c r="BD145" s="79"/>
      <c r="BE145" s="79"/>
      <c r="BF145" s="127"/>
      <c r="BG145" s="128"/>
      <c r="BH145" s="128"/>
      <c r="BI145" s="76"/>
      <c r="BJ145" s="24"/>
      <c r="BK145" s="25"/>
      <c r="BL145" s="259"/>
      <c r="BM145" s="533"/>
    </row>
    <row r="146" spans="1:65" ht="32.1" customHeight="1">
      <c r="A146" s="91"/>
      <c r="B146" s="358" t="s">
        <v>2337</v>
      </c>
      <c r="C146" s="50" t="s">
        <v>857</v>
      </c>
      <c r="D146" s="177" t="s">
        <v>846</v>
      </c>
      <c r="E146" s="385" t="s">
        <v>13</v>
      </c>
      <c r="F146" s="410">
        <v>3779</v>
      </c>
      <c r="G146" s="10">
        <v>4500</v>
      </c>
      <c r="H146" s="167">
        <v>9000</v>
      </c>
      <c r="I146" s="10">
        <v>3500</v>
      </c>
      <c r="J146" s="76">
        <f t="shared" si="258"/>
        <v>4000</v>
      </c>
      <c r="K146" s="24">
        <f t="shared" si="259"/>
        <v>221</v>
      </c>
      <c r="L146" s="281">
        <f t="shared" si="260"/>
        <v>5.8481079650701241E-2</v>
      </c>
      <c r="M146" s="431">
        <f t="shared" si="261"/>
        <v>9000</v>
      </c>
      <c r="N146" s="410">
        <v>4926</v>
      </c>
      <c r="O146" s="10">
        <v>8500</v>
      </c>
      <c r="P146" s="10">
        <v>11500</v>
      </c>
      <c r="Q146" s="268">
        <v>11500</v>
      </c>
      <c r="R146" s="10">
        <v>10000</v>
      </c>
      <c r="S146" s="76">
        <f t="shared" si="266"/>
        <v>10375</v>
      </c>
      <c r="T146" s="24">
        <f t="shared" si="267"/>
        <v>5449</v>
      </c>
      <c r="U146" s="281">
        <f t="shared" si="268"/>
        <v>1.106171335769387</v>
      </c>
      <c r="V146" s="462">
        <f t="shared" si="269"/>
        <v>10375</v>
      </c>
      <c r="W146" s="410"/>
      <c r="X146" s="39"/>
      <c r="Y146" s="33"/>
      <c r="Z146" s="98"/>
      <c r="AA146" s="76"/>
      <c r="AB146" s="24"/>
      <c r="AC146" s="25"/>
      <c r="AD146" s="309"/>
      <c r="AE146" s="462"/>
      <c r="AF146" s="410">
        <v>5505</v>
      </c>
      <c r="AG146" s="45">
        <v>2500</v>
      </c>
      <c r="AH146" s="45">
        <v>6396</v>
      </c>
      <c r="AI146" s="45">
        <v>23000</v>
      </c>
      <c r="AJ146" s="76">
        <f t="shared" si="262"/>
        <v>10632</v>
      </c>
      <c r="AK146" s="24">
        <f t="shared" si="263"/>
        <v>5127</v>
      </c>
      <c r="AL146" s="281">
        <f t="shared" si="264"/>
        <v>0.9313351498637602</v>
      </c>
      <c r="AM146" s="462">
        <f t="shared" si="265"/>
        <v>10632</v>
      </c>
      <c r="AN146" s="513"/>
      <c r="AO146" s="88"/>
      <c r="AP146" s="116"/>
      <c r="AQ146" s="74"/>
      <c r="AR146" s="76"/>
      <c r="AS146" s="24"/>
      <c r="AT146" s="25"/>
      <c r="AU146" s="309"/>
      <c r="AV146" s="462"/>
      <c r="AW146" s="513"/>
      <c r="AX146" s="74"/>
      <c r="AY146" s="74"/>
      <c r="AZ146" s="75"/>
      <c r="BA146" s="61"/>
      <c r="BB146" s="60"/>
      <c r="BC146" s="74"/>
      <c r="BD146" s="79"/>
      <c r="BE146" s="79"/>
      <c r="BF146" s="127"/>
      <c r="BG146" s="128"/>
      <c r="BH146" s="128"/>
      <c r="BI146" s="76"/>
      <c r="BJ146" s="24"/>
      <c r="BK146" s="25"/>
      <c r="BL146" s="259"/>
      <c r="BM146" s="533"/>
    </row>
    <row r="147" spans="1:65" ht="54.95" customHeight="1">
      <c r="A147" s="91"/>
      <c r="B147" s="358" t="s">
        <v>2338</v>
      </c>
      <c r="C147" s="50" t="s">
        <v>858</v>
      </c>
      <c r="D147" s="177" t="s">
        <v>847</v>
      </c>
      <c r="E147" s="385" t="s">
        <v>13</v>
      </c>
      <c r="F147" s="410">
        <v>8089</v>
      </c>
      <c r="G147" s="10">
        <v>7000</v>
      </c>
      <c r="H147" s="167">
        <v>21000</v>
      </c>
      <c r="I147" s="10">
        <v>6855</v>
      </c>
      <c r="J147" s="76">
        <f t="shared" si="258"/>
        <v>6927.5</v>
      </c>
      <c r="K147" s="24">
        <f t="shared" si="259"/>
        <v>-1161.5</v>
      </c>
      <c r="L147" s="281">
        <f t="shared" si="260"/>
        <v>-0.143590060576091</v>
      </c>
      <c r="M147" s="431">
        <f t="shared" si="261"/>
        <v>21000</v>
      </c>
      <c r="N147" s="410">
        <v>7850</v>
      </c>
      <c r="O147" s="10">
        <v>12000</v>
      </c>
      <c r="P147" s="10">
        <v>15000</v>
      </c>
      <c r="Q147" s="268">
        <v>15000</v>
      </c>
      <c r="R147" s="10">
        <v>12000</v>
      </c>
      <c r="S147" s="76">
        <f t="shared" si="266"/>
        <v>13500</v>
      </c>
      <c r="T147" s="24">
        <f t="shared" si="267"/>
        <v>5650</v>
      </c>
      <c r="U147" s="281">
        <f t="shared" si="268"/>
        <v>0.71974522292993626</v>
      </c>
      <c r="V147" s="462">
        <f t="shared" si="269"/>
        <v>13500</v>
      </c>
      <c r="W147" s="410"/>
      <c r="X147" s="39"/>
      <c r="Y147" s="33"/>
      <c r="Z147" s="98"/>
      <c r="AA147" s="76"/>
      <c r="AB147" s="24"/>
      <c r="AC147" s="25"/>
      <c r="AD147" s="309"/>
      <c r="AE147" s="462"/>
      <c r="AF147" s="410">
        <v>8771</v>
      </c>
      <c r="AG147" s="45">
        <v>10000</v>
      </c>
      <c r="AH147" s="45">
        <v>10192</v>
      </c>
      <c r="AI147" s="45">
        <v>27000</v>
      </c>
      <c r="AJ147" s="76">
        <f t="shared" si="262"/>
        <v>15730.666666666666</v>
      </c>
      <c r="AK147" s="24">
        <f t="shared" si="263"/>
        <v>6959.6666666666661</v>
      </c>
      <c r="AL147" s="281">
        <f t="shared" si="264"/>
        <v>0.7934861095276099</v>
      </c>
      <c r="AM147" s="462">
        <f t="shared" si="265"/>
        <v>15730.666666666666</v>
      </c>
      <c r="AN147" s="513"/>
      <c r="AO147" s="88"/>
      <c r="AP147" s="116"/>
      <c r="AQ147" s="74"/>
      <c r="AR147" s="76"/>
      <c r="AS147" s="24"/>
      <c r="AT147" s="25"/>
      <c r="AU147" s="309"/>
      <c r="AV147" s="462"/>
      <c r="AW147" s="513"/>
      <c r="AX147" s="74"/>
      <c r="AY147" s="74"/>
      <c r="AZ147" s="75"/>
      <c r="BA147" s="61"/>
      <c r="BB147" s="60"/>
      <c r="BC147" s="74"/>
      <c r="BD147" s="79"/>
      <c r="BE147" s="79"/>
      <c r="BF147" s="127"/>
      <c r="BG147" s="128"/>
      <c r="BH147" s="128"/>
      <c r="BI147" s="76"/>
      <c r="BJ147" s="24"/>
      <c r="BK147" s="25"/>
      <c r="BL147" s="259"/>
      <c r="BM147" s="533"/>
    </row>
    <row r="148" spans="1:65" ht="45.95" customHeight="1">
      <c r="A148" s="91"/>
      <c r="B148" s="358" t="s">
        <v>2339</v>
      </c>
      <c r="C148" s="50" t="s">
        <v>859</v>
      </c>
      <c r="D148" s="177" t="s">
        <v>848</v>
      </c>
      <c r="E148" s="385" t="s">
        <v>13</v>
      </c>
      <c r="F148" s="410">
        <v>14505</v>
      </c>
      <c r="G148" s="10">
        <v>16000</v>
      </c>
      <c r="H148" s="167">
        <v>48000</v>
      </c>
      <c r="I148" s="10">
        <v>16000</v>
      </c>
      <c r="J148" s="76">
        <f t="shared" si="258"/>
        <v>16000</v>
      </c>
      <c r="K148" s="24">
        <f t="shared" si="259"/>
        <v>1495</v>
      </c>
      <c r="L148" s="281">
        <f t="shared" si="260"/>
        <v>0.10306790761806274</v>
      </c>
      <c r="M148" s="431">
        <f t="shared" si="261"/>
        <v>48000</v>
      </c>
      <c r="N148" s="410">
        <v>13279</v>
      </c>
      <c r="O148" s="10">
        <v>42000</v>
      </c>
      <c r="P148" s="10">
        <v>45000</v>
      </c>
      <c r="Q148" s="268">
        <v>45000</v>
      </c>
      <c r="R148" s="10">
        <v>42000</v>
      </c>
      <c r="S148" s="76">
        <f t="shared" si="266"/>
        <v>43500</v>
      </c>
      <c r="T148" s="24">
        <f t="shared" si="267"/>
        <v>30221</v>
      </c>
      <c r="U148" s="281">
        <f t="shared" si="268"/>
        <v>2.2758490850214623</v>
      </c>
      <c r="V148" s="462">
        <f t="shared" si="269"/>
        <v>43500</v>
      </c>
      <c r="W148" s="410"/>
      <c r="X148" s="39"/>
      <c r="Y148" s="33"/>
      <c r="Z148" s="98"/>
      <c r="AA148" s="76"/>
      <c r="AB148" s="24"/>
      <c r="AC148" s="25"/>
      <c r="AD148" s="309"/>
      <c r="AE148" s="462"/>
      <c r="AF148" s="410">
        <v>14827</v>
      </c>
      <c r="AG148" s="316">
        <v>20000</v>
      </c>
      <c r="AH148" s="45">
        <v>17238</v>
      </c>
      <c r="AI148" s="317">
        <v>35000</v>
      </c>
      <c r="AJ148" s="76">
        <f t="shared" si="262"/>
        <v>24079.333333333332</v>
      </c>
      <c r="AK148" s="24">
        <f t="shared" si="263"/>
        <v>9252.3333333333321</v>
      </c>
      <c r="AL148" s="281">
        <f t="shared" si="264"/>
        <v>0.62401924417166876</v>
      </c>
      <c r="AM148" s="462">
        <f t="shared" si="265"/>
        <v>24079.333333333332</v>
      </c>
      <c r="AN148" s="513"/>
      <c r="AO148" s="88"/>
      <c r="AP148" s="116"/>
      <c r="AQ148" s="74"/>
      <c r="AR148" s="76"/>
      <c r="AS148" s="24"/>
      <c r="AT148" s="25"/>
      <c r="AU148" s="309"/>
      <c r="AV148" s="462"/>
      <c r="AW148" s="513"/>
      <c r="AX148" s="74"/>
      <c r="AY148" s="74"/>
      <c r="AZ148" s="75"/>
      <c r="BA148" s="61"/>
      <c r="BB148" s="60"/>
      <c r="BC148" s="74"/>
      <c r="BD148" s="79"/>
      <c r="BE148" s="79"/>
      <c r="BF148" s="127"/>
      <c r="BG148" s="128"/>
      <c r="BH148" s="128"/>
      <c r="BI148" s="76"/>
      <c r="BJ148" s="24"/>
      <c r="BK148" s="25"/>
      <c r="BL148" s="259"/>
      <c r="BM148" s="533"/>
    </row>
    <row r="149" spans="1:65" ht="45" customHeight="1">
      <c r="A149" s="91"/>
      <c r="B149" s="358" t="s">
        <v>2340</v>
      </c>
      <c r="C149" s="50" t="s">
        <v>860</v>
      </c>
      <c r="D149" s="177" t="s">
        <v>849</v>
      </c>
      <c r="E149" s="385" t="s">
        <v>13</v>
      </c>
      <c r="F149" s="410">
        <v>13661</v>
      </c>
      <c r="G149" s="10">
        <v>16000</v>
      </c>
      <c r="H149" s="167">
        <v>48000</v>
      </c>
      <c r="I149" s="10">
        <v>16000</v>
      </c>
      <c r="J149" s="76">
        <f t="shared" si="258"/>
        <v>16000</v>
      </c>
      <c r="K149" s="24">
        <f t="shared" si="259"/>
        <v>2339</v>
      </c>
      <c r="L149" s="281">
        <f t="shared" si="260"/>
        <v>0.17121733401654343</v>
      </c>
      <c r="M149" s="431">
        <f t="shared" si="261"/>
        <v>48000</v>
      </c>
      <c r="N149" s="410">
        <v>12416</v>
      </c>
      <c r="O149" s="10">
        <v>42000</v>
      </c>
      <c r="P149" s="10">
        <v>45000</v>
      </c>
      <c r="Q149" s="268">
        <v>45000</v>
      </c>
      <c r="R149" s="10">
        <v>50000</v>
      </c>
      <c r="S149" s="76">
        <f t="shared" si="266"/>
        <v>45500</v>
      </c>
      <c r="T149" s="24">
        <f t="shared" si="267"/>
        <v>33084</v>
      </c>
      <c r="U149" s="281">
        <f t="shared" si="268"/>
        <v>2.664626288659794</v>
      </c>
      <c r="V149" s="462">
        <f t="shared" si="269"/>
        <v>45500</v>
      </c>
      <c r="W149" s="410"/>
      <c r="X149" s="39"/>
      <c r="Y149" s="33"/>
      <c r="Z149" s="98"/>
      <c r="AA149" s="76"/>
      <c r="AB149" s="24"/>
      <c r="AC149" s="25"/>
      <c r="AD149" s="309"/>
      <c r="AE149" s="462"/>
      <c r="AF149" s="410">
        <v>13859</v>
      </c>
      <c r="AG149" s="316">
        <v>20000</v>
      </c>
      <c r="AH149" s="45">
        <v>16113</v>
      </c>
      <c r="AI149" s="317">
        <v>35000</v>
      </c>
      <c r="AJ149" s="76">
        <f t="shared" si="262"/>
        <v>23704.333333333332</v>
      </c>
      <c r="AK149" s="24">
        <f t="shared" si="263"/>
        <v>9845.3333333333321</v>
      </c>
      <c r="AL149" s="281">
        <f t="shared" si="264"/>
        <v>0.71039276523077655</v>
      </c>
      <c r="AM149" s="462">
        <f t="shared" si="265"/>
        <v>23704.333333333332</v>
      </c>
      <c r="AN149" s="513"/>
      <c r="AO149" s="88"/>
      <c r="AP149" s="116"/>
      <c r="AQ149" s="74"/>
      <c r="AR149" s="76"/>
      <c r="AS149" s="24"/>
      <c r="AT149" s="25"/>
      <c r="AU149" s="309"/>
      <c r="AV149" s="462"/>
      <c r="AW149" s="513"/>
      <c r="AX149" s="74"/>
      <c r="AY149" s="74"/>
      <c r="AZ149" s="75"/>
      <c r="BA149" s="61"/>
      <c r="BB149" s="60"/>
      <c r="BC149" s="74"/>
      <c r="BD149" s="79"/>
      <c r="BE149" s="79"/>
      <c r="BF149" s="127"/>
      <c r="BG149" s="128"/>
      <c r="BH149" s="128"/>
      <c r="BI149" s="76"/>
      <c r="BJ149" s="24"/>
      <c r="BK149" s="25"/>
      <c r="BL149" s="259"/>
      <c r="BM149" s="533"/>
    </row>
    <row r="150" spans="1:65" ht="54.95" customHeight="1">
      <c r="A150" s="91"/>
      <c r="B150" s="358" t="s">
        <v>2341</v>
      </c>
      <c r="C150" s="50" t="s">
        <v>861</v>
      </c>
      <c r="D150" s="177" t="s">
        <v>850</v>
      </c>
      <c r="E150" s="385" t="s">
        <v>13</v>
      </c>
      <c r="F150" s="410">
        <v>8867</v>
      </c>
      <c r="G150" s="10">
        <v>7500</v>
      </c>
      <c r="H150" s="167">
        <v>37500</v>
      </c>
      <c r="I150" s="10">
        <v>9800</v>
      </c>
      <c r="J150" s="76">
        <f t="shared" si="258"/>
        <v>8650</v>
      </c>
      <c r="K150" s="24">
        <f t="shared" si="259"/>
        <v>-217</v>
      </c>
      <c r="L150" s="281">
        <f t="shared" si="260"/>
        <v>-2.4472764181797675E-2</v>
      </c>
      <c r="M150" s="431">
        <f t="shared" si="261"/>
        <v>37500</v>
      </c>
      <c r="N150" s="443"/>
      <c r="O150" s="250"/>
      <c r="P150" s="250"/>
      <c r="Q150" s="250"/>
      <c r="R150" s="250"/>
      <c r="S150" s="250"/>
      <c r="T150" s="250"/>
      <c r="U150" s="250"/>
      <c r="V150" s="443"/>
      <c r="W150" s="410"/>
      <c r="X150" s="39"/>
      <c r="Y150" s="33"/>
      <c r="Z150" s="98"/>
      <c r="AA150" s="76"/>
      <c r="AB150" s="24"/>
      <c r="AC150" s="25"/>
      <c r="AD150" s="309"/>
      <c r="AE150" s="462"/>
      <c r="AF150" s="410">
        <v>8865</v>
      </c>
      <c r="AG150" s="45">
        <v>11000</v>
      </c>
      <c r="AH150" s="45">
        <v>10456</v>
      </c>
      <c r="AI150" s="45">
        <v>28000</v>
      </c>
      <c r="AJ150" s="76">
        <f t="shared" si="262"/>
        <v>16485.333333333332</v>
      </c>
      <c r="AK150" s="24">
        <f t="shared" si="263"/>
        <v>7620.3333333333321</v>
      </c>
      <c r="AL150" s="281">
        <f t="shared" si="264"/>
        <v>0.85959766873472443</v>
      </c>
      <c r="AM150" s="462">
        <f t="shared" si="265"/>
        <v>16485.333333333332</v>
      </c>
      <c r="AN150" s="513"/>
      <c r="AO150" s="88"/>
      <c r="AP150" s="116"/>
      <c r="AQ150" s="74"/>
      <c r="AR150" s="76"/>
      <c r="AS150" s="24"/>
      <c r="AT150" s="25"/>
      <c r="AU150" s="309"/>
      <c r="AV150" s="462"/>
      <c r="AW150" s="513"/>
      <c r="AX150" s="74"/>
      <c r="AY150" s="74"/>
      <c r="AZ150" s="75"/>
      <c r="BA150" s="61"/>
      <c r="BB150" s="60"/>
      <c r="BC150" s="74"/>
      <c r="BD150" s="79"/>
      <c r="BE150" s="79"/>
      <c r="BF150" s="127"/>
      <c r="BG150" s="128"/>
      <c r="BH150" s="128"/>
      <c r="BI150" s="76"/>
      <c r="BJ150" s="24"/>
      <c r="BK150" s="25"/>
      <c r="BL150" s="259"/>
      <c r="BM150" s="533"/>
    </row>
    <row r="151" spans="1:65" ht="69" customHeight="1">
      <c r="A151" s="91"/>
      <c r="B151" s="358" t="s">
        <v>2342</v>
      </c>
      <c r="C151" s="50" t="s">
        <v>862</v>
      </c>
      <c r="D151" s="177" t="s">
        <v>851</v>
      </c>
      <c r="E151" s="385" t="s">
        <v>13</v>
      </c>
      <c r="F151" s="410">
        <v>22726</v>
      </c>
      <c r="G151" s="10">
        <v>18609.349999999999</v>
      </c>
      <c r="H151" s="167">
        <v>37218.699999999997</v>
      </c>
      <c r="I151" s="10">
        <v>18000</v>
      </c>
      <c r="J151" s="76">
        <f t="shared" si="258"/>
        <v>18304.674999999999</v>
      </c>
      <c r="K151" s="24">
        <f t="shared" si="259"/>
        <v>-4421.3250000000007</v>
      </c>
      <c r="L151" s="281">
        <f t="shared" si="260"/>
        <v>-0.19454919475490631</v>
      </c>
      <c r="M151" s="431">
        <f t="shared" si="261"/>
        <v>37218.699999999997</v>
      </c>
      <c r="N151" s="443"/>
      <c r="O151" s="250"/>
      <c r="P151" s="250"/>
      <c r="Q151" s="250"/>
      <c r="R151" s="250"/>
      <c r="S151" s="250"/>
      <c r="T151" s="250"/>
      <c r="U151" s="250"/>
      <c r="V151" s="443"/>
      <c r="W151" s="410"/>
      <c r="X151" s="39"/>
      <c r="Y151" s="33"/>
      <c r="Z151" s="98"/>
      <c r="AA151" s="76"/>
      <c r="AB151" s="24"/>
      <c r="AC151" s="25"/>
      <c r="AD151" s="309"/>
      <c r="AE151" s="462"/>
      <c r="AF151" s="410">
        <v>23057</v>
      </c>
      <c r="AG151" s="45"/>
      <c r="AH151" s="45">
        <v>26808</v>
      </c>
      <c r="AI151" s="45">
        <v>40000</v>
      </c>
      <c r="AJ151" s="76">
        <f t="shared" si="262"/>
        <v>33404</v>
      </c>
      <c r="AK151" s="24">
        <f t="shared" si="263"/>
        <v>10347</v>
      </c>
      <c r="AL151" s="281">
        <f t="shared" si="264"/>
        <v>0.44875742724552198</v>
      </c>
      <c r="AM151" s="462">
        <f t="shared" si="265"/>
        <v>33404</v>
      </c>
      <c r="AN151" s="513"/>
      <c r="AO151" s="88"/>
      <c r="AP151" s="116"/>
      <c r="AQ151" s="74"/>
      <c r="AR151" s="76"/>
      <c r="AS151" s="24"/>
      <c r="AT151" s="25"/>
      <c r="AU151" s="309"/>
      <c r="AV151" s="462"/>
      <c r="AW151" s="513"/>
      <c r="AX151" s="74"/>
      <c r="AY151" s="74"/>
      <c r="AZ151" s="75"/>
      <c r="BA151" s="61"/>
      <c r="BB151" s="60"/>
      <c r="BC151" s="74"/>
      <c r="BD151" s="79"/>
      <c r="BE151" s="79"/>
      <c r="BF151" s="127"/>
      <c r="BG151" s="128"/>
      <c r="BH151" s="128"/>
      <c r="BI151" s="76"/>
      <c r="BJ151" s="24"/>
      <c r="BK151" s="25"/>
      <c r="BL151" s="259"/>
      <c r="BM151" s="533"/>
    </row>
    <row r="152" spans="1:65" ht="53.1" customHeight="1">
      <c r="A152" s="91"/>
      <c r="B152" s="358" t="s">
        <v>2343</v>
      </c>
      <c r="C152" s="50" t="s">
        <v>863</v>
      </c>
      <c r="D152" s="177" t="s">
        <v>852</v>
      </c>
      <c r="E152" s="385" t="s">
        <v>13</v>
      </c>
      <c r="F152" s="410">
        <v>18198</v>
      </c>
      <c r="G152" s="10">
        <v>85000</v>
      </c>
      <c r="H152" s="167">
        <v>170000</v>
      </c>
      <c r="I152" s="10">
        <v>39800</v>
      </c>
      <c r="J152" s="76">
        <f t="shared" si="258"/>
        <v>62400</v>
      </c>
      <c r="K152" s="24">
        <f t="shared" si="259"/>
        <v>44202</v>
      </c>
      <c r="L152" s="281">
        <f t="shared" si="260"/>
        <v>2.428948236069898</v>
      </c>
      <c r="M152" s="431">
        <f t="shared" si="261"/>
        <v>170000</v>
      </c>
      <c r="N152" s="443"/>
      <c r="O152" s="250"/>
      <c r="P152" s="250"/>
      <c r="Q152" s="250"/>
      <c r="R152" s="250"/>
      <c r="S152" s="250"/>
      <c r="T152" s="250"/>
      <c r="U152" s="250"/>
      <c r="V152" s="443"/>
      <c r="W152" s="410"/>
      <c r="X152" s="39"/>
      <c r="Y152" s="33"/>
      <c r="Z152" s="98"/>
      <c r="AA152" s="76"/>
      <c r="AB152" s="24"/>
      <c r="AC152" s="25"/>
      <c r="AD152" s="309"/>
      <c r="AE152" s="462"/>
      <c r="AF152" s="408"/>
      <c r="AG152" s="293"/>
      <c r="AH152" s="293"/>
      <c r="AI152" s="293"/>
      <c r="AJ152" s="293"/>
      <c r="AK152" s="293"/>
      <c r="AL152" s="327"/>
      <c r="AM152" s="463"/>
      <c r="AN152" s="513"/>
      <c r="AO152" s="88"/>
      <c r="AP152" s="116"/>
      <c r="AQ152" s="74"/>
      <c r="AR152" s="76"/>
      <c r="AS152" s="24"/>
      <c r="AT152" s="25"/>
      <c r="AU152" s="309"/>
      <c r="AV152" s="462"/>
      <c r="AW152" s="513"/>
      <c r="AX152" s="74"/>
      <c r="AY152" s="74"/>
      <c r="AZ152" s="75"/>
      <c r="BA152" s="61"/>
      <c r="BB152" s="60"/>
      <c r="BC152" s="74"/>
      <c r="BD152" s="79"/>
      <c r="BE152" s="79"/>
      <c r="BF152" s="127"/>
      <c r="BG152" s="128"/>
      <c r="BH152" s="128"/>
      <c r="BI152" s="76"/>
      <c r="BJ152" s="24"/>
      <c r="BK152" s="25"/>
      <c r="BL152" s="259"/>
      <c r="BM152" s="533"/>
    </row>
    <row r="153" spans="1:65" ht="57" customHeight="1">
      <c r="A153" s="91"/>
      <c r="B153" s="358" t="s">
        <v>2344</v>
      </c>
      <c r="C153" s="50" t="s">
        <v>864</v>
      </c>
      <c r="D153" s="177" t="s">
        <v>853</v>
      </c>
      <c r="E153" s="385" t="s">
        <v>13</v>
      </c>
      <c r="F153" s="410">
        <v>6683</v>
      </c>
      <c r="G153" s="10">
        <v>18000</v>
      </c>
      <c r="H153" s="167">
        <v>36000</v>
      </c>
      <c r="I153" s="10">
        <v>39000</v>
      </c>
      <c r="J153" s="76">
        <f t="shared" si="258"/>
        <v>28500</v>
      </c>
      <c r="K153" s="24">
        <f t="shared" si="259"/>
        <v>21817</v>
      </c>
      <c r="L153" s="281">
        <f t="shared" si="260"/>
        <v>3.2645518479724673</v>
      </c>
      <c r="M153" s="431">
        <f t="shared" si="261"/>
        <v>36000</v>
      </c>
      <c r="N153" s="443"/>
      <c r="O153" s="250"/>
      <c r="P153" s="250"/>
      <c r="Q153" s="250"/>
      <c r="R153" s="250"/>
      <c r="S153" s="250"/>
      <c r="T153" s="250"/>
      <c r="U153" s="250"/>
      <c r="V153" s="443"/>
      <c r="W153" s="410"/>
      <c r="X153" s="39"/>
      <c r="Y153" s="33"/>
      <c r="Z153" s="98"/>
      <c r="AA153" s="76"/>
      <c r="AB153" s="24"/>
      <c r="AC153" s="25"/>
      <c r="AD153" s="309"/>
      <c r="AE153" s="462"/>
      <c r="AF153" s="408"/>
      <c r="AG153" s="293"/>
      <c r="AH153" s="293"/>
      <c r="AI153" s="293"/>
      <c r="AJ153" s="293"/>
      <c r="AK153" s="293"/>
      <c r="AL153" s="327"/>
      <c r="AM153" s="463"/>
      <c r="AN153" s="513"/>
      <c r="AO153" s="88"/>
      <c r="AP153" s="116"/>
      <c r="AQ153" s="74"/>
      <c r="AR153" s="76"/>
      <c r="AS153" s="24"/>
      <c r="AT153" s="25"/>
      <c r="AU153" s="309"/>
      <c r="AV153" s="462"/>
      <c r="AW153" s="513"/>
      <c r="AX153" s="74"/>
      <c r="AY153" s="74"/>
      <c r="AZ153" s="75"/>
      <c r="BA153" s="61"/>
      <c r="BB153" s="60"/>
      <c r="BC153" s="74"/>
      <c r="BD153" s="79"/>
      <c r="BE153" s="79"/>
      <c r="BF153" s="127"/>
      <c r="BG153" s="128"/>
      <c r="BH153" s="128"/>
      <c r="BI153" s="76"/>
      <c r="BJ153" s="24"/>
      <c r="BK153" s="25"/>
      <c r="BL153" s="259"/>
      <c r="BM153" s="533"/>
    </row>
    <row r="154" spans="1:65" ht="48" customHeight="1">
      <c r="A154" s="91"/>
      <c r="B154" s="358" t="s">
        <v>2345</v>
      </c>
      <c r="C154" s="50" t="s">
        <v>865</v>
      </c>
      <c r="D154" s="177" t="s">
        <v>854</v>
      </c>
      <c r="E154" s="385" t="s">
        <v>13</v>
      </c>
      <c r="F154" s="410">
        <v>9361</v>
      </c>
      <c r="G154" s="10">
        <v>11500</v>
      </c>
      <c r="H154" s="167">
        <v>4500</v>
      </c>
      <c r="I154" s="10">
        <v>9850</v>
      </c>
      <c r="J154" s="76">
        <f t="shared" si="258"/>
        <v>10675</v>
      </c>
      <c r="K154" s="24">
        <f t="shared" si="259"/>
        <v>1314</v>
      </c>
      <c r="L154" s="281">
        <f t="shared" si="260"/>
        <v>0.14036961863048819</v>
      </c>
      <c r="M154" s="431">
        <f t="shared" si="261"/>
        <v>4500</v>
      </c>
      <c r="N154" s="443"/>
      <c r="O154" s="250"/>
      <c r="P154" s="250"/>
      <c r="Q154" s="250"/>
      <c r="R154" s="250"/>
      <c r="S154" s="250"/>
      <c r="T154" s="250"/>
      <c r="U154" s="250"/>
      <c r="V154" s="443"/>
      <c r="W154" s="410"/>
      <c r="X154" s="39"/>
      <c r="Y154" s="33"/>
      <c r="Z154" s="98"/>
      <c r="AA154" s="76"/>
      <c r="AB154" s="24"/>
      <c r="AC154" s="25"/>
      <c r="AD154" s="309"/>
      <c r="AE154" s="462"/>
      <c r="AF154" s="408"/>
      <c r="AG154" s="293"/>
      <c r="AH154" s="293"/>
      <c r="AI154" s="293"/>
      <c r="AJ154" s="293"/>
      <c r="AK154" s="293"/>
      <c r="AL154" s="327"/>
      <c r="AM154" s="463"/>
      <c r="AN154" s="513"/>
      <c r="AO154" s="88"/>
      <c r="AP154" s="116"/>
      <c r="AQ154" s="74"/>
      <c r="AR154" s="76"/>
      <c r="AS154" s="24"/>
      <c r="AT154" s="25"/>
      <c r="AU154" s="309"/>
      <c r="AV154" s="462"/>
      <c r="AW154" s="513"/>
      <c r="AX154" s="74"/>
      <c r="AY154" s="74"/>
      <c r="AZ154" s="75"/>
      <c r="BA154" s="61"/>
      <c r="BB154" s="60"/>
      <c r="BC154" s="74"/>
      <c r="BD154" s="79"/>
      <c r="BE154" s="79"/>
      <c r="BF154" s="127"/>
      <c r="BG154" s="128"/>
      <c r="BH154" s="128"/>
      <c r="BI154" s="76"/>
      <c r="BJ154" s="24"/>
      <c r="BK154" s="25"/>
      <c r="BL154" s="259"/>
      <c r="BM154" s="533"/>
    </row>
    <row r="155" spans="1:65" ht="48" customHeight="1">
      <c r="A155" s="91"/>
      <c r="B155" s="358" t="s">
        <v>2346</v>
      </c>
      <c r="C155" s="50" t="s">
        <v>1502</v>
      </c>
      <c r="D155" s="264" t="s">
        <v>1494</v>
      </c>
      <c r="E155" s="393" t="s">
        <v>1399</v>
      </c>
      <c r="F155" s="410"/>
      <c r="G155" s="10"/>
      <c r="H155" s="167"/>
      <c r="I155" s="10"/>
      <c r="J155" s="76"/>
      <c r="K155" s="24"/>
      <c r="L155" s="281"/>
      <c r="M155" s="431"/>
      <c r="N155" s="410">
        <v>10698</v>
      </c>
      <c r="O155" s="10">
        <v>12000</v>
      </c>
      <c r="P155" s="10">
        <v>15000</v>
      </c>
      <c r="Q155" s="268">
        <v>15000</v>
      </c>
      <c r="R155" s="10">
        <v>12000</v>
      </c>
      <c r="S155" s="76">
        <f t="shared" ref="S155:S164" si="270">AVERAGE(O155,P155,Q155,R155)</f>
        <v>13500</v>
      </c>
      <c r="T155" s="24">
        <f t="shared" ref="T155:T164" si="271">S155-N155</f>
        <v>2802</v>
      </c>
      <c r="U155" s="281">
        <f t="shared" ref="U155:U164" si="272">+T155/N155</f>
        <v>0.26191811553561412</v>
      </c>
      <c r="V155" s="462">
        <f t="shared" ref="V155:V164" si="273">S155</f>
        <v>13500</v>
      </c>
      <c r="W155" s="410"/>
      <c r="X155" s="39"/>
      <c r="Y155" s="33"/>
      <c r="Z155" s="98"/>
      <c r="AA155" s="76"/>
      <c r="AB155" s="24"/>
      <c r="AC155" s="25"/>
      <c r="AD155" s="309"/>
      <c r="AE155" s="462"/>
      <c r="AF155" s="408"/>
      <c r="AG155" s="293"/>
      <c r="AH155" s="293"/>
      <c r="AI155" s="293"/>
      <c r="AJ155" s="293"/>
      <c r="AK155" s="293"/>
      <c r="AL155" s="327"/>
      <c r="AM155" s="463"/>
      <c r="AN155" s="513"/>
      <c r="AO155" s="88"/>
      <c r="AP155" s="116"/>
      <c r="AQ155" s="74"/>
      <c r="AR155" s="76"/>
      <c r="AS155" s="24"/>
      <c r="AT155" s="25"/>
      <c r="AU155" s="309"/>
      <c r="AV155" s="462"/>
      <c r="AW155" s="513"/>
      <c r="AX155" s="74"/>
      <c r="AY155" s="74"/>
      <c r="AZ155" s="75"/>
      <c r="BA155" s="61"/>
      <c r="BB155" s="60"/>
      <c r="BC155" s="74"/>
      <c r="BD155" s="79"/>
      <c r="BE155" s="79"/>
      <c r="BF155" s="127"/>
      <c r="BG155" s="128"/>
      <c r="BH155" s="128"/>
      <c r="BI155" s="76"/>
      <c r="BJ155" s="24"/>
      <c r="BK155" s="25"/>
      <c r="BL155" s="259"/>
      <c r="BM155" s="533"/>
    </row>
    <row r="156" spans="1:65" ht="65.099999999999994" customHeight="1">
      <c r="A156" s="91"/>
      <c r="B156" s="358" t="s">
        <v>2347</v>
      </c>
      <c r="C156" s="50" t="s">
        <v>1503</v>
      </c>
      <c r="D156" s="264" t="s">
        <v>1495</v>
      </c>
      <c r="E156" s="393" t="s">
        <v>1399</v>
      </c>
      <c r="F156" s="410"/>
      <c r="G156" s="10"/>
      <c r="H156" s="167"/>
      <c r="I156" s="10"/>
      <c r="J156" s="76"/>
      <c r="K156" s="24"/>
      <c r="L156" s="281"/>
      <c r="M156" s="431"/>
      <c r="N156" s="410">
        <v>15653</v>
      </c>
      <c r="O156" s="10">
        <v>42000</v>
      </c>
      <c r="P156" s="10">
        <v>45000</v>
      </c>
      <c r="Q156" s="268">
        <v>45000</v>
      </c>
      <c r="R156" s="10">
        <v>42000</v>
      </c>
      <c r="S156" s="76">
        <f t="shared" si="270"/>
        <v>43500</v>
      </c>
      <c r="T156" s="24">
        <f t="shared" si="271"/>
        <v>27847</v>
      </c>
      <c r="U156" s="281">
        <f t="shared" si="272"/>
        <v>1.7790199961668689</v>
      </c>
      <c r="V156" s="462">
        <f t="shared" si="273"/>
        <v>43500</v>
      </c>
      <c r="W156" s="410"/>
      <c r="X156" s="39"/>
      <c r="Y156" s="33"/>
      <c r="Z156" s="98"/>
      <c r="AA156" s="76"/>
      <c r="AB156" s="24"/>
      <c r="AC156" s="25"/>
      <c r="AD156" s="309"/>
      <c r="AE156" s="462"/>
      <c r="AF156" s="408"/>
      <c r="AG156" s="293"/>
      <c r="AH156" s="293"/>
      <c r="AI156" s="293"/>
      <c r="AJ156" s="293"/>
      <c r="AK156" s="293"/>
      <c r="AL156" s="327"/>
      <c r="AM156" s="463"/>
      <c r="AN156" s="513"/>
      <c r="AO156" s="88"/>
      <c r="AP156" s="116"/>
      <c r="AQ156" s="74"/>
      <c r="AR156" s="76"/>
      <c r="AS156" s="24"/>
      <c r="AT156" s="25"/>
      <c r="AU156" s="309"/>
      <c r="AV156" s="462"/>
      <c r="AW156" s="513"/>
      <c r="AX156" s="74"/>
      <c r="AY156" s="74"/>
      <c r="AZ156" s="75"/>
      <c r="BA156" s="61"/>
      <c r="BB156" s="60"/>
      <c r="BC156" s="74"/>
      <c r="BD156" s="79"/>
      <c r="BE156" s="79"/>
      <c r="BF156" s="127"/>
      <c r="BG156" s="128"/>
      <c r="BH156" s="128"/>
      <c r="BI156" s="76"/>
      <c r="BJ156" s="24"/>
      <c r="BK156" s="25"/>
      <c r="BL156" s="259"/>
      <c r="BM156" s="533"/>
    </row>
    <row r="157" spans="1:65" ht="48" customHeight="1">
      <c r="A157" s="91"/>
      <c r="B157" s="358" t="s">
        <v>2348</v>
      </c>
      <c r="C157" s="50" t="s">
        <v>1504</v>
      </c>
      <c r="D157" s="264" t="s">
        <v>850</v>
      </c>
      <c r="E157" s="393" t="s">
        <v>1399</v>
      </c>
      <c r="F157" s="410"/>
      <c r="G157" s="10"/>
      <c r="H157" s="167"/>
      <c r="I157" s="10"/>
      <c r="J157" s="76"/>
      <c r="K157" s="24"/>
      <c r="L157" s="281"/>
      <c r="M157" s="431"/>
      <c r="N157" s="410">
        <v>7973</v>
      </c>
      <c r="O157" s="10">
        <v>35000</v>
      </c>
      <c r="P157" s="10">
        <v>38000</v>
      </c>
      <c r="Q157" s="268">
        <v>38000</v>
      </c>
      <c r="R157" s="10">
        <v>35000</v>
      </c>
      <c r="S157" s="76">
        <f t="shared" si="270"/>
        <v>36500</v>
      </c>
      <c r="T157" s="24">
        <f t="shared" si="271"/>
        <v>28527</v>
      </c>
      <c r="U157" s="281">
        <f t="shared" si="272"/>
        <v>3.577950583218362</v>
      </c>
      <c r="V157" s="462">
        <f t="shared" si="273"/>
        <v>36500</v>
      </c>
      <c r="W157" s="410"/>
      <c r="X157" s="39"/>
      <c r="Y157" s="33"/>
      <c r="Z157" s="98"/>
      <c r="AA157" s="76"/>
      <c r="AB157" s="24"/>
      <c r="AC157" s="25"/>
      <c r="AD157" s="309"/>
      <c r="AE157" s="462"/>
      <c r="AF157" s="408"/>
      <c r="AG157" s="293"/>
      <c r="AH157" s="293"/>
      <c r="AI157" s="293"/>
      <c r="AJ157" s="293"/>
      <c r="AK157" s="293"/>
      <c r="AL157" s="327"/>
      <c r="AM157" s="463"/>
      <c r="AN157" s="513"/>
      <c r="AO157" s="88"/>
      <c r="AP157" s="116"/>
      <c r="AQ157" s="74"/>
      <c r="AR157" s="76"/>
      <c r="AS157" s="24"/>
      <c r="AT157" s="25"/>
      <c r="AU157" s="309"/>
      <c r="AV157" s="462"/>
      <c r="AW157" s="513"/>
      <c r="AX157" s="74"/>
      <c r="AY157" s="74"/>
      <c r="AZ157" s="75"/>
      <c r="BA157" s="61"/>
      <c r="BB157" s="60"/>
      <c r="BC157" s="74"/>
      <c r="BD157" s="79"/>
      <c r="BE157" s="79"/>
      <c r="BF157" s="127"/>
      <c r="BG157" s="128"/>
      <c r="BH157" s="128"/>
      <c r="BI157" s="76"/>
      <c r="BJ157" s="24"/>
      <c r="BK157" s="25"/>
      <c r="BL157" s="259"/>
      <c r="BM157" s="533"/>
    </row>
    <row r="158" spans="1:65" ht="69" customHeight="1">
      <c r="A158" s="91"/>
      <c r="B158" s="358" t="s">
        <v>2349</v>
      </c>
      <c r="C158" s="50" t="s">
        <v>1505</v>
      </c>
      <c r="D158" s="264" t="s">
        <v>851</v>
      </c>
      <c r="E158" s="393" t="s">
        <v>1399</v>
      </c>
      <c r="F158" s="410"/>
      <c r="G158" s="10"/>
      <c r="H158" s="167"/>
      <c r="I158" s="10"/>
      <c r="J158" s="76"/>
      <c r="K158" s="24"/>
      <c r="L158" s="281"/>
      <c r="M158" s="431"/>
      <c r="N158" s="410">
        <v>20655</v>
      </c>
      <c r="O158" s="10">
        <v>25000</v>
      </c>
      <c r="P158" s="10">
        <v>28000</v>
      </c>
      <c r="Q158" s="268">
        <v>28000</v>
      </c>
      <c r="R158" s="10">
        <v>25000</v>
      </c>
      <c r="S158" s="76">
        <f t="shared" si="270"/>
        <v>26500</v>
      </c>
      <c r="T158" s="24">
        <f t="shared" si="271"/>
        <v>5845</v>
      </c>
      <c r="U158" s="281">
        <f t="shared" si="272"/>
        <v>0.28298232873396273</v>
      </c>
      <c r="V158" s="462">
        <f t="shared" si="273"/>
        <v>26500</v>
      </c>
      <c r="W158" s="410"/>
      <c r="X158" s="39"/>
      <c r="Y158" s="33"/>
      <c r="Z158" s="98"/>
      <c r="AA158" s="76"/>
      <c r="AB158" s="24"/>
      <c r="AC158" s="25"/>
      <c r="AD158" s="309"/>
      <c r="AE158" s="462"/>
      <c r="AF158" s="408"/>
      <c r="AG158" s="293"/>
      <c r="AH158" s="293"/>
      <c r="AI158" s="293"/>
      <c r="AJ158" s="293"/>
      <c r="AK158" s="293"/>
      <c r="AL158" s="327"/>
      <c r="AM158" s="463"/>
      <c r="AN158" s="513"/>
      <c r="AO158" s="88"/>
      <c r="AP158" s="116"/>
      <c r="AQ158" s="74"/>
      <c r="AR158" s="76"/>
      <c r="AS158" s="24"/>
      <c r="AT158" s="25"/>
      <c r="AU158" s="309"/>
      <c r="AV158" s="462"/>
      <c r="AW158" s="513"/>
      <c r="AX158" s="74"/>
      <c r="AY158" s="74"/>
      <c r="AZ158" s="75"/>
      <c r="BA158" s="61"/>
      <c r="BB158" s="60"/>
      <c r="BC158" s="74"/>
      <c r="BD158" s="79"/>
      <c r="BE158" s="79"/>
      <c r="BF158" s="127"/>
      <c r="BG158" s="128"/>
      <c r="BH158" s="128"/>
      <c r="BI158" s="76"/>
      <c r="BJ158" s="24"/>
      <c r="BK158" s="25"/>
      <c r="BL158" s="259"/>
      <c r="BM158" s="533"/>
    </row>
    <row r="159" spans="1:65" ht="48" customHeight="1">
      <c r="A159" s="91"/>
      <c r="B159" s="358" t="s">
        <v>2350</v>
      </c>
      <c r="C159" s="50" t="s">
        <v>1506</v>
      </c>
      <c r="D159" s="264" t="s">
        <v>1496</v>
      </c>
      <c r="E159" s="393" t="s">
        <v>1457</v>
      </c>
      <c r="F159" s="410"/>
      <c r="G159" s="10"/>
      <c r="H159" s="167"/>
      <c r="I159" s="10"/>
      <c r="J159" s="76"/>
      <c r="K159" s="24"/>
      <c r="L159" s="281"/>
      <c r="M159" s="431"/>
      <c r="N159" s="410">
        <v>8059</v>
      </c>
      <c r="O159" s="10">
        <v>35000</v>
      </c>
      <c r="P159" s="10">
        <v>38000</v>
      </c>
      <c r="Q159" s="268">
        <v>38000</v>
      </c>
      <c r="R159" s="10">
        <v>35000</v>
      </c>
      <c r="S159" s="76">
        <f t="shared" si="270"/>
        <v>36500</v>
      </c>
      <c r="T159" s="24">
        <f t="shared" si="271"/>
        <v>28441</v>
      </c>
      <c r="U159" s="281">
        <f t="shared" si="272"/>
        <v>3.5290979029656286</v>
      </c>
      <c r="V159" s="462">
        <f t="shared" si="273"/>
        <v>36500</v>
      </c>
      <c r="W159" s="410"/>
      <c r="X159" s="39"/>
      <c r="Y159" s="33"/>
      <c r="Z159" s="98"/>
      <c r="AA159" s="76"/>
      <c r="AB159" s="24"/>
      <c r="AC159" s="25"/>
      <c r="AD159" s="309"/>
      <c r="AE159" s="462"/>
      <c r="AF159" s="408"/>
      <c r="AG159" s="293"/>
      <c r="AH159" s="293"/>
      <c r="AI159" s="293"/>
      <c r="AJ159" s="293"/>
      <c r="AK159" s="293"/>
      <c r="AL159" s="327"/>
      <c r="AM159" s="463"/>
      <c r="AN159" s="513"/>
      <c r="AO159" s="88"/>
      <c r="AP159" s="116"/>
      <c r="AQ159" s="74"/>
      <c r="AR159" s="76"/>
      <c r="AS159" s="24"/>
      <c r="AT159" s="25"/>
      <c r="AU159" s="309"/>
      <c r="AV159" s="462"/>
      <c r="AW159" s="513"/>
      <c r="AX159" s="74"/>
      <c r="AY159" s="74"/>
      <c r="AZ159" s="75"/>
      <c r="BA159" s="61"/>
      <c r="BB159" s="60"/>
      <c r="BC159" s="74"/>
      <c r="BD159" s="79"/>
      <c r="BE159" s="79"/>
      <c r="BF159" s="127"/>
      <c r="BG159" s="128"/>
      <c r="BH159" s="128"/>
      <c r="BI159" s="76"/>
      <c r="BJ159" s="24"/>
      <c r="BK159" s="25"/>
      <c r="BL159" s="259"/>
      <c r="BM159" s="533"/>
    </row>
    <row r="160" spans="1:65" ht="48" customHeight="1">
      <c r="A160" s="91"/>
      <c r="B160" s="358" t="s">
        <v>2351</v>
      </c>
      <c r="C160" s="50" t="s">
        <v>1507</v>
      </c>
      <c r="D160" s="264" t="s">
        <v>1497</v>
      </c>
      <c r="E160" s="393" t="s">
        <v>1457</v>
      </c>
      <c r="F160" s="410"/>
      <c r="G160" s="10"/>
      <c r="H160" s="167"/>
      <c r="I160" s="10"/>
      <c r="J160" s="76"/>
      <c r="K160" s="24"/>
      <c r="L160" s="281"/>
      <c r="M160" s="431"/>
      <c r="N160" s="410">
        <v>3446</v>
      </c>
      <c r="O160" s="10">
        <v>4000</v>
      </c>
      <c r="P160" s="10">
        <v>5500</v>
      </c>
      <c r="Q160" s="268">
        <v>5500</v>
      </c>
      <c r="R160" s="10">
        <v>4000</v>
      </c>
      <c r="S160" s="76">
        <f t="shared" si="270"/>
        <v>4750</v>
      </c>
      <c r="T160" s="24">
        <f t="shared" si="271"/>
        <v>1304</v>
      </c>
      <c r="U160" s="281">
        <f t="shared" si="272"/>
        <v>0.3784097504352873</v>
      </c>
      <c r="V160" s="462">
        <f t="shared" si="273"/>
        <v>4750</v>
      </c>
      <c r="W160" s="410"/>
      <c r="X160" s="39"/>
      <c r="Y160" s="33"/>
      <c r="Z160" s="98"/>
      <c r="AA160" s="76"/>
      <c r="AB160" s="24"/>
      <c r="AC160" s="25"/>
      <c r="AD160" s="309"/>
      <c r="AE160" s="462"/>
      <c r="AF160" s="408"/>
      <c r="AG160" s="293"/>
      <c r="AH160" s="293"/>
      <c r="AI160" s="293"/>
      <c r="AJ160" s="293"/>
      <c r="AK160" s="293"/>
      <c r="AL160" s="327"/>
      <c r="AM160" s="463"/>
      <c r="AN160" s="513"/>
      <c r="AO160" s="88"/>
      <c r="AP160" s="116"/>
      <c r="AQ160" s="74"/>
      <c r="AR160" s="76"/>
      <c r="AS160" s="24"/>
      <c r="AT160" s="25"/>
      <c r="AU160" s="309"/>
      <c r="AV160" s="462"/>
      <c r="AW160" s="513"/>
      <c r="AX160" s="74"/>
      <c r="AY160" s="74"/>
      <c r="AZ160" s="75"/>
      <c r="BA160" s="61"/>
      <c r="BB160" s="60"/>
      <c r="BC160" s="74"/>
      <c r="BD160" s="79"/>
      <c r="BE160" s="79"/>
      <c r="BF160" s="127"/>
      <c r="BG160" s="128"/>
      <c r="BH160" s="128"/>
      <c r="BI160" s="76"/>
      <c r="BJ160" s="24"/>
      <c r="BK160" s="25"/>
      <c r="BL160" s="259"/>
      <c r="BM160" s="533"/>
    </row>
    <row r="161" spans="1:65" ht="48" customHeight="1">
      <c r="A161" s="91"/>
      <c r="B161" s="358" t="s">
        <v>2352</v>
      </c>
      <c r="C161" s="50" t="s">
        <v>1508</v>
      </c>
      <c r="D161" s="264" t="s">
        <v>1498</v>
      </c>
      <c r="E161" s="393" t="s">
        <v>1457</v>
      </c>
      <c r="F161" s="410"/>
      <c r="G161" s="10"/>
      <c r="H161" s="167"/>
      <c r="I161" s="10"/>
      <c r="J161" s="76"/>
      <c r="K161" s="24"/>
      <c r="L161" s="281"/>
      <c r="M161" s="431"/>
      <c r="N161" s="410">
        <v>3360</v>
      </c>
      <c r="O161" s="10">
        <v>11000</v>
      </c>
      <c r="P161" s="10">
        <v>14000</v>
      </c>
      <c r="Q161" s="268">
        <v>14000</v>
      </c>
      <c r="R161" s="10">
        <v>11000</v>
      </c>
      <c r="S161" s="76">
        <f t="shared" si="270"/>
        <v>12500</v>
      </c>
      <c r="T161" s="24">
        <f t="shared" si="271"/>
        <v>9140</v>
      </c>
      <c r="U161" s="281">
        <f t="shared" si="272"/>
        <v>2.7202380952380953</v>
      </c>
      <c r="V161" s="462">
        <f t="shared" si="273"/>
        <v>12500</v>
      </c>
      <c r="W161" s="410"/>
      <c r="X161" s="39"/>
      <c r="Y161" s="33"/>
      <c r="Z161" s="98"/>
      <c r="AA161" s="76"/>
      <c r="AB161" s="24"/>
      <c r="AC161" s="25"/>
      <c r="AD161" s="309"/>
      <c r="AE161" s="462"/>
      <c r="AF161" s="408"/>
      <c r="AG161" s="293"/>
      <c r="AH161" s="293"/>
      <c r="AI161" s="293"/>
      <c r="AJ161" s="293"/>
      <c r="AK161" s="293"/>
      <c r="AL161" s="327"/>
      <c r="AM161" s="463"/>
      <c r="AN161" s="513"/>
      <c r="AO161" s="88"/>
      <c r="AP161" s="116"/>
      <c r="AQ161" s="74"/>
      <c r="AR161" s="76"/>
      <c r="AS161" s="24"/>
      <c r="AT161" s="25"/>
      <c r="AU161" s="309"/>
      <c r="AV161" s="462"/>
      <c r="AW161" s="513"/>
      <c r="AX161" s="74"/>
      <c r="AY161" s="74"/>
      <c r="AZ161" s="75"/>
      <c r="BA161" s="61"/>
      <c r="BB161" s="60"/>
      <c r="BC161" s="74"/>
      <c r="BD161" s="79"/>
      <c r="BE161" s="79"/>
      <c r="BF161" s="127"/>
      <c r="BG161" s="128"/>
      <c r="BH161" s="128"/>
      <c r="BI161" s="76"/>
      <c r="BJ161" s="24"/>
      <c r="BK161" s="25"/>
      <c r="BL161" s="259"/>
      <c r="BM161" s="533"/>
    </row>
    <row r="162" spans="1:65" ht="48" customHeight="1">
      <c r="A162" s="91"/>
      <c r="B162" s="358" t="s">
        <v>2353</v>
      </c>
      <c r="C162" s="50" t="s">
        <v>1509</v>
      </c>
      <c r="D162" s="264" t="s">
        <v>1499</v>
      </c>
      <c r="E162" s="393" t="s">
        <v>1457</v>
      </c>
      <c r="F162" s="410"/>
      <c r="G162" s="10"/>
      <c r="H162" s="167"/>
      <c r="I162" s="10"/>
      <c r="J162" s="76"/>
      <c r="K162" s="24"/>
      <c r="L162" s="281"/>
      <c r="M162" s="431"/>
      <c r="N162" s="410">
        <v>14001</v>
      </c>
      <c r="O162" s="10">
        <v>9500</v>
      </c>
      <c r="P162" s="10">
        <v>12000</v>
      </c>
      <c r="Q162" s="268">
        <v>12000</v>
      </c>
      <c r="R162" s="10">
        <v>9500</v>
      </c>
      <c r="S162" s="76">
        <f t="shared" si="270"/>
        <v>10750</v>
      </c>
      <c r="T162" s="24">
        <f t="shared" si="271"/>
        <v>-3251</v>
      </c>
      <c r="U162" s="281">
        <f t="shared" si="272"/>
        <v>-0.23219770016427399</v>
      </c>
      <c r="V162" s="462">
        <f t="shared" si="273"/>
        <v>10750</v>
      </c>
      <c r="W162" s="410"/>
      <c r="X162" s="39"/>
      <c r="Y162" s="33"/>
      <c r="Z162" s="98"/>
      <c r="AA162" s="76"/>
      <c r="AB162" s="24"/>
      <c r="AC162" s="25"/>
      <c r="AD162" s="309"/>
      <c r="AE162" s="462"/>
      <c r="AF162" s="408"/>
      <c r="AG162" s="293"/>
      <c r="AH162" s="293"/>
      <c r="AI162" s="293"/>
      <c r="AJ162" s="293"/>
      <c r="AK162" s="293"/>
      <c r="AL162" s="327"/>
      <c r="AM162" s="463"/>
      <c r="AN162" s="513"/>
      <c r="AO162" s="88"/>
      <c r="AP162" s="116"/>
      <c r="AQ162" s="74"/>
      <c r="AR162" s="76"/>
      <c r="AS162" s="24"/>
      <c r="AT162" s="25"/>
      <c r="AU162" s="309"/>
      <c r="AV162" s="462"/>
      <c r="AW162" s="513"/>
      <c r="AX162" s="74"/>
      <c r="AY162" s="74"/>
      <c r="AZ162" s="75"/>
      <c r="BA162" s="61"/>
      <c r="BB162" s="60"/>
      <c r="BC162" s="74"/>
      <c r="BD162" s="79"/>
      <c r="BE162" s="79"/>
      <c r="BF162" s="127"/>
      <c r="BG162" s="128"/>
      <c r="BH162" s="128"/>
      <c r="BI162" s="76"/>
      <c r="BJ162" s="24"/>
      <c r="BK162" s="25"/>
      <c r="BL162" s="259"/>
      <c r="BM162" s="533"/>
    </row>
    <row r="163" spans="1:65" ht="48" customHeight="1">
      <c r="A163" s="91"/>
      <c r="B163" s="358" t="s">
        <v>2354</v>
      </c>
      <c r="C163" s="50" t="s">
        <v>1510</v>
      </c>
      <c r="D163" s="264" t="s">
        <v>1500</v>
      </c>
      <c r="E163" s="393" t="s">
        <v>999</v>
      </c>
      <c r="F163" s="410"/>
      <c r="G163" s="10"/>
      <c r="H163" s="167"/>
      <c r="I163" s="10"/>
      <c r="J163" s="76"/>
      <c r="K163" s="24"/>
      <c r="L163" s="281"/>
      <c r="M163" s="431"/>
      <c r="N163" s="410">
        <v>16963</v>
      </c>
      <c r="O163" s="10">
        <v>15000</v>
      </c>
      <c r="P163" s="10">
        <v>15000</v>
      </c>
      <c r="Q163" s="268">
        <v>15000</v>
      </c>
      <c r="R163" s="10">
        <v>15000</v>
      </c>
      <c r="S163" s="76">
        <f t="shared" si="270"/>
        <v>15000</v>
      </c>
      <c r="T163" s="24">
        <f t="shared" si="271"/>
        <v>-1963</v>
      </c>
      <c r="U163" s="281">
        <f t="shared" si="272"/>
        <v>-0.1157224547544656</v>
      </c>
      <c r="V163" s="462">
        <f t="shared" si="273"/>
        <v>15000</v>
      </c>
      <c r="W163" s="410"/>
      <c r="X163" s="39"/>
      <c r="Y163" s="33"/>
      <c r="Z163" s="98"/>
      <c r="AA163" s="76"/>
      <c r="AB163" s="24"/>
      <c r="AC163" s="25"/>
      <c r="AD163" s="309"/>
      <c r="AE163" s="462"/>
      <c r="AF163" s="408"/>
      <c r="AG163" s="293"/>
      <c r="AH163" s="293"/>
      <c r="AI163" s="293"/>
      <c r="AJ163" s="293"/>
      <c r="AK163" s="293"/>
      <c r="AL163" s="327"/>
      <c r="AM163" s="463"/>
      <c r="AN163" s="513"/>
      <c r="AO163" s="88"/>
      <c r="AP163" s="116"/>
      <c r="AQ163" s="74"/>
      <c r="AR163" s="76"/>
      <c r="AS163" s="24"/>
      <c r="AT163" s="25"/>
      <c r="AU163" s="309"/>
      <c r="AV163" s="462"/>
      <c r="AW163" s="513"/>
      <c r="AX163" s="74"/>
      <c r="AY163" s="74"/>
      <c r="AZ163" s="75"/>
      <c r="BA163" s="61"/>
      <c r="BB163" s="60"/>
      <c r="BC163" s="74"/>
      <c r="BD163" s="79"/>
      <c r="BE163" s="79"/>
      <c r="BF163" s="127"/>
      <c r="BG163" s="128"/>
      <c r="BH163" s="128"/>
      <c r="BI163" s="76"/>
      <c r="BJ163" s="24"/>
      <c r="BK163" s="25"/>
      <c r="BL163" s="259"/>
      <c r="BM163" s="533"/>
    </row>
    <row r="164" spans="1:65" ht="48" customHeight="1">
      <c r="A164" s="91"/>
      <c r="B164" s="358" t="s">
        <v>2355</v>
      </c>
      <c r="C164" s="50" t="s">
        <v>1511</v>
      </c>
      <c r="D164" s="264" t="s">
        <v>1501</v>
      </c>
      <c r="E164" s="393" t="s">
        <v>1399</v>
      </c>
      <c r="F164" s="410"/>
      <c r="G164" s="10"/>
      <c r="H164" s="167"/>
      <c r="I164" s="10"/>
      <c r="J164" s="76"/>
      <c r="K164" s="24"/>
      <c r="L164" s="281"/>
      <c r="M164" s="431"/>
      <c r="N164" s="410">
        <v>91668</v>
      </c>
      <c r="O164" s="10">
        <v>25000</v>
      </c>
      <c r="P164" s="10"/>
      <c r="Q164" s="268">
        <v>28000</v>
      </c>
      <c r="R164" s="10">
        <v>25000</v>
      </c>
      <c r="S164" s="76">
        <f t="shared" si="270"/>
        <v>26000</v>
      </c>
      <c r="T164" s="24">
        <f t="shared" si="271"/>
        <v>-65668</v>
      </c>
      <c r="U164" s="281">
        <f t="shared" si="272"/>
        <v>-0.71636776192346296</v>
      </c>
      <c r="V164" s="462">
        <f t="shared" si="273"/>
        <v>26000</v>
      </c>
      <c r="W164" s="410"/>
      <c r="X164" s="39"/>
      <c r="Y164" s="33"/>
      <c r="Z164" s="98"/>
      <c r="AA164" s="76"/>
      <c r="AB164" s="24"/>
      <c r="AC164" s="25"/>
      <c r="AD164" s="309"/>
      <c r="AE164" s="462"/>
      <c r="AF164" s="408"/>
      <c r="AG164" s="293"/>
      <c r="AH164" s="293"/>
      <c r="AI164" s="293"/>
      <c r="AJ164" s="293"/>
      <c r="AK164" s="293"/>
      <c r="AL164" s="327"/>
      <c r="AM164" s="463"/>
      <c r="AN164" s="513"/>
      <c r="AO164" s="88"/>
      <c r="AP164" s="116"/>
      <c r="AQ164" s="74"/>
      <c r="AR164" s="76"/>
      <c r="AS164" s="24"/>
      <c r="AT164" s="25"/>
      <c r="AU164" s="309"/>
      <c r="AV164" s="462"/>
      <c r="AW164" s="513"/>
      <c r="AX164" s="74"/>
      <c r="AY164" s="74"/>
      <c r="AZ164" s="75"/>
      <c r="BA164" s="61"/>
      <c r="BB164" s="60"/>
      <c r="BC164" s="74"/>
      <c r="BD164" s="79"/>
      <c r="BE164" s="79"/>
      <c r="BF164" s="127"/>
      <c r="BG164" s="128"/>
      <c r="BH164" s="128"/>
      <c r="BI164" s="76"/>
      <c r="BJ164" s="24"/>
      <c r="BK164" s="25"/>
      <c r="BL164" s="259"/>
      <c r="BM164" s="533"/>
    </row>
    <row r="165" spans="1:65" ht="48" customHeight="1">
      <c r="A165" s="91"/>
      <c r="B165" s="358" t="s">
        <v>2356</v>
      </c>
      <c r="C165" s="50" t="s">
        <v>2160</v>
      </c>
      <c r="D165" s="322" t="s">
        <v>2159</v>
      </c>
      <c r="E165" s="391" t="s">
        <v>1466</v>
      </c>
      <c r="F165" s="410"/>
      <c r="G165" s="10"/>
      <c r="H165" s="167"/>
      <c r="I165" s="10"/>
      <c r="J165" s="76"/>
      <c r="K165" s="24"/>
      <c r="L165" s="281"/>
      <c r="M165" s="431"/>
      <c r="N165" s="410"/>
      <c r="O165" s="10"/>
      <c r="P165" s="10"/>
      <c r="Q165" s="268"/>
      <c r="R165" s="10"/>
      <c r="S165" s="76"/>
      <c r="T165" s="24"/>
      <c r="U165" s="281"/>
      <c r="V165" s="462"/>
      <c r="W165" s="410"/>
      <c r="X165" s="39"/>
      <c r="Y165" s="33"/>
      <c r="Z165" s="98"/>
      <c r="AA165" s="76"/>
      <c r="AB165" s="24"/>
      <c r="AC165" s="25"/>
      <c r="AD165" s="309"/>
      <c r="AE165" s="462"/>
      <c r="AF165" s="410">
        <v>39489</v>
      </c>
      <c r="AG165" s="45"/>
      <c r="AH165" s="45">
        <v>150000</v>
      </c>
      <c r="AI165" s="45">
        <v>27000</v>
      </c>
      <c r="AJ165" s="76">
        <f t="shared" ref="AJ165" si="274">AVERAGE(AG165,AH165,AI165)</f>
        <v>88500</v>
      </c>
      <c r="AK165" s="24">
        <f t="shared" ref="AK165" si="275">AJ165-AF165</f>
        <v>49011</v>
      </c>
      <c r="AL165" s="281">
        <f t="shared" ref="AL165" si="276">+AK165/AF165</f>
        <v>1.2411304413887412</v>
      </c>
      <c r="AM165" s="462">
        <f t="shared" ref="AM165" si="277">AJ165</f>
        <v>88500</v>
      </c>
      <c r="AN165" s="513"/>
      <c r="AO165" s="88"/>
      <c r="AP165" s="116"/>
      <c r="AQ165" s="74"/>
      <c r="AR165" s="76"/>
      <c r="AS165" s="24"/>
      <c r="AT165" s="25"/>
      <c r="AU165" s="309"/>
      <c r="AV165" s="462"/>
      <c r="AW165" s="513"/>
      <c r="AX165" s="74"/>
      <c r="AY165" s="74"/>
      <c r="AZ165" s="75"/>
      <c r="BA165" s="61"/>
      <c r="BB165" s="60"/>
      <c r="BC165" s="74"/>
      <c r="BD165" s="79"/>
      <c r="BE165" s="79"/>
      <c r="BF165" s="127"/>
      <c r="BG165" s="128"/>
      <c r="BH165" s="128"/>
      <c r="BI165" s="76"/>
      <c r="BJ165" s="24"/>
      <c r="BK165" s="25"/>
      <c r="BL165" s="259"/>
      <c r="BM165" s="533"/>
    </row>
    <row r="166" spans="1:65" ht="27" customHeight="1">
      <c r="A166" s="91" t="s">
        <v>18</v>
      </c>
      <c r="B166" s="358" t="s">
        <v>2357</v>
      </c>
      <c r="C166" s="252" t="s">
        <v>752</v>
      </c>
      <c r="D166" s="100" t="s">
        <v>18</v>
      </c>
      <c r="E166" s="91"/>
      <c r="F166" s="411"/>
      <c r="G166" s="173"/>
      <c r="H166" s="174"/>
      <c r="I166" s="173"/>
      <c r="J166" s="76"/>
      <c r="K166" s="24"/>
      <c r="L166" s="281"/>
      <c r="M166" s="431"/>
      <c r="N166" s="411"/>
      <c r="O166" s="173"/>
      <c r="P166" s="173"/>
      <c r="Q166" s="274"/>
      <c r="R166" s="266"/>
      <c r="S166" s="76"/>
      <c r="T166" s="24"/>
      <c r="U166" s="281"/>
      <c r="V166" s="462"/>
      <c r="W166" s="413"/>
      <c r="X166" s="47"/>
      <c r="Y166" s="47"/>
      <c r="Z166" s="47"/>
      <c r="AA166" s="47"/>
      <c r="AB166" s="47"/>
      <c r="AC166" s="47"/>
      <c r="AD166" s="91"/>
      <c r="AE166" s="467"/>
      <c r="AF166" s="500"/>
      <c r="AG166" s="321"/>
      <c r="AH166" s="321"/>
      <c r="AI166" s="320"/>
      <c r="AJ166" s="76"/>
      <c r="AK166" s="24"/>
      <c r="AL166" s="281"/>
      <c r="AM166" s="462"/>
      <c r="AN166" s="413"/>
      <c r="AO166" s="47"/>
      <c r="AP166" s="47"/>
      <c r="AQ166" s="47"/>
      <c r="AR166" s="47"/>
      <c r="AS166" s="47"/>
      <c r="AT166" s="47"/>
      <c r="AU166" s="91"/>
      <c r="AV166" s="467"/>
      <c r="AW166" s="413"/>
      <c r="AX166" s="47"/>
      <c r="AY166" s="47"/>
      <c r="AZ166" s="47"/>
      <c r="BA166" s="47"/>
      <c r="BB166" s="47"/>
      <c r="BC166" s="47"/>
      <c r="BD166" s="148"/>
      <c r="BE166" s="148"/>
      <c r="BF166" s="149"/>
      <c r="BG166" s="148"/>
      <c r="BH166" s="148"/>
      <c r="BI166" s="47"/>
      <c r="BJ166" s="47"/>
      <c r="BK166" s="47"/>
      <c r="BL166" s="414"/>
      <c r="BM166" s="457"/>
    </row>
    <row r="167" spans="1:65" ht="38.450000000000003" customHeight="1">
      <c r="A167" s="91" t="s">
        <v>18</v>
      </c>
      <c r="B167" s="358" t="s">
        <v>2358</v>
      </c>
      <c r="C167" s="50" t="s">
        <v>119</v>
      </c>
      <c r="D167" s="99" t="s">
        <v>458</v>
      </c>
      <c r="E167" s="391" t="s">
        <v>10</v>
      </c>
      <c r="F167" s="410">
        <v>5962</v>
      </c>
      <c r="G167" s="10">
        <v>7000</v>
      </c>
      <c r="H167" s="167">
        <v>14000</v>
      </c>
      <c r="I167" s="10">
        <v>6200</v>
      </c>
      <c r="J167" s="76">
        <f t="shared" ref="J167:J205" si="278">AVERAGE(G167,I167)</f>
        <v>6600</v>
      </c>
      <c r="K167" s="24">
        <f t="shared" ref="K167:K205" si="279">J167-F167</f>
        <v>638</v>
      </c>
      <c r="L167" s="281">
        <f t="shared" ref="L167:L205" si="280">+K167/F167</f>
        <v>0.1070110701107011</v>
      </c>
      <c r="M167" s="431">
        <f t="shared" ref="M167:M205" si="281">H167</f>
        <v>14000</v>
      </c>
      <c r="N167" s="443"/>
      <c r="O167" s="250"/>
      <c r="P167" s="250"/>
      <c r="Q167" s="250"/>
      <c r="R167" s="250"/>
      <c r="S167" s="250"/>
      <c r="T167" s="250"/>
      <c r="U167" s="250"/>
      <c r="V167" s="443"/>
      <c r="W167" s="410">
        <v>7660</v>
      </c>
      <c r="X167" s="38">
        <v>9963</v>
      </c>
      <c r="Y167" s="31">
        <v>12952</v>
      </c>
      <c r="Z167" s="98">
        <v>8708.4</v>
      </c>
      <c r="AA167" s="76">
        <f t="shared" ref="AA167:AA222" si="282">AVERAGE(X167,Y167,Z167)</f>
        <v>10541.133333333333</v>
      </c>
      <c r="AB167" s="24">
        <f t="shared" ref="AB167:AB222" si="283">AA167-W167</f>
        <v>2881.1333333333332</v>
      </c>
      <c r="AC167" s="25">
        <f t="shared" ref="AC167:AC222" si="284">+AB167/W167</f>
        <v>0.37612706701479548</v>
      </c>
      <c r="AD167" s="309" t="str">
        <f t="shared" ref="AD167:AD222" si="285">+IF(AC167&lt;35%,AA167,"REVISAR PRECIO")</f>
        <v>REVISAR PRECIO</v>
      </c>
      <c r="AE167" s="462">
        <f t="shared" ref="AE167:AE222" si="286">AA167</f>
        <v>10541.133333333333</v>
      </c>
      <c r="AF167" s="408"/>
      <c r="AG167" s="293"/>
      <c r="AH167" s="293"/>
      <c r="AI167" s="293"/>
      <c r="AJ167" s="293"/>
      <c r="AK167" s="293"/>
      <c r="AL167" s="327"/>
      <c r="AM167" s="463"/>
      <c r="AN167" s="513">
        <v>8069</v>
      </c>
      <c r="AO167" s="88">
        <v>7350</v>
      </c>
      <c r="AP167" s="116">
        <v>7350</v>
      </c>
      <c r="AQ167" s="74">
        <v>7700</v>
      </c>
      <c r="AR167" s="76">
        <f t="shared" ref="AR167:AR186" si="287">AVERAGE(AO167,AP167,AQ167)</f>
        <v>7466.666666666667</v>
      </c>
      <c r="AS167" s="24">
        <f t="shared" ref="AS167:AS186" si="288">AR167-AN167</f>
        <v>-602.33333333333303</v>
      </c>
      <c r="AT167" s="25">
        <f t="shared" ref="AT167:AT186" si="289">+AS167/AN167</f>
        <v>-7.4647829140331273E-2</v>
      </c>
      <c r="AU167" s="309">
        <f t="shared" ref="AU167:AU186" si="290">+IF(AT167&lt;35%,AR167,"REVISAR PRECIO")</f>
        <v>7466.666666666667</v>
      </c>
      <c r="AV167" s="462">
        <f t="shared" ref="AV167:AV186" si="291">AR167</f>
        <v>7466.666666666667</v>
      </c>
      <c r="AW167" s="513">
        <v>8069</v>
      </c>
      <c r="AX167" s="74">
        <v>8050</v>
      </c>
      <c r="AY167" s="74">
        <v>10000</v>
      </c>
      <c r="AZ167" s="75">
        <v>9275</v>
      </c>
      <c r="BA167" s="61">
        <v>8049.9999999999991</v>
      </c>
      <c r="BB167" s="60">
        <v>19000</v>
      </c>
      <c r="BC167" s="74">
        <v>9257.4999999999982</v>
      </c>
      <c r="BD167" s="79">
        <v>9275</v>
      </c>
      <c r="BE167" s="79">
        <v>7000</v>
      </c>
      <c r="BF167" s="127">
        <v>8400</v>
      </c>
      <c r="BG167" s="128">
        <v>5200</v>
      </c>
      <c r="BH167" s="128">
        <v>8000</v>
      </c>
      <c r="BI167" s="76">
        <f t="shared" ref="BI167:BI196" si="292">AVERAGE(AX167,AY167,AZ167,BA167,BB167,BC167)</f>
        <v>10605.416666666666</v>
      </c>
      <c r="BJ167" s="24">
        <f t="shared" ref="BJ167:BJ196" si="293">BI167-AW167</f>
        <v>2536.4166666666661</v>
      </c>
      <c r="BK167" s="25">
        <f t="shared" ref="BK167:BK196" si="294">+BJ167/AW167</f>
        <v>0.31434089313008629</v>
      </c>
      <c r="BL167" s="259">
        <f t="shared" ref="BL167:BL196" si="295">+IF(BK167&lt;35%,BI167,"REVISAR PRECIO")</f>
        <v>10605.416666666666</v>
      </c>
      <c r="BM167" s="533">
        <f t="shared" ref="BM167:BM196" si="296">BI167</f>
        <v>10605.416666666666</v>
      </c>
    </row>
    <row r="168" spans="1:65" ht="32.450000000000003" customHeight="1">
      <c r="A168" s="91" t="s">
        <v>18</v>
      </c>
      <c r="B168" s="358" t="s">
        <v>2359</v>
      </c>
      <c r="C168" s="50" t="s">
        <v>120</v>
      </c>
      <c r="D168" s="99" t="s">
        <v>459</v>
      </c>
      <c r="E168" s="391" t="s">
        <v>14</v>
      </c>
      <c r="F168" s="410">
        <v>17315</v>
      </c>
      <c r="G168" s="10">
        <v>40000</v>
      </c>
      <c r="H168" s="167">
        <v>80000</v>
      </c>
      <c r="I168" s="10">
        <v>32850</v>
      </c>
      <c r="J168" s="76">
        <f t="shared" si="278"/>
        <v>36425</v>
      </c>
      <c r="K168" s="24">
        <f t="shared" si="279"/>
        <v>19110</v>
      </c>
      <c r="L168" s="281">
        <f t="shared" si="280"/>
        <v>1.1036673404562518</v>
      </c>
      <c r="M168" s="431">
        <f t="shared" si="281"/>
        <v>80000</v>
      </c>
      <c r="N168" s="411"/>
      <c r="O168" s="173"/>
      <c r="P168" s="173"/>
      <c r="Q168" s="274"/>
      <c r="R168" s="266"/>
      <c r="S168" s="76"/>
      <c r="T168" s="24"/>
      <c r="U168" s="281"/>
      <c r="V168" s="462"/>
      <c r="W168" s="410">
        <v>22244</v>
      </c>
      <c r="X168" s="38">
        <v>28931</v>
      </c>
      <c r="Y168" s="33">
        <v>37610</v>
      </c>
      <c r="Z168" s="98">
        <v>25287.4</v>
      </c>
      <c r="AA168" s="76">
        <f t="shared" si="282"/>
        <v>30609.466666666664</v>
      </c>
      <c r="AB168" s="24">
        <f t="shared" si="283"/>
        <v>8365.4666666666635</v>
      </c>
      <c r="AC168" s="25">
        <f t="shared" si="284"/>
        <v>0.37607744410477717</v>
      </c>
      <c r="AD168" s="309" t="str">
        <f t="shared" si="285"/>
        <v>REVISAR PRECIO</v>
      </c>
      <c r="AE168" s="462">
        <f t="shared" si="286"/>
        <v>30609.466666666664</v>
      </c>
      <c r="AF168" s="410">
        <v>17570</v>
      </c>
      <c r="AG168" s="45">
        <v>60000</v>
      </c>
      <c r="AH168" s="45">
        <v>35000</v>
      </c>
      <c r="AI168" s="45">
        <v>18000</v>
      </c>
      <c r="AJ168" s="76">
        <f t="shared" ref="AJ168:AJ213" si="297">AVERAGE(AG168,AH168,AI168)</f>
        <v>37666.666666666664</v>
      </c>
      <c r="AK168" s="24">
        <f t="shared" ref="AK168:AK213" si="298">AJ168-AF168</f>
        <v>20096.666666666664</v>
      </c>
      <c r="AL168" s="281">
        <f t="shared" ref="AL168:AL213" si="299">+AK168/AF168</f>
        <v>1.1438057294630999</v>
      </c>
      <c r="AM168" s="462">
        <f t="shared" ref="AM168:AM213" si="300">AJ168</f>
        <v>37666.666666666664</v>
      </c>
      <c r="AN168" s="513">
        <v>17656</v>
      </c>
      <c r="AO168" s="88">
        <v>42000</v>
      </c>
      <c r="AP168" s="116">
        <v>42000</v>
      </c>
      <c r="AQ168" s="74">
        <v>44000</v>
      </c>
      <c r="AR168" s="76">
        <f t="shared" si="287"/>
        <v>42666.666666666664</v>
      </c>
      <c r="AS168" s="24">
        <f t="shared" si="288"/>
        <v>25010.666666666664</v>
      </c>
      <c r="AT168" s="25">
        <f t="shared" si="289"/>
        <v>1.4165533907264762</v>
      </c>
      <c r="AU168" s="309" t="str">
        <f t="shared" si="290"/>
        <v>REVISAR PRECIO</v>
      </c>
      <c r="AV168" s="462">
        <f t="shared" si="291"/>
        <v>42666.666666666664</v>
      </c>
      <c r="AW168" s="513">
        <v>17656</v>
      </c>
      <c r="AX168" s="74">
        <v>46000</v>
      </c>
      <c r="AY168" s="74">
        <v>70000</v>
      </c>
      <c r="AZ168" s="75">
        <v>53000</v>
      </c>
      <c r="BA168" s="61">
        <v>46000</v>
      </c>
      <c r="BB168" s="60">
        <v>35000</v>
      </c>
      <c r="BC168" s="74">
        <v>52899.999999999993</v>
      </c>
      <c r="BD168" s="79">
        <v>53000</v>
      </c>
      <c r="BE168" s="79">
        <v>40000</v>
      </c>
      <c r="BF168" s="127">
        <v>48000</v>
      </c>
      <c r="BG168" s="128">
        <v>39000</v>
      </c>
      <c r="BH168" s="128">
        <v>40000</v>
      </c>
      <c r="BI168" s="76">
        <f t="shared" si="292"/>
        <v>50483.333333333336</v>
      </c>
      <c r="BJ168" s="24">
        <f t="shared" si="293"/>
        <v>32827.333333333336</v>
      </c>
      <c r="BK168" s="25">
        <f t="shared" si="294"/>
        <v>1.8592735236369129</v>
      </c>
      <c r="BL168" s="259" t="str">
        <f t="shared" si="295"/>
        <v>REVISAR PRECIO</v>
      </c>
      <c r="BM168" s="533">
        <f t="shared" si="296"/>
        <v>50483.333333333336</v>
      </c>
    </row>
    <row r="169" spans="1:65" ht="32.450000000000003" customHeight="1">
      <c r="A169" s="91" t="s">
        <v>18</v>
      </c>
      <c r="B169" s="358" t="s">
        <v>2360</v>
      </c>
      <c r="C169" s="50" t="s">
        <v>121</v>
      </c>
      <c r="D169" s="99" t="s">
        <v>460</v>
      </c>
      <c r="E169" s="391" t="s">
        <v>10</v>
      </c>
      <c r="F169" s="410">
        <v>12693</v>
      </c>
      <c r="G169" s="10">
        <v>12360</v>
      </c>
      <c r="H169" s="167">
        <v>24720</v>
      </c>
      <c r="I169" s="10">
        <v>11200</v>
      </c>
      <c r="J169" s="76">
        <f t="shared" si="278"/>
        <v>11780</v>
      </c>
      <c r="K169" s="24">
        <f t="shared" si="279"/>
        <v>-913</v>
      </c>
      <c r="L169" s="281">
        <f t="shared" si="280"/>
        <v>-7.1929409910974559E-2</v>
      </c>
      <c r="M169" s="431">
        <f t="shared" si="281"/>
        <v>24720</v>
      </c>
      <c r="N169" s="410">
        <v>11419</v>
      </c>
      <c r="O169" s="10">
        <v>14000</v>
      </c>
      <c r="P169" s="10">
        <v>16000</v>
      </c>
      <c r="Q169" s="268">
        <v>15000</v>
      </c>
      <c r="R169" s="10">
        <v>20000</v>
      </c>
      <c r="S169" s="76">
        <f t="shared" ref="S169:S186" si="301">AVERAGE(O169,P169,Q169,R169)</f>
        <v>16250</v>
      </c>
      <c r="T169" s="24">
        <f t="shared" ref="T169:T186" si="302">S169-N169</f>
        <v>4831</v>
      </c>
      <c r="U169" s="281">
        <f t="shared" ref="U169:U186" si="303">+T169/N169</f>
        <v>0.42306681846046063</v>
      </c>
      <c r="V169" s="462">
        <f t="shared" ref="V169:V186" si="304">S169</f>
        <v>16250</v>
      </c>
      <c r="W169" s="410">
        <v>15985</v>
      </c>
      <c r="X169" s="38">
        <v>20790</v>
      </c>
      <c r="Y169" s="31">
        <v>27027</v>
      </c>
      <c r="Z169" s="98">
        <v>18172</v>
      </c>
      <c r="AA169" s="76">
        <f t="shared" si="282"/>
        <v>21996.333333333332</v>
      </c>
      <c r="AB169" s="24">
        <f t="shared" si="283"/>
        <v>6011.3333333333321</v>
      </c>
      <c r="AC169" s="25">
        <f t="shared" si="284"/>
        <v>0.3760608904181002</v>
      </c>
      <c r="AD169" s="309" t="str">
        <f t="shared" si="285"/>
        <v>REVISAR PRECIO</v>
      </c>
      <c r="AE169" s="462">
        <f t="shared" si="286"/>
        <v>21996.333333333332</v>
      </c>
      <c r="AF169" s="410">
        <v>12691</v>
      </c>
      <c r="AG169" s="45">
        <v>14000</v>
      </c>
      <c r="AH169" s="45">
        <v>14973</v>
      </c>
      <c r="AI169" s="45">
        <v>17000</v>
      </c>
      <c r="AJ169" s="76">
        <f t="shared" si="297"/>
        <v>15324.333333333334</v>
      </c>
      <c r="AK169" s="24">
        <f t="shared" si="298"/>
        <v>2633.3333333333339</v>
      </c>
      <c r="AL169" s="281">
        <f t="shared" si="299"/>
        <v>0.20749612586347285</v>
      </c>
      <c r="AM169" s="462">
        <f t="shared" si="300"/>
        <v>15324.333333333334</v>
      </c>
      <c r="AN169" s="513">
        <v>12691</v>
      </c>
      <c r="AO169" s="88">
        <v>13000</v>
      </c>
      <c r="AP169" s="116">
        <v>13000</v>
      </c>
      <c r="AQ169" s="74">
        <v>13596.22</v>
      </c>
      <c r="AR169" s="76">
        <f t="shared" si="287"/>
        <v>13198.74</v>
      </c>
      <c r="AS169" s="24">
        <f t="shared" si="288"/>
        <v>507.73999999999978</v>
      </c>
      <c r="AT169" s="25">
        <f t="shared" si="289"/>
        <v>4.0007879599716314E-2</v>
      </c>
      <c r="AU169" s="309">
        <f t="shared" si="290"/>
        <v>13198.74</v>
      </c>
      <c r="AV169" s="462">
        <f t="shared" si="291"/>
        <v>13198.74</v>
      </c>
      <c r="AW169" s="513">
        <v>12691</v>
      </c>
      <c r="AX169" s="74">
        <v>14214.23</v>
      </c>
      <c r="AY169" s="74">
        <v>18000</v>
      </c>
      <c r="AZ169" s="75">
        <v>16377.264999999999</v>
      </c>
      <c r="BA169" s="61">
        <v>24494.999999999996</v>
      </c>
      <c r="BB169" s="60">
        <v>14000</v>
      </c>
      <c r="BC169" s="74">
        <v>28169.249999999993</v>
      </c>
      <c r="BD169" s="79">
        <v>16377.264999999999</v>
      </c>
      <c r="BE169" s="79">
        <f>10748*1.15</f>
        <v>12360.199999999999</v>
      </c>
      <c r="BF169" s="127">
        <v>14832.239999999998</v>
      </c>
      <c r="BG169" s="128">
        <v>11000</v>
      </c>
      <c r="BH169" s="128">
        <v>12000</v>
      </c>
      <c r="BI169" s="76">
        <f t="shared" si="292"/>
        <v>19209.290833333333</v>
      </c>
      <c r="BJ169" s="24">
        <f t="shared" si="293"/>
        <v>6518.2908333333326</v>
      </c>
      <c r="BK169" s="25">
        <f t="shared" si="294"/>
        <v>0.5136152260131851</v>
      </c>
      <c r="BL169" s="259" t="str">
        <f t="shared" si="295"/>
        <v>REVISAR PRECIO</v>
      </c>
      <c r="BM169" s="533">
        <f t="shared" si="296"/>
        <v>19209.290833333333</v>
      </c>
    </row>
    <row r="170" spans="1:65" ht="33" customHeight="1">
      <c r="A170" s="91" t="s">
        <v>18</v>
      </c>
      <c r="B170" s="358" t="s">
        <v>2361</v>
      </c>
      <c r="C170" s="50" t="s">
        <v>122</v>
      </c>
      <c r="D170" s="99" t="s">
        <v>461</v>
      </c>
      <c r="E170" s="391" t="s">
        <v>10</v>
      </c>
      <c r="F170" s="410">
        <v>47843</v>
      </c>
      <c r="G170" s="10">
        <v>40336</v>
      </c>
      <c r="H170" s="167">
        <v>80672</v>
      </c>
      <c r="I170" s="10">
        <v>33500</v>
      </c>
      <c r="J170" s="76">
        <f t="shared" si="278"/>
        <v>36918</v>
      </c>
      <c r="K170" s="24">
        <f t="shared" si="279"/>
        <v>-10925</v>
      </c>
      <c r="L170" s="281">
        <f t="shared" si="280"/>
        <v>-0.22835106494157975</v>
      </c>
      <c r="M170" s="431">
        <f t="shared" si="281"/>
        <v>80672</v>
      </c>
      <c r="N170" s="410">
        <v>43057</v>
      </c>
      <c r="O170" s="10">
        <v>17000</v>
      </c>
      <c r="P170" s="10">
        <v>20000</v>
      </c>
      <c r="Q170" s="268">
        <v>20000</v>
      </c>
      <c r="R170" s="10">
        <v>20000</v>
      </c>
      <c r="S170" s="76">
        <f t="shared" si="301"/>
        <v>19250</v>
      </c>
      <c r="T170" s="24">
        <f t="shared" si="302"/>
        <v>-23807</v>
      </c>
      <c r="U170" s="281">
        <f t="shared" si="303"/>
        <v>-0.55291822467891405</v>
      </c>
      <c r="V170" s="462">
        <f t="shared" si="304"/>
        <v>19250</v>
      </c>
      <c r="W170" s="410">
        <v>60266</v>
      </c>
      <c r="X170" s="38">
        <v>78381</v>
      </c>
      <c r="Y170" s="31">
        <v>101895</v>
      </c>
      <c r="Z170" s="98">
        <v>68510.8</v>
      </c>
      <c r="AA170" s="76">
        <f t="shared" si="282"/>
        <v>82928.933333333334</v>
      </c>
      <c r="AB170" s="24">
        <f t="shared" si="283"/>
        <v>22662.933333333334</v>
      </c>
      <c r="AC170" s="25">
        <f t="shared" si="284"/>
        <v>0.37604840761512848</v>
      </c>
      <c r="AD170" s="309" t="str">
        <f t="shared" si="285"/>
        <v>REVISAR PRECIO</v>
      </c>
      <c r="AE170" s="462">
        <f t="shared" si="286"/>
        <v>82928.933333333334</v>
      </c>
      <c r="AF170" s="410">
        <v>47842</v>
      </c>
      <c r="AG170" s="45">
        <v>35000</v>
      </c>
      <c r="AH170" s="45">
        <v>56450</v>
      </c>
      <c r="AI170" s="45">
        <v>17000</v>
      </c>
      <c r="AJ170" s="76">
        <f t="shared" si="297"/>
        <v>36150</v>
      </c>
      <c r="AK170" s="24">
        <f t="shared" si="298"/>
        <v>-11692</v>
      </c>
      <c r="AL170" s="281">
        <f t="shared" si="299"/>
        <v>-0.24438777643075121</v>
      </c>
      <c r="AM170" s="462">
        <f t="shared" si="300"/>
        <v>36150</v>
      </c>
      <c r="AN170" s="513">
        <v>47842</v>
      </c>
      <c r="AO170" s="88">
        <v>43000</v>
      </c>
      <c r="AP170" s="116">
        <v>43000</v>
      </c>
      <c r="AQ170" s="74">
        <v>44402.16</v>
      </c>
      <c r="AR170" s="76">
        <f t="shared" si="287"/>
        <v>43467.386666666665</v>
      </c>
      <c r="AS170" s="24">
        <f t="shared" si="288"/>
        <v>-4374.6133333333346</v>
      </c>
      <c r="AT170" s="25">
        <f t="shared" si="289"/>
        <v>-9.1438763708317689E-2</v>
      </c>
      <c r="AU170" s="309">
        <f t="shared" si="290"/>
        <v>43467.386666666665</v>
      </c>
      <c r="AV170" s="462">
        <f t="shared" si="291"/>
        <v>43467.386666666665</v>
      </c>
      <c r="AW170" s="513">
        <v>47842</v>
      </c>
      <c r="AX170" s="74">
        <v>46420.44000000001</v>
      </c>
      <c r="AY170" s="74">
        <v>20000</v>
      </c>
      <c r="AZ170" s="75">
        <v>53484.420000000006</v>
      </c>
      <c r="BA170" s="61">
        <v>29209.999999999996</v>
      </c>
      <c r="BB170" s="60">
        <v>18000</v>
      </c>
      <c r="BC170" s="74">
        <v>33591.499999999993</v>
      </c>
      <c r="BD170" s="79">
        <v>53484.420000000006</v>
      </c>
      <c r="BE170" s="79">
        <f>36696*1.1</f>
        <v>40365.600000000006</v>
      </c>
      <c r="BF170" s="127">
        <v>48438.720000000008</v>
      </c>
      <c r="BG170" s="128">
        <v>50000</v>
      </c>
      <c r="BH170" s="128">
        <v>50000</v>
      </c>
      <c r="BI170" s="76">
        <f t="shared" si="292"/>
        <v>33451.060000000005</v>
      </c>
      <c r="BJ170" s="24">
        <f t="shared" si="293"/>
        <v>-14390.939999999995</v>
      </c>
      <c r="BK170" s="25">
        <f t="shared" si="294"/>
        <v>-0.30080138790184346</v>
      </c>
      <c r="BL170" s="259">
        <f t="shared" si="295"/>
        <v>33451.060000000005</v>
      </c>
      <c r="BM170" s="533">
        <f t="shared" si="296"/>
        <v>33451.060000000005</v>
      </c>
    </row>
    <row r="171" spans="1:65" ht="33" customHeight="1">
      <c r="A171" s="91" t="s">
        <v>18</v>
      </c>
      <c r="B171" s="358" t="s">
        <v>2362</v>
      </c>
      <c r="C171" s="50" t="s">
        <v>123</v>
      </c>
      <c r="D171" s="99" t="s">
        <v>462</v>
      </c>
      <c r="E171" s="391" t="s">
        <v>10</v>
      </c>
      <c r="F171" s="410">
        <v>78333</v>
      </c>
      <c r="G171" s="10">
        <v>65118</v>
      </c>
      <c r="H171" s="167">
        <v>130236</v>
      </c>
      <c r="I171" s="10">
        <v>49566</v>
      </c>
      <c r="J171" s="76">
        <f t="shared" si="278"/>
        <v>57342</v>
      </c>
      <c r="K171" s="24">
        <f t="shared" si="279"/>
        <v>-20991</v>
      </c>
      <c r="L171" s="281">
        <f t="shared" si="280"/>
        <v>-0.26797135306958753</v>
      </c>
      <c r="M171" s="431">
        <f t="shared" si="281"/>
        <v>130236</v>
      </c>
      <c r="N171" s="410">
        <v>70500</v>
      </c>
      <c r="O171" s="10">
        <v>38000</v>
      </c>
      <c r="P171" s="10">
        <v>45000</v>
      </c>
      <c r="Q171" s="268">
        <v>40000</v>
      </c>
      <c r="R171" s="10">
        <v>45000</v>
      </c>
      <c r="S171" s="76">
        <f t="shared" si="301"/>
        <v>42000</v>
      </c>
      <c r="T171" s="24">
        <f t="shared" si="302"/>
        <v>-28500</v>
      </c>
      <c r="U171" s="281">
        <f t="shared" si="303"/>
        <v>-0.40425531914893614</v>
      </c>
      <c r="V171" s="462">
        <f t="shared" si="304"/>
        <v>42000</v>
      </c>
      <c r="W171" s="410">
        <v>98683</v>
      </c>
      <c r="X171" s="38">
        <v>128345</v>
      </c>
      <c r="Y171" s="31">
        <v>166848</v>
      </c>
      <c r="Z171" s="98">
        <v>112182.6</v>
      </c>
      <c r="AA171" s="76">
        <f t="shared" si="282"/>
        <v>135791.86666666667</v>
      </c>
      <c r="AB171" s="24">
        <f t="shared" si="283"/>
        <v>37108.866666666669</v>
      </c>
      <c r="AC171" s="25">
        <f t="shared" si="284"/>
        <v>0.3760411283267297</v>
      </c>
      <c r="AD171" s="309" t="str">
        <f t="shared" si="285"/>
        <v>REVISAR PRECIO</v>
      </c>
      <c r="AE171" s="462">
        <f t="shared" si="286"/>
        <v>135791.86666666667</v>
      </c>
      <c r="AF171" s="499">
        <v>78331</v>
      </c>
      <c r="AG171" s="317"/>
      <c r="AH171" s="317">
        <v>92426</v>
      </c>
      <c r="AI171" s="45">
        <v>17000</v>
      </c>
      <c r="AJ171" s="76">
        <f t="shared" si="297"/>
        <v>54713</v>
      </c>
      <c r="AK171" s="24">
        <f t="shared" si="298"/>
        <v>-23618</v>
      </c>
      <c r="AL171" s="281">
        <f t="shared" si="299"/>
        <v>-0.30151536428744685</v>
      </c>
      <c r="AM171" s="462">
        <f t="shared" si="300"/>
        <v>54713</v>
      </c>
      <c r="AN171" s="513">
        <v>78331</v>
      </c>
      <c r="AO171" s="88">
        <v>70000</v>
      </c>
      <c r="AP171" s="116">
        <v>70000</v>
      </c>
      <c r="AQ171" s="74">
        <v>71629.58</v>
      </c>
      <c r="AR171" s="76">
        <f t="shared" si="287"/>
        <v>70543.193333333344</v>
      </c>
      <c r="AS171" s="24">
        <f t="shared" si="288"/>
        <v>-7787.8066666666564</v>
      </c>
      <c r="AT171" s="25">
        <f t="shared" si="289"/>
        <v>-9.9421770010170385E-2</v>
      </c>
      <c r="AU171" s="309">
        <f t="shared" si="290"/>
        <v>70543.193333333344</v>
      </c>
      <c r="AV171" s="462">
        <f t="shared" si="291"/>
        <v>70543.193333333344</v>
      </c>
      <c r="AW171" s="513">
        <v>78331</v>
      </c>
      <c r="AX171" s="74">
        <v>74885.47</v>
      </c>
      <c r="AY171" s="74">
        <v>25000</v>
      </c>
      <c r="AZ171" s="75">
        <v>86281.084999999992</v>
      </c>
      <c r="BA171" s="61">
        <v>74885.47</v>
      </c>
      <c r="BB171" s="60">
        <v>21000</v>
      </c>
      <c r="BC171" s="74">
        <v>86118.290499999988</v>
      </c>
      <c r="BD171" s="79">
        <v>86281.084999999992</v>
      </c>
      <c r="BE171" s="79">
        <f>59198*1.1</f>
        <v>65117.8</v>
      </c>
      <c r="BF171" s="127">
        <v>78141.36</v>
      </c>
      <c r="BG171" s="128">
        <v>70000</v>
      </c>
      <c r="BH171" s="128">
        <v>65000</v>
      </c>
      <c r="BI171" s="76">
        <f t="shared" si="292"/>
        <v>61361.719250000002</v>
      </c>
      <c r="BJ171" s="24">
        <f t="shared" si="293"/>
        <v>-16969.280749999998</v>
      </c>
      <c r="BK171" s="25">
        <f t="shared" si="294"/>
        <v>-0.21663556893184049</v>
      </c>
      <c r="BL171" s="259">
        <f t="shared" si="295"/>
        <v>61361.719250000002</v>
      </c>
      <c r="BM171" s="533">
        <f t="shared" si="296"/>
        <v>61361.719250000002</v>
      </c>
    </row>
    <row r="172" spans="1:65" ht="33" customHeight="1">
      <c r="A172" s="91" t="s">
        <v>18</v>
      </c>
      <c r="B172" s="358" t="s">
        <v>2363</v>
      </c>
      <c r="C172" s="50" t="s">
        <v>124</v>
      </c>
      <c r="D172" s="99" t="s">
        <v>463</v>
      </c>
      <c r="E172" s="391" t="s">
        <v>10</v>
      </c>
      <c r="F172" s="410">
        <v>8677</v>
      </c>
      <c r="G172" s="10">
        <v>8956</v>
      </c>
      <c r="H172" s="167">
        <v>17912</v>
      </c>
      <c r="I172" s="10">
        <v>8500</v>
      </c>
      <c r="J172" s="76">
        <f t="shared" si="278"/>
        <v>8728</v>
      </c>
      <c r="K172" s="24">
        <f t="shared" si="279"/>
        <v>51</v>
      </c>
      <c r="L172" s="281">
        <f t="shared" si="280"/>
        <v>5.8776074680189005E-3</v>
      </c>
      <c r="M172" s="431">
        <f t="shared" si="281"/>
        <v>17912</v>
      </c>
      <c r="N172" s="410">
        <v>7812</v>
      </c>
      <c r="O172" s="10">
        <v>12000</v>
      </c>
      <c r="P172" s="10">
        <v>17000</v>
      </c>
      <c r="Q172" s="268">
        <v>15000</v>
      </c>
      <c r="R172" s="10">
        <v>20000</v>
      </c>
      <c r="S172" s="76">
        <f t="shared" si="301"/>
        <v>16000</v>
      </c>
      <c r="T172" s="24">
        <f t="shared" si="302"/>
        <v>8188</v>
      </c>
      <c r="U172" s="281">
        <f t="shared" si="303"/>
        <v>1.0481310803891448</v>
      </c>
      <c r="V172" s="462">
        <f t="shared" si="304"/>
        <v>16000</v>
      </c>
      <c r="W172" s="410">
        <v>10930</v>
      </c>
      <c r="X172" s="38">
        <v>14216</v>
      </c>
      <c r="Y172" s="33">
        <v>18480</v>
      </c>
      <c r="Z172" s="98">
        <v>12425.4</v>
      </c>
      <c r="AA172" s="76">
        <f t="shared" si="282"/>
        <v>15040.466666666667</v>
      </c>
      <c r="AB172" s="24">
        <f t="shared" si="283"/>
        <v>4110.4666666666672</v>
      </c>
      <c r="AC172" s="25">
        <f t="shared" si="284"/>
        <v>0.37607197316254959</v>
      </c>
      <c r="AD172" s="309" t="str">
        <f t="shared" si="285"/>
        <v>REVISAR PRECIO</v>
      </c>
      <c r="AE172" s="462">
        <f t="shared" si="286"/>
        <v>15040.466666666667</v>
      </c>
      <c r="AF172" s="410">
        <v>8676</v>
      </c>
      <c r="AG172" s="45">
        <v>10000</v>
      </c>
      <c r="AH172" s="45">
        <v>10238</v>
      </c>
      <c r="AI172" s="45">
        <v>17000</v>
      </c>
      <c r="AJ172" s="76">
        <f t="shared" si="297"/>
        <v>12412.666666666666</v>
      </c>
      <c r="AK172" s="24">
        <f t="shared" si="298"/>
        <v>3736.6666666666661</v>
      </c>
      <c r="AL172" s="281">
        <f t="shared" si="299"/>
        <v>0.43069002612571072</v>
      </c>
      <c r="AM172" s="462">
        <f t="shared" si="300"/>
        <v>12412.666666666666</v>
      </c>
      <c r="AN172" s="513">
        <v>8676</v>
      </c>
      <c r="AO172" s="88">
        <v>10000</v>
      </c>
      <c r="AP172" s="116">
        <v>10000</v>
      </c>
      <c r="AQ172" s="74">
        <v>9851.82</v>
      </c>
      <c r="AR172" s="76">
        <f t="shared" si="287"/>
        <v>9950.6066666666666</v>
      </c>
      <c r="AS172" s="24">
        <f t="shared" si="288"/>
        <v>1274.6066666666666</v>
      </c>
      <c r="AT172" s="25">
        <f t="shared" si="289"/>
        <v>0.14691178730597818</v>
      </c>
      <c r="AU172" s="309">
        <f t="shared" si="290"/>
        <v>9950.6066666666666</v>
      </c>
      <c r="AV172" s="462">
        <f t="shared" si="291"/>
        <v>9950.6066666666666</v>
      </c>
      <c r="AW172" s="513">
        <v>8676</v>
      </c>
      <c r="AX172" s="74">
        <v>10299.629999999999</v>
      </c>
      <c r="AY172" s="74">
        <v>15000</v>
      </c>
      <c r="AZ172" s="75">
        <v>11866.964999999998</v>
      </c>
      <c r="BA172" s="61">
        <v>10299.629999999997</v>
      </c>
      <c r="BB172" s="60">
        <v>14000</v>
      </c>
      <c r="BC172" s="74">
        <v>11844.574499999995</v>
      </c>
      <c r="BD172" s="79">
        <v>11866.964999999998</v>
      </c>
      <c r="BE172" s="79">
        <f>7788*1.15</f>
        <v>8956.1999999999989</v>
      </c>
      <c r="BF172" s="127">
        <v>10747.439999999999</v>
      </c>
      <c r="BG172" s="128">
        <v>8500</v>
      </c>
      <c r="BH172" s="128">
        <v>9000</v>
      </c>
      <c r="BI172" s="76">
        <f t="shared" si="292"/>
        <v>12218.466583333333</v>
      </c>
      <c r="BJ172" s="24">
        <f t="shared" si="293"/>
        <v>3542.4665833333329</v>
      </c>
      <c r="BK172" s="25">
        <f t="shared" si="294"/>
        <v>0.4083064296142615</v>
      </c>
      <c r="BL172" s="259" t="str">
        <f t="shared" si="295"/>
        <v>REVISAR PRECIO</v>
      </c>
      <c r="BM172" s="533">
        <f t="shared" si="296"/>
        <v>12218.466583333333</v>
      </c>
    </row>
    <row r="173" spans="1:65" ht="33" customHeight="1">
      <c r="A173" s="91" t="s">
        <v>18</v>
      </c>
      <c r="B173" s="358" t="s">
        <v>2364</v>
      </c>
      <c r="C173" s="50" t="s">
        <v>125</v>
      </c>
      <c r="D173" s="99" t="s">
        <v>464</v>
      </c>
      <c r="E173" s="391" t="s">
        <v>10</v>
      </c>
      <c r="F173" s="410">
        <v>10386</v>
      </c>
      <c r="G173" s="10">
        <v>10433</v>
      </c>
      <c r="H173" s="167">
        <v>20866</v>
      </c>
      <c r="I173" s="10">
        <v>33500</v>
      </c>
      <c r="J173" s="76">
        <f t="shared" si="278"/>
        <v>21966.5</v>
      </c>
      <c r="K173" s="24">
        <f t="shared" si="279"/>
        <v>11580.5</v>
      </c>
      <c r="L173" s="281">
        <f t="shared" si="280"/>
        <v>1.1150105911804351</v>
      </c>
      <c r="M173" s="431">
        <f t="shared" si="281"/>
        <v>20866</v>
      </c>
      <c r="N173" s="410">
        <v>9350</v>
      </c>
      <c r="O173" s="10">
        <v>13000</v>
      </c>
      <c r="P173" s="10">
        <v>16000</v>
      </c>
      <c r="Q173" s="268">
        <v>15000</v>
      </c>
      <c r="R173" s="10">
        <v>20000</v>
      </c>
      <c r="S173" s="76">
        <f t="shared" si="301"/>
        <v>16000</v>
      </c>
      <c r="T173" s="24">
        <f t="shared" si="302"/>
        <v>6650</v>
      </c>
      <c r="U173" s="281">
        <f t="shared" si="303"/>
        <v>0.71122994652406413</v>
      </c>
      <c r="V173" s="462">
        <f t="shared" si="304"/>
        <v>16000</v>
      </c>
      <c r="W173" s="410">
        <v>13079</v>
      </c>
      <c r="X173" s="38">
        <v>17010</v>
      </c>
      <c r="Y173" s="31">
        <v>22113</v>
      </c>
      <c r="Z173" s="98">
        <v>14868</v>
      </c>
      <c r="AA173" s="76">
        <f t="shared" si="282"/>
        <v>17997</v>
      </c>
      <c r="AB173" s="24">
        <f t="shared" si="283"/>
        <v>4918</v>
      </c>
      <c r="AC173" s="25">
        <f t="shared" si="284"/>
        <v>0.37602263169967121</v>
      </c>
      <c r="AD173" s="309" t="str">
        <f t="shared" si="285"/>
        <v>REVISAR PRECIO</v>
      </c>
      <c r="AE173" s="462">
        <f t="shared" si="286"/>
        <v>17997</v>
      </c>
      <c r="AF173" s="410">
        <v>10385</v>
      </c>
      <c r="AG173" s="45">
        <v>15000</v>
      </c>
      <c r="AH173" s="45">
        <v>12252</v>
      </c>
      <c r="AI173" s="45">
        <v>17000</v>
      </c>
      <c r="AJ173" s="76">
        <f t="shared" si="297"/>
        <v>14750.666666666666</v>
      </c>
      <c r="AK173" s="24">
        <f t="shared" si="298"/>
        <v>4365.6666666666661</v>
      </c>
      <c r="AL173" s="281">
        <f t="shared" si="299"/>
        <v>0.42038196116193222</v>
      </c>
      <c r="AM173" s="462">
        <f t="shared" si="300"/>
        <v>14750.666666666666</v>
      </c>
      <c r="AN173" s="513">
        <v>10385</v>
      </c>
      <c r="AO173" s="88">
        <v>10900</v>
      </c>
      <c r="AP173" s="116">
        <v>10900</v>
      </c>
      <c r="AQ173" s="74">
        <v>11476.08</v>
      </c>
      <c r="AR173" s="76">
        <f t="shared" si="287"/>
        <v>11092.026666666667</v>
      </c>
      <c r="AS173" s="24">
        <f t="shared" si="288"/>
        <v>707.02666666666664</v>
      </c>
      <c r="AT173" s="25">
        <f t="shared" si="289"/>
        <v>6.808152784464773E-2</v>
      </c>
      <c r="AU173" s="309">
        <f t="shared" si="290"/>
        <v>11092.026666666667</v>
      </c>
      <c r="AV173" s="462">
        <f t="shared" si="291"/>
        <v>11092.026666666667</v>
      </c>
      <c r="AW173" s="513">
        <v>10385</v>
      </c>
      <c r="AX173" s="74">
        <v>11997.72</v>
      </c>
      <c r="AY173" s="74">
        <v>18000</v>
      </c>
      <c r="AZ173" s="75">
        <v>13823.46</v>
      </c>
      <c r="BA173" s="61">
        <v>11997.719999999998</v>
      </c>
      <c r="BB173" s="60">
        <v>18000</v>
      </c>
      <c r="BC173" s="74">
        <v>13797.377999999997</v>
      </c>
      <c r="BD173" s="79">
        <v>13823.46</v>
      </c>
      <c r="BE173" s="79">
        <f>9072*1.15</f>
        <v>10432.799999999999</v>
      </c>
      <c r="BF173" s="127">
        <v>12519.359999999999</v>
      </c>
      <c r="BG173" s="128">
        <v>10900</v>
      </c>
      <c r="BH173" s="128">
        <v>10000</v>
      </c>
      <c r="BI173" s="76">
        <f t="shared" si="292"/>
        <v>14602.712999999998</v>
      </c>
      <c r="BJ173" s="24">
        <f t="shared" si="293"/>
        <v>4217.7129999999979</v>
      </c>
      <c r="BK173" s="25">
        <f t="shared" si="294"/>
        <v>0.40613509870004794</v>
      </c>
      <c r="BL173" s="259" t="str">
        <f t="shared" si="295"/>
        <v>REVISAR PRECIO</v>
      </c>
      <c r="BM173" s="533">
        <f t="shared" si="296"/>
        <v>14602.712999999998</v>
      </c>
    </row>
    <row r="174" spans="1:65" ht="33" customHeight="1">
      <c r="A174" s="91" t="s">
        <v>18</v>
      </c>
      <c r="B174" s="358" t="s">
        <v>2365</v>
      </c>
      <c r="C174" s="50" t="s">
        <v>126</v>
      </c>
      <c r="D174" s="99" t="s">
        <v>465</v>
      </c>
      <c r="E174" s="391" t="s">
        <v>10</v>
      </c>
      <c r="F174" s="410">
        <v>12721</v>
      </c>
      <c r="G174" s="10">
        <v>12437</v>
      </c>
      <c r="H174" s="167">
        <v>37311</v>
      </c>
      <c r="I174" s="10">
        <v>49566</v>
      </c>
      <c r="J174" s="76">
        <f t="shared" si="278"/>
        <v>31001.5</v>
      </c>
      <c r="K174" s="24">
        <f t="shared" si="279"/>
        <v>18280.5</v>
      </c>
      <c r="L174" s="281">
        <f t="shared" si="280"/>
        <v>1.4370332521028222</v>
      </c>
      <c r="M174" s="431">
        <f t="shared" si="281"/>
        <v>37311</v>
      </c>
      <c r="N174" s="410">
        <v>11447</v>
      </c>
      <c r="O174" s="10">
        <v>19000</v>
      </c>
      <c r="P174" s="10">
        <v>22000</v>
      </c>
      <c r="Q174" s="268">
        <v>20000</v>
      </c>
      <c r="R174" s="10">
        <v>20000</v>
      </c>
      <c r="S174" s="76">
        <f t="shared" si="301"/>
        <v>20250</v>
      </c>
      <c r="T174" s="24">
        <f t="shared" si="302"/>
        <v>8803</v>
      </c>
      <c r="U174" s="281">
        <f t="shared" si="303"/>
        <v>0.76902245129728308</v>
      </c>
      <c r="V174" s="462">
        <f t="shared" si="304"/>
        <v>20250</v>
      </c>
      <c r="W174" s="410">
        <v>16027</v>
      </c>
      <c r="X174" s="38">
        <v>20844</v>
      </c>
      <c r="Y174" s="31">
        <v>27097</v>
      </c>
      <c r="Z174" s="98">
        <v>18219.2</v>
      </c>
      <c r="AA174" s="76">
        <f t="shared" si="282"/>
        <v>22053.399999999998</v>
      </c>
      <c r="AB174" s="24">
        <f t="shared" si="283"/>
        <v>6026.3999999999978</v>
      </c>
      <c r="AC174" s="25">
        <f t="shared" si="284"/>
        <v>0.3760154738878142</v>
      </c>
      <c r="AD174" s="309" t="str">
        <f t="shared" si="285"/>
        <v>REVISAR PRECIO</v>
      </c>
      <c r="AE174" s="462">
        <f t="shared" si="286"/>
        <v>22053.399999999998</v>
      </c>
      <c r="AF174" s="410">
        <v>12720</v>
      </c>
      <c r="AG174" s="45"/>
      <c r="AH174" s="45">
        <v>15011</v>
      </c>
      <c r="AI174" s="45">
        <v>17000</v>
      </c>
      <c r="AJ174" s="76">
        <f t="shared" si="297"/>
        <v>16005.5</v>
      </c>
      <c r="AK174" s="24">
        <f t="shared" si="298"/>
        <v>3285.5</v>
      </c>
      <c r="AL174" s="281">
        <f t="shared" si="299"/>
        <v>0.25829402515723271</v>
      </c>
      <c r="AM174" s="462">
        <f t="shared" si="300"/>
        <v>16005.5</v>
      </c>
      <c r="AN174" s="513">
        <v>12720</v>
      </c>
      <c r="AO174" s="88">
        <v>13000</v>
      </c>
      <c r="AP174" s="116">
        <v>13000</v>
      </c>
      <c r="AQ174" s="74">
        <v>13680.974999999999</v>
      </c>
      <c r="AR174" s="76">
        <f t="shared" si="287"/>
        <v>13226.991666666667</v>
      </c>
      <c r="AS174" s="24">
        <f t="shared" si="288"/>
        <v>506.99166666666679</v>
      </c>
      <c r="AT174" s="25">
        <f t="shared" si="289"/>
        <v>3.9857835429769402E-2</v>
      </c>
      <c r="AU174" s="309">
        <f t="shared" si="290"/>
        <v>13226.991666666667</v>
      </c>
      <c r="AV174" s="462">
        <f t="shared" si="291"/>
        <v>13226.991666666667</v>
      </c>
      <c r="AW174" s="513">
        <v>12720</v>
      </c>
      <c r="AX174" s="74">
        <v>14302.837499999998</v>
      </c>
      <c r="AY174" s="74">
        <v>23000</v>
      </c>
      <c r="AZ174" s="75">
        <v>16479.356249999997</v>
      </c>
      <c r="BA174" s="61">
        <v>14302.837499999996</v>
      </c>
      <c r="BB174" s="60">
        <v>21000</v>
      </c>
      <c r="BC174" s="74">
        <v>16448.263124999994</v>
      </c>
      <c r="BD174" s="79">
        <v>16479.356249999997</v>
      </c>
      <c r="BE174" s="79">
        <f>10815*1.15</f>
        <v>12437.249999999998</v>
      </c>
      <c r="BF174" s="127">
        <v>14924.699999999997</v>
      </c>
      <c r="BG174" s="128">
        <v>14800</v>
      </c>
      <c r="BH174" s="128">
        <v>13000</v>
      </c>
      <c r="BI174" s="76">
        <f t="shared" si="292"/>
        <v>17588.882395833331</v>
      </c>
      <c r="BJ174" s="24">
        <f t="shared" si="293"/>
        <v>4868.8823958333305</v>
      </c>
      <c r="BK174" s="25">
        <f t="shared" si="294"/>
        <v>0.3827737732573373</v>
      </c>
      <c r="BL174" s="259" t="str">
        <f t="shared" si="295"/>
        <v>REVISAR PRECIO</v>
      </c>
      <c r="BM174" s="533">
        <f t="shared" si="296"/>
        <v>17588.882395833331</v>
      </c>
    </row>
    <row r="175" spans="1:65" ht="33" customHeight="1">
      <c r="A175" s="91" t="s">
        <v>18</v>
      </c>
      <c r="B175" s="358" t="s">
        <v>2366</v>
      </c>
      <c r="C175" s="50" t="s">
        <v>127</v>
      </c>
      <c r="D175" s="99" t="s">
        <v>466</v>
      </c>
      <c r="E175" s="391" t="s">
        <v>14</v>
      </c>
      <c r="F175" s="410">
        <v>23799</v>
      </c>
      <c r="G175" s="10">
        <v>24373</v>
      </c>
      <c r="H175" s="167">
        <v>73119</v>
      </c>
      <c r="I175" s="10">
        <v>18500</v>
      </c>
      <c r="J175" s="76">
        <f t="shared" si="278"/>
        <v>21436.5</v>
      </c>
      <c r="K175" s="24">
        <f t="shared" si="279"/>
        <v>-2362.5</v>
      </c>
      <c r="L175" s="281">
        <f t="shared" si="280"/>
        <v>-9.9268876843564849E-2</v>
      </c>
      <c r="M175" s="431">
        <f t="shared" si="281"/>
        <v>73119</v>
      </c>
      <c r="N175" s="410">
        <v>21624</v>
      </c>
      <c r="O175" s="10">
        <v>92000</v>
      </c>
      <c r="P175" s="10">
        <v>100000</v>
      </c>
      <c r="Q175" s="268">
        <v>100000</v>
      </c>
      <c r="R175" s="10">
        <v>100000</v>
      </c>
      <c r="S175" s="76">
        <f t="shared" si="301"/>
        <v>98000</v>
      </c>
      <c r="T175" s="24">
        <f t="shared" si="302"/>
        <v>76376</v>
      </c>
      <c r="U175" s="281">
        <f t="shared" si="303"/>
        <v>3.5320014798372181</v>
      </c>
      <c r="V175" s="462">
        <f t="shared" si="304"/>
        <v>98000</v>
      </c>
      <c r="W175" s="410">
        <v>117792</v>
      </c>
      <c r="X175" s="38">
        <v>153198</v>
      </c>
      <c r="Y175" s="31">
        <v>153198</v>
      </c>
      <c r="Z175" s="98">
        <v>133906.4</v>
      </c>
      <c r="AA175" s="76">
        <f t="shared" si="282"/>
        <v>146767.46666666667</v>
      </c>
      <c r="AB175" s="24">
        <f t="shared" si="283"/>
        <v>28975.466666666674</v>
      </c>
      <c r="AC175" s="25">
        <f t="shared" si="284"/>
        <v>0.24598840894684423</v>
      </c>
      <c r="AD175" s="309">
        <f t="shared" si="285"/>
        <v>146767.46666666667</v>
      </c>
      <c r="AE175" s="462">
        <f t="shared" si="286"/>
        <v>146767.46666666667</v>
      </c>
      <c r="AF175" s="410">
        <v>24149</v>
      </c>
      <c r="AG175" s="45">
        <v>43000</v>
      </c>
      <c r="AH175" s="45">
        <v>28075</v>
      </c>
      <c r="AI175" s="45">
        <v>60000</v>
      </c>
      <c r="AJ175" s="76">
        <f t="shared" si="297"/>
        <v>43691.666666666664</v>
      </c>
      <c r="AK175" s="24">
        <f t="shared" si="298"/>
        <v>19542.666666666664</v>
      </c>
      <c r="AL175" s="281">
        <f t="shared" si="299"/>
        <v>0.80925366129722409</v>
      </c>
      <c r="AM175" s="462">
        <f t="shared" si="300"/>
        <v>43691.666666666664</v>
      </c>
      <c r="AN175" s="513">
        <v>24272</v>
      </c>
      <c r="AO175" s="88">
        <v>25000</v>
      </c>
      <c r="AP175" s="116">
        <v>25000</v>
      </c>
      <c r="AQ175" s="74">
        <v>26810.41</v>
      </c>
      <c r="AR175" s="76">
        <f t="shared" si="287"/>
        <v>25603.47</v>
      </c>
      <c r="AS175" s="24">
        <f t="shared" si="288"/>
        <v>1331.4700000000012</v>
      </c>
      <c r="AT175" s="25">
        <f t="shared" si="289"/>
        <v>5.485621292023736E-2</v>
      </c>
      <c r="AU175" s="309">
        <f t="shared" si="290"/>
        <v>25603.47</v>
      </c>
      <c r="AV175" s="462">
        <f t="shared" si="291"/>
        <v>25603.47</v>
      </c>
      <c r="AW175" s="513">
        <v>24272</v>
      </c>
      <c r="AX175" s="74">
        <v>28029.064999999999</v>
      </c>
      <c r="AY175" s="74">
        <v>80000</v>
      </c>
      <c r="AZ175" s="75">
        <v>32294.357499999998</v>
      </c>
      <c r="BA175" s="61">
        <v>69000</v>
      </c>
      <c r="BB175" s="60">
        <v>28000</v>
      </c>
      <c r="BC175" s="74">
        <v>79350</v>
      </c>
      <c r="BD175" s="79">
        <v>32294.357499999998</v>
      </c>
      <c r="BE175" s="79">
        <f>21194*1.15</f>
        <v>24373.1</v>
      </c>
      <c r="BF175" s="127">
        <v>29247.719999999998</v>
      </c>
      <c r="BG175" s="128">
        <v>25200</v>
      </c>
      <c r="BH175" s="128">
        <v>25000</v>
      </c>
      <c r="BI175" s="76">
        <f t="shared" si="292"/>
        <v>52778.903749999998</v>
      </c>
      <c r="BJ175" s="24">
        <f t="shared" si="293"/>
        <v>28506.903749999998</v>
      </c>
      <c r="BK175" s="25">
        <f t="shared" si="294"/>
        <v>1.1744769178477257</v>
      </c>
      <c r="BL175" s="259" t="str">
        <f t="shared" si="295"/>
        <v>REVISAR PRECIO</v>
      </c>
      <c r="BM175" s="533">
        <f t="shared" si="296"/>
        <v>52778.903749999998</v>
      </c>
    </row>
    <row r="176" spans="1:65" ht="33" customHeight="1">
      <c r="A176" s="91" t="s">
        <v>18</v>
      </c>
      <c r="B176" s="358" t="s">
        <v>2367</v>
      </c>
      <c r="C176" s="50" t="s">
        <v>128</v>
      </c>
      <c r="D176" s="99" t="s">
        <v>467</v>
      </c>
      <c r="E176" s="391" t="s">
        <v>14</v>
      </c>
      <c r="F176" s="410">
        <v>35692</v>
      </c>
      <c r="G176" s="10">
        <v>33100</v>
      </c>
      <c r="H176" s="167">
        <v>99300</v>
      </c>
      <c r="I176" s="10">
        <v>18500</v>
      </c>
      <c r="J176" s="76">
        <f t="shared" si="278"/>
        <v>25800</v>
      </c>
      <c r="K176" s="24">
        <f t="shared" si="279"/>
        <v>-9892</v>
      </c>
      <c r="L176" s="281">
        <f t="shared" si="280"/>
        <v>-0.27714894093914605</v>
      </c>
      <c r="M176" s="431">
        <f t="shared" si="281"/>
        <v>99300</v>
      </c>
      <c r="N176" s="410">
        <v>32122</v>
      </c>
      <c r="O176" s="10">
        <v>92000</v>
      </c>
      <c r="P176" s="10">
        <v>100000</v>
      </c>
      <c r="Q176" s="268">
        <v>100000</v>
      </c>
      <c r="R176" s="10">
        <v>100000</v>
      </c>
      <c r="S176" s="76">
        <f t="shared" si="301"/>
        <v>98000</v>
      </c>
      <c r="T176" s="24">
        <f t="shared" si="302"/>
        <v>65878</v>
      </c>
      <c r="U176" s="281">
        <f t="shared" si="303"/>
        <v>2.05086856360127</v>
      </c>
      <c r="V176" s="462">
        <f t="shared" si="304"/>
        <v>98000</v>
      </c>
      <c r="W176" s="410">
        <v>133476</v>
      </c>
      <c r="X176" s="38">
        <v>173597</v>
      </c>
      <c r="Y176" s="33">
        <v>225675</v>
      </c>
      <c r="Z176" s="98">
        <v>151736.20000000001</v>
      </c>
      <c r="AA176" s="76">
        <f t="shared" si="282"/>
        <v>183669.4</v>
      </c>
      <c r="AB176" s="24">
        <f t="shared" si="283"/>
        <v>50193.399999999994</v>
      </c>
      <c r="AC176" s="25">
        <f t="shared" si="284"/>
        <v>0.3760481285025023</v>
      </c>
      <c r="AD176" s="309" t="str">
        <f t="shared" si="285"/>
        <v>REVISAR PRECIO</v>
      </c>
      <c r="AE176" s="462">
        <f t="shared" si="286"/>
        <v>183669.4</v>
      </c>
      <c r="AF176" s="410">
        <v>35692</v>
      </c>
      <c r="AG176" s="45">
        <v>43000</v>
      </c>
      <c r="AH176" s="45">
        <v>42110</v>
      </c>
      <c r="AI176" s="45">
        <v>60000</v>
      </c>
      <c r="AJ176" s="76">
        <f t="shared" si="297"/>
        <v>48370</v>
      </c>
      <c r="AK176" s="24">
        <f t="shared" si="298"/>
        <v>12678</v>
      </c>
      <c r="AL176" s="281">
        <f t="shared" si="299"/>
        <v>0.35520564832455453</v>
      </c>
      <c r="AM176" s="462">
        <f t="shared" si="300"/>
        <v>48370</v>
      </c>
      <c r="AN176" s="513">
        <v>35692</v>
      </c>
      <c r="AO176" s="88">
        <v>35000</v>
      </c>
      <c r="AP176" s="116">
        <v>35000</v>
      </c>
      <c r="AQ176" s="74">
        <v>36410.494999999995</v>
      </c>
      <c r="AR176" s="76">
        <f t="shared" si="287"/>
        <v>35470.165000000001</v>
      </c>
      <c r="AS176" s="24">
        <f t="shared" si="288"/>
        <v>-221.83499999999913</v>
      </c>
      <c r="AT176" s="25">
        <f t="shared" si="289"/>
        <v>-6.2152583211923995E-3</v>
      </c>
      <c r="AU176" s="309">
        <f t="shared" si="290"/>
        <v>35470.165000000001</v>
      </c>
      <c r="AV176" s="462">
        <f t="shared" si="291"/>
        <v>35470.165000000001</v>
      </c>
      <c r="AW176" s="513">
        <v>35692</v>
      </c>
      <c r="AX176" s="74">
        <v>38065.517499999994</v>
      </c>
      <c r="AY176" s="74">
        <v>100000</v>
      </c>
      <c r="AZ176" s="75">
        <v>43858.096249999995</v>
      </c>
      <c r="BA176" s="61">
        <v>69000</v>
      </c>
      <c r="BB176" s="60">
        <v>28000</v>
      </c>
      <c r="BC176" s="74">
        <v>79350</v>
      </c>
      <c r="BD176" s="79">
        <v>43858.096249999995</v>
      </c>
      <c r="BE176" s="79">
        <f>28783*1.15</f>
        <v>33100.449999999997</v>
      </c>
      <c r="BF176" s="127">
        <v>39720.539999999994</v>
      </c>
      <c r="BG176" s="128">
        <v>327000</v>
      </c>
      <c r="BH176" s="128">
        <v>35000</v>
      </c>
      <c r="BI176" s="76">
        <f t="shared" si="292"/>
        <v>59712.268958333334</v>
      </c>
      <c r="BJ176" s="24">
        <f t="shared" si="293"/>
        <v>24020.268958333334</v>
      </c>
      <c r="BK176" s="25">
        <f t="shared" si="294"/>
        <v>0.67298747501774447</v>
      </c>
      <c r="BL176" s="259" t="str">
        <f t="shared" si="295"/>
        <v>REVISAR PRECIO</v>
      </c>
      <c r="BM176" s="533">
        <f t="shared" si="296"/>
        <v>59712.268958333334</v>
      </c>
    </row>
    <row r="177" spans="1:65" ht="33" customHeight="1">
      <c r="A177" s="91" t="s">
        <v>18</v>
      </c>
      <c r="B177" s="358" t="s">
        <v>2368</v>
      </c>
      <c r="C177" s="50" t="s">
        <v>129</v>
      </c>
      <c r="D177" s="99" t="s">
        <v>468</v>
      </c>
      <c r="E177" s="391" t="s">
        <v>14</v>
      </c>
      <c r="F177" s="410">
        <v>24302</v>
      </c>
      <c r="G177" s="10">
        <v>26302</v>
      </c>
      <c r="H177" s="167">
        <v>78906</v>
      </c>
      <c r="I177" s="10">
        <v>18500</v>
      </c>
      <c r="J177" s="76">
        <f t="shared" si="278"/>
        <v>22401</v>
      </c>
      <c r="K177" s="24">
        <f t="shared" si="279"/>
        <v>-1901</v>
      </c>
      <c r="L177" s="281">
        <f t="shared" si="280"/>
        <v>-7.822401448440458E-2</v>
      </c>
      <c r="M177" s="431">
        <f t="shared" si="281"/>
        <v>78906</v>
      </c>
      <c r="N177" s="410">
        <v>21871</v>
      </c>
      <c r="O177" s="10">
        <v>92000</v>
      </c>
      <c r="P177" s="10">
        <v>100000</v>
      </c>
      <c r="Q177" s="268">
        <v>100000</v>
      </c>
      <c r="R177" s="10">
        <v>100000</v>
      </c>
      <c r="S177" s="76">
        <f t="shared" si="301"/>
        <v>98000</v>
      </c>
      <c r="T177" s="24">
        <f t="shared" si="302"/>
        <v>76129</v>
      </c>
      <c r="U177" s="281">
        <f t="shared" si="303"/>
        <v>3.4808193498239679</v>
      </c>
      <c r="V177" s="462">
        <f t="shared" si="304"/>
        <v>98000</v>
      </c>
      <c r="W177" s="410">
        <v>90887</v>
      </c>
      <c r="X177" s="38">
        <v>118206</v>
      </c>
      <c r="Y177" s="31">
        <v>153668</v>
      </c>
      <c r="Z177" s="98">
        <v>103320.8</v>
      </c>
      <c r="AA177" s="76">
        <f t="shared" si="282"/>
        <v>125064.93333333333</v>
      </c>
      <c r="AB177" s="24">
        <f t="shared" si="283"/>
        <v>34177.933333333334</v>
      </c>
      <c r="AC177" s="25">
        <f t="shared" si="284"/>
        <v>0.37604864648776321</v>
      </c>
      <c r="AD177" s="309" t="str">
        <f t="shared" si="285"/>
        <v>REVISAR PRECIO</v>
      </c>
      <c r="AE177" s="462">
        <f t="shared" si="286"/>
        <v>125064.93333333333</v>
      </c>
      <c r="AF177" s="410">
        <v>24301</v>
      </c>
      <c r="AG177" s="45">
        <v>43000</v>
      </c>
      <c r="AH177" s="45">
        <v>28674</v>
      </c>
      <c r="AI177" s="45">
        <v>60000</v>
      </c>
      <c r="AJ177" s="76">
        <f t="shared" si="297"/>
        <v>43891.333333333336</v>
      </c>
      <c r="AK177" s="24">
        <f t="shared" si="298"/>
        <v>19590.333333333336</v>
      </c>
      <c r="AL177" s="281">
        <f t="shared" si="299"/>
        <v>0.80615338189100594</v>
      </c>
      <c r="AM177" s="462">
        <f t="shared" si="300"/>
        <v>43891.333333333336</v>
      </c>
      <c r="AN177" s="513">
        <v>24301</v>
      </c>
      <c r="AO177" s="88">
        <v>30000</v>
      </c>
      <c r="AP177" s="116">
        <v>30000</v>
      </c>
      <c r="AQ177" s="74">
        <v>28932.2</v>
      </c>
      <c r="AR177" s="76">
        <f t="shared" si="287"/>
        <v>29644.066666666666</v>
      </c>
      <c r="AS177" s="24">
        <f t="shared" si="288"/>
        <v>5343.0666666666657</v>
      </c>
      <c r="AT177" s="25">
        <f t="shared" si="289"/>
        <v>0.21987023853613702</v>
      </c>
      <c r="AU177" s="309">
        <f t="shared" si="290"/>
        <v>29644.066666666666</v>
      </c>
      <c r="AV177" s="462">
        <f t="shared" si="291"/>
        <v>29644.066666666666</v>
      </c>
      <c r="AW177" s="513">
        <v>24301</v>
      </c>
      <c r="AX177" s="74">
        <v>30247.3</v>
      </c>
      <c r="AY177" s="74">
        <v>80000</v>
      </c>
      <c r="AZ177" s="75">
        <v>34850.149999999994</v>
      </c>
      <c r="BA177" s="61">
        <v>69000</v>
      </c>
      <c r="BB177" s="60">
        <v>28000</v>
      </c>
      <c r="BC177" s="74">
        <v>79350</v>
      </c>
      <c r="BD177" s="79">
        <v>34850.149999999994</v>
      </c>
      <c r="BE177" s="79">
        <v>26302</v>
      </c>
      <c r="BF177" s="127">
        <v>31562.400000000001</v>
      </c>
      <c r="BG177" s="128">
        <v>25900</v>
      </c>
      <c r="BH177" s="128">
        <v>30000</v>
      </c>
      <c r="BI177" s="76">
        <f t="shared" si="292"/>
        <v>53574.575000000004</v>
      </c>
      <c r="BJ177" s="24">
        <f t="shared" si="293"/>
        <v>29273.575000000004</v>
      </c>
      <c r="BK177" s="25">
        <f t="shared" si="294"/>
        <v>1.2046242952964901</v>
      </c>
      <c r="BL177" s="259" t="str">
        <f t="shared" si="295"/>
        <v>REVISAR PRECIO</v>
      </c>
      <c r="BM177" s="533">
        <f t="shared" si="296"/>
        <v>53574.575000000004</v>
      </c>
    </row>
    <row r="178" spans="1:65" ht="33" customHeight="1">
      <c r="A178" s="91" t="s">
        <v>18</v>
      </c>
      <c r="B178" s="358" t="s">
        <v>2369</v>
      </c>
      <c r="C178" s="50" t="s">
        <v>130</v>
      </c>
      <c r="D178" s="99" t="s">
        <v>469</v>
      </c>
      <c r="E178" s="391" t="s">
        <v>14</v>
      </c>
      <c r="F178" s="410">
        <v>23855</v>
      </c>
      <c r="G178" s="10">
        <v>34254</v>
      </c>
      <c r="H178" s="167">
        <v>102762</v>
      </c>
      <c r="I178" s="10">
        <v>32655</v>
      </c>
      <c r="J178" s="76">
        <f t="shared" si="278"/>
        <v>33454.5</v>
      </c>
      <c r="K178" s="24">
        <f t="shared" si="279"/>
        <v>9599.5</v>
      </c>
      <c r="L178" s="420">
        <f t="shared" si="280"/>
        <v>0.40241039614336616</v>
      </c>
      <c r="M178" s="431">
        <f t="shared" si="281"/>
        <v>102762</v>
      </c>
      <c r="N178" s="410">
        <v>21681</v>
      </c>
      <c r="O178" s="10">
        <v>68000</v>
      </c>
      <c r="P178" s="10">
        <v>75000</v>
      </c>
      <c r="Q178" s="268">
        <v>70000</v>
      </c>
      <c r="R178" s="10">
        <v>80000</v>
      </c>
      <c r="S178" s="76">
        <f t="shared" si="301"/>
        <v>73250</v>
      </c>
      <c r="T178" s="24">
        <f t="shared" si="302"/>
        <v>51569</v>
      </c>
      <c r="U178" s="281">
        <f t="shared" si="303"/>
        <v>2.3785342004520085</v>
      </c>
      <c r="V178" s="462">
        <f t="shared" si="304"/>
        <v>73250</v>
      </c>
      <c r="W178" s="410">
        <v>45506</v>
      </c>
      <c r="X178" s="38">
        <v>59184</v>
      </c>
      <c r="Y178" s="31">
        <v>76939</v>
      </c>
      <c r="Z178" s="98">
        <v>51731.199999999997</v>
      </c>
      <c r="AA178" s="76">
        <f t="shared" si="282"/>
        <v>62618.066666666673</v>
      </c>
      <c r="AB178" s="24">
        <f t="shared" si="283"/>
        <v>17112.066666666673</v>
      </c>
      <c r="AC178" s="25">
        <f t="shared" si="284"/>
        <v>0.37603978962481149</v>
      </c>
      <c r="AD178" s="309" t="str">
        <f t="shared" si="285"/>
        <v>REVISAR PRECIO</v>
      </c>
      <c r="AE178" s="462">
        <f t="shared" si="286"/>
        <v>62618.066666666673</v>
      </c>
      <c r="AF178" s="410">
        <v>24215</v>
      </c>
      <c r="AG178" s="45">
        <v>65000</v>
      </c>
      <c r="AH178" s="45">
        <v>28148</v>
      </c>
      <c r="AI178" s="45">
        <v>60000</v>
      </c>
      <c r="AJ178" s="76">
        <f t="shared" si="297"/>
        <v>51049.333333333336</v>
      </c>
      <c r="AK178" s="24">
        <f t="shared" si="298"/>
        <v>26834.333333333336</v>
      </c>
      <c r="AL178" s="281">
        <f t="shared" si="299"/>
        <v>1.1081698671622273</v>
      </c>
      <c r="AM178" s="462">
        <f t="shared" si="300"/>
        <v>51049.333333333336</v>
      </c>
      <c r="AN178" s="513">
        <v>24329</v>
      </c>
      <c r="AO178" s="88">
        <v>38000</v>
      </c>
      <c r="AP178" s="116">
        <v>38000</v>
      </c>
      <c r="AQ178" s="74">
        <v>37679.4</v>
      </c>
      <c r="AR178" s="76">
        <f t="shared" si="287"/>
        <v>37893.133333333331</v>
      </c>
      <c r="AS178" s="24">
        <f t="shared" si="288"/>
        <v>13564.133333333331</v>
      </c>
      <c r="AT178" s="25">
        <f t="shared" si="289"/>
        <v>0.55752942304793995</v>
      </c>
      <c r="AU178" s="309" t="str">
        <f t="shared" si="290"/>
        <v>REVISAR PRECIO</v>
      </c>
      <c r="AV178" s="462">
        <f t="shared" si="291"/>
        <v>37893.133333333331</v>
      </c>
      <c r="AW178" s="513">
        <v>24329</v>
      </c>
      <c r="AX178" s="74">
        <v>39392.1</v>
      </c>
      <c r="AY178" s="74">
        <v>50000</v>
      </c>
      <c r="AZ178" s="75">
        <v>45386.55</v>
      </c>
      <c r="BA178" s="61">
        <v>39392.1</v>
      </c>
      <c r="BB178" s="60">
        <v>28000</v>
      </c>
      <c r="BC178" s="74">
        <v>45300.914999999994</v>
      </c>
      <c r="BD178" s="79">
        <v>45386.55</v>
      </c>
      <c r="BE178" s="79">
        <f>31140*1.1</f>
        <v>34254</v>
      </c>
      <c r="BF178" s="127">
        <v>41104.800000000003</v>
      </c>
      <c r="BG178" s="128">
        <v>40850</v>
      </c>
      <c r="BH178" s="128">
        <v>35000</v>
      </c>
      <c r="BI178" s="76">
        <f t="shared" si="292"/>
        <v>41245.277500000004</v>
      </c>
      <c r="BJ178" s="24">
        <f t="shared" si="293"/>
        <v>16916.277500000004</v>
      </c>
      <c r="BK178" s="25">
        <f t="shared" si="294"/>
        <v>0.69531330921945023</v>
      </c>
      <c r="BL178" s="259" t="str">
        <f t="shared" si="295"/>
        <v>REVISAR PRECIO</v>
      </c>
      <c r="BM178" s="533">
        <f t="shared" si="296"/>
        <v>41245.277500000004</v>
      </c>
    </row>
    <row r="179" spans="1:65" ht="33" customHeight="1">
      <c r="A179" s="91" t="s">
        <v>18</v>
      </c>
      <c r="B179" s="358" t="s">
        <v>2370</v>
      </c>
      <c r="C179" s="50" t="s">
        <v>131</v>
      </c>
      <c r="D179" s="99" t="s">
        <v>470</v>
      </c>
      <c r="E179" s="391" t="s">
        <v>14</v>
      </c>
      <c r="F179" s="410">
        <v>28346</v>
      </c>
      <c r="G179" s="10">
        <v>49651</v>
      </c>
      <c r="H179" s="167">
        <v>148953</v>
      </c>
      <c r="I179" s="10">
        <v>39680</v>
      </c>
      <c r="J179" s="76">
        <f t="shared" si="278"/>
        <v>44665.5</v>
      </c>
      <c r="K179" s="24">
        <f t="shared" si="279"/>
        <v>16319.5</v>
      </c>
      <c r="L179" s="281">
        <f t="shared" si="280"/>
        <v>0.57572497001340572</v>
      </c>
      <c r="M179" s="431">
        <f t="shared" si="281"/>
        <v>148953</v>
      </c>
      <c r="N179" s="410">
        <v>25762</v>
      </c>
      <c r="O179" s="10">
        <v>142000</v>
      </c>
      <c r="P179" s="10">
        <v>150000</v>
      </c>
      <c r="Q179" s="268">
        <v>150000</v>
      </c>
      <c r="R179" s="10">
        <v>150000</v>
      </c>
      <c r="S179" s="76">
        <f t="shared" si="301"/>
        <v>148000</v>
      </c>
      <c r="T179" s="24">
        <f t="shared" si="302"/>
        <v>122238</v>
      </c>
      <c r="U179" s="281">
        <f t="shared" si="303"/>
        <v>4.7448955826410995</v>
      </c>
      <c r="V179" s="462">
        <f t="shared" si="304"/>
        <v>148000</v>
      </c>
      <c r="W179" s="410">
        <v>54049</v>
      </c>
      <c r="X179" s="38">
        <v>70295</v>
      </c>
      <c r="Y179" s="33">
        <v>91383</v>
      </c>
      <c r="Z179" s="98">
        <v>61442.6</v>
      </c>
      <c r="AA179" s="76">
        <f t="shared" si="282"/>
        <v>74373.53333333334</v>
      </c>
      <c r="AB179" s="24">
        <f t="shared" si="283"/>
        <v>20324.53333333334</v>
      </c>
      <c r="AC179" s="25">
        <f t="shared" si="284"/>
        <v>0.3760390263156273</v>
      </c>
      <c r="AD179" s="309" t="str">
        <f t="shared" si="285"/>
        <v>REVISAR PRECIO</v>
      </c>
      <c r="AE179" s="462">
        <f t="shared" si="286"/>
        <v>74373.53333333334</v>
      </c>
      <c r="AF179" s="410">
        <v>28762</v>
      </c>
      <c r="AG179" s="45">
        <v>52000</v>
      </c>
      <c r="AH179" s="45">
        <v>33438</v>
      </c>
      <c r="AI179" s="45">
        <v>60000</v>
      </c>
      <c r="AJ179" s="76">
        <f t="shared" si="297"/>
        <v>48479.333333333336</v>
      </c>
      <c r="AK179" s="24">
        <f t="shared" si="298"/>
        <v>19717.333333333336</v>
      </c>
      <c r="AL179" s="281">
        <f t="shared" si="299"/>
        <v>0.68553415386041772</v>
      </c>
      <c r="AM179" s="462">
        <f t="shared" si="300"/>
        <v>48479.333333333336</v>
      </c>
      <c r="AN179" s="513">
        <v>28904</v>
      </c>
      <c r="AO179" s="88">
        <v>50000</v>
      </c>
      <c r="AP179" s="116">
        <v>50000</v>
      </c>
      <c r="AQ179" s="74">
        <v>54615.742499999993</v>
      </c>
      <c r="AR179" s="76">
        <f t="shared" si="287"/>
        <v>51538.580833333333</v>
      </c>
      <c r="AS179" s="24">
        <f t="shared" si="288"/>
        <v>22634.580833333333</v>
      </c>
      <c r="AT179" s="25">
        <f t="shared" si="289"/>
        <v>0.78309510217732259</v>
      </c>
      <c r="AU179" s="309" t="str">
        <f t="shared" si="290"/>
        <v>REVISAR PRECIO</v>
      </c>
      <c r="AV179" s="462">
        <f t="shared" si="291"/>
        <v>51538.580833333333</v>
      </c>
      <c r="AW179" s="513">
        <v>28904</v>
      </c>
      <c r="AX179" s="74">
        <v>57098.276249999995</v>
      </c>
      <c r="AY179" s="74">
        <v>100000</v>
      </c>
      <c r="AZ179" s="75">
        <v>65787.144374999989</v>
      </c>
      <c r="BA179" s="61">
        <v>77050</v>
      </c>
      <c r="BB179" s="60">
        <v>35000</v>
      </c>
      <c r="BC179" s="74">
        <v>88607.5</v>
      </c>
      <c r="BD179" s="79">
        <v>65787.144374999989</v>
      </c>
      <c r="BE179" s="79">
        <f>+BE176*1.5</f>
        <v>49650.674999999996</v>
      </c>
      <c r="BF179" s="127">
        <v>59580.81</v>
      </c>
      <c r="BG179" s="128">
        <v>50200</v>
      </c>
      <c r="BH179" s="128">
        <v>50000</v>
      </c>
      <c r="BI179" s="76">
        <f t="shared" si="292"/>
        <v>70590.486770833333</v>
      </c>
      <c r="BJ179" s="24">
        <f t="shared" si="293"/>
        <v>41686.486770833333</v>
      </c>
      <c r="BK179" s="25">
        <f t="shared" si="294"/>
        <v>1.4422393707041701</v>
      </c>
      <c r="BL179" s="259" t="str">
        <f t="shared" si="295"/>
        <v>REVISAR PRECIO</v>
      </c>
      <c r="BM179" s="533">
        <f t="shared" si="296"/>
        <v>70590.486770833333</v>
      </c>
    </row>
    <row r="180" spans="1:65" ht="33" customHeight="1">
      <c r="A180" s="91" t="s">
        <v>18</v>
      </c>
      <c r="B180" s="358" t="s">
        <v>2371</v>
      </c>
      <c r="C180" s="50" t="s">
        <v>132</v>
      </c>
      <c r="D180" s="99" t="s">
        <v>471</v>
      </c>
      <c r="E180" s="391" t="s">
        <v>14</v>
      </c>
      <c r="F180" s="410">
        <v>19840</v>
      </c>
      <c r="G180" s="10">
        <v>34250</v>
      </c>
      <c r="H180" s="167">
        <v>137000</v>
      </c>
      <c r="I180" s="10">
        <v>33500</v>
      </c>
      <c r="J180" s="76">
        <f t="shared" si="278"/>
        <v>33875</v>
      </c>
      <c r="K180" s="24">
        <f t="shared" si="279"/>
        <v>14035</v>
      </c>
      <c r="L180" s="281">
        <f t="shared" si="280"/>
        <v>0.70740927419354838</v>
      </c>
      <c r="M180" s="431">
        <f t="shared" si="281"/>
        <v>137000</v>
      </c>
      <c r="N180" s="410">
        <v>18036</v>
      </c>
      <c r="O180" s="10">
        <v>48000</v>
      </c>
      <c r="P180" s="10">
        <v>55000</v>
      </c>
      <c r="Q180" s="268">
        <v>55000</v>
      </c>
      <c r="R180" s="10">
        <v>55000</v>
      </c>
      <c r="S180" s="76">
        <f t="shared" si="301"/>
        <v>53250</v>
      </c>
      <c r="T180" s="24">
        <f t="shared" si="302"/>
        <v>35214</v>
      </c>
      <c r="U180" s="281">
        <f t="shared" si="303"/>
        <v>1.9524284763805722</v>
      </c>
      <c r="V180" s="462">
        <f t="shared" si="304"/>
        <v>53250</v>
      </c>
      <c r="W180" s="410">
        <v>37845</v>
      </c>
      <c r="X180" s="38">
        <v>49221</v>
      </c>
      <c r="Y180" s="33">
        <v>63987</v>
      </c>
      <c r="Z180" s="98">
        <v>43022.8</v>
      </c>
      <c r="AA180" s="76">
        <f t="shared" si="282"/>
        <v>52076.933333333327</v>
      </c>
      <c r="AB180" s="24">
        <f t="shared" si="283"/>
        <v>14231.933333333327</v>
      </c>
      <c r="AC180" s="25">
        <f t="shared" si="284"/>
        <v>0.37605848416787757</v>
      </c>
      <c r="AD180" s="309" t="str">
        <f t="shared" si="285"/>
        <v>REVISAR PRECIO</v>
      </c>
      <c r="AE180" s="462">
        <f t="shared" si="286"/>
        <v>52076.933333333327</v>
      </c>
      <c r="AF180" s="410">
        <v>20133</v>
      </c>
      <c r="AG180" s="45">
        <v>42000</v>
      </c>
      <c r="AH180" s="45">
        <v>23408</v>
      </c>
      <c r="AI180" s="45">
        <v>60000</v>
      </c>
      <c r="AJ180" s="76">
        <f t="shared" si="297"/>
        <v>41802.666666666664</v>
      </c>
      <c r="AK180" s="24">
        <f t="shared" si="298"/>
        <v>21669.666666666664</v>
      </c>
      <c r="AL180" s="281">
        <f t="shared" si="299"/>
        <v>1.0763257669828969</v>
      </c>
      <c r="AM180" s="462">
        <f t="shared" si="300"/>
        <v>41802.666666666664</v>
      </c>
      <c r="AN180" s="513">
        <v>20238</v>
      </c>
      <c r="AO180" s="88">
        <v>35000</v>
      </c>
      <c r="AP180" s="116">
        <v>35000</v>
      </c>
      <c r="AQ180" s="74">
        <v>37674.560000000005</v>
      </c>
      <c r="AR180" s="76">
        <f t="shared" si="287"/>
        <v>35891.519999999997</v>
      </c>
      <c r="AS180" s="24">
        <f t="shared" si="288"/>
        <v>15653.519999999997</v>
      </c>
      <c r="AT180" s="25">
        <f t="shared" si="289"/>
        <v>0.77347168692558532</v>
      </c>
      <c r="AU180" s="309" t="str">
        <f t="shared" si="290"/>
        <v>REVISAR PRECIO</v>
      </c>
      <c r="AV180" s="462">
        <f t="shared" si="291"/>
        <v>35891.519999999997</v>
      </c>
      <c r="AW180" s="513">
        <v>20238</v>
      </c>
      <c r="AX180" s="74">
        <v>39387.040000000008</v>
      </c>
      <c r="AY180" s="74">
        <v>50000</v>
      </c>
      <c r="AZ180" s="75">
        <v>45380.72</v>
      </c>
      <c r="BA180" s="61">
        <v>43700</v>
      </c>
      <c r="BB180" s="60">
        <v>50000</v>
      </c>
      <c r="BC180" s="74">
        <v>50254.999999999993</v>
      </c>
      <c r="BD180" s="79">
        <v>45380.72</v>
      </c>
      <c r="BE180" s="79">
        <f>31136*1.1</f>
        <v>34249.600000000006</v>
      </c>
      <c r="BF180" s="127">
        <v>41099.520000000004</v>
      </c>
      <c r="BG180" s="128">
        <v>35600</v>
      </c>
      <c r="BH180" s="128">
        <v>35000</v>
      </c>
      <c r="BI180" s="76">
        <f t="shared" si="292"/>
        <v>46453.793333333335</v>
      </c>
      <c r="BJ180" s="24">
        <f t="shared" si="293"/>
        <v>26215.793333333335</v>
      </c>
      <c r="BK180" s="25">
        <f t="shared" si="294"/>
        <v>1.2953747076456832</v>
      </c>
      <c r="BL180" s="259" t="str">
        <f t="shared" si="295"/>
        <v>REVISAR PRECIO</v>
      </c>
      <c r="BM180" s="533">
        <f t="shared" si="296"/>
        <v>46453.793333333335</v>
      </c>
    </row>
    <row r="181" spans="1:65" ht="33" customHeight="1">
      <c r="A181" s="91" t="s">
        <v>18</v>
      </c>
      <c r="B181" s="358" t="s">
        <v>2372</v>
      </c>
      <c r="C181" s="50" t="s">
        <v>133</v>
      </c>
      <c r="D181" s="99" t="s">
        <v>472</v>
      </c>
      <c r="E181" s="391" t="s">
        <v>14</v>
      </c>
      <c r="F181" s="410">
        <v>87255</v>
      </c>
      <c r="G181" s="10">
        <v>83775</v>
      </c>
      <c r="H181" s="167">
        <v>418875</v>
      </c>
      <c r="I181" s="10">
        <v>75500</v>
      </c>
      <c r="J181" s="76">
        <f t="shared" si="278"/>
        <v>79637.5</v>
      </c>
      <c r="K181" s="24">
        <f t="shared" si="279"/>
        <v>-7617.5</v>
      </c>
      <c r="L181" s="281">
        <f t="shared" si="280"/>
        <v>-8.7301587301587297E-2</v>
      </c>
      <c r="M181" s="431">
        <f t="shared" si="281"/>
        <v>418875</v>
      </c>
      <c r="N181" s="410">
        <v>79309</v>
      </c>
      <c r="O181" s="10">
        <v>192000</v>
      </c>
      <c r="P181" s="10">
        <v>200000</v>
      </c>
      <c r="Q181" s="268">
        <v>200000</v>
      </c>
      <c r="R181" s="10">
        <v>200000</v>
      </c>
      <c r="S181" s="76">
        <f t="shared" si="301"/>
        <v>198000</v>
      </c>
      <c r="T181" s="24">
        <f t="shared" si="302"/>
        <v>118691</v>
      </c>
      <c r="U181" s="281">
        <f t="shared" si="303"/>
        <v>1.4965640721733977</v>
      </c>
      <c r="V181" s="462">
        <f t="shared" si="304"/>
        <v>198000</v>
      </c>
      <c r="W181" s="410">
        <v>166423</v>
      </c>
      <c r="X181" s="38">
        <v>216446</v>
      </c>
      <c r="Y181" s="31">
        <v>281379</v>
      </c>
      <c r="Z181" s="98">
        <v>189189.4</v>
      </c>
      <c r="AA181" s="76">
        <f t="shared" si="282"/>
        <v>229004.80000000002</v>
      </c>
      <c r="AB181" s="24">
        <f t="shared" si="283"/>
        <v>62581.800000000017</v>
      </c>
      <c r="AC181" s="25">
        <f t="shared" si="284"/>
        <v>0.37604057131526303</v>
      </c>
      <c r="AD181" s="309" t="str">
        <f t="shared" si="285"/>
        <v>REVISAR PRECIO</v>
      </c>
      <c r="AE181" s="462">
        <f t="shared" si="286"/>
        <v>229004.80000000002</v>
      </c>
      <c r="AF181" s="410">
        <v>88555</v>
      </c>
      <c r="AG181" s="45">
        <v>75000</v>
      </c>
      <c r="AH181" s="45">
        <v>102949</v>
      </c>
      <c r="AI181" s="45">
        <v>75000</v>
      </c>
      <c r="AJ181" s="76">
        <f t="shared" si="297"/>
        <v>84316.333333333328</v>
      </c>
      <c r="AK181" s="24">
        <f t="shared" si="298"/>
        <v>-4238.6666666666715</v>
      </c>
      <c r="AL181" s="281">
        <f t="shared" si="299"/>
        <v>-4.786479212542117E-2</v>
      </c>
      <c r="AM181" s="462">
        <f t="shared" si="300"/>
        <v>84316.333333333328</v>
      </c>
      <c r="AN181" s="513">
        <v>89001</v>
      </c>
      <c r="AO181" s="88">
        <v>90000</v>
      </c>
      <c r="AP181" s="116">
        <v>90000</v>
      </c>
      <c r="AQ181" s="74">
        <v>92152.390000000014</v>
      </c>
      <c r="AR181" s="76">
        <f t="shared" si="287"/>
        <v>90717.463333333333</v>
      </c>
      <c r="AS181" s="24">
        <f t="shared" si="288"/>
        <v>1716.4633333333331</v>
      </c>
      <c r="AT181" s="25">
        <f t="shared" si="289"/>
        <v>1.928588817354112E-2</v>
      </c>
      <c r="AU181" s="309">
        <f t="shared" si="290"/>
        <v>90717.463333333333</v>
      </c>
      <c r="AV181" s="462">
        <f t="shared" si="291"/>
        <v>90717.463333333333</v>
      </c>
      <c r="AW181" s="513">
        <v>89001</v>
      </c>
      <c r="AX181" s="74">
        <v>96341.135000000009</v>
      </c>
      <c r="AY181" s="74">
        <v>140000</v>
      </c>
      <c r="AZ181" s="75">
        <v>111001.74250000002</v>
      </c>
      <c r="BA181" s="61">
        <v>96341.135000000009</v>
      </c>
      <c r="BB181" s="60">
        <v>60000</v>
      </c>
      <c r="BC181" s="74">
        <v>110792.30525</v>
      </c>
      <c r="BD181" s="79">
        <v>111001.74250000002</v>
      </c>
      <c r="BE181" s="79">
        <f>76159*1.1</f>
        <v>83774.900000000009</v>
      </c>
      <c r="BF181" s="127">
        <v>100529.88</v>
      </c>
      <c r="BG181" s="128">
        <v>85200</v>
      </c>
      <c r="BH181" s="128">
        <v>90000</v>
      </c>
      <c r="BI181" s="76">
        <f t="shared" si="292"/>
        <v>102412.71962500001</v>
      </c>
      <c r="BJ181" s="24">
        <f t="shared" si="293"/>
        <v>13411.719625000012</v>
      </c>
      <c r="BK181" s="25">
        <f t="shared" si="294"/>
        <v>0.1506917857664522</v>
      </c>
      <c r="BL181" s="259">
        <f t="shared" si="295"/>
        <v>102412.71962500001</v>
      </c>
      <c r="BM181" s="533">
        <f t="shared" si="296"/>
        <v>102412.71962500001</v>
      </c>
    </row>
    <row r="182" spans="1:65" ht="33" customHeight="1">
      <c r="A182" s="91" t="s">
        <v>18</v>
      </c>
      <c r="B182" s="358" t="s">
        <v>2373</v>
      </c>
      <c r="C182" s="50" t="s">
        <v>134</v>
      </c>
      <c r="D182" s="99" t="s">
        <v>473</v>
      </c>
      <c r="E182" s="391" t="s">
        <v>10</v>
      </c>
      <c r="F182" s="410">
        <v>48592</v>
      </c>
      <c r="G182" s="10">
        <v>34760</v>
      </c>
      <c r="H182" s="167">
        <v>173800</v>
      </c>
      <c r="I182" s="10">
        <v>34000</v>
      </c>
      <c r="J182" s="76">
        <f t="shared" si="278"/>
        <v>34380</v>
      </c>
      <c r="K182" s="24">
        <f t="shared" si="279"/>
        <v>-14212</v>
      </c>
      <c r="L182" s="281">
        <f t="shared" si="280"/>
        <v>-0.29247612775765558</v>
      </c>
      <c r="M182" s="431">
        <f t="shared" si="281"/>
        <v>173800</v>
      </c>
      <c r="N182" s="410">
        <v>44168</v>
      </c>
      <c r="O182" s="10">
        <v>72000</v>
      </c>
      <c r="P182" s="10">
        <v>78000</v>
      </c>
      <c r="Q182" s="268">
        <v>75000</v>
      </c>
      <c r="R182" s="10">
        <v>90000</v>
      </c>
      <c r="S182" s="76">
        <f t="shared" si="301"/>
        <v>78750</v>
      </c>
      <c r="T182" s="24">
        <f t="shared" si="302"/>
        <v>34582</v>
      </c>
      <c r="U182" s="281">
        <f t="shared" si="303"/>
        <v>0.78296504256475274</v>
      </c>
      <c r="V182" s="462">
        <f t="shared" si="304"/>
        <v>78750</v>
      </c>
      <c r="W182" s="410">
        <v>92683</v>
      </c>
      <c r="X182" s="38">
        <v>120542</v>
      </c>
      <c r="Y182" s="31">
        <v>156704</v>
      </c>
      <c r="Z182" s="98">
        <v>105362.2</v>
      </c>
      <c r="AA182" s="76">
        <f t="shared" si="282"/>
        <v>127536.06666666667</v>
      </c>
      <c r="AB182" s="24">
        <f t="shared" si="283"/>
        <v>34853.066666666666</v>
      </c>
      <c r="AC182" s="25">
        <f t="shared" si="284"/>
        <v>0.3760459487356545</v>
      </c>
      <c r="AD182" s="309" t="str">
        <f t="shared" si="285"/>
        <v>REVISAR PRECIO</v>
      </c>
      <c r="AE182" s="462">
        <f t="shared" si="286"/>
        <v>127536.06666666667</v>
      </c>
      <c r="AF182" s="410">
        <v>49323</v>
      </c>
      <c r="AG182" s="45">
        <v>37000</v>
      </c>
      <c r="AH182" s="45">
        <v>57337</v>
      </c>
      <c r="AI182" s="45">
        <v>40000</v>
      </c>
      <c r="AJ182" s="76">
        <f t="shared" si="297"/>
        <v>44779</v>
      </c>
      <c r="AK182" s="24">
        <f t="shared" si="298"/>
        <v>-4544</v>
      </c>
      <c r="AL182" s="281">
        <f t="shared" si="299"/>
        <v>-9.2127405064574341E-2</v>
      </c>
      <c r="AM182" s="462">
        <f t="shared" si="300"/>
        <v>44779</v>
      </c>
      <c r="AN182" s="513">
        <v>49569</v>
      </c>
      <c r="AO182" s="88">
        <v>40000</v>
      </c>
      <c r="AP182" s="116">
        <v>40000</v>
      </c>
      <c r="AQ182" s="74">
        <v>38236</v>
      </c>
      <c r="AR182" s="76">
        <f t="shared" si="287"/>
        <v>39412</v>
      </c>
      <c r="AS182" s="24">
        <f t="shared" si="288"/>
        <v>-10157</v>
      </c>
      <c r="AT182" s="25">
        <f t="shared" si="289"/>
        <v>-0.20490629223910106</v>
      </c>
      <c r="AU182" s="309">
        <f t="shared" si="290"/>
        <v>39412</v>
      </c>
      <c r="AV182" s="462">
        <f t="shared" si="291"/>
        <v>39412</v>
      </c>
      <c r="AW182" s="513">
        <v>49569</v>
      </c>
      <c r="AX182" s="74">
        <v>39974</v>
      </c>
      <c r="AY182" s="74">
        <v>65000</v>
      </c>
      <c r="AZ182" s="75">
        <v>46057</v>
      </c>
      <c r="BA182" s="61">
        <v>109249.99999999999</v>
      </c>
      <c r="BB182" s="60">
        <v>90000</v>
      </c>
      <c r="BC182" s="74">
        <v>125637.49999999997</v>
      </c>
      <c r="BD182" s="79">
        <v>46057</v>
      </c>
      <c r="BE182" s="79">
        <f>31600*1.1</f>
        <v>34760</v>
      </c>
      <c r="BF182" s="127">
        <v>41712</v>
      </c>
      <c r="BG182" s="128">
        <v>40100</v>
      </c>
      <c r="BH182" s="128">
        <v>35000</v>
      </c>
      <c r="BI182" s="76">
        <f t="shared" si="292"/>
        <v>79319.75</v>
      </c>
      <c r="BJ182" s="24">
        <f t="shared" si="293"/>
        <v>29750.75</v>
      </c>
      <c r="BK182" s="25">
        <f t="shared" si="294"/>
        <v>0.60018862595573852</v>
      </c>
      <c r="BL182" s="259" t="str">
        <f t="shared" si="295"/>
        <v>REVISAR PRECIO</v>
      </c>
      <c r="BM182" s="533">
        <f t="shared" si="296"/>
        <v>79319.75</v>
      </c>
    </row>
    <row r="183" spans="1:65" ht="33.6" customHeight="1">
      <c r="A183" s="91" t="s">
        <v>18</v>
      </c>
      <c r="B183" s="358" t="s">
        <v>2374</v>
      </c>
      <c r="C183" s="50" t="s">
        <v>135</v>
      </c>
      <c r="D183" s="99" t="s">
        <v>474</v>
      </c>
      <c r="E183" s="391" t="s">
        <v>12</v>
      </c>
      <c r="F183" s="410">
        <v>40847</v>
      </c>
      <c r="G183" s="10">
        <v>40864</v>
      </c>
      <c r="H183" s="167">
        <v>204320</v>
      </c>
      <c r="I183" s="10">
        <v>38500</v>
      </c>
      <c r="J183" s="76">
        <f t="shared" si="278"/>
        <v>39682</v>
      </c>
      <c r="K183" s="24">
        <f t="shared" si="279"/>
        <v>-1165</v>
      </c>
      <c r="L183" s="281">
        <f t="shared" si="280"/>
        <v>-2.8521066418586431E-2</v>
      </c>
      <c r="M183" s="431">
        <f t="shared" si="281"/>
        <v>204320</v>
      </c>
      <c r="N183" s="410">
        <v>37125</v>
      </c>
      <c r="O183" s="10">
        <v>72000</v>
      </c>
      <c r="P183" s="10">
        <v>75000</v>
      </c>
      <c r="Q183" s="268">
        <v>75000</v>
      </c>
      <c r="R183" s="10">
        <v>90000</v>
      </c>
      <c r="S183" s="76">
        <f t="shared" si="301"/>
        <v>78000</v>
      </c>
      <c r="T183" s="24">
        <f t="shared" si="302"/>
        <v>40875</v>
      </c>
      <c r="U183" s="281">
        <f t="shared" si="303"/>
        <v>1.101010101010101</v>
      </c>
      <c r="V183" s="462">
        <f t="shared" si="304"/>
        <v>78000</v>
      </c>
      <c r="W183" s="410">
        <v>77902</v>
      </c>
      <c r="X183" s="38">
        <v>101318</v>
      </c>
      <c r="Y183" s="31">
        <v>131713</v>
      </c>
      <c r="Z183" s="98">
        <v>88559</v>
      </c>
      <c r="AA183" s="76">
        <f t="shared" si="282"/>
        <v>107196.66666666667</v>
      </c>
      <c r="AB183" s="24">
        <f t="shared" si="283"/>
        <v>29294.666666666672</v>
      </c>
      <c r="AC183" s="25">
        <f t="shared" si="284"/>
        <v>0.3760451165139107</v>
      </c>
      <c r="AD183" s="309" t="str">
        <f t="shared" si="285"/>
        <v>REVISAR PRECIO</v>
      </c>
      <c r="AE183" s="462">
        <f t="shared" si="286"/>
        <v>107196.66666666667</v>
      </c>
      <c r="AF183" s="410">
        <v>41454</v>
      </c>
      <c r="AG183" s="45">
        <v>43000</v>
      </c>
      <c r="AH183" s="45">
        <v>48192</v>
      </c>
      <c r="AI183" s="45">
        <v>40000</v>
      </c>
      <c r="AJ183" s="76">
        <f t="shared" si="297"/>
        <v>43730.666666666664</v>
      </c>
      <c r="AK183" s="24">
        <f t="shared" si="298"/>
        <v>2276.6666666666642</v>
      </c>
      <c r="AL183" s="281">
        <f t="shared" si="299"/>
        <v>5.4920313278975834E-2</v>
      </c>
      <c r="AM183" s="462">
        <f t="shared" si="300"/>
        <v>43730.666666666664</v>
      </c>
      <c r="AN183" s="513">
        <v>41662</v>
      </c>
      <c r="AO183" s="88">
        <v>45000</v>
      </c>
      <c r="AP183" s="116">
        <v>45000</v>
      </c>
      <c r="AQ183" s="74">
        <v>44950.29</v>
      </c>
      <c r="AR183" s="76">
        <f t="shared" si="287"/>
        <v>44983.43</v>
      </c>
      <c r="AS183" s="24">
        <f t="shared" si="288"/>
        <v>3321.4300000000003</v>
      </c>
      <c r="AT183" s="25">
        <f t="shared" si="289"/>
        <v>7.9723249003888441E-2</v>
      </c>
      <c r="AU183" s="309">
        <f t="shared" si="290"/>
        <v>44983.43</v>
      </c>
      <c r="AV183" s="462">
        <f t="shared" si="291"/>
        <v>44983.43</v>
      </c>
      <c r="AW183" s="513">
        <v>41662</v>
      </c>
      <c r="AX183" s="74">
        <v>46993.485000000001</v>
      </c>
      <c r="AY183" s="74">
        <v>75000</v>
      </c>
      <c r="AZ183" s="75">
        <v>54144.667499999996</v>
      </c>
      <c r="BA183" s="61">
        <v>46993.485000000001</v>
      </c>
      <c r="BB183" s="60">
        <v>90000</v>
      </c>
      <c r="BC183" s="74">
        <v>54042.507749999997</v>
      </c>
      <c r="BD183" s="79">
        <v>54144.667499999996</v>
      </c>
      <c r="BE183" s="79">
        <f>37149*1.1</f>
        <v>40863.9</v>
      </c>
      <c r="BF183" s="127">
        <v>49036.68</v>
      </c>
      <c r="BG183" s="128">
        <v>40100</v>
      </c>
      <c r="BH183" s="128">
        <v>45000</v>
      </c>
      <c r="BI183" s="76">
        <f t="shared" si="292"/>
        <v>61195.690875</v>
      </c>
      <c r="BJ183" s="24">
        <f t="shared" si="293"/>
        <v>19533.690875</v>
      </c>
      <c r="BK183" s="25">
        <f t="shared" si="294"/>
        <v>0.46886109344246557</v>
      </c>
      <c r="BL183" s="259" t="str">
        <f t="shared" si="295"/>
        <v>REVISAR PRECIO</v>
      </c>
      <c r="BM183" s="533">
        <f t="shared" si="296"/>
        <v>61195.690875</v>
      </c>
    </row>
    <row r="184" spans="1:65" ht="33.6" customHeight="1">
      <c r="A184" s="91" t="s">
        <v>18</v>
      </c>
      <c r="B184" s="358" t="s">
        <v>2375</v>
      </c>
      <c r="C184" s="50" t="s">
        <v>136</v>
      </c>
      <c r="D184" s="99" t="s">
        <v>475</v>
      </c>
      <c r="E184" s="391" t="s">
        <v>14</v>
      </c>
      <c r="F184" s="410">
        <v>9493</v>
      </c>
      <c r="G184" s="10">
        <v>18500</v>
      </c>
      <c r="H184" s="167">
        <v>92500</v>
      </c>
      <c r="I184" s="10">
        <v>25500</v>
      </c>
      <c r="J184" s="76">
        <f t="shared" si="278"/>
        <v>22000</v>
      </c>
      <c r="K184" s="24">
        <f t="shared" si="279"/>
        <v>12507</v>
      </c>
      <c r="L184" s="281">
        <f t="shared" si="280"/>
        <v>1.3174971031286211</v>
      </c>
      <c r="M184" s="431">
        <f t="shared" si="281"/>
        <v>92500</v>
      </c>
      <c r="N184" s="410">
        <v>8543</v>
      </c>
      <c r="O184" s="10">
        <v>38000</v>
      </c>
      <c r="P184" s="10">
        <v>45000</v>
      </c>
      <c r="Q184" s="268">
        <v>41000</v>
      </c>
      <c r="R184" s="10">
        <v>45000</v>
      </c>
      <c r="S184" s="76">
        <f t="shared" si="301"/>
        <v>42250</v>
      </c>
      <c r="T184" s="24">
        <f t="shared" si="302"/>
        <v>33707</v>
      </c>
      <c r="U184" s="281">
        <f t="shared" si="303"/>
        <v>3.9455694720824068</v>
      </c>
      <c r="V184" s="462">
        <f t="shared" si="304"/>
        <v>42250</v>
      </c>
      <c r="W184" s="410">
        <v>14947</v>
      </c>
      <c r="X184" s="38">
        <v>19440</v>
      </c>
      <c r="Y184" s="31">
        <v>19440</v>
      </c>
      <c r="Z184" s="98">
        <v>16992</v>
      </c>
      <c r="AA184" s="76">
        <f t="shared" si="282"/>
        <v>18624</v>
      </c>
      <c r="AB184" s="24">
        <f t="shared" si="283"/>
        <v>3677</v>
      </c>
      <c r="AC184" s="25">
        <f t="shared" si="284"/>
        <v>0.24600254231618385</v>
      </c>
      <c r="AD184" s="309">
        <f t="shared" si="285"/>
        <v>18624</v>
      </c>
      <c r="AE184" s="462">
        <f t="shared" si="286"/>
        <v>18624</v>
      </c>
      <c r="AF184" s="410">
        <v>9492</v>
      </c>
      <c r="AG184" s="45">
        <v>18000</v>
      </c>
      <c r="AH184" s="45">
        <v>11200</v>
      </c>
      <c r="AI184" s="45">
        <v>57000</v>
      </c>
      <c r="AJ184" s="76">
        <f t="shared" si="297"/>
        <v>28733.333333333332</v>
      </c>
      <c r="AK184" s="24">
        <f t="shared" si="298"/>
        <v>19241.333333333332</v>
      </c>
      <c r="AL184" s="281">
        <f t="shared" si="299"/>
        <v>2.0271105492344428</v>
      </c>
      <c r="AM184" s="462">
        <f t="shared" si="300"/>
        <v>28733.333333333332</v>
      </c>
      <c r="AN184" s="513">
        <v>9492</v>
      </c>
      <c r="AO184" s="88">
        <v>20000</v>
      </c>
      <c r="AP184" s="116">
        <v>20000</v>
      </c>
      <c r="AQ184" s="74">
        <v>20350</v>
      </c>
      <c r="AR184" s="76">
        <f t="shared" si="287"/>
        <v>20116.666666666668</v>
      </c>
      <c r="AS184" s="24">
        <f t="shared" si="288"/>
        <v>10624.666666666668</v>
      </c>
      <c r="AT184" s="25">
        <f t="shared" si="289"/>
        <v>1.1193285573816549</v>
      </c>
      <c r="AU184" s="309" t="str">
        <f t="shared" si="290"/>
        <v>REVISAR PRECIO</v>
      </c>
      <c r="AV184" s="462">
        <f t="shared" si="291"/>
        <v>20116.666666666668</v>
      </c>
      <c r="AW184" s="513">
        <v>9492</v>
      </c>
      <c r="AX184" s="74">
        <v>21275</v>
      </c>
      <c r="AY184" s="74">
        <v>35000</v>
      </c>
      <c r="AZ184" s="75">
        <v>24512.5</v>
      </c>
      <c r="BA184" s="61">
        <v>21275</v>
      </c>
      <c r="BB184" s="60">
        <v>45000</v>
      </c>
      <c r="BC184" s="74">
        <v>24466.249999999996</v>
      </c>
      <c r="BD184" s="79">
        <v>24512.5</v>
      </c>
      <c r="BE184" s="79">
        <v>18500</v>
      </c>
      <c r="BF184" s="127">
        <v>22200</v>
      </c>
      <c r="BG184" s="128">
        <v>15900</v>
      </c>
      <c r="BH184" s="128">
        <v>18000</v>
      </c>
      <c r="BI184" s="76">
        <f t="shared" si="292"/>
        <v>28588.125</v>
      </c>
      <c r="BJ184" s="24">
        <f t="shared" si="293"/>
        <v>19096.125</v>
      </c>
      <c r="BK184" s="25">
        <f t="shared" si="294"/>
        <v>2.0118125790139065</v>
      </c>
      <c r="BL184" s="259" t="str">
        <f t="shared" si="295"/>
        <v>REVISAR PRECIO</v>
      </c>
      <c r="BM184" s="533">
        <f t="shared" si="296"/>
        <v>28588.125</v>
      </c>
    </row>
    <row r="185" spans="1:65" ht="33.6" customHeight="1">
      <c r="A185" s="91" t="s">
        <v>18</v>
      </c>
      <c r="B185" s="358" t="s">
        <v>2376</v>
      </c>
      <c r="C185" s="50" t="s">
        <v>137</v>
      </c>
      <c r="D185" s="99" t="s">
        <v>476</v>
      </c>
      <c r="E185" s="391" t="s">
        <v>14</v>
      </c>
      <c r="F185" s="410">
        <v>28972</v>
      </c>
      <c r="G185" s="10">
        <v>10100</v>
      </c>
      <c r="H185" s="167">
        <v>20200</v>
      </c>
      <c r="I185" s="10">
        <v>13600</v>
      </c>
      <c r="J185" s="76">
        <f t="shared" si="278"/>
        <v>11850</v>
      </c>
      <c r="K185" s="24">
        <f t="shared" si="279"/>
        <v>-17122</v>
      </c>
      <c r="L185" s="281">
        <f t="shared" si="280"/>
        <v>-0.59098439872980812</v>
      </c>
      <c r="M185" s="431">
        <f t="shared" si="281"/>
        <v>20200</v>
      </c>
      <c r="N185" s="410">
        <v>26332</v>
      </c>
      <c r="O185" s="10">
        <v>38000</v>
      </c>
      <c r="P185" s="10">
        <v>45000</v>
      </c>
      <c r="Q185" s="268">
        <v>41000</v>
      </c>
      <c r="R185" s="10">
        <v>50000</v>
      </c>
      <c r="S185" s="76">
        <f t="shared" si="301"/>
        <v>43500</v>
      </c>
      <c r="T185" s="24">
        <f t="shared" si="302"/>
        <v>17168</v>
      </c>
      <c r="U185" s="281">
        <f t="shared" si="303"/>
        <v>0.65198237885462551</v>
      </c>
      <c r="V185" s="462">
        <f t="shared" si="304"/>
        <v>43500</v>
      </c>
      <c r="W185" s="410">
        <v>46523</v>
      </c>
      <c r="X185" s="38">
        <v>60507</v>
      </c>
      <c r="Y185" s="31">
        <v>78659</v>
      </c>
      <c r="Z185" s="98">
        <v>52887.6</v>
      </c>
      <c r="AA185" s="76">
        <f t="shared" si="282"/>
        <v>64017.866666666669</v>
      </c>
      <c r="AB185" s="24">
        <f t="shared" si="283"/>
        <v>17494.866666666669</v>
      </c>
      <c r="AC185" s="25">
        <f t="shared" si="284"/>
        <v>0.37604768967320829</v>
      </c>
      <c r="AD185" s="309" t="str">
        <f t="shared" si="285"/>
        <v>REVISAR PRECIO</v>
      </c>
      <c r="AE185" s="462">
        <f t="shared" si="286"/>
        <v>64017.866666666669</v>
      </c>
      <c r="AF185" s="410">
        <v>29398</v>
      </c>
      <c r="AG185" s="45">
        <v>9000</v>
      </c>
      <c r="AH185" s="45">
        <v>34179</v>
      </c>
      <c r="AI185" s="45">
        <v>57000</v>
      </c>
      <c r="AJ185" s="76">
        <f t="shared" si="297"/>
        <v>33393</v>
      </c>
      <c r="AK185" s="24">
        <f t="shared" si="298"/>
        <v>3995</v>
      </c>
      <c r="AL185" s="281">
        <f t="shared" si="299"/>
        <v>0.13589359820395946</v>
      </c>
      <c r="AM185" s="462">
        <f t="shared" si="300"/>
        <v>33393</v>
      </c>
      <c r="AN185" s="513">
        <v>29550</v>
      </c>
      <c r="AO185" s="88">
        <v>13000</v>
      </c>
      <c r="AP185" s="116">
        <v>13000</v>
      </c>
      <c r="AQ185" s="74">
        <v>11110</v>
      </c>
      <c r="AR185" s="76">
        <f t="shared" si="287"/>
        <v>12370</v>
      </c>
      <c r="AS185" s="24">
        <f t="shared" si="288"/>
        <v>-17180</v>
      </c>
      <c r="AT185" s="25">
        <f t="shared" si="289"/>
        <v>-0.58138747884940778</v>
      </c>
      <c r="AU185" s="309">
        <f t="shared" si="290"/>
        <v>12370</v>
      </c>
      <c r="AV185" s="462">
        <f t="shared" si="291"/>
        <v>12370</v>
      </c>
      <c r="AW185" s="513">
        <v>29550</v>
      </c>
      <c r="AX185" s="74">
        <v>11615</v>
      </c>
      <c r="AY185" s="74">
        <v>30000</v>
      </c>
      <c r="AZ185" s="75">
        <v>13382.5</v>
      </c>
      <c r="BA185" s="61">
        <v>29439.999999999996</v>
      </c>
      <c r="BB185" s="60">
        <v>56000</v>
      </c>
      <c r="BC185" s="74">
        <v>33855.999999999993</v>
      </c>
      <c r="BD185" s="79">
        <v>13382.5</v>
      </c>
      <c r="BE185" s="79">
        <v>10100</v>
      </c>
      <c r="BF185" s="127">
        <v>12120</v>
      </c>
      <c r="BG185" s="128">
        <v>9800</v>
      </c>
      <c r="BH185" s="128">
        <v>10000</v>
      </c>
      <c r="BI185" s="76">
        <f t="shared" si="292"/>
        <v>29048.916666666668</v>
      </c>
      <c r="BJ185" s="24">
        <f t="shared" si="293"/>
        <v>-501.08333333333212</v>
      </c>
      <c r="BK185" s="25">
        <f t="shared" si="294"/>
        <v>-1.6957134799774353E-2</v>
      </c>
      <c r="BL185" s="259">
        <f t="shared" si="295"/>
        <v>29048.916666666668</v>
      </c>
      <c r="BM185" s="533">
        <f t="shared" si="296"/>
        <v>29048.916666666668</v>
      </c>
    </row>
    <row r="186" spans="1:65" ht="33.6" customHeight="1">
      <c r="A186" s="91" t="s">
        <v>18</v>
      </c>
      <c r="B186" s="358" t="s">
        <v>2377</v>
      </c>
      <c r="C186" s="50" t="s">
        <v>138</v>
      </c>
      <c r="D186" s="99" t="s">
        <v>477</v>
      </c>
      <c r="E186" s="391" t="s">
        <v>14</v>
      </c>
      <c r="F186" s="410">
        <v>13746</v>
      </c>
      <c r="G186" s="10">
        <v>16500</v>
      </c>
      <c r="H186" s="167">
        <v>33000</v>
      </c>
      <c r="I186" s="10">
        <v>20050</v>
      </c>
      <c r="J186" s="76">
        <f t="shared" si="278"/>
        <v>18275</v>
      </c>
      <c r="K186" s="24">
        <f t="shared" si="279"/>
        <v>4529</v>
      </c>
      <c r="L186" s="281">
        <f t="shared" si="280"/>
        <v>0.32947766623017605</v>
      </c>
      <c r="M186" s="431">
        <f t="shared" si="281"/>
        <v>33000</v>
      </c>
      <c r="N186" s="410">
        <v>12492</v>
      </c>
      <c r="O186" s="10">
        <v>56000</v>
      </c>
      <c r="P186" s="10">
        <v>60000</v>
      </c>
      <c r="Q186" s="268">
        <v>60000</v>
      </c>
      <c r="R186" s="10">
        <v>80000</v>
      </c>
      <c r="S186" s="76">
        <f t="shared" si="301"/>
        <v>64000</v>
      </c>
      <c r="T186" s="24">
        <f t="shared" si="302"/>
        <v>51508</v>
      </c>
      <c r="U186" s="281">
        <f t="shared" si="303"/>
        <v>4.1232788984950366</v>
      </c>
      <c r="V186" s="462">
        <f t="shared" si="304"/>
        <v>64000</v>
      </c>
      <c r="W186" s="410">
        <v>22078</v>
      </c>
      <c r="X186" s="38">
        <v>28715</v>
      </c>
      <c r="Y186" s="31">
        <v>37329</v>
      </c>
      <c r="Z186" s="98">
        <v>25098.6</v>
      </c>
      <c r="AA186" s="76">
        <f t="shared" si="282"/>
        <v>30380.866666666669</v>
      </c>
      <c r="AB186" s="24">
        <f t="shared" si="283"/>
        <v>8302.8666666666686</v>
      </c>
      <c r="AC186" s="25">
        <f t="shared" si="284"/>
        <v>0.37606969230304688</v>
      </c>
      <c r="AD186" s="309" t="str">
        <f t="shared" si="285"/>
        <v>REVISAR PRECIO</v>
      </c>
      <c r="AE186" s="462">
        <f t="shared" si="286"/>
        <v>30380.866666666669</v>
      </c>
      <c r="AF186" s="410">
        <v>13954</v>
      </c>
      <c r="AG186" s="45">
        <v>15000</v>
      </c>
      <c r="AH186" s="45">
        <v>16220</v>
      </c>
      <c r="AI186" s="45">
        <v>57000</v>
      </c>
      <c r="AJ186" s="76">
        <f t="shared" si="297"/>
        <v>29406.666666666668</v>
      </c>
      <c r="AK186" s="24">
        <f t="shared" si="298"/>
        <v>15452.666666666668</v>
      </c>
      <c r="AL186" s="281">
        <f t="shared" si="299"/>
        <v>1.1074005064258756</v>
      </c>
      <c r="AM186" s="462">
        <f t="shared" si="300"/>
        <v>29406.666666666668</v>
      </c>
      <c r="AN186" s="513">
        <v>14020</v>
      </c>
      <c r="AO186" s="88">
        <v>20000</v>
      </c>
      <c r="AP186" s="116">
        <v>20000</v>
      </c>
      <c r="AQ186" s="74">
        <v>18150</v>
      </c>
      <c r="AR186" s="76">
        <f t="shared" si="287"/>
        <v>19383.333333333332</v>
      </c>
      <c r="AS186" s="24">
        <f t="shared" si="288"/>
        <v>5363.3333333333321</v>
      </c>
      <c r="AT186" s="25">
        <f t="shared" si="289"/>
        <v>0.38254873989538746</v>
      </c>
      <c r="AU186" s="309" t="str">
        <f t="shared" si="290"/>
        <v>REVISAR PRECIO</v>
      </c>
      <c r="AV186" s="462">
        <f t="shared" si="291"/>
        <v>19383.333333333332</v>
      </c>
      <c r="AW186" s="513">
        <v>14020</v>
      </c>
      <c r="AX186" s="74">
        <v>18975</v>
      </c>
      <c r="AY186" s="74">
        <v>24000</v>
      </c>
      <c r="AZ186" s="75">
        <v>21862.5</v>
      </c>
      <c r="BA186" s="61">
        <v>18975</v>
      </c>
      <c r="BB186" s="60">
        <v>45000</v>
      </c>
      <c r="BC186" s="74">
        <v>21821.25</v>
      </c>
      <c r="BD186" s="79">
        <v>21862.5</v>
      </c>
      <c r="BE186" s="79">
        <v>16500</v>
      </c>
      <c r="BF186" s="127">
        <v>19800</v>
      </c>
      <c r="BG186" s="128">
        <v>20000</v>
      </c>
      <c r="BH186" s="128">
        <v>15000</v>
      </c>
      <c r="BI186" s="76">
        <f t="shared" si="292"/>
        <v>25105.625</v>
      </c>
      <c r="BJ186" s="24">
        <f t="shared" si="293"/>
        <v>11085.625</v>
      </c>
      <c r="BK186" s="25">
        <f t="shared" si="294"/>
        <v>0.79070078459343796</v>
      </c>
      <c r="BL186" s="259" t="str">
        <f t="shared" si="295"/>
        <v>REVISAR PRECIO</v>
      </c>
      <c r="BM186" s="533">
        <f t="shared" si="296"/>
        <v>25105.625</v>
      </c>
    </row>
    <row r="187" spans="1:65" ht="33.6" customHeight="1">
      <c r="A187" s="91" t="s">
        <v>18</v>
      </c>
      <c r="B187" s="358" t="s">
        <v>2378</v>
      </c>
      <c r="C187" s="50" t="s">
        <v>139</v>
      </c>
      <c r="D187" s="99" t="s">
        <v>478</v>
      </c>
      <c r="E187" s="391" t="s">
        <v>14</v>
      </c>
      <c r="F187" s="410">
        <v>118124</v>
      </c>
      <c r="G187" s="10"/>
      <c r="H187" s="167">
        <v>55000</v>
      </c>
      <c r="I187" s="10">
        <v>89000</v>
      </c>
      <c r="J187" s="76">
        <f t="shared" si="278"/>
        <v>89000</v>
      </c>
      <c r="K187" s="24">
        <f t="shared" si="279"/>
        <v>-29124</v>
      </c>
      <c r="L187" s="281">
        <f t="shared" si="280"/>
        <v>-0.24655446818597407</v>
      </c>
      <c r="M187" s="431">
        <f t="shared" si="281"/>
        <v>55000</v>
      </c>
      <c r="N187" s="443"/>
      <c r="O187" s="250"/>
      <c r="P187" s="250"/>
      <c r="Q187" s="250"/>
      <c r="R187" s="250"/>
      <c r="S187" s="250"/>
      <c r="T187" s="250"/>
      <c r="U187" s="250"/>
      <c r="V187" s="443"/>
      <c r="W187" s="410">
        <v>189726</v>
      </c>
      <c r="X187" s="38">
        <v>246753</v>
      </c>
      <c r="Y187" s="31">
        <v>320779</v>
      </c>
      <c r="Z187" s="98">
        <v>215680.4</v>
      </c>
      <c r="AA187" s="76">
        <f t="shared" si="282"/>
        <v>261070.80000000002</v>
      </c>
      <c r="AB187" s="24">
        <f t="shared" si="283"/>
        <v>71344.800000000017</v>
      </c>
      <c r="AC187" s="25">
        <f t="shared" si="284"/>
        <v>0.37604123841750742</v>
      </c>
      <c r="AD187" s="309" t="str">
        <f t="shared" si="285"/>
        <v>REVISAR PRECIO</v>
      </c>
      <c r="AE187" s="462">
        <f t="shared" si="286"/>
        <v>261070.80000000002</v>
      </c>
      <c r="AF187" s="410">
        <v>119889</v>
      </c>
      <c r="AG187" s="45">
        <v>90000</v>
      </c>
      <c r="AH187" s="45">
        <v>139353</v>
      </c>
      <c r="AI187" s="45">
        <v>60000</v>
      </c>
      <c r="AJ187" s="76">
        <f t="shared" si="297"/>
        <v>96451</v>
      </c>
      <c r="AK187" s="24">
        <f t="shared" si="298"/>
        <v>-23438</v>
      </c>
      <c r="AL187" s="281">
        <f t="shared" si="299"/>
        <v>-0.19549750185588335</v>
      </c>
      <c r="AM187" s="462">
        <f t="shared" si="300"/>
        <v>96451</v>
      </c>
      <c r="AN187" s="513">
        <v>120487</v>
      </c>
      <c r="AO187" s="88"/>
      <c r="AP187" s="116"/>
      <c r="AQ187" s="74"/>
      <c r="AR187" s="76"/>
      <c r="AS187" s="24"/>
      <c r="AT187" s="25"/>
      <c r="AU187" s="309"/>
      <c r="AV187" s="468" t="s">
        <v>807</v>
      </c>
      <c r="AW187" s="513">
        <v>120487</v>
      </c>
      <c r="AX187" s="74" t="s">
        <v>810</v>
      </c>
      <c r="AY187" s="74"/>
      <c r="AZ187" s="75"/>
      <c r="BA187" s="61"/>
      <c r="BB187" s="60">
        <v>200000</v>
      </c>
      <c r="BC187" s="74"/>
      <c r="BD187" s="79"/>
      <c r="BE187" s="79"/>
      <c r="BF187" s="127"/>
      <c r="BG187" s="79"/>
      <c r="BH187" s="79"/>
      <c r="BI187" s="76">
        <f t="shared" si="292"/>
        <v>200000</v>
      </c>
      <c r="BJ187" s="24">
        <f t="shared" si="293"/>
        <v>79513</v>
      </c>
      <c r="BK187" s="25">
        <f t="shared" si="294"/>
        <v>0.65993011694207671</v>
      </c>
      <c r="BL187" s="259" t="str">
        <f t="shared" si="295"/>
        <v>REVISAR PRECIO</v>
      </c>
      <c r="BM187" s="533">
        <f t="shared" si="296"/>
        <v>200000</v>
      </c>
    </row>
    <row r="188" spans="1:65" ht="33.6" customHeight="1">
      <c r="A188" s="91" t="s">
        <v>18</v>
      </c>
      <c r="B188" s="358" t="s">
        <v>2379</v>
      </c>
      <c r="C188" s="50" t="s">
        <v>140</v>
      </c>
      <c r="D188" s="99" t="s">
        <v>479</v>
      </c>
      <c r="E188" s="391" t="s">
        <v>14</v>
      </c>
      <c r="F188" s="410">
        <v>50529</v>
      </c>
      <c r="G188" s="10">
        <v>51810</v>
      </c>
      <c r="H188" s="167">
        <v>103620</v>
      </c>
      <c r="I188" s="10">
        <v>50006</v>
      </c>
      <c r="J188" s="76">
        <f t="shared" si="278"/>
        <v>50908</v>
      </c>
      <c r="K188" s="24">
        <f t="shared" si="279"/>
        <v>379</v>
      </c>
      <c r="L188" s="281">
        <f t="shared" si="280"/>
        <v>7.5006431949969322E-3</v>
      </c>
      <c r="M188" s="431">
        <f t="shared" si="281"/>
        <v>103620</v>
      </c>
      <c r="N188" s="410">
        <v>45925</v>
      </c>
      <c r="O188" s="10">
        <v>72000</v>
      </c>
      <c r="P188" s="10">
        <v>78000</v>
      </c>
      <c r="Q188" s="268">
        <v>75000</v>
      </c>
      <c r="R188" s="10" t="s">
        <v>1421</v>
      </c>
      <c r="S188" s="76">
        <f t="shared" ref="S188:S203" si="305">AVERAGE(O188,P188,Q188,R188)</f>
        <v>75000</v>
      </c>
      <c r="T188" s="24">
        <f t="shared" ref="T188:T203" si="306">S188-N188</f>
        <v>29075</v>
      </c>
      <c r="U188" s="281">
        <f t="shared" ref="U188:U203" si="307">+T188/N188</f>
        <v>0.63309744148067504</v>
      </c>
      <c r="V188" s="462">
        <f t="shared" ref="V188:V203" si="308">S188</f>
        <v>75000</v>
      </c>
      <c r="W188" s="410">
        <v>96368</v>
      </c>
      <c r="X188" s="38">
        <v>125334</v>
      </c>
      <c r="Y188" s="31">
        <v>162934</v>
      </c>
      <c r="Z188" s="98">
        <v>109551.2</v>
      </c>
      <c r="AA188" s="76">
        <f t="shared" si="282"/>
        <v>132606.39999999999</v>
      </c>
      <c r="AB188" s="24">
        <f t="shared" si="283"/>
        <v>36238.399999999994</v>
      </c>
      <c r="AC188" s="25">
        <f t="shared" si="284"/>
        <v>0.37604183961480986</v>
      </c>
      <c r="AD188" s="309" t="str">
        <f t="shared" si="285"/>
        <v>REVISAR PRECIO</v>
      </c>
      <c r="AE188" s="462">
        <f t="shared" si="286"/>
        <v>132606.39999999999</v>
      </c>
      <c r="AF188" s="410">
        <v>51277</v>
      </c>
      <c r="AG188" s="45">
        <v>45000</v>
      </c>
      <c r="AH188" s="45">
        <v>59613</v>
      </c>
      <c r="AI188" s="45">
        <v>60000</v>
      </c>
      <c r="AJ188" s="76">
        <f t="shared" si="297"/>
        <v>54871</v>
      </c>
      <c r="AK188" s="24">
        <f t="shared" si="298"/>
        <v>3594</v>
      </c>
      <c r="AL188" s="281">
        <f t="shared" si="299"/>
        <v>7.0089903855529767E-2</v>
      </c>
      <c r="AM188" s="462">
        <f t="shared" si="300"/>
        <v>54871</v>
      </c>
      <c r="AN188" s="513">
        <v>51535</v>
      </c>
      <c r="AO188" s="88">
        <v>54400</v>
      </c>
      <c r="AP188" s="116">
        <v>54400</v>
      </c>
      <c r="AQ188" s="74">
        <v>56991.000000000007</v>
      </c>
      <c r="AR188" s="76">
        <f t="shared" ref="AR188:AR196" si="309">AVERAGE(AO188,AP188,AQ188)</f>
        <v>55263.666666666664</v>
      </c>
      <c r="AS188" s="24">
        <f t="shared" ref="AS188:AS196" si="310">AR188-AN188</f>
        <v>3728.6666666666642</v>
      </c>
      <c r="AT188" s="25">
        <f t="shared" ref="AT188:AT196" si="311">+AS188/AN188</f>
        <v>7.2352123152550005E-2</v>
      </c>
      <c r="AU188" s="309">
        <f t="shared" ref="AU188:AU196" si="312">+IF(AT188&lt;35%,AR188,"REVISAR PRECIO")</f>
        <v>55263.666666666664</v>
      </c>
      <c r="AV188" s="462">
        <f t="shared" ref="AV188:AV196" si="313">AR188</f>
        <v>55263.666666666664</v>
      </c>
      <c r="AW188" s="513">
        <v>51535</v>
      </c>
      <c r="AX188" s="74">
        <v>59581.500000000007</v>
      </c>
      <c r="AY188" s="74">
        <v>80000</v>
      </c>
      <c r="AZ188" s="75">
        <v>68648.250000000015</v>
      </c>
      <c r="BA188" s="61">
        <v>82800</v>
      </c>
      <c r="BB188" s="60">
        <v>38000</v>
      </c>
      <c r="BC188" s="74">
        <v>95219.999999999985</v>
      </c>
      <c r="BD188" s="79">
        <v>68648.250000000015</v>
      </c>
      <c r="BE188" s="79">
        <f>47100*1.1</f>
        <v>51810.000000000007</v>
      </c>
      <c r="BF188" s="127">
        <v>62172.000000000007</v>
      </c>
      <c r="BG188" s="128">
        <v>49800</v>
      </c>
      <c r="BH188" s="128">
        <v>50000</v>
      </c>
      <c r="BI188" s="76">
        <f t="shared" si="292"/>
        <v>70708.291666666672</v>
      </c>
      <c r="BJ188" s="24">
        <f t="shared" si="293"/>
        <v>19173.291666666672</v>
      </c>
      <c r="BK188" s="25">
        <f t="shared" si="294"/>
        <v>0.37204408007502998</v>
      </c>
      <c r="BL188" s="259" t="str">
        <f t="shared" si="295"/>
        <v>REVISAR PRECIO</v>
      </c>
      <c r="BM188" s="533">
        <f t="shared" si="296"/>
        <v>70708.291666666672</v>
      </c>
    </row>
    <row r="189" spans="1:65" ht="33.6" customHeight="1">
      <c r="A189" s="91" t="s">
        <v>18</v>
      </c>
      <c r="B189" s="358" t="s">
        <v>2380</v>
      </c>
      <c r="C189" s="50" t="s">
        <v>141</v>
      </c>
      <c r="D189" s="99" t="s">
        <v>480</v>
      </c>
      <c r="E189" s="391" t="s">
        <v>14</v>
      </c>
      <c r="F189" s="410">
        <v>52427</v>
      </c>
      <c r="G189" s="10">
        <v>54955</v>
      </c>
      <c r="H189" s="167">
        <v>109910</v>
      </c>
      <c r="I189" s="10">
        <v>50006</v>
      </c>
      <c r="J189" s="76">
        <f t="shared" si="278"/>
        <v>52480.5</v>
      </c>
      <c r="K189" s="24">
        <f t="shared" si="279"/>
        <v>53.5</v>
      </c>
      <c r="L189" s="281">
        <f t="shared" si="280"/>
        <v>1.0204665534934289E-3</v>
      </c>
      <c r="M189" s="431">
        <f t="shared" si="281"/>
        <v>109910</v>
      </c>
      <c r="N189" s="410">
        <v>47652</v>
      </c>
      <c r="O189" s="10">
        <v>72000</v>
      </c>
      <c r="P189" s="10">
        <v>78000</v>
      </c>
      <c r="Q189" s="268">
        <v>75000</v>
      </c>
      <c r="R189" s="10" t="s">
        <v>1421</v>
      </c>
      <c r="S189" s="76">
        <f t="shared" si="305"/>
        <v>75000</v>
      </c>
      <c r="T189" s="24">
        <f t="shared" si="306"/>
        <v>27348</v>
      </c>
      <c r="U189" s="281">
        <f t="shared" si="307"/>
        <v>0.57391085368924699</v>
      </c>
      <c r="V189" s="462">
        <f t="shared" si="308"/>
        <v>75000</v>
      </c>
      <c r="W189" s="410">
        <v>100001</v>
      </c>
      <c r="X189" s="38">
        <v>130059</v>
      </c>
      <c r="Y189" s="31">
        <v>169077</v>
      </c>
      <c r="Z189" s="98">
        <v>113681.2</v>
      </c>
      <c r="AA189" s="76">
        <f t="shared" si="282"/>
        <v>137605.73333333334</v>
      </c>
      <c r="AB189" s="24">
        <f t="shared" si="283"/>
        <v>37604.733333333337</v>
      </c>
      <c r="AC189" s="25">
        <f t="shared" si="284"/>
        <v>0.37604357289760437</v>
      </c>
      <c r="AD189" s="309" t="str">
        <f t="shared" si="285"/>
        <v>REVISAR PRECIO</v>
      </c>
      <c r="AE189" s="462">
        <f t="shared" si="286"/>
        <v>137605.73333333334</v>
      </c>
      <c r="AF189" s="410">
        <v>53214</v>
      </c>
      <c r="AG189" s="45">
        <v>45000</v>
      </c>
      <c r="AH189" s="45">
        <v>61861</v>
      </c>
      <c r="AI189" s="45">
        <v>60000</v>
      </c>
      <c r="AJ189" s="76">
        <f t="shared" si="297"/>
        <v>55620.333333333336</v>
      </c>
      <c r="AK189" s="24">
        <f t="shared" si="298"/>
        <v>2406.3333333333358</v>
      </c>
      <c r="AL189" s="281">
        <f t="shared" si="299"/>
        <v>4.5219929592463182E-2</v>
      </c>
      <c r="AM189" s="462">
        <f t="shared" si="300"/>
        <v>55620.333333333336</v>
      </c>
      <c r="AN189" s="513">
        <v>53480</v>
      </c>
      <c r="AO189" s="88">
        <v>58000</v>
      </c>
      <c r="AP189" s="116">
        <v>58000</v>
      </c>
      <c r="AQ189" s="74">
        <v>60450.39</v>
      </c>
      <c r="AR189" s="76">
        <f t="shared" si="309"/>
        <v>58816.796666666669</v>
      </c>
      <c r="AS189" s="24">
        <f t="shared" si="310"/>
        <v>5336.7966666666689</v>
      </c>
      <c r="AT189" s="25">
        <f t="shared" si="311"/>
        <v>9.979051358763405E-2</v>
      </c>
      <c r="AU189" s="309">
        <f t="shared" si="312"/>
        <v>58816.796666666669</v>
      </c>
      <c r="AV189" s="462">
        <f t="shared" si="313"/>
        <v>58816.796666666669</v>
      </c>
      <c r="AW189" s="513">
        <v>53480</v>
      </c>
      <c r="AX189" s="74">
        <v>63198.135000000002</v>
      </c>
      <c r="AY189" s="74">
        <v>80000</v>
      </c>
      <c r="AZ189" s="75">
        <v>72815.242499999993</v>
      </c>
      <c r="BA189" s="61">
        <v>82800</v>
      </c>
      <c r="BB189" s="60">
        <v>38000</v>
      </c>
      <c r="BC189" s="74">
        <v>95219.999999999985</v>
      </c>
      <c r="BD189" s="79">
        <v>72815.242499999993</v>
      </c>
      <c r="BE189" s="79">
        <f>49959*1.1</f>
        <v>54954.9</v>
      </c>
      <c r="BF189" s="127">
        <v>65945.88</v>
      </c>
      <c r="BG189" s="128">
        <v>56500</v>
      </c>
      <c r="BH189" s="128">
        <v>55000</v>
      </c>
      <c r="BI189" s="76">
        <f t="shared" si="292"/>
        <v>72005.562916666662</v>
      </c>
      <c r="BJ189" s="24">
        <f t="shared" si="293"/>
        <v>18525.562916666662</v>
      </c>
      <c r="BK189" s="25">
        <f t="shared" si="294"/>
        <v>0.34640170001246562</v>
      </c>
      <c r="BL189" s="259">
        <f t="shared" si="295"/>
        <v>72005.562916666662</v>
      </c>
      <c r="BM189" s="533">
        <f t="shared" si="296"/>
        <v>72005.562916666662</v>
      </c>
    </row>
    <row r="190" spans="1:65" ht="37.35" customHeight="1">
      <c r="A190" s="91" t="s">
        <v>18</v>
      </c>
      <c r="B190" s="358" t="s">
        <v>2381</v>
      </c>
      <c r="C190" s="50" t="s">
        <v>142</v>
      </c>
      <c r="D190" s="99" t="s">
        <v>481</v>
      </c>
      <c r="E190" s="391" t="s">
        <v>10</v>
      </c>
      <c r="F190" s="410">
        <v>33424</v>
      </c>
      <c r="G190" s="10">
        <v>19195</v>
      </c>
      <c r="H190" s="167">
        <v>57585</v>
      </c>
      <c r="I190" s="10">
        <v>17800</v>
      </c>
      <c r="J190" s="76">
        <f t="shared" si="278"/>
        <v>18497.5</v>
      </c>
      <c r="K190" s="24">
        <f t="shared" si="279"/>
        <v>-14926.5</v>
      </c>
      <c r="L190" s="281">
        <f t="shared" si="280"/>
        <v>-0.44658030157970319</v>
      </c>
      <c r="M190" s="431">
        <f t="shared" si="281"/>
        <v>57585</v>
      </c>
      <c r="N190" s="410">
        <v>30375</v>
      </c>
      <c r="O190" s="10">
        <v>72000</v>
      </c>
      <c r="P190" s="10">
        <v>78000</v>
      </c>
      <c r="Q190" s="268">
        <v>75000</v>
      </c>
      <c r="R190" s="10">
        <v>90000</v>
      </c>
      <c r="S190" s="76">
        <f t="shared" si="305"/>
        <v>78750</v>
      </c>
      <c r="T190" s="24">
        <f t="shared" si="306"/>
        <v>48375</v>
      </c>
      <c r="U190" s="281">
        <f t="shared" si="307"/>
        <v>1.5925925925925926</v>
      </c>
      <c r="V190" s="462">
        <f t="shared" si="308"/>
        <v>78750</v>
      </c>
      <c r="W190" s="410">
        <v>63754</v>
      </c>
      <c r="X190" s="38">
        <v>82917</v>
      </c>
      <c r="Y190" s="31">
        <v>107792</v>
      </c>
      <c r="Z190" s="98">
        <v>72475.600000000006</v>
      </c>
      <c r="AA190" s="76">
        <f t="shared" si="282"/>
        <v>87728.2</v>
      </c>
      <c r="AB190" s="24">
        <f t="shared" si="283"/>
        <v>23974.199999999997</v>
      </c>
      <c r="AC190" s="25">
        <f t="shared" si="284"/>
        <v>0.37604228754274238</v>
      </c>
      <c r="AD190" s="309" t="str">
        <f t="shared" si="285"/>
        <v>REVISAR PRECIO</v>
      </c>
      <c r="AE190" s="462">
        <f t="shared" si="286"/>
        <v>87728.2</v>
      </c>
      <c r="AF190" s="410">
        <v>33926</v>
      </c>
      <c r="AG190" s="45">
        <v>18000</v>
      </c>
      <c r="AH190" s="45">
        <v>39436</v>
      </c>
      <c r="AI190" s="45">
        <v>35000</v>
      </c>
      <c r="AJ190" s="76">
        <f t="shared" si="297"/>
        <v>30812</v>
      </c>
      <c r="AK190" s="24">
        <f t="shared" si="298"/>
        <v>-3114</v>
      </c>
      <c r="AL190" s="281">
        <f t="shared" si="299"/>
        <v>-9.178800919648647E-2</v>
      </c>
      <c r="AM190" s="462">
        <f t="shared" si="300"/>
        <v>30812</v>
      </c>
      <c r="AN190" s="513">
        <v>34096</v>
      </c>
      <c r="AO190" s="88">
        <v>20200</v>
      </c>
      <c r="AP190" s="116">
        <v>23000</v>
      </c>
      <c r="AQ190" s="74">
        <v>21114.114999999998</v>
      </c>
      <c r="AR190" s="76">
        <f t="shared" si="309"/>
        <v>21438.038333333334</v>
      </c>
      <c r="AS190" s="24">
        <f t="shared" si="310"/>
        <v>-12657.961666666666</v>
      </c>
      <c r="AT190" s="25">
        <f t="shared" si="311"/>
        <v>-0.37124476966995151</v>
      </c>
      <c r="AU190" s="309">
        <f t="shared" si="312"/>
        <v>21438.038333333334</v>
      </c>
      <c r="AV190" s="462">
        <f t="shared" si="313"/>
        <v>21438.038333333334</v>
      </c>
      <c r="AW190" s="513">
        <v>34096</v>
      </c>
      <c r="AX190" s="74">
        <v>22073.847499999996</v>
      </c>
      <c r="AY190" s="74">
        <v>28000</v>
      </c>
      <c r="AZ190" s="75">
        <v>25432.911249999997</v>
      </c>
      <c r="BA190" s="61">
        <v>29209.999999999996</v>
      </c>
      <c r="BB190" s="60">
        <v>30000</v>
      </c>
      <c r="BC190" s="74">
        <v>33591.499999999993</v>
      </c>
      <c r="BD190" s="79">
        <v>25432.911249999997</v>
      </c>
      <c r="BE190" s="79">
        <f>16691*1.15</f>
        <v>19194.649999999998</v>
      </c>
      <c r="BF190" s="127">
        <v>23033.579999999998</v>
      </c>
      <c r="BG190" s="128">
        <v>20000</v>
      </c>
      <c r="BH190" s="128">
        <v>20000</v>
      </c>
      <c r="BI190" s="76">
        <f t="shared" si="292"/>
        <v>28051.376458333329</v>
      </c>
      <c r="BJ190" s="24">
        <f t="shared" si="293"/>
        <v>-6044.6235416666714</v>
      </c>
      <c r="BK190" s="25">
        <f t="shared" si="294"/>
        <v>-0.17728248303808866</v>
      </c>
      <c r="BL190" s="259">
        <f t="shared" si="295"/>
        <v>28051.376458333329</v>
      </c>
      <c r="BM190" s="533">
        <f t="shared" si="296"/>
        <v>28051.376458333329</v>
      </c>
    </row>
    <row r="191" spans="1:65" ht="37.35" customHeight="1">
      <c r="A191" s="91" t="s">
        <v>18</v>
      </c>
      <c r="B191" s="358" t="s">
        <v>2382</v>
      </c>
      <c r="C191" s="50" t="s">
        <v>143</v>
      </c>
      <c r="D191" s="99" t="s">
        <v>482</v>
      </c>
      <c r="E191" s="391" t="s">
        <v>14</v>
      </c>
      <c r="F191" s="410">
        <v>141647</v>
      </c>
      <c r="G191" s="10">
        <v>125000</v>
      </c>
      <c r="H191" s="167">
        <v>375000</v>
      </c>
      <c r="I191" s="10">
        <v>118655</v>
      </c>
      <c r="J191" s="76">
        <f t="shared" si="278"/>
        <v>121827.5</v>
      </c>
      <c r="K191" s="24">
        <f t="shared" si="279"/>
        <v>-19819.5</v>
      </c>
      <c r="L191" s="281">
        <f t="shared" si="280"/>
        <v>-0.13992177737615338</v>
      </c>
      <c r="M191" s="431">
        <f t="shared" si="281"/>
        <v>375000</v>
      </c>
      <c r="N191" s="410">
        <v>128746</v>
      </c>
      <c r="O191" s="10">
        <v>812000</v>
      </c>
      <c r="P191" s="10">
        <v>840000</v>
      </c>
      <c r="Q191" s="268">
        <v>820000</v>
      </c>
      <c r="R191" s="10">
        <v>1200000</v>
      </c>
      <c r="S191" s="76">
        <f t="shared" si="305"/>
        <v>918000</v>
      </c>
      <c r="T191" s="24">
        <f t="shared" si="306"/>
        <v>789254</v>
      </c>
      <c r="U191" s="281">
        <f t="shared" si="307"/>
        <v>6.1303186118403676</v>
      </c>
      <c r="V191" s="462">
        <f t="shared" si="308"/>
        <v>918000</v>
      </c>
      <c r="W191" s="410">
        <v>270150</v>
      </c>
      <c r="X191" s="38">
        <v>351351</v>
      </c>
      <c r="Y191" s="31">
        <v>456756</v>
      </c>
      <c r="Z191" s="98">
        <v>307106.8</v>
      </c>
      <c r="AA191" s="76">
        <f t="shared" si="282"/>
        <v>371737.93333333335</v>
      </c>
      <c r="AB191" s="24">
        <f t="shared" si="283"/>
        <v>101587.93333333335</v>
      </c>
      <c r="AC191" s="25">
        <f t="shared" si="284"/>
        <v>0.37604269233142085</v>
      </c>
      <c r="AD191" s="309" t="str">
        <f t="shared" si="285"/>
        <v>REVISAR PRECIO</v>
      </c>
      <c r="AE191" s="462">
        <f t="shared" si="286"/>
        <v>371737.93333333335</v>
      </c>
      <c r="AF191" s="410">
        <v>143753</v>
      </c>
      <c r="AG191" s="45">
        <v>120000</v>
      </c>
      <c r="AH191" s="45">
        <v>167123</v>
      </c>
      <c r="AI191" s="45">
        <v>130000</v>
      </c>
      <c r="AJ191" s="76">
        <f t="shared" si="297"/>
        <v>139041</v>
      </c>
      <c r="AK191" s="24">
        <f t="shared" si="298"/>
        <v>-4712</v>
      </c>
      <c r="AL191" s="281">
        <f t="shared" si="299"/>
        <v>-3.2778446362858517E-2</v>
      </c>
      <c r="AM191" s="462">
        <f t="shared" si="300"/>
        <v>139041</v>
      </c>
      <c r="AN191" s="513">
        <v>144474</v>
      </c>
      <c r="AO191" s="88">
        <v>138000</v>
      </c>
      <c r="AP191" s="116">
        <v>145000</v>
      </c>
      <c r="AQ191" s="74">
        <v>137500</v>
      </c>
      <c r="AR191" s="76">
        <f t="shared" si="309"/>
        <v>140166.66666666666</v>
      </c>
      <c r="AS191" s="24">
        <f t="shared" si="310"/>
        <v>-4307.333333333343</v>
      </c>
      <c r="AT191" s="25">
        <f t="shared" si="311"/>
        <v>-2.9813899617462957E-2</v>
      </c>
      <c r="AU191" s="309">
        <f t="shared" si="312"/>
        <v>140166.66666666666</v>
      </c>
      <c r="AV191" s="462">
        <f t="shared" si="313"/>
        <v>140166.66666666666</v>
      </c>
      <c r="AW191" s="513">
        <v>144474</v>
      </c>
      <c r="AX191" s="74">
        <v>143750</v>
      </c>
      <c r="AY191" s="74">
        <v>160000</v>
      </c>
      <c r="AZ191" s="75">
        <v>165625</v>
      </c>
      <c r="BA191" s="61">
        <v>143750</v>
      </c>
      <c r="BB191" s="60">
        <v>520000</v>
      </c>
      <c r="BC191" s="74">
        <v>165312.5</v>
      </c>
      <c r="BD191" s="79">
        <v>165625</v>
      </c>
      <c r="BE191" s="79">
        <v>125000</v>
      </c>
      <c r="BF191" s="127">
        <v>150000</v>
      </c>
      <c r="BG191" s="128">
        <v>148700</v>
      </c>
      <c r="BH191" s="128">
        <v>130000</v>
      </c>
      <c r="BI191" s="76">
        <f t="shared" si="292"/>
        <v>216406.25</v>
      </c>
      <c r="BJ191" s="24">
        <f t="shared" si="293"/>
        <v>71932.25</v>
      </c>
      <c r="BK191" s="25">
        <f t="shared" si="294"/>
        <v>0.49789062391849054</v>
      </c>
      <c r="BL191" s="259" t="str">
        <f t="shared" si="295"/>
        <v>REVISAR PRECIO</v>
      </c>
      <c r="BM191" s="533">
        <f t="shared" si="296"/>
        <v>216406.25</v>
      </c>
    </row>
    <row r="192" spans="1:65" ht="37.35" customHeight="1">
      <c r="A192" s="91" t="s">
        <v>18</v>
      </c>
      <c r="B192" s="358" t="s">
        <v>2383</v>
      </c>
      <c r="C192" s="50" t="s">
        <v>144</v>
      </c>
      <c r="D192" s="99" t="s">
        <v>483</v>
      </c>
      <c r="E192" s="391" t="s">
        <v>10</v>
      </c>
      <c r="F192" s="410">
        <v>33604</v>
      </c>
      <c r="G192" s="10">
        <v>9358</v>
      </c>
      <c r="H192" s="167">
        <v>28074</v>
      </c>
      <c r="I192" s="10">
        <v>22560</v>
      </c>
      <c r="J192" s="76">
        <f t="shared" si="278"/>
        <v>15959</v>
      </c>
      <c r="K192" s="24">
        <f t="shared" si="279"/>
        <v>-17645</v>
      </c>
      <c r="L192" s="281">
        <f t="shared" si="280"/>
        <v>-0.52508629925008932</v>
      </c>
      <c r="M192" s="431">
        <f t="shared" si="281"/>
        <v>28074</v>
      </c>
      <c r="N192" s="410">
        <v>30547</v>
      </c>
      <c r="O192" s="10">
        <v>82000</v>
      </c>
      <c r="P192" s="10">
        <v>88000</v>
      </c>
      <c r="Q192" s="268">
        <v>85000</v>
      </c>
      <c r="R192" s="10">
        <v>90000</v>
      </c>
      <c r="S192" s="76">
        <f t="shared" si="305"/>
        <v>86250</v>
      </c>
      <c r="T192" s="24">
        <f t="shared" si="306"/>
        <v>55703</v>
      </c>
      <c r="U192" s="281">
        <f t="shared" si="307"/>
        <v>1.8235178577274365</v>
      </c>
      <c r="V192" s="462">
        <f t="shared" si="308"/>
        <v>86250</v>
      </c>
      <c r="W192" s="410">
        <v>64097</v>
      </c>
      <c r="X192" s="38">
        <v>83363</v>
      </c>
      <c r="Y192" s="33">
        <v>108371</v>
      </c>
      <c r="Z192" s="98">
        <v>72865</v>
      </c>
      <c r="AA192" s="76">
        <f t="shared" si="282"/>
        <v>88199.666666666672</v>
      </c>
      <c r="AB192" s="24">
        <f t="shared" si="283"/>
        <v>24102.666666666672</v>
      </c>
      <c r="AC192" s="25">
        <f t="shared" si="284"/>
        <v>0.37603423977201228</v>
      </c>
      <c r="AD192" s="309" t="str">
        <f t="shared" si="285"/>
        <v>REVISAR PRECIO</v>
      </c>
      <c r="AE192" s="462">
        <f t="shared" si="286"/>
        <v>88199.666666666672</v>
      </c>
      <c r="AF192" s="410">
        <v>34106</v>
      </c>
      <c r="AG192" s="45"/>
      <c r="AH192" s="45">
        <v>39651</v>
      </c>
      <c r="AI192" s="45">
        <v>30000</v>
      </c>
      <c r="AJ192" s="76">
        <f t="shared" si="297"/>
        <v>34825.5</v>
      </c>
      <c r="AK192" s="24">
        <f t="shared" si="298"/>
        <v>719.5</v>
      </c>
      <c r="AL192" s="281">
        <f t="shared" si="299"/>
        <v>2.1095994839617663E-2</v>
      </c>
      <c r="AM192" s="462">
        <f t="shared" si="300"/>
        <v>34825.5</v>
      </c>
      <c r="AN192" s="513">
        <v>34277</v>
      </c>
      <c r="AO192" s="88">
        <v>11000</v>
      </c>
      <c r="AP192" s="116">
        <v>11000</v>
      </c>
      <c r="AQ192" s="74">
        <v>10293.36</v>
      </c>
      <c r="AR192" s="76">
        <f t="shared" si="309"/>
        <v>10764.453333333333</v>
      </c>
      <c r="AS192" s="24">
        <f t="shared" si="310"/>
        <v>-23512.546666666669</v>
      </c>
      <c r="AT192" s="25">
        <f t="shared" si="311"/>
        <v>-0.68595695850473115</v>
      </c>
      <c r="AU192" s="309">
        <f t="shared" si="312"/>
        <v>10764.453333333333</v>
      </c>
      <c r="AV192" s="462">
        <f t="shared" si="313"/>
        <v>10764.453333333333</v>
      </c>
      <c r="AW192" s="513">
        <v>34277</v>
      </c>
      <c r="AX192" s="74">
        <v>10761.24</v>
      </c>
      <c r="AY192" s="74">
        <v>17000</v>
      </c>
      <c r="AZ192" s="75">
        <v>12398.82</v>
      </c>
      <c r="BA192" s="61">
        <v>39675</v>
      </c>
      <c r="BB192" s="60">
        <v>35000</v>
      </c>
      <c r="BC192" s="74">
        <v>45626.25</v>
      </c>
      <c r="BD192" s="79">
        <v>12398.82</v>
      </c>
      <c r="BE192" s="79">
        <f>7798*1.2</f>
        <v>9357.6</v>
      </c>
      <c r="BF192" s="127">
        <v>11229.12</v>
      </c>
      <c r="BG192" s="128">
        <v>8800</v>
      </c>
      <c r="BH192" s="128">
        <v>10000</v>
      </c>
      <c r="BI192" s="76">
        <f t="shared" si="292"/>
        <v>26743.551666666666</v>
      </c>
      <c r="BJ192" s="24">
        <f t="shared" si="293"/>
        <v>-7533.4483333333337</v>
      </c>
      <c r="BK192" s="25">
        <f t="shared" si="294"/>
        <v>-0.21978143750425458</v>
      </c>
      <c r="BL192" s="259">
        <f t="shared" si="295"/>
        <v>26743.551666666666</v>
      </c>
      <c r="BM192" s="533">
        <f t="shared" si="296"/>
        <v>26743.551666666666</v>
      </c>
    </row>
    <row r="193" spans="1:65" ht="37.35" customHeight="1">
      <c r="A193" s="91" t="s">
        <v>18</v>
      </c>
      <c r="B193" s="358" t="s">
        <v>2384</v>
      </c>
      <c r="C193" s="50" t="s">
        <v>145</v>
      </c>
      <c r="D193" s="99" t="s">
        <v>484</v>
      </c>
      <c r="E193" s="391" t="s">
        <v>10</v>
      </c>
      <c r="F193" s="410">
        <v>18150</v>
      </c>
      <c r="G193" s="10">
        <v>18157</v>
      </c>
      <c r="H193" s="167">
        <v>54471</v>
      </c>
      <c r="I193" s="10">
        <v>16500</v>
      </c>
      <c r="J193" s="76">
        <f t="shared" si="278"/>
        <v>17328.5</v>
      </c>
      <c r="K193" s="24">
        <f t="shared" si="279"/>
        <v>-821.5</v>
      </c>
      <c r="L193" s="281">
        <f t="shared" si="280"/>
        <v>-4.5261707988980715E-2</v>
      </c>
      <c r="M193" s="431">
        <f t="shared" si="281"/>
        <v>54471</v>
      </c>
      <c r="N193" s="410">
        <v>16337</v>
      </c>
      <c r="O193" s="10">
        <v>63000</v>
      </c>
      <c r="P193" s="10">
        <v>68000</v>
      </c>
      <c r="Q193" s="268">
        <v>65000</v>
      </c>
      <c r="R193" s="10">
        <v>75000</v>
      </c>
      <c r="S193" s="76">
        <f t="shared" si="305"/>
        <v>67750</v>
      </c>
      <c r="T193" s="24">
        <f t="shared" si="306"/>
        <v>51413</v>
      </c>
      <c r="U193" s="281">
        <f t="shared" si="307"/>
        <v>3.1470282181551079</v>
      </c>
      <c r="V193" s="462">
        <f t="shared" si="308"/>
        <v>67750</v>
      </c>
      <c r="W193" s="410">
        <v>33943</v>
      </c>
      <c r="X193" s="38">
        <v>44145</v>
      </c>
      <c r="Y193" s="31">
        <v>44145</v>
      </c>
      <c r="Z193" s="98">
        <v>38586</v>
      </c>
      <c r="AA193" s="76">
        <f t="shared" si="282"/>
        <v>42292</v>
      </c>
      <c r="AB193" s="24">
        <f t="shared" si="283"/>
        <v>8349</v>
      </c>
      <c r="AC193" s="25">
        <f t="shared" si="284"/>
        <v>0.24597118698995374</v>
      </c>
      <c r="AD193" s="309">
        <f t="shared" si="285"/>
        <v>42292</v>
      </c>
      <c r="AE193" s="462">
        <f t="shared" si="286"/>
        <v>42292</v>
      </c>
      <c r="AF193" s="410">
        <v>18150</v>
      </c>
      <c r="AG193" s="45">
        <v>15000</v>
      </c>
      <c r="AH193" s="45">
        <v>21418</v>
      </c>
      <c r="AI193" s="45">
        <v>30000</v>
      </c>
      <c r="AJ193" s="76">
        <f t="shared" si="297"/>
        <v>22139.333333333332</v>
      </c>
      <c r="AK193" s="24">
        <f t="shared" si="298"/>
        <v>3989.3333333333321</v>
      </c>
      <c r="AL193" s="281">
        <f t="shared" si="299"/>
        <v>0.21979797979797974</v>
      </c>
      <c r="AM193" s="462">
        <f t="shared" si="300"/>
        <v>22139.333333333332</v>
      </c>
      <c r="AN193" s="513">
        <v>18150</v>
      </c>
      <c r="AO193" s="88">
        <v>20000</v>
      </c>
      <c r="AP193" s="116">
        <v>20000</v>
      </c>
      <c r="AQ193" s="74">
        <v>19973.084999999999</v>
      </c>
      <c r="AR193" s="76">
        <f t="shared" si="309"/>
        <v>19991.028333333332</v>
      </c>
      <c r="AS193" s="24">
        <f t="shared" si="310"/>
        <v>1841.0283333333318</v>
      </c>
      <c r="AT193" s="25">
        <f t="shared" si="311"/>
        <v>0.10143406795224968</v>
      </c>
      <c r="AU193" s="309">
        <f t="shared" si="312"/>
        <v>19991.028333333332</v>
      </c>
      <c r="AV193" s="462">
        <f t="shared" si="313"/>
        <v>19991.028333333332</v>
      </c>
      <c r="AW193" s="513">
        <v>18150</v>
      </c>
      <c r="AX193" s="74">
        <v>20880.952499999999</v>
      </c>
      <c r="AY193" s="74">
        <v>24000</v>
      </c>
      <c r="AZ193" s="75">
        <v>24058.488749999997</v>
      </c>
      <c r="BA193" s="61">
        <v>27024.999999999996</v>
      </c>
      <c r="BB193" s="60">
        <v>30000</v>
      </c>
      <c r="BC193" s="74">
        <v>31078.749999999993</v>
      </c>
      <c r="BD193" s="79">
        <v>24058.488749999997</v>
      </c>
      <c r="BE193" s="79">
        <f>15789*1.15</f>
        <v>18157.349999999999</v>
      </c>
      <c r="BF193" s="127">
        <v>21788.82</v>
      </c>
      <c r="BG193" s="128">
        <v>18900</v>
      </c>
      <c r="BH193" s="128">
        <v>20000</v>
      </c>
      <c r="BI193" s="76">
        <f t="shared" si="292"/>
        <v>26173.865208333333</v>
      </c>
      <c r="BJ193" s="24">
        <f t="shared" si="293"/>
        <v>8023.8652083333327</v>
      </c>
      <c r="BK193" s="25">
        <f t="shared" si="294"/>
        <v>0.44208623737373731</v>
      </c>
      <c r="BL193" s="259" t="str">
        <f t="shared" si="295"/>
        <v>REVISAR PRECIO</v>
      </c>
      <c r="BM193" s="533">
        <f t="shared" si="296"/>
        <v>26173.865208333333</v>
      </c>
    </row>
    <row r="194" spans="1:65" ht="37.35" customHeight="1">
      <c r="A194" s="91" t="s">
        <v>18</v>
      </c>
      <c r="B194" s="358" t="s">
        <v>2385</v>
      </c>
      <c r="C194" s="50" t="s">
        <v>146</v>
      </c>
      <c r="D194" s="99" t="s">
        <v>485</v>
      </c>
      <c r="E194" s="391" t="s">
        <v>10</v>
      </c>
      <c r="F194" s="410">
        <v>42603</v>
      </c>
      <c r="G194" s="10">
        <v>26500</v>
      </c>
      <c r="H194" s="167">
        <v>79500</v>
      </c>
      <c r="I194" s="10">
        <v>22560</v>
      </c>
      <c r="J194" s="76">
        <f t="shared" si="278"/>
        <v>24530</v>
      </c>
      <c r="K194" s="24">
        <f t="shared" si="279"/>
        <v>-18073</v>
      </c>
      <c r="L194" s="281">
        <f t="shared" si="280"/>
        <v>-0.42421895171701524</v>
      </c>
      <c r="M194" s="431">
        <f t="shared" si="281"/>
        <v>79500</v>
      </c>
      <c r="N194" s="410">
        <v>38720</v>
      </c>
      <c r="O194" s="10">
        <v>90000</v>
      </c>
      <c r="P194" s="10">
        <v>95000</v>
      </c>
      <c r="Q194" s="268">
        <v>95000</v>
      </c>
      <c r="R194" s="10">
        <v>130000</v>
      </c>
      <c r="S194" s="76">
        <f t="shared" si="305"/>
        <v>102500</v>
      </c>
      <c r="T194" s="24">
        <f t="shared" si="306"/>
        <v>63780</v>
      </c>
      <c r="U194" s="281">
        <f t="shared" si="307"/>
        <v>1.647210743801653</v>
      </c>
      <c r="V194" s="462">
        <f t="shared" si="308"/>
        <v>102500</v>
      </c>
      <c r="W194" s="410">
        <v>81255</v>
      </c>
      <c r="X194" s="38">
        <v>105678</v>
      </c>
      <c r="Y194" s="31">
        <v>137381</v>
      </c>
      <c r="Z194" s="98">
        <v>92370.4</v>
      </c>
      <c r="AA194" s="76">
        <f t="shared" si="282"/>
        <v>111809.8</v>
      </c>
      <c r="AB194" s="24">
        <f t="shared" si="283"/>
        <v>30554.800000000003</v>
      </c>
      <c r="AC194" s="25">
        <f t="shared" si="284"/>
        <v>0.37603593625007697</v>
      </c>
      <c r="AD194" s="309" t="str">
        <f t="shared" si="285"/>
        <v>REVISAR PRECIO</v>
      </c>
      <c r="AE194" s="462">
        <f t="shared" si="286"/>
        <v>111809.8</v>
      </c>
      <c r="AF194" s="410">
        <v>43238</v>
      </c>
      <c r="AG194" s="45">
        <v>23000</v>
      </c>
      <c r="AH194" s="45">
        <v>50268</v>
      </c>
      <c r="AI194" s="45">
        <v>30000</v>
      </c>
      <c r="AJ194" s="76">
        <f t="shared" si="297"/>
        <v>34422.666666666664</v>
      </c>
      <c r="AK194" s="24">
        <f t="shared" si="298"/>
        <v>-8815.3333333333358</v>
      </c>
      <c r="AL194" s="281">
        <f t="shared" si="299"/>
        <v>-0.20387930369890689</v>
      </c>
      <c r="AM194" s="462">
        <f t="shared" si="300"/>
        <v>34422.666666666664</v>
      </c>
      <c r="AN194" s="513">
        <v>43457</v>
      </c>
      <c r="AO194" s="88">
        <v>30000</v>
      </c>
      <c r="AP194" s="116">
        <v>30000</v>
      </c>
      <c r="AQ194" s="74">
        <v>29150</v>
      </c>
      <c r="AR194" s="76">
        <f t="shared" si="309"/>
        <v>29716.666666666668</v>
      </c>
      <c r="AS194" s="24">
        <f t="shared" si="310"/>
        <v>-13740.333333333332</v>
      </c>
      <c r="AT194" s="25">
        <f t="shared" si="311"/>
        <v>-0.31618227980148955</v>
      </c>
      <c r="AU194" s="309">
        <f t="shared" si="312"/>
        <v>29716.666666666668</v>
      </c>
      <c r="AV194" s="462">
        <f t="shared" si="313"/>
        <v>29716.666666666668</v>
      </c>
      <c r="AW194" s="513">
        <v>43457</v>
      </c>
      <c r="AX194" s="74">
        <v>30475</v>
      </c>
      <c r="AY194" s="74">
        <v>35000</v>
      </c>
      <c r="AZ194" s="75">
        <v>35112.5</v>
      </c>
      <c r="BA194" s="61">
        <v>40940</v>
      </c>
      <c r="BB194" s="60">
        <v>38000</v>
      </c>
      <c r="BC194" s="74">
        <v>47081</v>
      </c>
      <c r="BD194" s="79">
        <v>35112.5</v>
      </c>
      <c r="BE194" s="79">
        <v>26500</v>
      </c>
      <c r="BF194" s="127">
        <v>31800</v>
      </c>
      <c r="BG194" s="128">
        <v>28700</v>
      </c>
      <c r="BH194" s="128">
        <v>25000</v>
      </c>
      <c r="BI194" s="76">
        <f t="shared" si="292"/>
        <v>37768.083333333336</v>
      </c>
      <c r="BJ194" s="24">
        <f t="shared" si="293"/>
        <v>-5688.9166666666642</v>
      </c>
      <c r="BK194" s="25">
        <f t="shared" si="294"/>
        <v>-0.13090909788219768</v>
      </c>
      <c r="BL194" s="259">
        <f t="shared" si="295"/>
        <v>37768.083333333336</v>
      </c>
      <c r="BM194" s="533">
        <f t="shared" si="296"/>
        <v>37768.083333333336</v>
      </c>
    </row>
    <row r="195" spans="1:65" ht="37.35" customHeight="1">
      <c r="A195" s="91" t="s">
        <v>18</v>
      </c>
      <c r="B195" s="358" t="s">
        <v>2386</v>
      </c>
      <c r="C195" s="50" t="s">
        <v>147</v>
      </c>
      <c r="D195" s="99" t="s">
        <v>486</v>
      </c>
      <c r="E195" s="391" t="s">
        <v>14</v>
      </c>
      <c r="F195" s="410">
        <v>74944</v>
      </c>
      <c r="G195" s="10">
        <v>64300</v>
      </c>
      <c r="H195" s="167">
        <v>192900</v>
      </c>
      <c r="I195" s="10">
        <v>52680</v>
      </c>
      <c r="J195" s="76">
        <f t="shared" si="278"/>
        <v>58490</v>
      </c>
      <c r="K195" s="24">
        <f t="shared" si="279"/>
        <v>-16454</v>
      </c>
      <c r="L195" s="281">
        <f t="shared" si="280"/>
        <v>-0.2195505977796755</v>
      </c>
      <c r="M195" s="431">
        <f t="shared" si="281"/>
        <v>192900</v>
      </c>
      <c r="N195" s="410">
        <v>68117</v>
      </c>
      <c r="O195" s="10">
        <v>123000</v>
      </c>
      <c r="P195" s="10">
        <v>128000</v>
      </c>
      <c r="Q195" s="268">
        <v>125000</v>
      </c>
      <c r="R195" s="10">
        <v>130000</v>
      </c>
      <c r="S195" s="76">
        <f t="shared" si="305"/>
        <v>126500</v>
      </c>
      <c r="T195" s="24">
        <f t="shared" si="306"/>
        <v>58383</v>
      </c>
      <c r="U195" s="281">
        <f t="shared" si="307"/>
        <v>0.85709881527372023</v>
      </c>
      <c r="V195" s="462">
        <f t="shared" si="308"/>
        <v>126500</v>
      </c>
      <c r="W195" s="410">
        <v>142933</v>
      </c>
      <c r="X195" s="38">
        <v>185895</v>
      </c>
      <c r="Y195" s="33">
        <v>241664</v>
      </c>
      <c r="Z195" s="98">
        <v>162486</v>
      </c>
      <c r="AA195" s="76">
        <f t="shared" si="282"/>
        <v>196681.66666666666</v>
      </c>
      <c r="AB195" s="24">
        <f t="shared" si="283"/>
        <v>53748.666666666657</v>
      </c>
      <c r="AC195" s="25">
        <f t="shared" si="284"/>
        <v>0.37604098890155985</v>
      </c>
      <c r="AD195" s="309" t="str">
        <f t="shared" si="285"/>
        <v>REVISAR PRECIO</v>
      </c>
      <c r="AE195" s="462">
        <f t="shared" si="286"/>
        <v>196681.66666666666</v>
      </c>
      <c r="AF195" s="410">
        <v>76062</v>
      </c>
      <c r="AG195" s="45">
        <v>55000</v>
      </c>
      <c r="AH195" s="45">
        <v>88422</v>
      </c>
      <c r="AI195" s="45">
        <v>75000</v>
      </c>
      <c r="AJ195" s="76">
        <f t="shared" si="297"/>
        <v>72807.333333333328</v>
      </c>
      <c r="AK195" s="24">
        <f t="shared" si="298"/>
        <v>-3254.6666666666715</v>
      </c>
      <c r="AL195" s="281">
        <f t="shared" si="299"/>
        <v>-4.2789654054148869E-2</v>
      </c>
      <c r="AM195" s="462">
        <f t="shared" si="300"/>
        <v>72807.333333333328</v>
      </c>
      <c r="AN195" s="513">
        <v>76442</v>
      </c>
      <c r="AO195" s="88">
        <v>75000</v>
      </c>
      <c r="AP195" s="116">
        <v>75000</v>
      </c>
      <c r="AQ195" s="74">
        <v>70730</v>
      </c>
      <c r="AR195" s="76">
        <f t="shared" si="309"/>
        <v>73576.666666666672</v>
      </c>
      <c r="AS195" s="24">
        <f t="shared" si="310"/>
        <v>-2865.3333333333285</v>
      </c>
      <c r="AT195" s="25">
        <f t="shared" si="311"/>
        <v>-3.7483756748035481E-2</v>
      </c>
      <c r="AU195" s="309">
        <f t="shared" si="312"/>
        <v>73576.666666666672</v>
      </c>
      <c r="AV195" s="462">
        <f t="shared" si="313"/>
        <v>73576.666666666672</v>
      </c>
      <c r="AW195" s="513">
        <v>76442</v>
      </c>
      <c r="AX195" s="74">
        <v>73945</v>
      </c>
      <c r="AY195" s="74">
        <v>65000</v>
      </c>
      <c r="AZ195" s="75">
        <v>85197.5</v>
      </c>
      <c r="BA195" s="61">
        <v>59799.999999999993</v>
      </c>
      <c r="BB195" s="60">
        <v>48000</v>
      </c>
      <c r="BC195" s="74">
        <v>68769.999999999985</v>
      </c>
      <c r="BD195" s="79">
        <v>85197.5</v>
      </c>
      <c r="BE195" s="79">
        <v>64300</v>
      </c>
      <c r="BF195" s="127">
        <v>77160</v>
      </c>
      <c r="BG195" s="128">
        <v>65000</v>
      </c>
      <c r="BH195" s="128">
        <v>65000</v>
      </c>
      <c r="BI195" s="76">
        <f t="shared" si="292"/>
        <v>66785.416666666672</v>
      </c>
      <c r="BJ195" s="24">
        <f t="shared" si="293"/>
        <v>-9656.5833333333285</v>
      </c>
      <c r="BK195" s="25">
        <f t="shared" si="294"/>
        <v>-0.12632562378448142</v>
      </c>
      <c r="BL195" s="259">
        <f t="shared" si="295"/>
        <v>66785.416666666672</v>
      </c>
      <c r="BM195" s="533">
        <f t="shared" si="296"/>
        <v>66785.416666666672</v>
      </c>
    </row>
    <row r="196" spans="1:65" ht="37.35" customHeight="1">
      <c r="A196" s="91" t="s">
        <v>18</v>
      </c>
      <c r="B196" s="358" t="s">
        <v>2387</v>
      </c>
      <c r="C196" s="50" t="s">
        <v>148</v>
      </c>
      <c r="D196" s="99" t="s">
        <v>487</v>
      </c>
      <c r="E196" s="391" t="s">
        <v>10</v>
      </c>
      <c r="F196" s="410">
        <v>26096</v>
      </c>
      <c r="G196" s="10">
        <v>25936</v>
      </c>
      <c r="H196" s="167">
        <v>77808</v>
      </c>
      <c r="I196" s="10">
        <v>26355</v>
      </c>
      <c r="J196" s="76">
        <f t="shared" si="278"/>
        <v>26145.5</v>
      </c>
      <c r="K196" s="24">
        <f t="shared" si="279"/>
        <v>49.5</v>
      </c>
      <c r="L196" s="281">
        <f t="shared" si="280"/>
        <v>1.8968424279583078E-3</v>
      </c>
      <c r="M196" s="431">
        <f t="shared" si="281"/>
        <v>77808</v>
      </c>
      <c r="N196" s="410">
        <v>234823</v>
      </c>
      <c r="O196" s="10">
        <v>38000</v>
      </c>
      <c r="P196" s="10">
        <v>45000</v>
      </c>
      <c r="Q196" s="268">
        <v>42000</v>
      </c>
      <c r="R196" s="10">
        <v>130000</v>
      </c>
      <c r="S196" s="76">
        <f t="shared" si="305"/>
        <v>63750</v>
      </c>
      <c r="T196" s="24">
        <f t="shared" si="306"/>
        <v>-171073</v>
      </c>
      <c r="U196" s="281">
        <f t="shared" si="307"/>
        <v>-0.72851892702162901</v>
      </c>
      <c r="V196" s="462">
        <f t="shared" si="308"/>
        <v>63750</v>
      </c>
      <c r="W196" s="410">
        <v>48786</v>
      </c>
      <c r="X196" s="38">
        <v>63450</v>
      </c>
      <c r="Y196" s="33">
        <v>82485</v>
      </c>
      <c r="Z196" s="98">
        <v>55460</v>
      </c>
      <c r="AA196" s="76">
        <f t="shared" si="282"/>
        <v>67131.666666666672</v>
      </c>
      <c r="AB196" s="24">
        <f t="shared" si="283"/>
        <v>18345.666666666672</v>
      </c>
      <c r="AC196" s="25">
        <f t="shared" si="284"/>
        <v>0.37604367373153508</v>
      </c>
      <c r="AD196" s="309" t="str">
        <f t="shared" si="285"/>
        <v>REVISAR PRECIO</v>
      </c>
      <c r="AE196" s="462">
        <f t="shared" si="286"/>
        <v>67131.666666666672</v>
      </c>
      <c r="AF196" s="410">
        <v>26094</v>
      </c>
      <c r="AG196" s="45">
        <v>22000</v>
      </c>
      <c r="AH196" s="45">
        <v>30784</v>
      </c>
      <c r="AI196" s="45">
        <v>35000</v>
      </c>
      <c r="AJ196" s="76">
        <f t="shared" si="297"/>
        <v>29261.333333333332</v>
      </c>
      <c r="AK196" s="24">
        <f t="shared" si="298"/>
        <v>3167.3333333333321</v>
      </c>
      <c r="AL196" s="281">
        <f t="shared" si="299"/>
        <v>0.12138167139316824</v>
      </c>
      <c r="AM196" s="462">
        <f t="shared" si="300"/>
        <v>29261.333333333332</v>
      </c>
      <c r="AN196" s="513">
        <v>26094</v>
      </c>
      <c r="AO196" s="88">
        <v>30000</v>
      </c>
      <c r="AP196" s="116">
        <v>30000</v>
      </c>
      <c r="AQ196" s="74">
        <v>28529.544999999998</v>
      </c>
      <c r="AR196" s="76">
        <f t="shared" si="309"/>
        <v>29509.848333333332</v>
      </c>
      <c r="AS196" s="24">
        <f t="shared" si="310"/>
        <v>3415.8483333333315</v>
      </c>
      <c r="AT196" s="25">
        <f t="shared" si="311"/>
        <v>0.13090550829053926</v>
      </c>
      <c r="AU196" s="309">
        <f t="shared" si="312"/>
        <v>29509.848333333332</v>
      </c>
      <c r="AV196" s="462">
        <f t="shared" si="313"/>
        <v>29509.848333333332</v>
      </c>
      <c r="AW196" s="513">
        <v>26094</v>
      </c>
      <c r="AX196" s="74">
        <v>29826.342499999995</v>
      </c>
      <c r="AY196" s="74">
        <v>35000</v>
      </c>
      <c r="AZ196" s="75">
        <v>34365.133749999994</v>
      </c>
      <c r="BA196" s="61">
        <v>29826.342499999995</v>
      </c>
      <c r="BB196" s="60">
        <v>42000</v>
      </c>
      <c r="BC196" s="74">
        <v>34300.293874999988</v>
      </c>
      <c r="BD196" s="79">
        <v>34365.133749999994</v>
      </c>
      <c r="BE196" s="79">
        <f>22553*1.15</f>
        <v>25935.949999999997</v>
      </c>
      <c r="BF196" s="127">
        <v>31123.139999999996</v>
      </c>
      <c r="BG196" s="128">
        <v>29800</v>
      </c>
      <c r="BH196" s="128">
        <v>27000</v>
      </c>
      <c r="BI196" s="76">
        <f t="shared" si="292"/>
        <v>34219.685437499989</v>
      </c>
      <c r="BJ196" s="24">
        <f t="shared" si="293"/>
        <v>8125.6854374999893</v>
      </c>
      <c r="BK196" s="25">
        <f t="shared" si="294"/>
        <v>0.31140053029432013</v>
      </c>
      <c r="BL196" s="259">
        <f t="shared" si="295"/>
        <v>34219.685437499989</v>
      </c>
      <c r="BM196" s="533">
        <f t="shared" si="296"/>
        <v>34219.685437499989</v>
      </c>
    </row>
    <row r="197" spans="1:65" ht="37.35" customHeight="1">
      <c r="A197" s="91" t="s">
        <v>18</v>
      </c>
      <c r="B197" s="358" t="s">
        <v>2388</v>
      </c>
      <c r="C197" s="50" t="s">
        <v>149</v>
      </c>
      <c r="D197" s="99" t="s">
        <v>488</v>
      </c>
      <c r="E197" s="391" t="s">
        <v>14</v>
      </c>
      <c r="F197" s="410">
        <v>203566</v>
      </c>
      <c r="G197" s="10">
        <v>8502</v>
      </c>
      <c r="H197" s="167">
        <v>25000</v>
      </c>
      <c r="I197" s="10">
        <v>25600</v>
      </c>
      <c r="J197" s="76">
        <f t="shared" si="278"/>
        <v>17051</v>
      </c>
      <c r="K197" s="24">
        <f t="shared" si="279"/>
        <v>-186515</v>
      </c>
      <c r="L197" s="281">
        <f t="shared" si="280"/>
        <v>-0.91623846811353571</v>
      </c>
      <c r="M197" s="431">
        <f t="shared" si="281"/>
        <v>25000</v>
      </c>
      <c r="N197" s="410">
        <v>185017</v>
      </c>
      <c r="O197" s="10">
        <v>3230000</v>
      </c>
      <c r="P197" s="10">
        <v>3300000</v>
      </c>
      <c r="Q197" s="268">
        <v>3270000</v>
      </c>
      <c r="R197" s="10">
        <v>3500000</v>
      </c>
      <c r="S197" s="76">
        <f t="shared" si="305"/>
        <v>3325000</v>
      </c>
      <c r="T197" s="24">
        <f t="shared" si="306"/>
        <v>3139983</v>
      </c>
      <c r="U197" s="281">
        <f t="shared" si="307"/>
        <v>16.971321554235558</v>
      </c>
      <c r="V197" s="462">
        <f t="shared" si="308"/>
        <v>3325000</v>
      </c>
      <c r="W197" s="410">
        <v>367815</v>
      </c>
      <c r="X197" s="38">
        <v>478373</v>
      </c>
      <c r="Y197" s="31">
        <v>621884</v>
      </c>
      <c r="Z197" s="98">
        <v>418133</v>
      </c>
      <c r="AA197" s="76">
        <f t="shared" si="282"/>
        <v>506130</v>
      </c>
      <c r="AB197" s="24">
        <f t="shared" si="283"/>
        <v>138315</v>
      </c>
      <c r="AC197" s="25">
        <f t="shared" si="284"/>
        <v>0.37604502263366096</v>
      </c>
      <c r="AD197" s="309" t="str">
        <f t="shared" si="285"/>
        <v>REVISAR PRECIO</v>
      </c>
      <c r="AE197" s="462">
        <f t="shared" si="286"/>
        <v>506130</v>
      </c>
      <c r="AF197" s="410">
        <v>206603</v>
      </c>
      <c r="AG197" s="45">
        <v>43000</v>
      </c>
      <c r="AH197" s="45">
        <v>240182</v>
      </c>
      <c r="AI197" s="45">
        <v>75000</v>
      </c>
      <c r="AJ197" s="76">
        <f t="shared" si="297"/>
        <v>119394</v>
      </c>
      <c r="AK197" s="24">
        <f t="shared" si="298"/>
        <v>-87209</v>
      </c>
      <c r="AL197" s="281">
        <f t="shared" si="299"/>
        <v>-0.42210906908418561</v>
      </c>
      <c r="AM197" s="462">
        <f t="shared" si="300"/>
        <v>119394</v>
      </c>
      <c r="AN197" s="513"/>
      <c r="AO197" s="120"/>
      <c r="AP197" s="120"/>
      <c r="AQ197" s="120"/>
      <c r="AR197" s="120"/>
      <c r="AS197" s="120"/>
      <c r="AT197" s="120"/>
      <c r="AU197" s="422"/>
      <c r="AV197" s="508"/>
      <c r="AW197" s="513"/>
      <c r="AX197" s="74"/>
      <c r="AY197" s="74"/>
      <c r="AZ197" s="75"/>
      <c r="BA197" s="61"/>
      <c r="BB197" s="60"/>
      <c r="BC197" s="74"/>
      <c r="BD197" s="250"/>
      <c r="BE197" s="250"/>
      <c r="BF197" s="250"/>
      <c r="BG197" s="250"/>
      <c r="BH197" s="250"/>
      <c r="BI197" s="76"/>
      <c r="BJ197" s="24"/>
      <c r="BK197" s="25"/>
      <c r="BL197" s="259"/>
      <c r="BM197" s="533"/>
    </row>
    <row r="198" spans="1:65" ht="37.35" customHeight="1">
      <c r="A198" s="91" t="s">
        <v>18</v>
      </c>
      <c r="B198" s="358" t="s">
        <v>2389</v>
      </c>
      <c r="C198" s="50" t="s">
        <v>150</v>
      </c>
      <c r="D198" s="99" t="s">
        <v>489</v>
      </c>
      <c r="E198" s="391" t="s">
        <v>14</v>
      </c>
      <c r="F198" s="410">
        <v>181078</v>
      </c>
      <c r="G198" s="10">
        <v>35364</v>
      </c>
      <c r="H198" s="167">
        <v>106092</v>
      </c>
      <c r="I198" s="10">
        <v>30000</v>
      </c>
      <c r="J198" s="76">
        <f t="shared" si="278"/>
        <v>32682</v>
      </c>
      <c r="K198" s="24">
        <f t="shared" si="279"/>
        <v>-148396</v>
      </c>
      <c r="L198" s="281">
        <f t="shared" si="280"/>
        <v>-0.81951424248114069</v>
      </c>
      <c r="M198" s="431">
        <f t="shared" si="281"/>
        <v>106092</v>
      </c>
      <c r="N198" s="410">
        <v>162975</v>
      </c>
      <c r="O198" s="10">
        <v>90000</v>
      </c>
      <c r="P198" s="10">
        <v>98000</v>
      </c>
      <c r="Q198" s="268">
        <v>95000</v>
      </c>
      <c r="R198" s="10">
        <v>100000</v>
      </c>
      <c r="S198" s="76">
        <f t="shared" si="305"/>
        <v>95750</v>
      </c>
      <c r="T198" s="24">
        <f t="shared" si="306"/>
        <v>-67225</v>
      </c>
      <c r="U198" s="281">
        <f t="shared" si="307"/>
        <v>-0.41248657769596564</v>
      </c>
      <c r="V198" s="462">
        <f t="shared" si="308"/>
        <v>95750</v>
      </c>
      <c r="W198" s="410">
        <v>328070</v>
      </c>
      <c r="X198" s="38">
        <v>426681</v>
      </c>
      <c r="Y198" s="31">
        <v>554685</v>
      </c>
      <c r="Z198" s="98">
        <v>372950.8</v>
      </c>
      <c r="AA198" s="76">
        <f t="shared" si="282"/>
        <v>451438.93333333335</v>
      </c>
      <c r="AB198" s="24">
        <f t="shared" si="283"/>
        <v>123368.93333333335</v>
      </c>
      <c r="AC198" s="25">
        <f t="shared" si="284"/>
        <v>0.37604454333932802</v>
      </c>
      <c r="AD198" s="309" t="str">
        <f t="shared" si="285"/>
        <v>REVISAR PRECIO</v>
      </c>
      <c r="AE198" s="462">
        <f t="shared" si="286"/>
        <v>451438.93333333335</v>
      </c>
      <c r="AF198" s="410">
        <v>181077</v>
      </c>
      <c r="AG198" s="45">
        <v>35000</v>
      </c>
      <c r="AH198" s="45">
        <v>35364</v>
      </c>
      <c r="AI198" s="45">
        <v>85000</v>
      </c>
      <c r="AJ198" s="76">
        <f t="shared" si="297"/>
        <v>51788</v>
      </c>
      <c r="AK198" s="24">
        <f t="shared" si="298"/>
        <v>-129289</v>
      </c>
      <c r="AL198" s="281">
        <f t="shared" si="299"/>
        <v>-0.71400012149527547</v>
      </c>
      <c r="AM198" s="462">
        <f t="shared" si="300"/>
        <v>51788</v>
      </c>
      <c r="AN198" s="513">
        <v>185196</v>
      </c>
      <c r="AO198" s="88">
        <v>40000</v>
      </c>
      <c r="AP198" s="116">
        <v>40000</v>
      </c>
      <c r="AQ198" s="74">
        <v>38900.928</v>
      </c>
      <c r="AR198" s="76">
        <f t="shared" ref="AR198" si="314">AVERAGE(AO198,AP198,AQ198)</f>
        <v>39633.642666666667</v>
      </c>
      <c r="AS198" s="24">
        <f t="shared" ref="AS198" si="315">AR198-AN198</f>
        <v>-145562.35733333335</v>
      </c>
      <c r="AT198" s="25">
        <f t="shared" ref="AT198" si="316">+AS198/AN198</f>
        <v>-0.78599082773566031</v>
      </c>
      <c r="AU198" s="309">
        <f t="shared" ref="AU198" si="317">+IF(AT198&lt;35%,AR198,"REVISAR PRECIO")</f>
        <v>39633.642666666667</v>
      </c>
      <c r="AV198" s="462">
        <f t="shared" ref="AV198" si="318">AR198</f>
        <v>39633.642666666667</v>
      </c>
      <c r="AW198" s="513">
        <v>185196</v>
      </c>
      <c r="AX198" s="74">
        <v>40669.152000000002</v>
      </c>
      <c r="AY198" s="74">
        <v>100000</v>
      </c>
      <c r="AZ198" s="75">
        <v>46857.936000000002</v>
      </c>
      <c r="BA198" s="61">
        <v>40669.152000000002</v>
      </c>
      <c r="BB198" s="60">
        <v>90000</v>
      </c>
      <c r="BC198" s="74">
        <v>46769.524799999999</v>
      </c>
      <c r="BD198" s="79">
        <v>46857.936000000002</v>
      </c>
      <c r="BE198" s="79">
        <f>73676*1.2*0.4</f>
        <v>35364.480000000003</v>
      </c>
      <c r="BF198" s="127">
        <v>42437.376000000004</v>
      </c>
      <c r="BG198" s="128">
        <v>33200</v>
      </c>
      <c r="BH198" s="128">
        <v>36000</v>
      </c>
      <c r="BI198" s="76">
        <f>AVERAGE(AX198,AY198,AZ198,BA198,BB198,BC198)</f>
        <v>60827.627466666665</v>
      </c>
      <c r="BJ198" s="24">
        <f>BI198-AW198</f>
        <v>-124368.37253333334</v>
      </c>
      <c r="BK198" s="25">
        <f>+BJ198/AW198</f>
        <v>-0.67154999316039943</v>
      </c>
      <c r="BL198" s="259">
        <f t="shared" ref="BL198" si="319">+IF(BK198&lt;35%,BI198,"REVISAR PRECIO")</f>
        <v>60827.627466666665</v>
      </c>
      <c r="BM198" s="533">
        <f t="shared" ref="BM198" si="320">BI198</f>
        <v>60827.627466666665</v>
      </c>
    </row>
    <row r="199" spans="1:65" ht="37.35" customHeight="1">
      <c r="A199" s="91" t="s">
        <v>18</v>
      </c>
      <c r="B199" s="358" t="s">
        <v>2390</v>
      </c>
      <c r="C199" s="50" t="s">
        <v>151</v>
      </c>
      <c r="D199" s="99" t="s">
        <v>490</v>
      </c>
      <c r="E199" s="391" t="s">
        <v>14</v>
      </c>
      <c r="F199" s="410">
        <v>65575</v>
      </c>
      <c r="G199" s="10">
        <v>33000</v>
      </c>
      <c r="H199" s="167">
        <v>30000</v>
      </c>
      <c r="I199" s="10">
        <v>25000</v>
      </c>
      <c r="J199" s="76">
        <f t="shared" si="278"/>
        <v>29000</v>
      </c>
      <c r="K199" s="24">
        <f t="shared" si="279"/>
        <v>-36575</v>
      </c>
      <c r="L199" s="281">
        <f t="shared" si="280"/>
        <v>-0.55775829203202443</v>
      </c>
      <c r="M199" s="431">
        <f t="shared" si="281"/>
        <v>30000</v>
      </c>
      <c r="N199" s="410">
        <v>59602</v>
      </c>
      <c r="O199" s="10">
        <v>90000</v>
      </c>
      <c r="P199" s="10">
        <v>98000</v>
      </c>
      <c r="Q199" s="268">
        <v>95000</v>
      </c>
      <c r="R199" s="10">
        <v>100000</v>
      </c>
      <c r="S199" s="76">
        <f t="shared" si="305"/>
        <v>95750</v>
      </c>
      <c r="T199" s="24">
        <f t="shared" si="306"/>
        <v>36148</v>
      </c>
      <c r="U199" s="281">
        <f t="shared" si="307"/>
        <v>0.6064897151102312</v>
      </c>
      <c r="V199" s="462">
        <f t="shared" si="308"/>
        <v>95750</v>
      </c>
      <c r="W199" s="410">
        <v>105326</v>
      </c>
      <c r="X199" s="38">
        <v>136985</v>
      </c>
      <c r="Y199" s="33">
        <v>178080</v>
      </c>
      <c r="Z199" s="98">
        <v>119734.6</v>
      </c>
      <c r="AA199" s="76">
        <f t="shared" si="282"/>
        <v>144933.19999999998</v>
      </c>
      <c r="AB199" s="24">
        <f t="shared" si="283"/>
        <v>39607.199999999983</v>
      </c>
      <c r="AC199" s="25">
        <f t="shared" si="284"/>
        <v>0.37604390179063085</v>
      </c>
      <c r="AD199" s="309" t="str">
        <f t="shared" si="285"/>
        <v>REVISAR PRECIO</v>
      </c>
      <c r="AE199" s="462">
        <f t="shared" si="286"/>
        <v>144933.19999999998</v>
      </c>
      <c r="AF199" s="410">
        <v>66552</v>
      </c>
      <c r="AG199" s="45"/>
      <c r="AH199" s="45">
        <v>35364</v>
      </c>
      <c r="AI199" s="45">
        <v>60000</v>
      </c>
      <c r="AJ199" s="76">
        <f t="shared" si="297"/>
        <v>47682</v>
      </c>
      <c r="AK199" s="24">
        <f t="shared" si="298"/>
        <v>-18870</v>
      </c>
      <c r="AL199" s="281">
        <f t="shared" si="299"/>
        <v>-0.28353768481788677</v>
      </c>
      <c r="AM199" s="462">
        <f t="shared" si="300"/>
        <v>47682</v>
      </c>
      <c r="AN199" s="513"/>
      <c r="AO199" s="120"/>
      <c r="AP199" s="120"/>
      <c r="AQ199" s="120"/>
      <c r="AR199" s="120"/>
      <c r="AS199" s="120"/>
      <c r="AT199" s="120"/>
      <c r="AU199" s="422"/>
      <c r="AV199" s="508"/>
      <c r="AW199" s="513"/>
      <c r="AX199" s="74"/>
      <c r="AY199" s="74"/>
      <c r="AZ199" s="75"/>
      <c r="BA199" s="61"/>
      <c r="BB199" s="60"/>
      <c r="BC199" s="74"/>
      <c r="BD199" s="250"/>
      <c r="BE199" s="250"/>
      <c r="BF199" s="250"/>
      <c r="BG199" s="250"/>
      <c r="BH199" s="250"/>
      <c r="BI199" s="76"/>
      <c r="BJ199" s="24"/>
      <c r="BK199" s="25"/>
      <c r="BL199" s="259"/>
      <c r="BM199" s="533"/>
    </row>
    <row r="200" spans="1:65" ht="37.35" customHeight="1">
      <c r="A200" s="91" t="s">
        <v>18</v>
      </c>
      <c r="B200" s="358" t="s">
        <v>2391</v>
      </c>
      <c r="C200" s="50" t="s">
        <v>152</v>
      </c>
      <c r="D200" s="99" t="s">
        <v>491</v>
      </c>
      <c r="E200" s="391" t="s">
        <v>14</v>
      </c>
      <c r="F200" s="410">
        <v>617358</v>
      </c>
      <c r="G200" s="10">
        <v>660054</v>
      </c>
      <c r="H200" s="167">
        <v>1320108</v>
      </c>
      <c r="I200" s="10">
        <v>505200</v>
      </c>
      <c r="J200" s="76">
        <f t="shared" si="278"/>
        <v>582627</v>
      </c>
      <c r="K200" s="24">
        <f t="shared" si="279"/>
        <v>-34731</v>
      </c>
      <c r="L200" s="281">
        <f t="shared" si="280"/>
        <v>-5.6257471353736405E-2</v>
      </c>
      <c r="M200" s="431">
        <f t="shared" si="281"/>
        <v>1320108</v>
      </c>
      <c r="N200" s="410">
        <v>561125</v>
      </c>
      <c r="O200" s="10">
        <v>1250000</v>
      </c>
      <c r="P200" s="10">
        <v>1320000</v>
      </c>
      <c r="Q200" s="268">
        <v>1300000</v>
      </c>
      <c r="R200" s="10">
        <v>1250000</v>
      </c>
      <c r="S200" s="76">
        <f t="shared" si="305"/>
        <v>1280000</v>
      </c>
      <c r="T200" s="24">
        <f t="shared" si="306"/>
        <v>718875</v>
      </c>
      <c r="U200" s="281">
        <f t="shared" si="307"/>
        <v>1.2811316551570506</v>
      </c>
      <c r="V200" s="462">
        <f t="shared" si="308"/>
        <v>1280000</v>
      </c>
      <c r="W200" s="410">
        <v>1216536</v>
      </c>
      <c r="X200" s="38">
        <v>1582200</v>
      </c>
      <c r="Y200" s="33">
        <v>2056860</v>
      </c>
      <c r="Z200" s="98">
        <v>1382960</v>
      </c>
      <c r="AA200" s="76">
        <f t="shared" si="282"/>
        <v>1674006.6666666667</v>
      </c>
      <c r="AB200" s="24">
        <f t="shared" si="283"/>
        <v>457470.66666666674</v>
      </c>
      <c r="AC200" s="25">
        <f t="shared" si="284"/>
        <v>0.37604367373153508</v>
      </c>
      <c r="AD200" s="309" t="str">
        <f t="shared" si="285"/>
        <v>REVISAR PRECIO</v>
      </c>
      <c r="AE200" s="462">
        <f t="shared" si="286"/>
        <v>1674006.6666666667</v>
      </c>
      <c r="AF200" s="410">
        <v>626565</v>
      </c>
      <c r="AG200" s="45">
        <v>550000</v>
      </c>
      <c r="AH200" s="45">
        <v>728410</v>
      </c>
      <c r="AI200" s="45">
        <v>450000</v>
      </c>
      <c r="AJ200" s="76">
        <f t="shared" si="297"/>
        <v>576136.66666666663</v>
      </c>
      <c r="AK200" s="24">
        <f t="shared" si="298"/>
        <v>-50428.333333333372</v>
      </c>
      <c r="AL200" s="281">
        <f t="shared" si="299"/>
        <v>-8.048380189339234E-2</v>
      </c>
      <c r="AM200" s="462">
        <f t="shared" si="300"/>
        <v>576136.66666666663</v>
      </c>
      <c r="AN200" s="513">
        <v>629697</v>
      </c>
      <c r="AO200" s="88">
        <v>750000</v>
      </c>
      <c r="AP200" s="116">
        <v>750000</v>
      </c>
      <c r="AQ200" s="74">
        <v>726059.34499999997</v>
      </c>
      <c r="AR200" s="76">
        <f t="shared" ref="AR200:AR222" si="321">AVERAGE(AO200,AP200,AQ200)</f>
        <v>742019.78166666662</v>
      </c>
      <c r="AS200" s="24">
        <f t="shared" ref="AS200:AS222" si="322">AR200-AN200</f>
        <v>112322.78166666662</v>
      </c>
      <c r="AT200" s="25">
        <f t="shared" ref="AT200:AT217" si="323">+AS200/AN200</f>
        <v>0.17837591995303553</v>
      </c>
      <c r="AU200" s="309">
        <f t="shared" ref="AU200:AU217" si="324">+IF(AT200&lt;35%,AR200,"REVISAR PRECIO")</f>
        <v>742019.78166666662</v>
      </c>
      <c r="AV200" s="462">
        <f t="shared" ref="AV200:AV222" si="325">AR200</f>
        <v>742019.78166666662</v>
      </c>
      <c r="AW200" s="513">
        <v>629697</v>
      </c>
      <c r="AX200" s="74">
        <v>759062.04249999998</v>
      </c>
      <c r="AY200" s="74">
        <v>660000</v>
      </c>
      <c r="AZ200" s="75">
        <v>874571.4837499999</v>
      </c>
      <c r="BA200" s="61">
        <v>759062.04249999986</v>
      </c>
      <c r="BB200" s="60">
        <v>480000</v>
      </c>
      <c r="BC200" s="74">
        <v>872921.34887499979</v>
      </c>
      <c r="BD200" s="79">
        <v>874571.4837499999</v>
      </c>
      <c r="BE200" s="79">
        <v>660053.94999999995</v>
      </c>
      <c r="BF200" s="127">
        <v>726059.34499999997</v>
      </c>
      <c r="BG200" s="128">
        <v>659000</v>
      </c>
      <c r="BH200" s="128">
        <v>670000</v>
      </c>
      <c r="BI200" s="76">
        <f t="shared" ref="BI200:BI222" si="326">AVERAGE(AX200,AY200,AZ200,BA200,BB200,BC200)</f>
        <v>734269.48627083329</v>
      </c>
      <c r="BJ200" s="24">
        <f t="shared" ref="BJ200:BJ222" si="327">BI200-AW200</f>
        <v>104572.48627083329</v>
      </c>
      <c r="BK200" s="25">
        <f t="shared" ref="BK200:BK217" si="328">+BJ200/AW200</f>
        <v>0.16606794421893911</v>
      </c>
      <c r="BL200" s="259">
        <f t="shared" ref="BL200:BL222" si="329">+IF(BK200&lt;35%,BI200,"REVISAR PRECIO")</f>
        <v>734269.48627083329</v>
      </c>
      <c r="BM200" s="533">
        <f t="shared" ref="BM200:BM222" si="330">BI200</f>
        <v>734269.48627083329</v>
      </c>
    </row>
    <row r="201" spans="1:65" ht="37.35" customHeight="1">
      <c r="A201" s="91" t="s">
        <v>18</v>
      </c>
      <c r="B201" s="358" t="s">
        <v>2392</v>
      </c>
      <c r="C201" s="50" t="s">
        <v>153</v>
      </c>
      <c r="D201" s="99" t="s">
        <v>492</v>
      </c>
      <c r="E201" s="391" t="s">
        <v>14</v>
      </c>
      <c r="F201" s="410">
        <v>776337</v>
      </c>
      <c r="G201" s="10">
        <v>788500</v>
      </c>
      <c r="H201" s="167">
        <v>1577000</v>
      </c>
      <c r="I201" s="10">
        <v>650550</v>
      </c>
      <c r="J201" s="76">
        <f t="shared" si="278"/>
        <v>719525</v>
      </c>
      <c r="K201" s="24">
        <f t="shared" si="279"/>
        <v>-56812</v>
      </c>
      <c r="L201" s="281">
        <f t="shared" si="280"/>
        <v>-7.3179559907617445E-2</v>
      </c>
      <c r="M201" s="431">
        <f t="shared" si="281"/>
        <v>1577000</v>
      </c>
      <c r="N201" s="410">
        <v>705618</v>
      </c>
      <c r="O201" s="10">
        <v>1850000</v>
      </c>
      <c r="P201" s="10">
        <v>2100000</v>
      </c>
      <c r="Q201" s="268">
        <v>2050000</v>
      </c>
      <c r="R201" s="10">
        <v>1850000</v>
      </c>
      <c r="S201" s="76">
        <f t="shared" si="305"/>
        <v>1962500</v>
      </c>
      <c r="T201" s="24">
        <f t="shared" si="306"/>
        <v>1256882</v>
      </c>
      <c r="U201" s="281">
        <f t="shared" si="307"/>
        <v>1.7812499114251621</v>
      </c>
      <c r="V201" s="462">
        <f t="shared" si="308"/>
        <v>1962500</v>
      </c>
      <c r="W201" s="410">
        <v>1246908</v>
      </c>
      <c r="X201" s="38">
        <v>1621701</v>
      </c>
      <c r="Y201" s="31">
        <v>2108211</v>
      </c>
      <c r="Z201" s="98">
        <v>1417486.8</v>
      </c>
      <c r="AA201" s="76">
        <f t="shared" si="282"/>
        <v>1715799.5999999999</v>
      </c>
      <c r="AB201" s="24">
        <f t="shared" si="283"/>
        <v>468891.59999999986</v>
      </c>
      <c r="AC201" s="25">
        <f t="shared" si="284"/>
        <v>0.37604346110539016</v>
      </c>
      <c r="AD201" s="309" t="str">
        <f t="shared" si="285"/>
        <v>REVISAR PRECIO</v>
      </c>
      <c r="AE201" s="462">
        <f t="shared" si="286"/>
        <v>1715799.5999999999</v>
      </c>
      <c r="AF201" s="410">
        <v>787927</v>
      </c>
      <c r="AG201" s="45">
        <v>750000</v>
      </c>
      <c r="AH201" s="45">
        <v>915991</v>
      </c>
      <c r="AI201" s="45">
        <v>700000</v>
      </c>
      <c r="AJ201" s="76">
        <f t="shared" si="297"/>
        <v>788663.66666666663</v>
      </c>
      <c r="AK201" s="24">
        <f t="shared" si="298"/>
        <v>736.66666666662786</v>
      </c>
      <c r="AL201" s="281">
        <f t="shared" si="299"/>
        <v>9.3494278869315031E-4</v>
      </c>
      <c r="AM201" s="462">
        <f t="shared" si="300"/>
        <v>788663.66666666663</v>
      </c>
      <c r="AN201" s="513">
        <v>791866</v>
      </c>
      <c r="AO201" s="88">
        <v>900000</v>
      </c>
      <c r="AP201" s="116">
        <v>900000</v>
      </c>
      <c r="AQ201" s="74">
        <v>867350</v>
      </c>
      <c r="AR201" s="76">
        <f t="shared" si="321"/>
        <v>889116.66666666663</v>
      </c>
      <c r="AS201" s="24">
        <f t="shared" si="322"/>
        <v>97250.666666666628</v>
      </c>
      <c r="AT201" s="25">
        <f t="shared" si="323"/>
        <v>0.12281202459338654</v>
      </c>
      <c r="AU201" s="309">
        <f t="shared" si="324"/>
        <v>889116.66666666663</v>
      </c>
      <c r="AV201" s="462">
        <f t="shared" si="325"/>
        <v>889116.66666666663</v>
      </c>
      <c r="AW201" s="513">
        <v>791866</v>
      </c>
      <c r="AX201" s="74">
        <v>906775</v>
      </c>
      <c r="AY201" s="74">
        <v>800000</v>
      </c>
      <c r="AZ201" s="75">
        <v>1044762.5</v>
      </c>
      <c r="BA201" s="61">
        <v>906774.99999999988</v>
      </c>
      <c r="BB201" s="60">
        <v>650000</v>
      </c>
      <c r="BC201" s="74">
        <v>1042791.2499999998</v>
      </c>
      <c r="BD201" s="79">
        <v>1044762.5</v>
      </c>
      <c r="BE201" s="79">
        <v>788500</v>
      </c>
      <c r="BF201" s="127">
        <v>946200</v>
      </c>
      <c r="BG201" s="128">
        <v>862000</v>
      </c>
      <c r="BH201" s="128">
        <v>790000</v>
      </c>
      <c r="BI201" s="76">
        <f t="shared" si="326"/>
        <v>891850.625</v>
      </c>
      <c r="BJ201" s="24">
        <f t="shared" si="327"/>
        <v>99984.625</v>
      </c>
      <c r="BK201" s="25">
        <f t="shared" si="328"/>
        <v>0.12626457632983359</v>
      </c>
      <c r="BL201" s="259">
        <f t="shared" si="329"/>
        <v>891850.625</v>
      </c>
      <c r="BM201" s="533">
        <f t="shared" si="330"/>
        <v>891850.625</v>
      </c>
    </row>
    <row r="202" spans="1:65" ht="44.1" customHeight="1">
      <c r="A202" s="91" t="s">
        <v>18</v>
      </c>
      <c r="B202" s="358" t="s">
        <v>2393</v>
      </c>
      <c r="C202" s="50" t="s">
        <v>154</v>
      </c>
      <c r="D202" s="99" t="s">
        <v>493</v>
      </c>
      <c r="E202" s="391" t="s">
        <v>14</v>
      </c>
      <c r="F202" s="410">
        <v>402308</v>
      </c>
      <c r="G202" s="10">
        <v>241500</v>
      </c>
      <c r="H202" s="167">
        <v>483000</v>
      </c>
      <c r="I202" s="10">
        <v>225650</v>
      </c>
      <c r="J202" s="76">
        <f t="shared" si="278"/>
        <v>233575</v>
      </c>
      <c r="K202" s="24">
        <f t="shared" si="279"/>
        <v>-168733</v>
      </c>
      <c r="L202" s="281">
        <f t="shared" si="280"/>
        <v>-0.41941248993308611</v>
      </c>
      <c r="M202" s="431">
        <f t="shared" si="281"/>
        <v>483000</v>
      </c>
      <c r="N202" s="410">
        <v>358396</v>
      </c>
      <c r="O202" s="10">
        <v>60000</v>
      </c>
      <c r="P202" s="10">
        <v>68000</v>
      </c>
      <c r="Q202" s="268">
        <v>65000</v>
      </c>
      <c r="R202" s="10">
        <v>80000</v>
      </c>
      <c r="S202" s="76">
        <f t="shared" si="305"/>
        <v>68250</v>
      </c>
      <c r="T202" s="24">
        <f t="shared" si="306"/>
        <v>-290146</v>
      </c>
      <c r="U202" s="281">
        <f t="shared" si="307"/>
        <v>-0.80956818714494583</v>
      </c>
      <c r="V202" s="462">
        <f t="shared" si="308"/>
        <v>68250</v>
      </c>
      <c r="W202" s="410">
        <v>433012</v>
      </c>
      <c r="X202" s="38">
        <v>563166</v>
      </c>
      <c r="Y202" s="31">
        <v>563166</v>
      </c>
      <c r="Z202" s="98">
        <v>492248.8</v>
      </c>
      <c r="AA202" s="76">
        <f t="shared" si="282"/>
        <v>539526.93333333335</v>
      </c>
      <c r="AB202" s="24">
        <f t="shared" si="283"/>
        <v>106514.93333333335</v>
      </c>
      <c r="AC202" s="25">
        <f t="shared" si="284"/>
        <v>0.24598610046218891</v>
      </c>
      <c r="AD202" s="309">
        <f t="shared" si="285"/>
        <v>539526.93333333335</v>
      </c>
      <c r="AE202" s="462">
        <f t="shared" si="286"/>
        <v>539526.93333333335</v>
      </c>
      <c r="AF202" s="410">
        <v>385800</v>
      </c>
      <c r="AG202" s="45">
        <v>310000</v>
      </c>
      <c r="AH202" s="45">
        <v>474673</v>
      </c>
      <c r="AI202" s="45">
        <v>236000</v>
      </c>
      <c r="AJ202" s="76">
        <f t="shared" si="297"/>
        <v>340224.33333333331</v>
      </c>
      <c r="AK202" s="24">
        <f t="shared" si="298"/>
        <v>-45575.666666666686</v>
      </c>
      <c r="AL202" s="281">
        <f t="shared" si="299"/>
        <v>-0.11813288405045798</v>
      </c>
      <c r="AM202" s="462">
        <f t="shared" si="300"/>
        <v>340224.33333333331</v>
      </c>
      <c r="AN202" s="513">
        <v>366654</v>
      </c>
      <c r="AO202" s="88">
        <v>280000</v>
      </c>
      <c r="AP202" s="116">
        <v>280000</v>
      </c>
      <c r="AQ202" s="74">
        <v>265650</v>
      </c>
      <c r="AR202" s="76">
        <f t="shared" si="321"/>
        <v>275216.66666666669</v>
      </c>
      <c r="AS202" s="24">
        <f t="shared" si="322"/>
        <v>-91437.333333333314</v>
      </c>
      <c r="AT202" s="25">
        <f t="shared" si="323"/>
        <v>-0.24938316050918116</v>
      </c>
      <c r="AU202" s="309">
        <f t="shared" si="324"/>
        <v>275216.66666666669</v>
      </c>
      <c r="AV202" s="462">
        <f t="shared" si="325"/>
        <v>275216.66666666669</v>
      </c>
      <c r="AW202" s="513">
        <v>366654</v>
      </c>
      <c r="AX202" s="74">
        <v>277725</v>
      </c>
      <c r="AY202" s="74">
        <v>450000</v>
      </c>
      <c r="AZ202" s="75">
        <v>319987.5</v>
      </c>
      <c r="BA202" s="61">
        <v>540500</v>
      </c>
      <c r="BB202" s="60">
        <v>460000</v>
      </c>
      <c r="BC202" s="74">
        <v>621575</v>
      </c>
      <c r="BD202" s="79">
        <v>319987.5</v>
      </c>
      <c r="BE202" s="79">
        <v>241500</v>
      </c>
      <c r="BF202" s="127">
        <v>289800</v>
      </c>
      <c r="BG202" s="128">
        <v>240800</v>
      </c>
      <c r="BH202" s="128">
        <v>250000</v>
      </c>
      <c r="BI202" s="76">
        <f t="shared" si="326"/>
        <v>444964.58333333331</v>
      </c>
      <c r="BJ202" s="24">
        <f t="shared" si="327"/>
        <v>78310.583333333314</v>
      </c>
      <c r="BK202" s="25">
        <f t="shared" si="328"/>
        <v>0.21358169645860489</v>
      </c>
      <c r="BL202" s="259">
        <f t="shared" si="329"/>
        <v>444964.58333333331</v>
      </c>
      <c r="BM202" s="533">
        <f t="shared" si="330"/>
        <v>444964.58333333331</v>
      </c>
    </row>
    <row r="203" spans="1:65" ht="44.1" customHeight="1">
      <c r="A203" s="91" t="s">
        <v>18</v>
      </c>
      <c r="B203" s="358" t="s">
        <v>2394</v>
      </c>
      <c r="C203" s="50" t="s">
        <v>155</v>
      </c>
      <c r="D203" s="99" t="s">
        <v>494</v>
      </c>
      <c r="E203" s="391" t="s">
        <v>14</v>
      </c>
      <c r="F203" s="410">
        <v>402308</v>
      </c>
      <c r="G203" s="10">
        <v>375300</v>
      </c>
      <c r="H203" s="167">
        <v>750600</v>
      </c>
      <c r="I203" s="10">
        <v>325680</v>
      </c>
      <c r="J203" s="76">
        <f t="shared" si="278"/>
        <v>350490</v>
      </c>
      <c r="K203" s="24">
        <f t="shared" si="279"/>
        <v>-51818</v>
      </c>
      <c r="L203" s="281">
        <f t="shared" si="280"/>
        <v>-0.12880181353589787</v>
      </c>
      <c r="M203" s="431">
        <f t="shared" si="281"/>
        <v>750600</v>
      </c>
      <c r="N203" s="410">
        <v>516634</v>
      </c>
      <c r="O203" s="10">
        <v>90000</v>
      </c>
      <c r="P203" s="10">
        <v>96000</v>
      </c>
      <c r="Q203" s="268">
        <v>95000</v>
      </c>
      <c r="R203" s="10">
        <v>100000</v>
      </c>
      <c r="S203" s="76">
        <f t="shared" si="305"/>
        <v>95250</v>
      </c>
      <c r="T203" s="24">
        <f t="shared" si="306"/>
        <v>-421384</v>
      </c>
      <c r="U203" s="281">
        <f t="shared" si="307"/>
        <v>-0.81563350456996631</v>
      </c>
      <c r="V203" s="462">
        <f t="shared" si="308"/>
        <v>95250</v>
      </c>
      <c r="W203" s="410">
        <v>620330</v>
      </c>
      <c r="X203" s="38">
        <v>806787</v>
      </c>
      <c r="Y203" s="31">
        <v>1048823</v>
      </c>
      <c r="Z203" s="98">
        <v>705191.6</v>
      </c>
      <c r="AA203" s="76">
        <f t="shared" si="282"/>
        <v>853600.53333333333</v>
      </c>
      <c r="AB203" s="24">
        <f t="shared" si="283"/>
        <v>233270.53333333333</v>
      </c>
      <c r="AC203" s="25">
        <f t="shared" si="284"/>
        <v>0.37604264396907022</v>
      </c>
      <c r="AD203" s="309" t="str">
        <f t="shared" si="285"/>
        <v>REVISAR PRECIO</v>
      </c>
      <c r="AE203" s="462">
        <f t="shared" si="286"/>
        <v>853600.53333333333</v>
      </c>
      <c r="AF203" s="410">
        <v>554404</v>
      </c>
      <c r="AG203" s="45">
        <v>380000</v>
      </c>
      <c r="AH203" s="45">
        <v>474673</v>
      </c>
      <c r="AI203" s="45">
        <v>360000</v>
      </c>
      <c r="AJ203" s="76">
        <f t="shared" si="297"/>
        <v>404891</v>
      </c>
      <c r="AK203" s="24">
        <f t="shared" si="298"/>
        <v>-149513</v>
      </c>
      <c r="AL203" s="281">
        <f t="shared" si="299"/>
        <v>-0.26968239767389846</v>
      </c>
      <c r="AM203" s="462">
        <f t="shared" si="300"/>
        <v>404891</v>
      </c>
      <c r="AN203" s="513">
        <v>525263</v>
      </c>
      <c r="AO203" s="88">
        <v>430000</v>
      </c>
      <c r="AP203" s="116">
        <v>430000</v>
      </c>
      <c r="AQ203" s="74">
        <v>412830</v>
      </c>
      <c r="AR203" s="76">
        <f t="shared" si="321"/>
        <v>424276.66666666669</v>
      </c>
      <c r="AS203" s="24">
        <f t="shared" si="322"/>
        <v>-100986.33333333331</v>
      </c>
      <c r="AT203" s="25">
        <f t="shared" si="323"/>
        <v>-0.19225860822737051</v>
      </c>
      <c r="AU203" s="309">
        <f t="shared" si="324"/>
        <v>424276.66666666669</v>
      </c>
      <c r="AV203" s="462">
        <f t="shared" si="325"/>
        <v>424276.66666666669</v>
      </c>
      <c r="AW203" s="513">
        <v>525263</v>
      </c>
      <c r="AX203" s="74">
        <v>431595</v>
      </c>
      <c r="AY203" s="74">
        <v>750000</v>
      </c>
      <c r="AZ203" s="75">
        <v>497272.5</v>
      </c>
      <c r="BA203" s="61">
        <v>736000</v>
      </c>
      <c r="BB203" s="60">
        <v>520000</v>
      </c>
      <c r="BC203" s="74">
        <v>846399.99999999988</v>
      </c>
      <c r="BD203" s="79">
        <v>497272.5</v>
      </c>
      <c r="BE203" s="79">
        <v>375300</v>
      </c>
      <c r="BF203" s="127">
        <v>450360</v>
      </c>
      <c r="BG203" s="128">
        <v>461200</v>
      </c>
      <c r="BH203" s="128">
        <v>400000</v>
      </c>
      <c r="BI203" s="76">
        <f t="shared" si="326"/>
        <v>630211.25</v>
      </c>
      <c r="BJ203" s="24">
        <f t="shared" si="327"/>
        <v>104948.25</v>
      </c>
      <c r="BK203" s="25">
        <f t="shared" si="328"/>
        <v>0.19980133761563254</v>
      </c>
      <c r="BL203" s="259">
        <f t="shared" si="329"/>
        <v>630211.25</v>
      </c>
      <c r="BM203" s="533">
        <f t="shared" si="330"/>
        <v>630211.25</v>
      </c>
    </row>
    <row r="204" spans="1:65" ht="45.6" customHeight="1">
      <c r="A204" s="91" t="s">
        <v>18</v>
      </c>
      <c r="B204" s="358" t="s">
        <v>2395</v>
      </c>
      <c r="C204" s="50" t="s">
        <v>156</v>
      </c>
      <c r="D204" s="99" t="s">
        <v>495</v>
      </c>
      <c r="E204" s="391" t="s">
        <v>14</v>
      </c>
      <c r="F204" s="410">
        <v>402308</v>
      </c>
      <c r="G204" s="10">
        <v>275200</v>
      </c>
      <c r="H204" s="167">
        <v>550400</v>
      </c>
      <c r="I204" s="10">
        <v>225650</v>
      </c>
      <c r="J204" s="76">
        <f t="shared" si="278"/>
        <v>250425</v>
      </c>
      <c r="K204" s="24">
        <f t="shared" si="279"/>
        <v>-151883</v>
      </c>
      <c r="L204" s="281">
        <f t="shared" si="280"/>
        <v>-0.37752915676546328</v>
      </c>
      <c r="M204" s="431">
        <f t="shared" si="281"/>
        <v>550400</v>
      </c>
      <c r="N204" s="443"/>
      <c r="O204" s="250"/>
      <c r="P204" s="250"/>
      <c r="Q204" s="250"/>
      <c r="R204" s="250"/>
      <c r="S204" s="250"/>
      <c r="T204" s="250"/>
      <c r="U204" s="250"/>
      <c r="V204" s="443"/>
      <c r="W204" s="410">
        <v>433012</v>
      </c>
      <c r="X204" s="38">
        <v>563166</v>
      </c>
      <c r="Y204" s="31">
        <v>732116</v>
      </c>
      <c r="Z204" s="98">
        <v>492248.8</v>
      </c>
      <c r="AA204" s="76">
        <f t="shared" si="282"/>
        <v>595843.6</v>
      </c>
      <c r="AB204" s="24">
        <f t="shared" si="283"/>
        <v>162831.59999999998</v>
      </c>
      <c r="AC204" s="25">
        <f t="shared" si="284"/>
        <v>0.37604408191920774</v>
      </c>
      <c r="AD204" s="309" t="str">
        <f t="shared" si="285"/>
        <v>REVISAR PRECIO</v>
      </c>
      <c r="AE204" s="462">
        <f t="shared" si="286"/>
        <v>595843.6</v>
      </c>
      <c r="AF204" s="410">
        <v>385800</v>
      </c>
      <c r="AG204" s="45">
        <v>320000</v>
      </c>
      <c r="AH204" s="45">
        <v>474673</v>
      </c>
      <c r="AI204" s="45">
        <v>245000</v>
      </c>
      <c r="AJ204" s="76">
        <f t="shared" si="297"/>
        <v>346557.66666666669</v>
      </c>
      <c r="AK204" s="24">
        <f t="shared" si="298"/>
        <v>-39242.333333333314</v>
      </c>
      <c r="AL204" s="281">
        <f t="shared" si="299"/>
        <v>-0.10171677898738547</v>
      </c>
      <c r="AM204" s="462">
        <f t="shared" si="300"/>
        <v>346557.66666666669</v>
      </c>
      <c r="AN204" s="513">
        <v>366654</v>
      </c>
      <c r="AO204" s="88">
        <v>310000</v>
      </c>
      <c r="AP204" s="116">
        <v>310000</v>
      </c>
      <c r="AQ204" s="74">
        <v>302720</v>
      </c>
      <c r="AR204" s="76">
        <f t="shared" si="321"/>
        <v>307573.33333333331</v>
      </c>
      <c r="AS204" s="24">
        <f t="shared" si="322"/>
        <v>-59080.666666666686</v>
      </c>
      <c r="AT204" s="25">
        <f t="shared" si="323"/>
        <v>-0.16113465737907315</v>
      </c>
      <c r="AU204" s="309">
        <f t="shared" si="324"/>
        <v>307573.33333333331</v>
      </c>
      <c r="AV204" s="462">
        <f t="shared" si="325"/>
        <v>307573.33333333331</v>
      </c>
      <c r="AW204" s="513">
        <v>366654</v>
      </c>
      <c r="AX204" s="74">
        <v>316480</v>
      </c>
      <c r="AY204" s="74">
        <v>650000</v>
      </c>
      <c r="AZ204" s="75">
        <v>364640</v>
      </c>
      <c r="BA204" s="61">
        <v>540500</v>
      </c>
      <c r="BB204" s="60">
        <v>460000</v>
      </c>
      <c r="BC204" s="74">
        <v>621575</v>
      </c>
      <c r="BD204" s="79">
        <v>364640</v>
      </c>
      <c r="BE204" s="79">
        <v>275200</v>
      </c>
      <c r="BF204" s="127">
        <v>330240</v>
      </c>
      <c r="BG204" s="128">
        <v>271000</v>
      </c>
      <c r="BH204" s="128">
        <v>275000</v>
      </c>
      <c r="BI204" s="76">
        <f t="shared" si="326"/>
        <v>492199.16666666669</v>
      </c>
      <c r="BJ204" s="24">
        <f t="shared" si="327"/>
        <v>125545.16666666669</v>
      </c>
      <c r="BK204" s="25">
        <f t="shared" si="328"/>
        <v>0.34240773772184863</v>
      </c>
      <c r="BL204" s="259">
        <f t="shared" si="329"/>
        <v>492199.16666666669</v>
      </c>
      <c r="BM204" s="533">
        <f t="shared" si="330"/>
        <v>492199.16666666669</v>
      </c>
    </row>
    <row r="205" spans="1:65" ht="45" customHeight="1">
      <c r="A205" s="91" t="s">
        <v>18</v>
      </c>
      <c r="B205" s="358" t="s">
        <v>2396</v>
      </c>
      <c r="C205" s="50" t="s">
        <v>157</v>
      </c>
      <c r="D205" s="99" t="s">
        <v>496</v>
      </c>
      <c r="E205" s="391" t="s">
        <v>14</v>
      </c>
      <c r="F205" s="410">
        <v>581192</v>
      </c>
      <c r="G205" s="10">
        <v>406300</v>
      </c>
      <c r="H205" s="167">
        <v>406300</v>
      </c>
      <c r="I205" s="10">
        <v>325680</v>
      </c>
      <c r="J205" s="76">
        <f t="shared" si="278"/>
        <v>365990</v>
      </c>
      <c r="K205" s="24">
        <f t="shared" si="279"/>
        <v>-215202</v>
      </c>
      <c r="L205" s="281">
        <f t="shared" si="280"/>
        <v>-0.37027694806535533</v>
      </c>
      <c r="M205" s="431">
        <f t="shared" si="281"/>
        <v>406300</v>
      </c>
      <c r="N205" s="443"/>
      <c r="O205" s="250"/>
      <c r="P205" s="250"/>
      <c r="Q205" s="250"/>
      <c r="R205" s="250"/>
      <c r="S205" s="250"/>
      <c r="T205" s="250"/>
      <c r="U205" s="250"/>
      <c r="V205" s="443"/>
      <c r="W205" s="410">
        <v>620330</v>
      </c>
      <c r="X205" s="38">
        <v>806787</v>
      </c>
      <c r="Y205" s="31">
        <v>1048823</v>
      </c>
      <c r="Z205" s="98">
        <v>705191.6</v>
      </c>
      <c r="AA205" s="76">
        <f t="shared" si="282"/>
        <v>853600.53333333333</v>
      </c>
      <c r="AB205" s="24">
        <f t="shared" si="283"/>
        <v>233270.53333333333</v>
      </c>
      <c r="AC205" s="25">
        <f t="shared" si="284"/>
        <v>0.37604264396907022</v>
      </c>
      <c r="AD205" s="309" t="str">
        <f t="shared" si="285"/>
        <v>REVISAR PRECIO</v>
      </c>
      <c r="AE205" s="462">
        <f t="shared" si="286"/>
        <v>853600.53333333333</v>
      </c>
      <c r="AF205" s="410">
        <v>554404</v>
      </c>
      <c r="AG205" s="45">
        <v>390000</v>
      </c>
      <c r="AH205" s="45">
        <v>685737</v>
      </c>
      <c r="AI205" s="45">
        <v>360000</v>
      </c>
      <c r="AJ205" s="76">
        <f t="shared" si="297"/>
        <v>478579</v>
      </c>
      <c r="AK205" s="24">
        <f t="shared" si="298"/>
        <v>-75825</v>
      </c>
      <c r="AL205" s="281">
        <f t="shared" si="299"/>
        <v>-0.13676849373381145</v>
      </c>
      <c r="AM205" s="462">
        <f t="shared" si="300"/>
        <v>478579</v>
      </c>
      <c r="AN205" s="513">
        <v>525263</v>
      </c>
      <c r="AO205" s="88">
        <v>430000</v>
      </c>
      <c r="AP205" s="116">
        <v>430000</v>
      </c>
      <c r="AQ205" s="74">
        <v>446930</v>
      </c>
      <c r="AR205" s="76">
        <f t="shared" si="321"/>
        <v>435643.33333333331</v>
      </c>
      <c r="AS205" s="24">
        <f t="shared" si="322"/>
        <v>-89619.666666666686</v>
      </c>
      <c r="AT205" s="25">
        <f t="shared" si="323"/>
        <v>-0.17061865516258842</v>
      </c>
      <c r="AU205" s="309">
        <f t="shared" si="324"/>
        <v>435643.33333333331</v>
      </c>
      <c r="AV205" s="462">
        <f t="shared" si="325"/>
        <v>435643.33333333331</v>
      </c>
      <c r="AW205" s="513">
        <v>525263</v>
      </c>
      <c r="AX205" s="74">
        <v>467245</v>
      </c>
      <c r="AY205" s="74">
        <v>800000</v>
      </c>
      <c r="AZ205" s="75">
        <v>538347.5</v>
      </c>
      <c r="BA205" s="61">
        <v>736000</v>
      </c>
      <c r="BB205" s="60">
        <v>520000</v>
      </c>
      <c r="BC205" s="74">
        <v>846399.99999999988</v>
      </c>
      <c r="BD205" s="79">
        <v>538347.5</v>
      </c>
      <c r="BE205" s="79">
        <v>406300</v>
      </c>
      <c r="BF205" s="127">
        <v>487560</v>
      </c>
      <c r="BG205" s="128">
        <v>500200</v>
      </c>
      <c r="BH205" s="128">
        <v>420000</v>
      </c>
      <c r="BI205" s="76">
        <f t="shared" si="326"/>
        <v>651332.08333333337</v>
      </c>
      <c r="BJ205" s="24">
        <f t="shared" si="327"/>
        <v>126069.08333333337</v>
      </c>
      <c r="BK205" s="25">
        <f t="shared" si="328"/>
        <v>0.24001135304282498</v>
      </c>
      <c r="BL205" s="259">
        <f t="shared" si="329"/>
        <v>651332.08333333337</v>
      </c>
      <c r="BM205" s="533">
        <f t="shared" si="330"/>
        <v>651332.08333333337</v>
      </c>
    </row>
    <row r="206" spans="1:65" ht="21.6" customHeight="1">
      <c r="A206" s="91" t="s">
        <v>18</v>
      </c>
      <c r="B206" s="358" t="s">
        <v>2397</v>
      </c>
      <c r="C206" s="50" t="s">
        <v>158</v>
      </c>
      <c r="D206" s="99" t="s">
        <v>497</v>
      </c>
      <c r="E206" s="391" t="s">
        <v>14</v>
      </c>
      <c r="F206" s="408"/>
      <c r="G206" s="293"/>
      <c r="H206" s="293"/>
      <c r="I206" s="293"/>
      <c r="J206" s="293"/>
      <c r="K206" s="293"/>
      <c r="L206" s="327"/>
      <c r="M206" s="432"/>
      <c r="N206" s="443"/>
      <c r="O206" s="250"/>
      <c r="P206" s="250"/>
      <c r="Q206" s="250"/>
      <c r="R206" s="250"/>
      <c r="S206" s="250"/>
      <c r="T206" s="250"/>
      <c r="U206" s="250"/>
      <c r="V206" s="443"/>
      <c r="W206" s="410">
        <v>140649</v>
      </c>
      <c r="X206" s="39">
        <v>182925</v>
      </c>
      <c r="Y206" s="31">
        <v>237803</v>
      </c>
      <c r="Z206" s="98">
        <v>159890</v>
      </c>
      <c r="AA206" s="76">
        <f t="shared" si="282"/>
        <v>193539.33333333334</v>
      </c>
      <c r="AB206" s="24">
        <f t="shared" si="283"/>
        <v>52890.333333333343</v>
      </c>
      <c r="AC206" s="25">
        <f t="shared" si="284"/>
        <v>0.37604485871448318</v>
      </c>
      <c r="AD206" s="309" t="str">
        <f t="shared" si="285"/>
        <v>REVISAR PRECIO</v>
      </c>
      <c r="AE206" s="462">
        <f t="shared" si="286"/>
        <v>193539.33333333334</v>
      </c>
      <c r="AF206" s="410">
        <v>33062</v>
      </c>
      <c r="AG206" s="45">
        <v>100000</v>
      </c>
      <c r="AH206" s="45">
        <v>38432</v>
      </c>
      <c r="AI206" s="45">
        <v>130000</v>
      </c>
      <c r="AJ206" s="76">
        <f t="shared" si="297"/>
        <v>89477.333333333328</v>
      </c>
      <c r="AK206" s="24">
        <f t="shared" si="298"/>
        <v>56415.333333333328</v>
      </c>
      <c r="AL206" s="281">
        <f t="shared" si="299"/>
        <v>1.7063496864476839</v>
      </c>
      <c r="AM206" s="462">
        <f t="shared" si="300"/>
        <v>89477.333333333328</v>
      </c>
      <c r="AN206" s="513">
        <v>33223</v>
      </c>
      <c r="AO206" s="88">
        <v>115000</v>
      </c>
      <c r="AP206" s="116">
        <v>115000</v>
      </c>
      <c r="AQ206" s="74">
        <v>121000</v>
      </c>
      <c r="AR206" s="76">
        <f t="shared" si="321"/>
        <v>117000</v>
      </c>
      <c r="AS206" s="24">
        <f t="shared" si="322"/>
        <v>83777</v>
      </c>
      <c r="AT206" s="25">
        <f t="shared" si="323"/>
        <v>2.5216566836227914</v>
      </c>
      <c r="AU206" s="309" t="str">
        <f t="shared" si="324"/>
        <v>REVISAR PRECIO</v>
      </c>
      <c r="AV206" s="462">
        <f t="shared" si="325"/>
        <v>117000</v>
      </c>
      <c r="AW206" s="513">
        <v>33223</v>
      </c>
      <c r="AX206" s="74">
        <v>126500</v>
      </c>
      <c r="AY206" s="74">
        <v>150000</v>
      </c>
      <c r="AZ206" s="75">
        <v>145750</v>
      </c>
      <c r="BA206" s="61">
        <v>126499.99999999999</v>
      </c>
      <c r="BB206" s="60">
        <v>25000</v>
      </c>
      <c r="BC206" s="74">
        <v>145474.99999999997</v>
      </c>
      <c r="BD206" s="79">
        <v>145750</v>
      </c>
      <c r="BE206" s="79">
        <v>110000</v>
      </c>
      <c r="BF206" s="127">
        <v>132000</v>
      </c>
      <c r="BG206" s="128">
        <v>138100</v>
      </c>
      <c r="BH206" s="128">
        <v>100000</v>
      </c>
      <c r="BI206" s="76">
        <f t="shared" si="326"/>
        <v>119870.83333333333</v>
      </c>
      <c r="BJ206" s="24">
        <f t="shared" si="327"/>
        <v>86647.833333333328</v>
      </c>
      <c r="BK206" s="25">
        <f t="shared" si="328"/>
        <v>2.6080677041005726</v>
      </c>
      <c r="BL206" s="259" t="str">
        <f t="shared" si="329"/>
        <v>REVISAR PRECIO</v>
      </c>
      <c r="BM206" s="533">
        <f t="shared" si="330"/>
        <v>119870.83333333333</v>
      </c>
    </row>
    <row r="207" spans="1:65" ht="34.35" customHeight="1">
      <c r="A207" s="91" t="s">
        <v>18</v>
      </c>
      <c r="B207" s="358" t="s">
        <v>2398</v>
      </c>
      <c r="C207" s="50" t="s">
        <v>159</v>
      </c>
      <c r="D207" s="99" t="s">
        <v>498</v>
      </c>
      <c r="E207" s="391" t="s">
        <v>14</v>
      </c>
      <c r="F207" s="410">
        <v>64834</v>
      </c>
      <c r="G207" s="10">
        <v>30029</v>
      </c>
      <c r="H207" s="167">
        <v>60058</v>
      </c>
      <c r="I207" s="10">
        <v>29650</v>
      </c>
      <c r="J207" s="76">
        <f t="shared" ref="J207:J213" si="331">AVERAGE(G207,I207)</f>
        <v>29839.5</v>
      </c>
      <c r="K207" s="24">
        <f t="shared" ref="K207:K213" si="332">J207-F207</f>
        <v>-34994.5</v>
      </c>
      <c r="L207" s="281">
        <f t="shared" ref="L207:L213" si="333">+K207/F207</f>
        <v>-0.5397553752660641</v>
      </c>
      <c r="M207" s="431">
        <f t="shared" ref="M207:M213" si="334">H207</f>
        <v>60058</v>
      </c>
      <c r="N207" s="445">
        <v>58350</v>
      </c>
      <c r="O207" s="208">
        <v>72000</v>
      </c>
      <c r="P207" s="208">
        <v>78000</v>
      </c>
      <c r="Q207" s="275">
        <v>75000</v>
      </c>
      <c r="R207" s="208">
        <v>150000</v>
      </c>
      <c r="S207" s="209">
        <v>93750</v>
      </c>
      <c r="T207" s="210">
        <v>35400</v>
      </c>
      <c r="U207" s="452">
        <v>0.61</v>
      </c>
      <c r="V207" s="465">
        <v>93750</v>
      </c>
      <c r="W207" s="410">
        <v>163246</v>
      </c>
      <c r="X207" s="38">
        <v>212315</v>
      </c>
      <c r="Y207" s="31">
        <v>276009</v>
      </c>
      <c r="Z207" s="98">
        <v>185578.6</v>
      </c>
      <c r="AA207" s="76">
        <f t="shared" si="282"/>
        <v>224634.19999999998</v>
      </c>
      <c r="AB207" s="24">
        <f t="shared" si="283"/>
        <v>61388.199999999983</v>
      </c>
      <c r="AC207" s="25">
        <f t="shared" si="284"/>
        <v>0.37604719258052255</v>
      </c>
      <c r="AD207" s="309" t="str">
        <f t="shared" si="285"/>
        <v>REVISAR PRECIO</v>
      </c>
      <c r="AE207" s="462">
        <f t="shared" si="286"/>
        <v>224634.19999999998</v>
      </c>
      <c r="AF207" s="410">
        <v>64833</v>
      </c>
      <c r="AG207" s="45">
        <v>45000</v>
      </c>
      <c r="AH207" s="45">
        <v>76499</v>
      </c>
      <c r="AI207" s="45">
        <v>55000</v>
      </c>
      <c r="AJ207" s="76">
        <f t="shared" si="297"/>
        <v>58833</v>
      </c>
      <c r="AK207" s="24">
        <f t="shared" si="298"/>
        <v>-6000</v>
      </c>
      <c r="AL207" s="281">
        <f t="shared" si="299"/>
        <v>-9.2545462958678451E-2</v>
      </c>
      <c r="AM207" s="462">
        <f t="shared" si="300"/>
        <v>58833</v>
      </c>
      <c r="AN207" s="513">
        <v>64833</v>
      </c>
      <c r="AO207" s="88">
        <v>31200</v>
      </c>
      <c r="AP207" s="116">
        <v>31200</v>
      </c>
      <c r="AQ207" s="74">
        <v>33031.625</v>
      </c>
      <c r="AR207" s="76">
        <f t="shared" si="321"/>
        <v>31810.541666666668</v>
      </c>
      <c r="AS207" s="24">
        <f t="shared" si="322"/>
        <v>-33022.458333333328</v>
      </c>
      <c r="AT207" s="25">
        <f t="shared" si="323"/>
        <v>-0.50934644908200033</v>
      </c>
      <c r="AU207" s="309">
        <f t="shared" si="324"/>
        <v>31810.541666666668</v>
      </c>
      <c r="AV207" s="462">
        <f t="shared" si="325"/>
        <v>31810.541666666668</v>
      </c>
      <c r="AW207" s="513">
        <v>64833</v>
      </c>
      <c r="AX207" s="74">
        <v>34533.0625</v>
      </c>
      <c r="AY207" s="74">
        <v>70000</v>
      </c>
      <c r="AZ207" s="75">
        <v>39788.09375</v>
      </c>
      <c r="BA207" s="61">
        <v>34533.0625</v>
      </c>
      <c r="BB207" s="60">
        <v>38000</v>
      </c>
      <c r="BC207" s="74">
        <v>39713.021874999999</v>
      </c>
      <c r="BD207" s="79">
        <v>39788.09375</v>
      </c>
      <c r="BE207" s="79">
        <f>24023*1.25</f>
        <v>30028.75</v>
      </c>
      <c r="BF207" s="127">
        <v>36034.5</v>
      </c>
      <c r="BG207" s="128">
        <v>28900</v>
      </c>
      <c r="BH207" s="128">
        <v>30000</v>
      </c>
      <c r="BI207" s="76">
        <f t="shared" si="326"/>
        <v>42761.206770833334</v>
      </c>
      <c r="BJ207" s="24">
        <f t="shared" si="327"/>
        <v>-22071.793229166666</v>
      </c>
      <c r="BK207" s="25">
        <f t="shared" si="328"/>
        <v>-0.3404407204535756</v>
      </c>
      <c r="BL207" s="259">
        <f t="shared" si="329"/>
        <v>42761.206770833334</v>
      </c>
      <c r="BM207" s="533">
        <f t="shared" si="330"/>
        <v>42761.206770833334</v>
      </c>
    </row>
    <row r="208" spans="1:65" ht="34.35" customHeight="1">
      <c r="A208" s="91" t="s">
        <v>18</v>
      </c>
      <c r="B208" s="358" t="s">
        <v>2399</v>
      </c>
      <c r="C208" s="50" t="s">
        <v>160</v>
      </c>
      <c r="D208" s="99" t="s">
        <v>499</v>
      </c>
      <c r="E208" s="391" t="s">
        <v>14</v>
      </c>
      <c r="F208" s="410">
        <v>94593</v>
      </c>
      <c r="G208" s="10">
        <v>81044</v>
      </c>
      <c r="H208" s="167">
        <v>162088</v>
      </c>
      <c r="I208" s="10">
        <v>78950</v>
      </c>
      <c r="J208" s="76">
        <f t="shared" si="331"/>
        <v>79997</v>
      </c>
      <c r="K208" s="24">
        <f t="shared" si="332"/>
        <v>-14596</v>
      </c>
      <c r="L208" s="281">
        <f t="shared" si="333"/>
        <v>-0.15430317253919423</v>
      </c>
      <c r="M208" s="431">
        <f t="shared" si="334"/>
        <v>162088</v>
      </c>
      <c r="N208" s="446">
        <v>85137</v>
      </c>
      <c r="O208" s="213">
        <v>140000</v>
      </c>
      <c r="P208" s="213">
        <v>148000</v>
      </c>
      <c r="Q208" s="277">
        <v>145000</v>
      </c>
      <c r="R208" s="213">
        <v>250000</v>
      </c>
      <c r="S208" s="214">
        <v>170750</v>
      </c>
      <c r="T208" s="215">
        <v>85613</v>
      </c>
      <c r="U208" s="453">
        <v>1.01</v>
      </c>
      <c r="V208" s="466">
        <v>170750</v>
      </c>
      <c r="W208" s="410">
        <v>176875</v>
      </c>
      <c r="X208" s="38">
        <v>230040</v>
      </c>
      <c r="Y208" s="31">
        <v>299052</v>
      </c>
      <c r="Z208" s="98">
        <v>201072</v>
      </c>
      <c r="AA208" s="76">
        <f t="shared" si="282"/>
        <v>243388</v>
      </c>
      <c r="AB208" s="24">
        <f t="shared" si="283"/>
        <v>66513</v>
      </c>
      <c r="AC208" s="25">
        <f t="shared" si="284"/>
        <v>0.37604522968197879</v>
      </c>
      <c r="AD208" s="309" t="str">
        <f t="shared" si="285"/>
        <v>REVISAR PRECIO</v>
      </c>
      <c r="AE208" s="462">
        <f t="shared" si="286"/>
        <v>243388</v>
      </c>
      <c r="AF208" s="410">
        <v>94592</v>
      </c>
      <c r="AG208" s="45">
        <v>75000</v>
      </c>
      <c r="AH208" s="45">
        <v>111608</v>
      </c>
      <c r="AI208" s="45">
        <v>75000</v>
      </c>
      <c r="AJ208" s="76">
        <f t="shared" si="297"/>
        <v>87202.666666666672</v>
      </c>
      <c r="AK208" s="24">
        <f t="shared" si="298"/>
        <v>-7389.3333333333285</v>
      </c>
      <c r="AL208" s="281">
        <f t="shared" si="299"/>
        <v>-7.8117952187640907E-2</v>
      </c>
      <c r="AM208" s="462">
        <f t="shared" si="300"/>
        <v>87202.666666666672</v>
      </c>
      <c r="AN208" s="513">
        <v>94592</v>
      </c>
      <c r="AO208" s="88">
        <v>85000</v>
      </c>
      <c r="AP208" s="116">
        <v>85000</v>
      </c>
      <c r="AQ208" s="74">
        <v>89147.96</v>
      </c>
      <c r="AR208" s="76">
        <f t="shared" si="321"/>
        <v>86382.653333333335</v>
      </c>
      <c r="AS208" s="24">
        <f t="shared" si="322"/>
        <v>-8209.3466666666645</v>
      </c>
      <c r="AT208" s="25">
        <f t="shared" si="323"/>
        <v>-8.6786902345511924E-2</v>
      </c>
      <c r="AU208" s="309">
        <f t="shared" si="324"/>
        <v>86382.653333333335</v>
      </c>
      <c r="AV208" s="462">
        <f t="shared" si="325"/>
        <v>86382.653333333335</v>
      </c>
      <c r="AW208" s="513">
        <v>94592</v>
      </c>
      <c r="AX208" s="74">
        <v>93200.140000000014</v>
      </c>
      <c r="AY208" s="74">
        <v>100000</v>
      </c>
      <c r="AZ208" s="75">
        <v>107382.77</v>
      </c>
      <c r="BA208" s="61">
        <v>93200.14</v>
      </c>
      <c r="BB208" s="60">
        <v>60000</v>
      </c>
      <c r="BC208" s="74">
        <v>107180.16099999999</v>
      </c>
      <c r="BD208" s="79">
        <v>107382.77</v>
      </c>
      <c r="BE208" s="79">
        <f>73676*1.1</f>
        <v>81043.600000000006</v>
      </c>
      <c r="BF208" s="127">
        <v>97252.32</v>
      </c>
      <c r="BG208" s="128">
        <v>85000</v>
      </c>
      <c r="BH208" s="128">
        <v>83000</v>
      </c>
      <c r="BI208" s="76">
        <f t="shared" si="326"/>
        <v>93493.868499999997</v>
      </c>
      <c r="BJ208" s="24">
        <f t="shared" si="327"/>
        <v>-1098.1315000000031</v>
      </c>
      <c r="BK208" s="25">
        <f t="shared" si="328"/>
        <v>-1.1609137136332916E-2</v>
      </c>
      <c r="BL208" s="259">
        <f t="shared" si="329"/>
        <v>93493.868499999997</v>
      </c>
      <c r="BM208" s="533">
        <f t="shared" si="330"/>
        <v>93493.868499999997</v>
      </c>
    </row>
    <row r="209" spans="1:65" ht="34.35" customHeight="1">
      <c r="A209" s="91" t="s">
        <v>18</v>
      </c>
      <c r="B209" s="358" t="s">
        <v>2400</v>
      </c>
      <c r="C209" s="50" t="s">
        <v>161</v>
      </c>
      <c r="D209" s="99" t="s">
        <v>500</v>
      </c>
      <c r="E209" s="391" t="s">
        <v>14</v>
      </c>
      <c r="F209" s="410">
        <v>96387</v>
      </c>
      <c r="G209" s="10">
        <v>83775</v>
      </c>
      <c r="H209" s="167">
        <v>251325</v>
      </c>
      <c r="I209" s="10">
        <v>85000</v>
      </c>
      <c r="J209" s="76">
        <f t="shared" si="331"/>
        <v>84387.5</v>
      </c>
      <c r="K209" s="24">
        <f t="shared" si="332"/>
        <v>-11999.5</v>
      </c>
      <c r="L209" s="281">
        <f t="shared" si="333"/>
        <v>-0.12449292954444063</v>
      </c>
      <c r="M209" s="431">
        <f t="shared" si="334"/>
        <v>251325</v>
      </c>
      <c r="N209" s="446">
        <v>86752</v>
      </c>
      <c r="O209" s="213">
        <v>72000</v>
      </c>
      <c r="P209" s="213">
        <v>78000</v>
      </c>
      <c r="Q209" s="277">
        <v>75000</v>
      </c>
      <c r="R209" s="213">
        <v>250000</v>
      </c>
      <c r="S209" s="214">
        <v>118750</v>
      </c>
      <c r="T209" s="215">
        <v>31998</v>
      </c>
      <c r="U209" s="454">
        <v>0.37</v>
      </c>
      <c r="V209" s="466">
        <v>118750</v>
      </c>
      <c r="W209" s="410">
        <v>180238</v>
      </c>
      <c r="X209" s="38">
        <v>234414</v>
      </c>
      <c r="Y209" s="31">
        <v>304738</v>
      </c>
      <c r="Z209" s="98">
        <v>204895.2</v>
      </c>
      <c r="AA209" s="76">
        <f t="shared" si="282"/>
        <v>248015.73333333331</v>
      </c>
      <c r="AB209" s="24">
        <f t="shared" si="283"/>
        <v>67777.733333333308</v>
      </c>
      <c r="AC209" s="25">
        <f t="shared" si="284"/>
        <v>0.3760457469198133</v>
      </c>
      <c r="AD209" s="309" t="str">
        <f t="shared" si="285"/>
        <v>REVISAR PRECIO</v>
      </c>
      <c r="AE209" s="462">
        <f t="shared" si="286"/>
        <v>248015.73333333331</v>
      </c>
      <c r="AF209" s="410">
        <v>96386</v>
      </c>
      <c r="AG209" s="45">
        <v>80000</v>
      </c>
      <c r="AH209" s="45">
        <v>113726</v>
      </c>
      <c r="AI209" s="45">
        <v>55000</v>
      </c>
      <c r="AJ209" s="76">
        <f t="shared" si="297"/>
        <v>82908.666666666672</v>
      </c>
      <c r="AK209" s="24">
        <f t="shared" si="298"/>
        <v>-13477.333333333328</v>
      </c>
      <c r="AL209" s="281">
        <f t="shared" si="299"/>
        <v>-0.13982666915665479</v>
      </c>
      <c r="AM209" s="462">
        <f t="shared" si="300"/>
        <v>82908.666666666672</v>
      </c>
      <c r="AN209" s="513">
        <v>96386</v>
      </c>
      <c r="AO209" s="88">
        <v>95000</v>
      </c>
      <c r="AP209" s="116">
        <v>95000</v>
      </c>
      <c r="AQ209" s="74">
        <v>92152.390000000014</v>
      </c>
      <c r="AR209" s="76">
        <f t="shared" si="321"/>
        <v>94050.796666666676</v>
      </c>
      <c r="AS209" s="24">
        <f t="shared" si="322"/>
        <v>-2335.2033333333238</v>
      </c>
      <c r="AT209" s="25">
        <f t="shared" si="323"/>
        <v>-2.4227619502140599E-2</v>
      </c>
      <c r="AU209" s="309">
        <f t="shared" si="324"/>
        <v>94050.796666666676</v>
      </c>
      <c r="AV209" s="462">
        <f t="shared" si="325"/>
        <v>94050.796666666676</v>
      </c>
      <c r="AW209" s="513">
        <v>96386</v>
      </c>
      <c r="AX209" s="74">
        <v>96341.135000000009</v>
      </c>
      <c r="AY209" s="74">
        <v>100000</v>
      </c>
      <c r="AZ209" s="75">
        <v>111001.74250000002</v>
      </c>
      <c r="BA209" s="61">
        <v>96341.135000000009</v>
      </c>
      <c r="BB209" s="60">
        <v>38000</v>
      </c>
      <c r="BC209" s="74">
        <v>110792.30525</v>
      </c>
      <c r="BD209" s="79">
        <v>111001.74250000002</v>
      </c>
      <c r="BE209" s="79">
        <f>76159*1.1</f>
        <v>83774.900000000009</v>
      </c>
      <c r="BF209" s="127">
        <v>100529.88</v>
      </c>
      <c r="BG209" s="128">
        <v>82100</v>
      </c>
      <c r="BH209" s="128">
        <v>85000</v>
      </c>
      <c r="BI209" s="76">
        <f t="shared" si="326"/>
        <v>92079.386291666669</v>
      </c>
      <c r="BJ209" s="24">
        <f t="shared" si="327"/>
        <v>-4306.6137083333306</v>
      </c>
      <c r="BK209" s="25">
        <f t="shared" si="328"/>
        <v>-4.4680904989659605E-2</v>
      </c>
      <c r="BL209" s="259">
        <f t="shared" si="329"/>
        <v>92079.386291666669</v>
      </c>
      <c r="BM209" s="533">
        <f t="shared" si="330"/>
        <v>92079.386291666669</v>
      </c>
    </row>
    <row r="210" spans="1:65" ht="34.35" customHeight="1">
      <c r="A210" s="91" t="s">
        <v>18</v>
      </c>
      <c r="B210" s="358" t="s">
        <v>2401</v>
      </c>
      <c r="C210" s="50" t="s">
        <v>162</v>
      </c>
      <c r="D210" s="99" t="s">
        <v>501</v>
      </c>
      <c r="E210" s="391" t="s">
        <v>14</v>
      </c>
      <c r="F210" s="410">
        <v>72846</v>
      </c>
      <c r="G210" s="10">
        <v>71797</v>
      </c>
      <c r="H210" s="167">
        <v>215391</v>
      </c>
      <c r="I210" s="10">
        <v>70000</v>
      </c>
      <c r="J210" s="76">
        <f t="shared" si="331"/>
        <v>70898.5</v>
      </c>
      <c r="K210" s="24">
        <f t="shared" si="332"/>
        <v>-1947.5</v>
      </c>
      <c r="L210" s="281">
        <f t="shared" si="333"/>
        <v>-2.6734480959833072E-2</v>
      </c>
      <c r="M210" s="431">
        <f t="shared" si="334"/>
        <v>215391</v>
      </c>
      <c r="N210" s="446">
        <v>65555</v>
      </c>
      <c r="O210" s="213">
        <v>72000</v>
      </c>
      <c r="P210" s="213">
        <v>78000</v>
      </c>
      <c r="Q210" s="277">
        <v>75000</v>
      </c>
      <c r="R210" s="213">
        <v>150000</v>
      </c>
      <c r="S210" s="214">
        <v>93750</v>
      </c>
      <c r="T210" s="215">
        <v>28195</v>
      </c>
      <c r="U210" s="452">
        <v>0.43</v>
      </c>
      <c r="V210" s="466">
        <v>93750</v>
      </c>
      <c r="W210" s="410">
        <v>136206</v>
      </c>
      <c r="X210" s="38">
        <v>177147</v>
      </c>
      <c r="Y210" s="31">
        <v>230291</v>
      </c>
      <c r="Z210" s="98">
        <v>154839.6</v>
      </c>
      <c r="AA210" s="76">
        <f t="shared" si="282"/>
        <v>187425.86666666667</v>
      </c>
      <c r="AB210" s="24">
        <f t="shared" si="283"/>
        <v>51219.866666666669</v>
      </c>
      <c r="AC210" s="25">
        <f t="shared" si="284"/>
        <v>0.37604706596380971</v>
      </c>
      <c r="AD210" s="309" t="str">
        <f t="shared" si="285"/>
        <v>REVISAR PRECIO</v>
      </c>
      <c r="AE210" s="462">
        <f t="shared" si="286"/>
        <v>187425.86666666667</v>
      </c>
      <c r="AF210" s="410">
        <v>72845</v>
      </c>
      <c r="AG210" s="45">
        <v>45000</v>
      </c>
      <c r="AH210" s="45">
        <v>85944</v>
      </c>
      <c r="AI210" s="45">
        <v>55000</v>
      </c>
      <c r="AJ210" s="76">
        <f t="shared" si="297"/>
        <v>61981.333333333336</v>
      </c>
      <c r="AK210" s="24">
        <f t="shared" si="298"/>
        <v>-10863.666666666664</v>
      </c>
      <c r="AL210" s="281">
        <f t="shared" si="299"/>
        <v>-0.14913400599446311</v>
      </c>
      <c r="AM210" s="462">
        <f t="shared" si="300"/>
        <v>61981.333333333336</v>
      </c>
      <c r="AN210" s="513">
        <v>72845</v>
      </c>
      <c r="AO210" s="88">
        <v>95000</v>
      </c>
      <c r="AP210" s="116">
        <v>95000</v>
      </c>
      <c r="AQ210" s="74">
        <v>78976.7</v>
      </c>
      <c r="AR210" s="76">
        <f t="shared" si="321"/>
        <v>89658.900000000009</v>
      </c>
      <c r="AS210" s="24">
        <f t="shared" si="322"/>
        <v>16813.900000000009</v>
      </c>
      <c r="AT210" s="25">
        <f t="shared" si="323"/>
        <v>0.23081748918937481</v>
      </c>
      <c r="AU210" s="309">
        <f t="shared" si="324"/>
        <v>89658.900000000009</v>
      </c>
      <c r="AV210" s="462">
        <f t="shared" si="325"/>
        <v>89658.900000000009</v>
      </c>
      <c r="AW210" s="513">
        <v>72845</v>
      </c>
      <c r="AX210" s="74">
        <v>82566.55</v>
      </c>
      <c r="AY210" s="74">
        <v>100000</v>
      </c>
      <c r="AZ210" s="75">
        <v>95131.024999999994</v>
      </c>
      <c r="BA210" s="61">
        <v>82566.549999999988</v>
      </c>
      <c r="BB210" s="60">
        <v>38000</v>
      </c>
      <c r="BC210" s="74">
        <v>94951.532499999972</v>
      </c>
      <c r="BD210" s="79">
        <v>95131.024999999994</v>
      </c>
      <c r="BE210" s="79">
        <f>65270*1.1</f>
        <v>71797</v>
      </c>
      <c r="BF210" s="127">
        <v>86156.4</v>
      </c>
      <c r="BG210" s="128">
        <v>83500</v>
      </c>
      <c r="BH210" s="128">
        <v>75000</v>
      </c>
      <c r="BI210" s="76">
        <f t="shared" si="326"/>
        <v>82202.609583333324</v>
      </c>
      <c r="BJ210" s="24">
        <f t="shared" si="327"/>
        <v>9357.6095833333238</v>
      </c>
      <c r="BK210" s="25">
        <f t="shared" si="328"/>
        <v>0.12845918845951437</v>
      </c>
      <c r="BL210" s="259">
        <f t="shared" si="329"/>
        <v>82202.609583333324</v>
      </c>
      <c r="BM210" s="533">
        <f t="shared" si="330"/>
        <v>82202.609583333324</v>
      </c>
    </row>
    <row r="211" spans="1:65" ht="33" customHeight="1">
      <c r="A211" s="91" t="s">
        <v>18</v>
      </c>
      <c r="B211" s="358" t="s">
        <v>2402</v>
      </c>
      <c r="C211" s="50" t="s">
        <v>163</v>
      </c>
      <c r="D211" s="99" t="s">
        <v>502</v>
      </c>
      <c r="E211" s="391" t="s">
        <v>14</v>
      </c>
      <c r="F211" s="410">
        <v>47520</v>
      </c>
      <c r="G211" s="10">
        <v>41163</v>
      </c>
      <c r="H211" s="167">
        <v>123489</v>
      </c>
      <c r="I211" s="10">
        <v>38950</v>
      </c>
      <c r="J211" s="76">
        <f t="shared" si="331"/>
        <v>40056.5</v>
      </c>
      <c r="K211" s="24">
        <f t="shared" si="332"/>
        <v>-7463.5</v>
      </c>
      <c r="L211" s="281">
        <f t="shared" si="333"/>
        <v>-0.15706018518518519</v>
      </c>
      <c r="M211" s="431">
        <f t="shared" si="334"/>
        <v>123489</v>
      </c>
      <c r="N211" s="446">
        <v>42764</v>
      </c>
      <c r="O211" s="213">
        <v>72000</v>
      </c>
      <c r="P211" s="213">
        <v>78000</v>
      </c>
      <c r="Q211" s="277">
        <v>75000</v>
      </c>
      <c r="R211" s="213">
        <v>250000</v>
      </c>
      <c r="S211" s="214">
        <v>118750</v>
      </c>
      <c r="T211" s="215">
        <v>75986</v>
      </c>
      <c r="U211" s="453">
        <v>1.78</v>
      </c>
      <c r="V211" s="466">
        <v>118750</v>
      </c>
      <c r="W211" s="410">
        <v>88853</v>
      </c>
      <c r="X211" s="38">
        <v>115560</v>
      </c>
      <c r="Y211" s="31">
        <v>115560</v>
      </c>
      <c r="Z211" s="31">
        <v>101008</v>
      </c>
      <c r="AA211" s="76">
        <f t="shared" si="282"/>
        <v>110709.33333333333</v>
      </c>
      <c r="AB211" s="24">
        <f t="shared" si="283"/>
        <v>21856.333333333328</v>
      </c>
      <c r="AC211" s="25">
        <f t="shared" si="284"/>
        <v>0.24598306566276129</v>
      </c>
      <c r="AD211" s="309">
        <f t="shared" si="285"/>
        <v>110709.33333333333</v>
      </c>
      <c r="AE211" s="462">
        <f t="shared" si="286"/>
        <v>110709.33333333333</v>
      </c>
      <c r="AF211" s="410">
        <v>47519</v>
      </c>
      <c r="AG211" s="45">
        <v>45000</v>
      </c>
      <c r="AH211" s="45">
        <v>56062</v>
      </c>
      <c r="AI211" s="45">
        <v>55000</v>
      </c>
      <c r="AJ211" s="76">
        <f t="shared" si="297"/>
        <v>52020.666666666664</v>
      </c>
      <c r="AK211" s="24">
        <f t="shared" si="298"/>
        <v>4501.6666666666642</v>
      </c>
      <c r="AL211" s="281">
        <f t="shared" si="299"/>
        <v>9.4734036210077324E-2</v>
      </c>
      <c r="AM211" s="462">
        <f t="shared" si="300"/>
        <v>52020.666666666664</v>
      </c>
      <c r="AN211" s="513">
        <v>47519</v>
      </c>
      <c r="AO211" s="88">
        <v>50000</v>
      </c>
      <c r="AP211" s="116">
        <v>50000</v>
      </c>
      <c r="AQ211" s="74">
        <v>45279.41</v>
      </c>
      <c r="AR211" s="76">
        <f t="shared" si="321"/>
        <v>48426.47</v>
      </c>
      <c r="AS211" s="24">
        <f t="shared" si="322"/>
        <v>907.47000000000116</v>
      </c>
      <c r="AT211" s="25">
        <f t="shared" si="323"/>
        <v>1.909699278183466E-2</v>
      </c>
      <c r="AU211" s="309">
        <f t="shared" si="324"/>
        <v>48426.47</v>
      </c>
      <c r="AV211" s="462">
        <f t="shared" si="325"/>
        <v>48426.47</v>
      </c>
      <c r="AW211" s="513">
        <v>47519</v>
      </c>
      <c r="AX211" s="74">
        <v>47337.56500000001</v>
      </c>
      <c r="AY211" s="74">
        <v>70000</v>
      </c>
      <c r="AZ211" s="75">
        <v>54541.107500000006</v>
      </c>
      <c r="BA211" s="61">
        <v>47337.565000000002</v>
      </c>
      <c r="BB211" s="60">
        <v>38000</v>
      </c>
      <c r="BC211" s="74">
        <v>54438.19975</v>
      </c>
      <c r="BD211" s="79">
        <v>54541.107500000006</v>
      </c>
      <c r="BE211" s="79">
        <f>37421*1.1</f>
        <v>41163.100000000006</v>
      </c>
      <c r="BF211" s="127">
        <v>49395.720000000008</v>
      </c>
      <c r="BG211" s="128">
        <v>38900</v>
      </c>
      <c r="BH211" s="128">
        <v>42000</v>
      </c>
      <c r="BI211" s="76">
        <f t="shared" si="326"/>
        <v>51942.406208333334</v>
      </c>
      <c r="BJ211" s="24">
        <f t="shared" si="327"/>
        <v>4423.4062083333338</v>
      </c>
      <c r="BK211" s="25">
        <f t="shared" si="328"/>
        <v>9.3087106385515983E-2</v>
      </c>
      <c r="BL211" s="259">
        <f t="shared" si="329"/>
        <v>51942.406208333334</v>
      </c>
      <c r="BM211" s="533">
        <f t="shared" si="330"/>
        <v>51942.406208333334</v>
      </c>
    </row>
    <row r="212" spans="1:65" ht="32.1" customHeight="1">
      <c r="A212" s="91" t="s">
        <v>18</v>
      </c>
      <c r="B212" s="358" t="s">
        <v>2403</v>
      </c>
      <c r="C212" s="50" t="s">
        <v>164</v>
      </c>
      <c r="D212" s="99" t="s">
        <v>503</v>
      </c>
      <c r="E212" s="391" t="s">
        <v>14</v>
      </c>
      <c r="F212" s="410">
        <v>70672</v>
      </c>
      <c r="G212" s="10">
        <v>59950</v>
      </c>
      <c r="H212" s="167">
        <v>239800</v>
      </c>
      <c r="I212" s="10">
        <v>60050</v>
      </c>
      <c r="J212" s="76">
        <f t="shared" si="331"/>
        <v>60000</v>
      </c>
      <c r="K212" s="24">
        <f t="shared" si="332"/>
        <v>-10672</v>
      </c>
      <c r="L212" s="281">
        <f t="shared" si="333"/>
        <v>-0.15100747113425403</v>
      </c>
      <c r="M212" s="431">
        <f t="shared" si="334"/>
        <v>239800</v>
      </c>
      <c r="N212" s="446">
        <v>63609</v>
      </c>
      <c r="O212" s="213">
        <v>72000</v>
      </c>
      <c r="P212" s="213">
        <v>78000</v>
      </c>
      <c r="Q212" s="277">
        <v>75000</v>
      </c>
      <c r="R212" s="213">
        <v>250000</v>
      </c>
      <c r="S212" s="214">
        <v>118750</v>
      </c>
      <c r="T212" s="215">
        <v>55141</v>
      </c>
      <c r="U212" s="455">
        <v>0.87</v>
      </c>
      <c r="V212" s="466">
        <v>118750</v>
      </c>
      <c r="W212" s="410">
        <v>132158</v>
      </c>
      <c r="X212" s="38">
        <v>171882</v>
      </c>
      <c r="Y212" s="31">
        <v>223447</v>
      </c>
      <c r="Z212" s="31">
        <v>150237.6</v>
      </c>
      <c r="AA212" s="76">
        <f t="shared" si="282"/>
        <v>181855.53333333333</v>
      </c>
      <c r="AB212" s="24">
        <f t="shared" si="283"/>
        <v>49697.533333333326</v>
      </c>
      <c r="AC212" s="25">
        <f t="shared" si="284"/>
        <v>0.37604634856257907</v>
      </c>
      <c r="AD212" s="309" t="str">
        <f t="shared" si="285"/>
        <v>REVISAR PRECIO</v>
      </c>
      <c r="AE212" s="462">
        <f t="shared" si="286"/>
        <v>181855.53333333333</v>
      </c>
      <c r="AF212" s="410">
        <v>70671</v>
      </c>
      <c r="AG212" s="45">
        <v>45000</v>
      </c>
      <c r="AH212" s="45">
        <v>83388</v>
      </c>
      <c r="AI212" s="45">
        <v>55000</v>
      </c>
      <c r="AJ212" s="76">
        <f t="shared" si="297"/>
        <v>61129.333333333336</v>
      </c>
      <c r="AK212" s="24">
        <f t="shared" si="298"/>
        <v>-9541.6666666666642</v>
      </c>
      <c r="AL212" s="281">
        <f t="shared" si="299"/>
        <v>-0.1350153056652186</v>
      </c>
      <c r="AM212" s="462">
        <f t="shared" si="300"/>
        <v>61129.333333333336</v>
      </c>
      <c r="AN212" s="513">
        <v>70671</v>
      </c>
      <c r="AO212" s="88">
        <v>70000</v>
      </c>
      <c r="AP212" s="116">
        <v>70000</v>
      </c>
      <c r="AQ212" s="74">
        <v>65945.000000000015</v>
      </c>
      <c r="AR212" s="76">
        <f t="shared" si="321"/>
        <v>68648.333333333328</v>
      </c>
      <c r="AS212" s="24">
        <f t="shared" si="322"/>
        <v>-2022.6666666666715</v>
      </c>
      <c r="AT212" s="25">
        <f t="shared" si="323"/>
        <v>-2.8620886455075937E-2</v>
      </c>
      <c r="AU212" s="309">
        <f t="shared" si="324"/>
        <v>68648.333333333328</v>
      </c>
      <c r="AV212" s="462">
        <f t="shared" si="325"/>
        <v>68648.333333333328</v>
      </c>
      <c r="AW212" s="513">
        <v>70671</v>
      </c>
      <c r="AX212" s="74">
        <v>68942.5</v>
      </c>
      <c r="AY212" s="74">
        <v>70000</v>
      </c>
      <c r="AZ212" s="75">
        <v>79433.75</v>
      </c>
      <c r="BA212" s="61">
        <v>68942.5</v>
      </c>
      <c r="BB212" s="60">
        <v>38000</v>
      </c>
      <c r="BC212" s="74">
        <v>79283.875</v>
      </c>
      <c r="BD212" s="79">
        <v>79433.75</v>
      </c>
      <c r="BE212" s="79">
        <f>54500*1.1</f>
        <v>59950.000000000007</v>
      </c>
      <c r="BF212" s="127">
        <v>71940.000000000015</v>
      </c>
      <c r="BG212" s="128">
        <v>55500</v>
      </c>
      <c r="BH212" s="128">
        <v>60000</v>
      </c>
      <c r="BI212" s="76">
        <f t="shared" si="326"/>
        <v>67433.770833333328</v>
      </c>
      <c r="BJ212" s="24">
        <f t="shared" si="327"/>
        <v>-3237.2291666666715</v>
      </c>
      <c r="BK212" s="25">
        <f t="shared" si="328"/>
        <v>-4.5807037775985507E-2</v>
      </c>
      <c r="BL212" s="259">
        <f t="shared" si="329"/>
        <v>67433.770833333328</v>
      </c>
      <c r="BM212" s="533">
        <f t="shared" si="330"/>
        <v>67433.770833333328</v>
      </c>
    </row>
    <row r="213" spans="1:65" ht="32.450000000000003" customHeight="1">
      <c r="A213" s="91" t="s">
        <v>18</v>
      </c>
      <c r="B213" s="358" t="s">
        <v>2404</v>
      </c>
      <c r="C213" s="50" t="s">
        <v>165</v>
      </c>
      <c r="D213" s="99" t="s">
        <v>504</v>
      </c>
      <c r="E213" s="391" t="s">
        <v>10</v>
      </c>
      <c r="F213" s="410">
        <v>35617</v>
      </c>
      <c r="G213" s="10">
        <v>90000</v>
      </c>
      <c r="H213" s="167">
        <v>180000</v>
      </c>
      <c r="I213" s="10">
        <v>82560</v>
      </c>
      <c r="J213" s="76">
        <f t="shared" si="331"/>
        <v>86280</v>
      </c>
      <c r="K213" s="24">
        <f t="shared" si="332"/>
        <v>50663</v>
      </c>
      <c r="L213" s="281">
        <f t="shared" si="333"/>
        <v>1.4224387230816744</v>
      </c>
      <c r="M213" s="431">
        <f t="shared" si="334"/>
        <v>180000</v>
      </c>
      <c r="N213" s="446">
        <v>32056</v>
      </c>
      <c r="O213" s="213">
        <v>190000</v>
      </c>
      <c r="P213" s="213">
        <v>205000</v>
      </c>
      <c r="Q213" s="277">
        <v>200000</v>
      </c>
      <c r="R213" s="213">
        <v>200000</v>
      </c>
      <c r="S213" s="214">
        <v>198750</v>
      </c>
      <c r="T213" s="215">
        <v>166694</v>
      </c>
      <c r="U213" s="453">
        <v>5.2</v>
      </c>
      <c r="V213" s="466">
        <v>198750</v>
      </c>
      <c r="W213" s="410">
        <v>66598</v>
      </c>
      <c r="X213" s="38">
        <v>86616</v>
      </c>
      <c r="Y213" s="31">
        <v>112601</v>
      </c>
      <c r="Z213" s="31">
        <v>75708.800000000003</v>
      </c>
      <c r="AA213" s="76">
        <f t="shared" si="282"/>
        <v>91641.933333333334</v>
      </c>
      <c r="AB213" s="24">
        <f t="shared" si="283"/>
        <v>25043.933333333334</v>
      </c>
      <c r="AC213" s="25">
        <f t="shared" si="284"/>
        <v>0.37604632771754909</v>
      </c>
      <c r="AD213" s="309" t="str">
        <f t="shared" si="285"/>
        <v>REVISAR PRECIO</v>
      </c>
      <c r="AE213" s="462">
        <f t="shared" si="286"/>
        <v>91641.933333333334</v>
      </c>
      <c r="AF213" s="410">
        <v>35615</v>
      </c>
      <c r="AG213" s="45">
        <v>90000</v>
      </c>
      <c r="AH213" s="45">
        <v>42020</v>
      </c>
      <c r="AI213" s="45">
        <v>85000</v>
      </c>
      <c r="AJ213" s="76">
        <f t="shared" si="297"/>
        <v>72340</v>
      </c>
      <c r="AK213" s="24">
        <f t="shared" si="298"/>
        <v>36725</v>
      </c>
      <c r="AL213" s="281">
        <f t="shared" si="299"/>
        <v>1.0311666432682858</v>
      </c>
      <c r="AM213" s="462">
        <f t="shared" si="300"/>
        <v>72340</v>
      </c>
      <c r="AN213" s="513">
        <v>35615</v>
      </c>
      <c r="AO213" s="88">
        <v>110000</v>
      </c>
      <c r="AP213" s="116">
        <v>110000</v>
      </c>
      <c r="AQ213" s="74">
        <v>99000</v>
      </c>
      <c r="AR213" s="76">
        <f t="shared" si="321"/>
        <v>106333.33333333333</v>
      </c>
      <c r="AS213" s="24">
        <f t="shared" si="322"/>
        <v>70718.333333333328</v>
      </c>
      <c r="AT213" s="25">
        <f t="shared" si="323"/>
        <v>1.9856333941691233</v>
      </c>
      <c r="AU213" s="309" t="str">
        <f t="shared" si="324"/>
        <v>REVISAR PRECIO</v>
      </c>
      <c r="AV213" s="462">
        <f t="shared" si="325"/>
        <v>106333.33333333333</v>
      </c>
      <c r="AW213" s="513">
        <v>35615</v>
      </c>
      <c r="AX213" s="74">
        <v>103500</v>
      </c>
      <c r="AY213" s="74">
        <v>140000</v>
      </c>
      <c r="AZ213" s="75">
        <v>119250</v>
      </c>
      <c r="BA213" s="61">
        <v>103499.99999999999</v>
      </c>
      <c r="BB213" s="60">
        <v>70000</v>
      </c>
      <c r="BC213" s="74">
        <v>119024.99999999997</v>
      </c>
      <c r="BD213" s="79">
        <v>119250</v>
      </c>
      <c r="BE213" s="79">
        <v>90000</v>
      </c>
      <c r="BF213" s="127">
        <v>108000</v>
      </c>
      <c r="BG213" s="128">
        <v>100200</v>
      </c>
      <c r="BH213" s="128">
        <v>95000</v>
      </c>
      <c r="BI213" s="76">
        <f t="shared" si="326"/>
        <v>109212.5</v>
      </c>
      <c r="BJ213" s="24">
        <f t="shared" si="327"/>
        <v>73597.5</v>
      </c>
      <c r="BK213" s="25">
        <f t="shared" si="328"/>
        <v>2.066474799943844</v>
      </c>
      <c r="BL213" s="259" t="str">
        <f t="shared" si="329"/>
        <v>REVISAR PRECIO</v>
      </c>
      <c r="BM213" s="533">
        <f t="shared" si="330"/>
        <v>109212.5</v>
      </c>
    </row>
    <row r="214" spans="1:65" ht="18.600000000000001" customHeight="1">
      <c r="A214" s="91" t="s">
        <v>18</v>
      </c>
      <c r="B214" s="358" t="s">
        <v>2405</v>
      </c>
      <c r="C214" s="50" t="s">
        <v>166</v>
      </c>
      <c r="D214" s="99" t="s">
        <v>505</v>
      </c>
      <c r="E214" s="391" t="s">
        <v>740</v>
      </c>
      <c r="F214" s="408"/>
      <c r="G214" s="293"/>
      <c r="H214" s="293"/>
      <c r="I214" s="293"/>
      <c r="J214" s="293"/>
      <c r="K214" s="293"/>
      <c r="L214" s="327"/>
      <c r="M214" s="432"/>
      <c r="N214" s="443"/>
      <c r="O214" s="250"/>
      <c r="P214" s="250"/>
      <c r="Q214" s="250"/>
      <c r="R214" s="250"/>
      <c r="S214" s="250"/>
      <c r="T214" s="250"/>
      <c r="U214" s="250"/>
      <c r="V214" s="443"/>
      <c r="W214" s="410">
        <v>65083</v>
      </c>
      <c r="X214" s="39">
        <v>84645</v>
      </c>
      <c r="Y214" s="31">
        <v>110039</v>
      </c>
      <c r="Z214" s="31">
        <v>73986</v>
      </c>
      <c r="AA214" s="76">
        <f t="shared" si="282"/>
        <v>89556.666666666672</v>
      </c>
      <c r="AB214" s="24">
        <f t="shared" si="283"/>
        <v>24473.666666666672</v>
      </c>
      <c r="AC214" s="25">
        <f t="shared" si="284"/>
        <v>0.37603777740218908</v>
      </c>
      <c r="AD214" s="309" t="str">
        <f t="shared" si="285"/>
        <v>REVISAR PRECIO</v>
      </c>
      <c r="AE214" s="462">
        <f t="shared" si="286"/>
        <v>89556.666666666672</v>
      </c>
      <c r="AF214" s="408"/>
      <c r="AG214" s="293"/>
      <c r="AH214" s="293"/>
      <c r="AI214" s="293"/>
      <c r="AJ214" s="293"/>
      <c r="AK214" s="293"/>
      <c r="AL214" s="327"/>
      <c r="AM214" s="463"/>
      <c r="AN214" s="513">
        <v>54106</v>
      </c>
      <c r="AO214" s="88">
        <v>25000</v>
      </c>
      <c r="AP214" s="116">
        <v>25000</v>
      </c>
      <c r="AQ214" s="74">
        <v>22000</v>
      </c>
      <c r="AR214" s="76">
        <f t="shared" si="321"/>
        <v>24000</v>
      </c>
      <c r="AS214" s="24">
        <f t="shared" si="322"/>
        <v>-30106</v>
      </c>
      <c r="AT214" s="25">
        <f t="shared" si="323"/>
        <v>-0.5564262743503493</v>
      </c>
      <c r="AU214" s="309">
        <f t="shared" si="324"/>
        <v>24000</v>
      </c>
      <c r="AV214" s="462">
        <f t="shared" si="325"/>
        <v>24000</v>
      </c>
      <c r="AW214" s="513">
        <v>54106</v>
      </c>
      <c r="AX214" s="74">
        <v>23000</v>
      </c>
      <c r="AY214" s="74">
        <v>60000</v>
      </c>
      <c r="AZ214" s="75">
        <v>26500</v>
      </c>
      <c r="BA214" s="61">
        <v>62099.999999999993</v>
      </c>
      <c r="BB214" s="60"/>
      <c r="BC214" s="74">
        <v>71414.999999999985</v>
      </c>
      <c r="BD214" s="79">
        <v>26500</v>
      </c>
      <c r="BE214" s="79">
        <v>20000</v>
      </c>
      <c r="BF214" s="127">
        <v>24000</v>
      </c>
      <c r="BG214" s="142">
        <v>19100</v>
      </c>
      <c r="BH214" s="142">
        <v>20000</v>
      </c>
      <c r="BI214" s="76">
        <f t="shared" si="326"/>
        <v>48603</v>
      </c>
      <c r="BJ214" s="24">
        <f t="shared" si="327"/>
        <v>-5503</v>
      </c>
      <c r="BK214" s="25">
        <f t="shared" si="328"/>
        <v>-0.10170775884375116</v>
      </c>
      <c r="BL214" s="259">
        <f t="shared" si="329"/>
        <v>48603</v>
      </c>
      <c r="BM214" s="533">
        <f t="shared" si="330"/>
        <v>48603</v>
      </c>
    </row>
    <row r="215" spans="1:65" ht="32.450000000000003" customHeight="1">
      <c r="A215" s="91" t="s">
        <v>18</v>
      </c>
      <c r="B215" s="358" t="s">
        <v>2406</v>
      </c>
      <c r="C215" s="50" t="s">
        <v>167</v>
      </c>
      <c r="D215" s="99" t="s">
        <v>506</v>
      </c>
      <c r="E215" s="391" t="s">
        <v>740</v>
      </c>
      <c r="F215" s="408"/>
      <c r="G215" s="293"/>
      <c r="H215" s="293"/>
      <c r="I215" s="293"/>
      <c r="J215" s="293"/>
      <c r="K215" s="293"/>
      <c r="L215" s="327"/>
      <c r="M215" s="432"/>
      <c r="N215" s="443"/>
      <c r="O215" s="250"/>
      <c r="P215" s="250"/>
      <c r="Q215" s="250"/>
      <c r="R215" s="250"/>
      <c r="S215" s="250"/>
      <c r="T215" s="250"/>
      <c r="U215" s="250"/>
      <c r="V215" s="443"/>
      <c r="W215" s="410">
        <v>125598</v>
      </c>
      <c r="X215" s="38">
        <v>163350</v>
      </c>
      <c r="Y215" s="31">
        <v>212355</v>
      </c>
      <c r="Z215" s="31">
        <v>142780</v>
      </c>
      <c r="AA215" s="76">
        <f t="shared" si="282"/>
        <v>172828.33333333334</v>
      </c>
      <c r="AB215" s="24">
        <f t="shared" si="283"/>
        <v>47230.333333333343</v>
      </c>
      <c r="AC215" s="25">
        <f t="shared" si="284"/>
        <v>0.37604367373153508</v>
      </c>
      <c r="AD215" s="309" t="str">
        <f t="shared" si="285"/>
        <v>REVISAR PRECIO</v>
      </c>
      <c r="AE215" s="462">
        <f t="shared" si="286"/>
        <v>172828.33333333334</v>
      </c>
      <c r="AF215" s="408"/>
      <c r="AG215" s="293"/>
      <c r="AH215" s="293"/>
      <c r="AI215" s="293"/>
      <c r="AJ215" s="293"/>
      <c r="AK215" s="293"/>
      <c r="AL215" s="327"/>
      <c r="AM215" s="463"/>
      <c r="AN215" s="513">
        <v>104416</v>
      </c>
      <c r="AO215" s="88">
        <v>180000</v>
      </c>
      <c r="AP215" s="116">
        <v>180000</v>
      </c>
      <c r="AQ215" s="74">
        <v>176000</v>
      </c>
      <c r="AR215" s="76">
        <f t="shared" si="321"/>
        <v>178666.66666666666</v>
      </c>
      <c r="AS215" s="24">
        <f t="shared" si="322"/>
        <v>74250.666666666657</v>
      </c>
      <c r="AT215" s="25">
        <f t="shared" si="323"/>
        <v>0.71110430074573494</v>
      </c>
      <c r="AU215" s="309" t="str">
        <f t="shared" si="324"/>
        <v>REVISAR PRECIO</v>
      </c>
      <c r="AV215" s="462">
        <f t="shared" si="325"/>
        <v>178666.66666666666</v>
      </c>
      <c r="AW215" s="513">
        <v>104416</v>
      </c>
      <c r="AX215" s="74">
        <v>184000</v>
      </c>
      <c r="AY215" s="74">
        <v>230000</v>
      </c>
      <c r="AZ215" s="75">
        <v>212000</v>
      </c>
      <c r="BA215" s="61">
        <v>184000</v>
      </c>
      <c r="BB215" s="60"/>
      <c r="BC215" s="74">
        <v>211599.99999999997</v>
      </c>
      <c r="BD215" s="79">
        <v>212000</v>
      </c>
      <c r="BE215" s="79">
        <v>160000</v>
      </c>
      <c r="BF215" s="127">
        <v>192000</v>
      </c>
      <c r="BG215" s="142">
        <v>198300</v>
      </c>
      <c r="BH215" s="142">
        <v>160000</v>
      </c>
      <c r="BI215" s="76">
        <f t="shared" si="326"/>
        <v>204320</v>
      </c>
      <c r="BJ215" s="24">
        <f t="shared" si="327"/>
        <v>99904</v>
      </c>
      <c r="BK215" s="25">
        <f t="shared" si="328"/>
        <v>0.95678823168863014</v>
      </c>
      <c r="BL215" s="259" t="str">
        <f t="shared" si="329"/>
        <v>REVISAR PRECIO</v>
      </c>
      <c r="BM215" s="533">
        <f t="shared" si="330"/>
        <v>204320</v>
      </c>
    </row>
    <row r="216" spans="1:65" ht="32.450000000000003" customHeight="1">
      <c r="A216" s="91" t="s">
        <v>18</v>
      </c>
      <c r="B216" s="358" t="s">
        <v>2407</v>
      </c>
      <c r="C216" s="50" t="s">
        <v>168</v>
      </c>
      <c r="D216" s="99" t="s">
        <v>507</v>
      </c>
      <c r="E216" s="391" t="s">
        <v>740</v>
      </c>
      <c r="F216" s="408"/>
      <c r="G216" s="293"/>
      <c r="H216" s="293"/>
      <c r="I216" s="293"/>
      <c r="J216" s="293"/>
      <c r="K216" s="293"/>
      <c r="L216" s="327"/>
      <c r="M216" s="432"/>
      <c r="N216" s="443"/>
      <c r="O216" s="250"/>
      <c r="P216" s="250"/>
      <c r="Q216" s="250"/>
      <c r="R216" s="250"/>
      <c r="S216" s="250"/>
      <c r="T216" s="250"/>
      <c r="U216" s="250"/>
      <c r="V216" s="443"/>
      <c r="W216" s="410">
        <v>159852</v>
      </c>
      <c r="X216" s="38">
        <v>207900</v>
      </c>
      <c r="Y216" s="33">
        <v>270270</v>
      </c>
      <c r="Z216" s="474">
        <v>181720</v>
      </c>
      <c r="AA216" s="76">
        <f t="shared" si="282"/>
        <v>219963.33333333334</v>
      </c>
      <c r="AB216" s="24">
        <f t="shared" si="283"/>
        <v>60111.333333333343</v>
      </c>
      <c r="AC216" s="25">
        <f t="shared" si="284"/>
        <v>0.37604367373153508</v>
      </c>
      <c r="AD216" s="309" t="str">
        <f t="shared" si="285"/>
        <v>REVISAR PRECIO</v>
      </c>
      <c r="AE216" s="462">
        <f t="shared" si="286"/>
        <v>219963.33333333334</v>
      </c>
      <c r="AF216" s="408"/>
      <c r="AG216" s="293"/>
      <c r="AH216" s="293"/>
      <c r="AI216" s="293"/>
      <c r="AJ216" s="293"/>
      <c r="AK216" s="293"/>
      <c r="AL216" s="327"/>
      <c r="AM216" s="463"/>
      <c r="AN216" s="513">
        <v>123401</v>
      </c>
      <c r="AO216" s="88">
        <v>90000</v>
      </c>
      <c r="AP216" s="116">
        <v>90000</v>
      </c>
      <c r="AQ216" s="74">
        <v>93500</v>
      </c>
      <c r="AR216" s="76">
        <f t="shared" si="321"/>
        <v>91166.666666666672</v>
      </c>
      <c r="AS216" s="24">
        <f t="shared" si="322"/>
        <v>-32234.333333333328</v>
      </c>
      <c r="AT216" s="25">
        <f t="shared" si="323"/>
        <v>-0.26121614357528161</v>
      </c>
      <c r="AU216" s="309">
        <f t="shared" si="324"/>
        <v>91166.666666666672</v>
      </c>
      <c r="AV216" s="462">
        <f t="shared" si="325"/>
        <v>91166.666666666672</v>
      </c>
      <c r="AW216" s="513">
        <v>123401</v>
      </c>
      <c r="AX216" s="74">
        <v>97750</v>
      </c>
      <c r="AY216" s="74">
        <v>160000</v>
      </c>
      <c r="AZ216" s="75">
        <v>112625</v>
      </c>
      <c r="BA216" s="61">
        <v>97749.999999999985</v>
      </c>
      <c r="BB216" s="60"/>
      <c r="BC216" s="74">
        <v>112412.49999999997</v>
      </c>
      <c r="BD216" s="79">
        <v>112625</v>
      </c>
      <c r="BE216" s="79">
        <v>85000</v>
      </c>
      <c r="BF216" s="127">
        <v>102000</v>
      </c>
      <c r="BG216" s="142">
        <v>99800</v>
      </c>
      <c r="BH216" s="142">
        <v>85000</v>
      </c>
      <c r="BI216" s="76">
        <f t="shared" si="326"/>
        <v>116107.5</v>
      </c>
      <c r="BJ216" s="24">
        <f t="shared" si="327"/>
        <v>-7293.5</v>
      </c>
      <c r="BK216" s="25">
        <f t="shared" si="328"/>
        <v>-5.9104059124318278E-2</v>
      </c>
      <c r="BL216" s="259">
        <f t="shared" si="329"/>
        <v>116107.5</v>
      </c>
      <c r="BM216" s="533">
        <f t="shared" si="330"/>
        <v>116107.5</v>
      </c>
    </row>
    <row r="217" spans="1:65" ht="32.450000000000003" customHeight="1">
      <c r="A217" s="91" t="s">
        <v>18</v>
      </c>
      <c r="B217" s="358" t="s">
        <v>2408</v>
      </c>
      <c r="C217" s="50" t="s">
        <v>169</v>
      </c>
      <c r="D217" s="99" t="s">
        <v>508</v>
      </c>
      <c r="E217" s="391" t="s">
        <v>741</v>
      </c>
      <c r="F217" s="408"/>
      <c r="G217" s="293"/>
      <c r="H217" s="293"/>
      <c r="I217" s="293"/>
      <c r="J217" s="293"/>
      <c r="K217" s="293"/>
      <c r="L217" s="327"/>
      <c r="M217" s="432"/>
      <c r="N217" s="443"/>
      <c r="O217" s="250"/>
      <c r="P217" s="250"/>
      <c r="Q217" s="250"/>
      <c r="R217" s="250"/>
      <c r="S217" s="250"/>
      <c r="T217" s="250"/>
      <c r="U217" s="250"/>
      <c r="V217" s="443"/>
      <c r="W217" s="410">
        <v>145735</v>
      </c>
      <c r="X217" s="39">
        <v>189540</v>
      </c>
      <c r="Y217" s="33">
        <v>246402</v>
      </c>
      <c r="Z217" s="474">
        <v>165672</v>
      </c>
      <c r="AA217" s="76">
        <f t="shared" si="282"/>
        <v>200538</v>
      </c>
      <c r="AB217" s="24">
        <f t="shared" si="283"/>
        <v>54803</v>
      </c>
      <c r="AC217" s="25">
        <f t="shared" si="284"/>
        <v>0.37604556215047863</v>
      </c>
      <c r="AD217" s="309" t="str">
        <f t="shared" si="285"/>
        <v>REVISAR PRECIO</v>
      </c>
      <c r="AE217" s="462">
        <f t="shared" si="286"/>
        <v>200538</v>
      </c>
      <c r="AF217" s="408"/>
      <c r="AG217" s="293"/>
      <c r="AH217" s="293"/>
      <c r="AI217" s="293"/>
      <c r="AJ217" s="293"/>
      <c r="AK217" s="293"/>
      <c r="AL217" s="327"/>
      <c r="AM217" s="463"/>
      <c r="AN217" s="513">
        <v>123401</v>
      </c>
      <c r="AO217" s="88">
        <v>115000</v>
      </c>
      <c r="AP217" s="116">
        <v>115000</v>
      </c>
      <c r="AQ217" s="74">
        <v>115500</v>
      </c>
      <c r="AR217" s="76">
        <f t="shared" si="321"/>
        <v>115166.66666666667</v>
      </c>
      <c r="AS217" s="24">
        <f t="shared" si="322"/>
        <v>-8234.3333333333285</v>
      </c>
      <c r="AT217" s="25">
        <f t="shared" si="323"/>
        <v>-6.6728254498207698E-2</v>
      </c>
      <c r="AU217" s="309">
        <f t="shared" si="324"/>
        <v>115166.66666666667</v>
      </c>
      <c r="AV217" s="462">
        <f t="shared" si="325"/>
        <v>115166.66666666667</v>
      </c>
      <c r="AW217" s="513">
        <v>123401</v>
      </c>
      <c r="AX217" s="74">
        <v>120750</v>
      </c>
      <c r="AY217" s="74">
        <v>210000</v>
      </c>
      <c r="AZ217" s="75">
        <v>139125</v>
      </c>
      <c r="BA217" s="61">
        <v>120749.99999999999</v>
      </c>
      <c r="BB217" s="60"/>
      <c r="BC217" s="74">
        <v>138862.49999999997</v>
      </c>
      <c r="BD217" s="79">
        <v>139125</v>
      </c>
      <c r="BE217" s="79">
        <v>105000</v>
      </c>
      <c r="BF217" s="127">
        <v>126000</v>
      </c>
      <c r="BG217" s="142">
        <v>110200</v>
      </c>
      <c r="BH217" s="142">
        <v>110000</v>
      </c>
      <c r="BI217" s="76">
        <f t="shared" si="326"/>
        <v>145897.5</v>
      </c>
      <c r="BJ217" s="24">
        <f t="shared" si="327"/>
        <v>22496.5</v>
      </c>
      <c r="BK217" s="25">
        <f t="shared" si="328"/>
        <v>0.18230403319259975</v>
      </c>
      <c r="BL217" s="259">
        <f t="shared" si="329"/>
        <v>145897.5</v>
      </c>
      <c r="BM217" s="533">
        <f t="shared" si="330"/>
        <v>145897.5</v>
      </c>
    </row>
    <row r="218" spans="1:65" ht="20.45" customHeight="1">
      <c r="A218" s="91" t="s">
        <v>18</v>
      </c>
      <c r="B218" s="358" t="s">
        <v>2409</v>
      </c>
      <c r="C218" s="50" t="s">
        <v>170</v>
      </c>
      <c r="D218" s="99" t="s">
        <v>509</v>
      </c>
      <c r="E218" s="391" t="s">
        <v>740</v>
      </c>
      <c r="F218" s="408"/>
      <c r="G218" s="293"/>
      <c r="H218" s="293"/>
      <c r="I218" s="293"/>
      <c r="J218" s="293"/>
      <c r="K218" s="293"/>
      <c r="L218" s="327"/>
      <c r="M218" s="432"/>
      <c r="N218" s="443"/>
      <c r="O218" s="250"/>
      <c r="P218" s="250"/>
      <c r="Q218" s="250"/>
      <c r="R218" s="250"/>
      <c r="S218" s="250"/>
      <c r="T218" s="250"/>
      <c r="U218" s="250"/>
      <c r="V218" s="443"/>
      <c r="W218" s="410">
        <v>39963</v>
      </c>
      <c r="X218" s="39">
        <v>51975</v>
      </c>
      <c r="Y218" s="31">
        <v>67568</v>
      </c>
      <c r="Z218" s="31">
        <v>45430</v>
      </c>
      <c r="AA218" s="76">
        <f t="shared" si="282"/>
        <v>54991</v>
      </c>
      <c r="AB218" s="24">
        <f t="shared" si="283"/>
        <v>15028</v>
      </c>
      <c r="AC218" s="25">
        <f t="shared" si="284"/>
        <v>0.37604784425593674</v>
      </c>
      <c r="AD218" s="309" t="str">
        <f t="shared" si="285"/>
        <v>REVISAR PRECIO</v>
      </c>
      <c r="AE218" s="462">
        <f t="shared" si="286"/>
        <v>54991</v>
      </c>
      <c r="AF218" s="408"/>
      <c r="AG218" s="293"/>
      <c r="AH218" s="293"/>
      <c r="AI218" s="293"/>
      <c r="AJ218" s="293"/>
      <c r="AK218" s="293"/>
      <c r="AL218" s="327"/>
      <c r="AM218" s="463"/>
      <c r="AN218" s="513"/>
      <c r="AO218" s="88">
        <v>6300</v>
      </c>
      <c r="AP218" s="116">
        <v>6300</v>
      </c>
      <c r="AQ218" s="74">
        <v>6600</v>
      </c>
      <c r="AR218" s="76">
        <f t="shared" si="321"/>
        <v>6400</v>
      </c>
      <c r="AS218" s="24">
        <f t="shared" si="322"/>
        <v>6400</v>
      </c>
      <c r="AT218" s="25"/>
      <c r="AU218" s="309"/>
      <c r="AV218" s="462">
        <f t="shared" si="325"/>
        <v>6400</v>
      </c>
      <c r="AW218" s="513"/>
      <c r="AX218" s="74">
        <v>6900</v>
      </c>
      <c r="AY218" s="74">
        <v>15000</v>
      </c>
      <c r="AZ218" s="75">
        <v>7950</v>
      </c>
      <c r="BA218" s="61">
        <v>6899.9999999999991</v>
      </c>
      <c r="BB218" s="60"/>
      <c r="BC218" s="74">
        <v>7934.9999999999982</v>
      </c>
      <c r="BD218" s="79">
        <v>7950</v>
      </c>
      <c r="BE218" s="79">
        <v>6000</v>
      </c>
      <c r="BF218" s="127">
        <v>7200</v>
      </c>
      <c r="BG218" s="142">
        <v>5800</v>
      </c>
      <c r="BH218" s="142">
        <v>7000</v>
      </c>
      <c r="BI218" s="76">
        <f t="shared" si="326"/>
        <v>8937</v>
      </c>
      <c r="BJ218" s="24">
        <f t="shared" si="327"/>
        <v>8937</v>
      </c>
      <c r="BK218" s="25"/>
      <c r="BL218" s="259">
        <f t="shared" si="329"/>
        <v>8937</v>
      </c>
      <c r="BM218" s="533">
        <f t="shared" si="330"/>
        <v>8937</v>
      </c>
    </row>
    <row r="219" spans="1:65" ht="20.45" customHeight="1">
      <c r="A219" s="91" t="s">
        <v>18</v>
      </c>
      <c r="B219" s="358" t="s">
        <v>2410</v>
      </c>
      <c r="C219" s="50" t="s">
        <v>171</v>
      </c>
      <c r="D219" s="99" t="s">
        <v>510</v>
      </c>
      <c r="E219" s="391" t="s">
        <v>740</v>
      </c>
      <c r="F219" s="408"/>
      <c r="G219" s="293"/>
      <c r="H219" s="293"/>
      <c r="I219" s="293"/>
      <c r="J219" s="293"/>
      <c r="K219" s="293"/>
      <c r="L219" s="327"/>
      <c r="M219" s="432"/>
      <c r="N219" s="410">
        <v>82184</v>
      </c>
      <c r="O219" s="10">
        <v>240000</v>
      </c>
      <c r="P219" s="10">
        <v>248000</v>
      </c>
      <c r="Q219" s="268">
        <v>245000</v>
      </c>
      <c r="R219" s="10" t="s">
        <v>1421</v>
      </c>
      <c r="S219" s="76">
        <f t="shared" ref="S219" si="335">AVERAGE(O219,P219,Q219,R219)</f>
        <v>244333.33333333334</v>
      </c>
      <c r="T219" s="24">
        <f t="shared" ref="T219" si="336">S219-N219</f>
        <v>162149.33333333334</v>
      </c>
      <c r="U219" s="281">
        <f t="shared" ref="U219" si="337">+T219/N219</f>
        <v>1.9730036665693242</v>
      </c>
      <c r="V219" s="462">
        <f t="shared" ref="V219" si="338">S219</f>
        <v>244333.33333333334</v>
      </c>
      <c r="W219" s="410">
        <v>61315</v>
      </c>
      <c r="X219" s="39">
        <v>79745</v>
      </c>
      <c r="Y219" s="31">
        <v>103668</v>
      </c>
      <c r="Z219" s="31">
        <v>69702.600000000006</v>
      </c>
      <c r="AA219" s="76">
        <f t="shared" si="282"/>
        <v>84371.866666666669</v>
      </c>
      <c r="AB219" s="24">
        <f t="shared" si="283"/>
        <v>23056.866666666669</v>
      </c>
      <c r="AC219" s="25">
        <f t="shared" si="284"/>
        <v>0.37603957704748703</v>
      </c>
      <c r="AD219" s="309" t="str">
        <f t="shared" si="285"/>
        <v>REVISAR PRECIO</v>
      </c>
      <c r="AE219" s="462">
        <f t="shared" si="286"/>
        <v>84371.866666666669</v>
      </c>
      <c r="AF219" s="408"/>
      <c r="AG219" s="293"/>
      <c r="AH219" s="293"/>
      <c r="AI219" s="293"/>
      <c r="AJ219" s="293"/>
      <c r="AK219" s="293"/>
      <c r="AL219" s="327"/>
      <c r="AM219" s="463"/>
      <c r="AN219" s="513"/>
      <c r="AO219" s="88">
        <v>95000</v>
      </c>
      <c r="AP219" s="116">
        <v>95000</v>
      </c>
      <c r="AQ219" s="74">
        <v>93500</v>
      </c>
      <c r="AR219" s="76">
        <f t="shared" si="321"/>
        <v>94500</v>
      </c>
      <c r="AS219" s="24">
        <f t="shared" si="322"/>
        <v>94500</v>
      </c>
      <c r="AT219" s="25"/>
      <c r="AU219" s="309"/>
      <c r="AV219" s="462">
        <f t="shared" si="325"/>
        <v>94500</v>
      </c>
      <c r="AW219" s="513"/>
      <c r="AX219" s="74">
        <v>97750</v>
      </c>
      <c r="AY219" s="74">
        <v>130000</v>
      </c>
      <c r="AZ219" s="75">
        <v>112625</v>
      </c>
      <c r="BA219" s="61">
        <v>109939.99999999999</v>
      </c>
      <c r="BB219" s="60"/>
      <c r="BC219" s="74">
        <v>126430.99999999997</v>
      </c>
      <c r="BD219" s="79">
        <v>112625</v>
      </c>
      <c r="BE219" s="79">
        <v>85000</v>
      </c>
      <c r="BF219" s="127">
        <v>102000</v>
      </c>
      <c r="BG219" s="142">
        <v>90200</v>
      </c>
      <c r="BH219" s="142">
        <v>90000</v>
      </c>
      <c r="BI219" s="76">
        <f t="shared" si="326"/>
        <v>115349.2</v>
      </c>
      <c r="BJ219" s="24">
        <f t="shared" si="327"/>
        <v>115349.2</v>
      </c>
      <c r="BK219" s="25"/>
      <c r="BL219" s="259">
        <f t="shared" si="329"/>
        <v>115349.2</v>
      </c>
      <c r="BM219" s="533">
        <f t="shared" si="330"/>
        <v>115349.2</v>
      </c>
    </row>
    <row r="220" spans="1:65" ht="20.45" customHeight="1">
      <c r="A220" s="91" t="s">
        <v>18</v>
      </c>
      <c r="B220" s="358" t="s">
        <v>2411</v>
      </c>
      <c r="C220" s="50" t="s">
        <v>172</v>
      </c>
      <c r="D220" s="99" t="s">
        <v>511</v>
      </c>
      <c r="E220" s="391" t="s">
        <v>740</v>
      </c>
      <c r="F220" s="408"/>
      <c r="G220" s="293"/>
      <c r="H220" s="293"/>
      <c r="I220" s="293"/>
      <c r="J220" s="293"/>
      <c r="K220" s="293"/>
      <c r="L220" s="327"/>
      <c r="M220" s="432"/>
      <c r="N220" s="443"/>
      <c r="O220" s="250"/>
      <c r="P220" s="250"/>
      <c r="Q220" s="250"/>
      <c r="R220" s="250"/>
      <c r="S220" s="250"/>
      <c r="T220" s="250"/>
      <c r="U220" s="250"/>
      <c r="V220" s="443"/>
      <c r="W220" s="410">
        <v>61315</v>
      </c>
      <c r="X220" s="39">
        <v>79745</v>
      </c>
      <c r="Y220" s="31">
        <v>79745</v>
      </c>
      <c r="Z220" s="31">
        <v>69702.600000000006</v>
      </c>
      <c r="AA220" s="76">
        <f t="shared" si="282"/>
        <v>76397.53333333334</v>
      </c>
      <c r="AB220" s="24">
        <f t="shared" si="283"/>
        <v>15082.53333333334</v>
      </c>
      <c r="AC220" s="25">
        <f t="shared" si="284"/>
        <v>0.24598439751012541</v>
      </c>
      <c r="AD220" s="309">
        <f t="shared" si="285"/>
        <v>76397.53333333334</v>
      </c>
      <c r="AE220" s="462">
        <f t="shared" si="286"/>
        <v>76397.53333333334</v>
      </c>
      <c r="AF220" s="408"/>
      <c r="AG220" s="293"/>
      <c r="AH220" s="293"/>
      <c r="AI220" s="293"/>
      <c r="AJ220" s="293"/>
      <c r="AK220" s="293"/>
      <c r="AL220" s="327"/>
      <c r="AM220" s="463"/>
      <c r="AN220" s="513"/>
      <c r="AO220" s="88">
        <v>53000</v>
      </c>
      <c r="AP220" s="116">
        <v>53000</v>
      </c>
      <c r="AQ220" s="74">
        <v>52800</v>
      </c>
      <c r="AR220" s="76">
        <f t="shared" si="321"/>
        <v>52933.333333333336</v>
      </c>
      <c r="AS220" s="24">
        <f t="shared" si="322"/>
        <v>52933.333333333336</v>
      </c>
      <c r="AT220" s="25"/>
      <c r="AU220" s="309"/>
      <c r="AV220" s="462">
        <f t="shared" si="325"/>
        <v>52933.333333333336</v>
      </c>
      <c r="AW220" s="513"/>
      <c r="AX220" s="74">
        <v>55200</v>
      </c>
      <c r="AY220" s="74">
        <v>80000</v>
      </c>
      <c r="AZ220" s="75">
        <v>63600</v>
      </c>
      <c r="BA220" s="61">
        <v>87400</v>
      </c>
      <c r="BB220" s="60"/>
      <c r="BC220" s="74">
        <v>100509.99999999999</v>
      </c>
      <c r="BD220" s="79">
        <v>63600</v>
      </c>
      <c r="BE220" s="79">
        <v>48000</v>
      </c>
      <c r="BF220" s="127">
        <v>57600</v>
      </c>
      <c r="BG220" s="142">
        <v>50100</v>
      </c>
      <c r="BH220" s="142">
        <v>50000</v>
      </c>
      <c r="BI220" s="76">
        <f t="shared" si="326"/>
        <v>77342</v>
      </c>
      <c r="BJ220" s="24">
        <f t="shared" si="327"/>
        <v>77342</v>
      </c>
      <c r="BK220" s="25"/>
      <c r="BL220" s="259">
        <f t="shared" si="329"/>
        <v>77342</v>
      </c>
      <c r="BM220" s="533">
        <f t="shared" si="330"/>
        <v>77342</v>
      </c>
    </row>
    <row r="221" spans="1:65" ht="32.450000000000003" customHeight="1">
      <c r="A221" s="91" t="s">
        <v>18</v>
      </c>
      <c r="B221" s="358" t="s">
        <v>2412</v>
      </c>
      <c r="C221" s="50" t="s">
        <v>768</v>
      </c>
      <c r="D221" s="99" t="s">
        <v>512</v>
      </c>
      <c r="E221" s="391" t="s">
        <v>740</v>
      </c>
      <c r="F221" s="408"/>
      <c r="G221" s="293"/>
      <c r="H221" s="293"/>
      <c r="I221" s="293"/>
      <c r="J221" s="293"/>
      <c r="K221" s="293"/>
      <c r="L221" s="327"/>
      <c r="M221" s="432"/>
      <c r="N221" s="443"/>
      <c r="O221" s="250"/>
      <c r="P221" s="250"/>
      <c r="Q221" s="250"/>
      <c r="R221" s="250"/>
      <c r="S221" s="250"/>
      <c r="T221" s="250"/>
      <c r="U221" s="250"/>
      <c r="V221" s="443"/>
      <c r="W221" s="410">
        <v>185543</v>
      </c>
      <c r="X221" s="38">
        <v>241313</v>
      </c>
      <c r="Y221" s="33">
        <v>313706</v>
      </c>
      <c r="Z221" s="474">
        <v>210925</v>
      </c>
      <c r="AA221" s="76">
        <f t="shared" si="282"/>
        <v>255314.66666666666</v>
      </c>
      <c r="AB221" s="24">
        <f t="shared" si="283"/>
        <v>69771.666666666657</v>
      </c>
      <c r="AC221" s="25">
        <f t="shared" si="284"/>
        <v>0.37604041471069594</v>
      </c>
      <c r="AD221" s="309" t="str">
        <f t="shared" si="285"/>
        <v>REVISAR PRECIO</v>
      </c>
      <c r="AE221" s="462">
        <f t="shared" si="286"/>
        <v>255314.66666666666</v>
      </c>
      <c r="AF221" s="408"/>
      <c r="AG221" s="293"/>
      <c r="AH221" s="293"/>
      <c r="AI221" s="293"/>
      <c r="AJ221" s="293"/>
      <c r="AK221" s="293"/>
      <c r="AL221" s="327"/>
      <c r="AM221" s="463"/>
      <c r="AN221" s="513">
        <v>128147</v>
      </c>
      <c r="AO221" s="88">
        <v>33000</v>
      </c>
      <c r="AP221" s="116">
        <v>33000</v>
      </c>
      <c r="AQ221" s="74">
        <v>32769.445499999994</v>
      </c>
      <c r="AR221" s="76">
        <f t="shared" si="321"/>
        <v>32923.148500000003</v>
      </c>
      <c r="AS221" s="24">
        <f t="shared" si="322"/>
        <v>-95223.85149999999</v>
      </c>
      <c r="AT221" s="25">
        <f t="shared" ref="AT221:AT222" si="339">+AS221/AN221</f>
        <v>-0.74308295551202908</v>
      </c>
      <c r="AU221" s="309">
        <f t="shared" ref="AU221:AU222" si="340">+IF(AT221&lt;35%,AR221,"REVISAR PRECIO")</f>
        <v>32923.148500000003</v>
      </c>
      <c r="AV221" s="462">
        <f t="shared" si="325"/>
        <v>32923.148500000003</v>
      </c>
      <c r="AW221" s="513">
        <v>128147</v>
      </c>
      <c r="AX221" s="74">
        <v>34258.965749999996</v>
      </c>
      <c r="AY221" s="74">
        <v>60000</v>
      </c>
      <c r="AZ221" s="75">
        <v>39472.286624999993</v>
      </c>
      <c r="BA221" s="61">
        <v>34258.965749999988</v>
      </c>
      <c r="BB221" s="60"/>
      <c r="BC221" s="74">
        <v>39397.810612499983</v>
      </c>
      <c r="BD221" s="79">
        <v>39472.286624999993</v>
      </c>
      <c r="BE221" s="79">
        <f>+BE181*0.6</f>
        <v>50264.94</v>
      </c>
      <c r="BF221" s="127">
        <v>35748.485999999997</v>
      </c>
      <c r="BG221" s="142">
        <v>35600</v>
      </c>
      <c r="BH221" s="142">
        <v>30000</v>
      </c>
      <c r="BI221" s="76">
        <f t="shared" si="326"/>
        <v>41477.605747499983</v>
      </c>
      <c r="BJ221" s="24">
        <f t="shared" si="327"/>
        <v>-86669.394252500017</v>
      </c>
      <c r="BK221" s="25">
        <f>+BJ221/AW221</f>
        <v>-0.67632792224944804</v>
      </c>
      <c r="BL221" s="259">
        <f t="shared" si="329"/>
        <v>41477.605747499983</v>
      </c>
      <c r="BM221" s="533">
        <f t="shared" si="330"/>
        <v>41477.605747499983</v>
      </c>
    </row>
    <row r="222" spans="1:65" ht="37.35" customHeight="1">
      <c r="A222" s="91" t="s">
        <v>18</v>
      </c>
      <c r="B222" s="358" t="s">
        <v>2413</v>
      </c>
      <c r="C222" s="50" t="s">
        <v>769</v>
      </c>
      <c r="D222" s="99" t="s">
        <v>513</v>
      </c>
      <c r="E222" s="391" t="s">
        <v>24</v>
      </c>
      <c r="F222" s="408"/>
      <c r="G222" s="293"/>
      <c r="H222" s="293"/>
      <c r="I222" s="293"/>
      <c r="J222" s="293"/>
      <c r="K222" s="293"/>
      <c r="L222" s="327"/>
      <c r="M222" s="432"/>
      <c r="N222" s="443"/>
      <c r="O222" s="250"/>
      <c r="P222" s="250"/>
      <c r="Q222" s="250"/>
      <c r="R222" s="250"/>
      <c r="S222" s="250"/>
      <c r="T222" s="250"/>
      <c r="U222" s="250"/>
      <c r="V222" s="443"/>
      <c r="W222" s="410">
        <v>211025</v>
      </c>
      <c r="X222" s="41">
        <v>274455</v>
      </c>
      <c r="Y222" s="31">
        <v>356792</v>
      </c>
      <c r="Z222" s="31">
        <v>239894</v>
      </c>
      <c r="AA222" s="76">
        <f t="shared" si="282"/>
        <v>290380.33333333331</v>
      </c>
      <c r="AB222" s="24">
        <f t="shared" si="283"/>
        <v>79355.333333333314</v>
      </c>
      <c r="AC222" s="25">
        <f t="shared" si="284"/>
        <v>0.37604707183193137</v>
      </c>
      <c r="AD222" s="309" t="str">
        <f t="shared" si="285"/>
        <v>REVISAR PRECIO</v>
      </c>
      <c r="AE222" s="462">
        <f t="shared" si="286"/>
        <v>290380.33333333331</v>
      </c>
      <c r="AF222" s="408"/>
      <c r="AG222" s="293"/>
      <c r="AH222" s="293"/>
      <c r="AI222" s="293"/>
      <c r="AJ222" s="293"/>
      <c r="AK222" s="293"/>
      <c r="AL222" s="327"/>
      <c r="AM222" s="463"/>
      <c r="AN222" s="513">
        <v>90178</v>
      </c>
      <c r="AO222" s="88">
        <v>350000</v>
      </c>
      <c r="AP222" s="116">
        <v>350000</v>
      </c>
      <c r="AQ222" s="74">
        <v>341796.4</v>
      </c>
      <c r="AR222" s="76">
        <f t="shared" si="321"/>
        <v>347265.46666666667</v>
      </c>
      <c r="AS222" s="24">
        <f t="shared" si="322"/>
        <v>257087.46666666667</v>
      </c>
      <c r="AT222" s="25">
        <f t="shared" si="339"/>
        <v>2.8508889825308463</v>
      </c>
      <c r="AU222" s="309" t="str">
        <f t="shared" si="340"/>
        <v>REVISAR PRECIO</v>
      </c>
      <c r="AV222" s="462">
        <f t="shared" si="325"/>
        <v>347265.46666666667</v>
      </c>
      <c r="AW222" s="513">
        <v>90178</v>
      </c>
      <c r="AX222" s="74">
        <v>357332.6</v>
      </c>
      <c r="AY222" s="74">
        <v>550000</v>
      </c>
      <c r="AZ222" s="75">
        <v>411709.3</v>
      </c>
      <c r="BA222" s="61">
        <v>482999.99999999994</v>
      </c>
      <c r="BB222" s="60"/>
      <c r="BC222" s="74">
        <v>555449.99999999988</v>
      </c>
      <c r="BD222" s="79">
        <v>411709.3</v>
      </c>
      <c r="BE222" s="79">
        <v>310724</v>
      </c>
      <c r="BF222" s="127">
        <v>372868.8</v>
      </c>
      <c r="BG222" s="142">
        <v>369500</v>
      </c>
      <c r="BH222" s="142">
        <v>330000</v>
      </c>
      <c r="BI222" s="76">
        <f t="shared" si="326"/>
        <v>471498.38</v>
      </c>
      <c r="BJ222" s="24">
        <f t="shared" si="327"/>
        <v>381320.38</v>
      </c>
      <c r="BK222" s="25">
        <f>+BJ222/AW222</f>
        <v>4.2285300184080379</v>
      </c>
      <c r="BL222" s="259" t="str">
        <f t="shared" si="329"/>
        <v>REVISAR PRECIO</v>
      </c>
      <c r="BM222" s="533">
        <f t="shared" si="330"/>
        <v>471498.38</v>
      </c>
    </row>
    <row r="223" spans="1:65" ht="37.35" customHeight="1">
      <c r="A223" s="91"/>
      <c r="B223" s="358" t="s">
        <v>2414</v>
      </c>
      <c r="C223" s="50" t="s">
        <v>874</v>
      </c>
      <c r="D223" s="177" t="s">
        <v>866</v>
      </c>
      <c r="E223" s="385" t="s">
        <v>14</v>
      </c>
      <c r="F223" s="410">
        <v>60629</v>
      </c>
      <c r="G223" s="10">
        <v>34254</v>
      </c>
      <c r="H223" s="167">
        <v>137016</v>
      </c>
      <c r="I223" s="10">
        <v>33520</v>
      </c>
      <c r="J223" s="76">
        <f t="shared" ref="J223:J230" si="341">AVERAGE(G223,I223)</f>
        <v>33887</v>
      </c>
      <c r="K223" s="24">
        <f t="shared" ref="K223:K230" si="342">J223-F223</f>
        <v>-26742</v>
      </c>
      <c r="L223" s="281">
        <f t="shared" ref="L223:L230" si="343">+K223/F223</f>
        <v>-0.44107605271404771</v>
      </c>
      <c r="M223" s="431">
        <f t="shared" ref="M223:M230" si="344">H223</f>
        <v>137016</v>
      </c>
      <c r="N223" s="410">
        <v>55103</v>
      </c>
      <c r="O223" s="10">
        <v>90000</v>
      </c>
      <c r="P223" s="10">
        <v>98000</v>
      </c>
      <c r="Q223" s="268">
        <v>95000</v>
      </c>
      <c r="R223" s="10">
        <v>120000</v>
      </c>
      <c r="S223" s="76">
        <f t="shared" ref="S223:S227" si="345">AVERAGE(O223,P223,Q223,R223)</f>
        <v>100750</v>
      </c>
      <c r="T223" s="24">
        <f t="shared" ref="T223:T227" si="346">S223-N223</f>
        <v>45647</v>
      </c>
      <c r="U223" s="281">
        <f t="shared" ref="U223:U227" si="347">+T223/N223</f>
        <v>0.82839409832495503</v>
      </c>
      <c r="V223" s="462">
        <f t="shared" ref="V223:V227" si="348">S223</f>
        <v>100750</v>
      </c>
      <c r="W223" s="410"/>
      <c r="X223" s="41"/>
      <c r="Y223" s="31"/>
      <c r="Z223" s="31"/>
      <c r="AA223" s="76"/>
      <c r="AB223" s="24"/>
      <c r="AC223" s="25"/>
      <c r="AD223" s="309"/>
      <c r="AE223" s="462"/>
      <c r="AF223" s="410">
        <v>61530</v>
      </c>
      <c r="AG223" s="45">
        <v>75000</v>
      </c>
      <c r="AH223" s="45">
        <v>71531</v>
      </c>
      <c r="AI223" s="45">
        <v>60000</v>
      </c>
      <c r="AJ223" s="76">
        <f t="shared" ref="AJ223:AJ226" si="349">AVERAGE(AG223,AH223,AI223)</f>
        <v>68843.666666666672</v>
      </c>
      <c r="AK223" s="24">
        <f t="shared" ref="AK223:AK226" si="350">AJ223-AF223</f>
        <v>7313.6666666666715</v>
      </c>
      <c r="AL223" s="281">
        <f t="shared" ref="AL223:AL226" si="351">+AK223/AF223</f>
        <v>0.11886342705455341</v>
      </c>
      <c r="AM223" s="462">
        <f t="shared" ref="AM223:AM226" si="352">AJ223</f>
        <v>68843.666666666672</v>
      </c>
      <c r="AN223" s="513"/>
      <c r="AO223" s="88"/>
      <c r="AP223" s="116"/>
      <c r="AQ223" s="74"/>
      <c r="AR223" s="76"/>
      <c r="AS223" s="24"/>
      <c r="AT223" s="25"/>
      <c r="AU223" s="309"/>
      <c r="AV223" s="462"/>
      <c r="AW223" s="513"/>
      <c r="AX223" s="74"/>
      <c r="AY223" s="74"/>
      <c r="AZ223" s="75"/>
      <c r="BA223" s="61"/>
      <c r="BB223" s="60"/>
      <c r="BC223" s="74"/>
      <c r="BD223" s="79"/>
      <c r="BE223" s="79"/>
      <c r="BF223" s="127"/>
      <c r="BG223" s="142"/>
      <c r="BH223" s="142"/>
      <c r="BI223" s="76"/>
      <c r="BJ223" s="24"/>
      <c r="BK223" s="25"/>
      <c r="BL223" s="259"/>
      <c r="BM223" s="533"/>
    </row>
    <row r="224" spans="1:65" ht="37.35" customHeight="1">
      <c r="A224" s="91"/>
      <c r="B224" s="358" t="s">
        <v>2415</v>
      </c>
      <c r="C224" s="50" t="s">
        <v>875</v>
      </c>
      <c r="D224" s="177" t="s">
        <v>867</v>
      </c>
      <c r="E224" s="385" t="s">
        <v>10</v>
      </c>
      <c r="F224" s="410">
        <v>15312</v>
      </c>
      <c r="G224" s="10">
        <v>44475</v>
      </c>
      <c r="H224" s="167">
        <v>177900</v>
      </c>
      <c r="I224" s="10">
        <v>43522</v>
      </c>
      <c r="J224" s="76">
        <f t="shared" si="341"/>
        <v>43998.5</v>
      </c>
      <c r="K224" s="24">
        <f t="shared" si="342"/>
        <v>28686.5</v>
      </c>
      <c r="L224" s="281">
        <f t="shared" si="343"/>
        <v>1.8734652560083596</v>
      </c>
      <c r="M224" s="431">
        <f t="shared" si="344"/>
        <v>177900</v>
      </c>
      <c r="N224" s="410">
        <v>13783</v>
      </c>
      <c r="O224" s="10">
        <v>42000</v>
      </c>
      <c r="P224" s="10">
        <v>45000</v>
      </c>
      <c r="Q224" s="268">
        <v>45000</v>
      </c>
      <c r="R224" s="10">
        <v>60000</v>
      </c>
      <c r="S224" s="76">
        <f t="shared" si="345"/>
        <v>48000</v>
      </c>
      <c r="T224" s="24">
        <f t="shared" si="346"/>
        <v>34217</v>
      </c>
      <c r="U224" s="281">
        <f t="shared" si="347"/>
        <v>2.482550968584488</v>
      </c>
      <c r="V224" s="462">
        <f t="shared" si="348"/>
        <v>48000</v>
      </c>
      <c r="W224" s="410"/>
      <c r="X224" s="41"/>
      <c r="Y224" s="31"/>
      <c r="Z224" s="31"/>
      <c r="AA224" s="76"/>
      <c r="AB224" s="24"/>
      <c r="AC224" s="25"/>
      <c r="AD224" s="309"/>
      <c r="AE224" s="462"/>
      <c r="AF224" s="410">
        <v>15312</v>
      </c>
      <c r="AG224" s="45"/>
      <c r="AH224" s="45">
        <v>18063</v>
      </c>
      <c r="AI224" s="45">
        <v>75000</v>
      </c>
      <c r="AJ224" s="76">
        <f t="shared" si="349"/>
        <v>46531.5</v>
      </c>
      <c r="AK224" s="24">
        <f t="shared" si="350"/>
        <v>31219.5</v>
      </c>
      <c r="AL224" s="281">
        <f t="shared" si="351"/>
        <v>2.0388910658307209</v>
      </c>
      <c r="AM224" s="462">
        <f t="shared" si="352"/>
        <v>46531.5</v>
      </c>
      <c r="AN224" s="513"/>
      <c r="AO224" s="88"/>
      <c r="AP224" s="116"/>
      <c r="AQ224" s="74"/>
      <c r="AR224" s="76"/>
      <c r="AS224" s="24"/>
      <c r="AT224" s="25"/>
      <c r="AU224" s="309"/>
      <c r="AV224" s="462"/>
      <c r="AW224" s="513"/>
      <c r="AX224" s="74"/>
      <c r="AY224" s="74"/>
      <c r="AZ224" s="75"/>
      <c r="BA224" s="61"/>
      <c r="BB224" s="60"/>
      <c r="BC224" s="74"/>
      <c r="BD224" s="79"/>
      <c r="BE224" s="79"/>
      <c r="BF224" s="127"/>
      <c r="BG224" s="142"/>
      <c r="BH224" s="142"/>
      <c r="BI224" s="76"/>
      <c r="BJ224" s="24"/>
      <c r="BK224" s="25"/>
      <c r="BL224" s="259"/>
      <c r="BM224" s="533"/>
    </row>
    <row r="225" spans="1:65" ht="37.35" customHeight="1">
      <c r="A225" s="91"/>
      <c r="B225" s="358" t="s">
        <v>2416</v>
      </c>
      <c r="C225" s="50" t="s">
        <v>876</v>
      </c>
      <c r="D225" s="177" t="s">
        <v>868</v>
      </c>
      <c r="E225" s="385" t="s">
        <v>10</v>
      </c>
      <c r="F225" s="410">
        <v>29057</v>
      </c>
      <c r="G225" s="10">
        <v>31500</v>
      </c>
      <c r="H225" s="167">
        <v>18000</v>
      </c>
      <c r="I225" s="10">
        <v>49600</v>
      </c>
      <c r="J225" s="76">
        <f t="shared" si="341"/>
        <v>40550</v>
      </c>
      <c r="K225" s="24">
        <f t="shared" si="342"/>
        <v>11493</v>
      </c>
      <c r="L225" s="281">
        <f t="shared" si="343"/>
        <v>0.39553291805761093</v>
      </c>
      <c r="M225" s="431">
        <f t="shared" si="344"/>
        <v>18000</v>
      </c>
      <c r="N225" s="410">
        <v>26151</v>
      </c>
      <c r="O225" s="10">
        <v>73000</v>
      </c>
      <c r="P225" s="10">
        <v>78000</v>
      </c>
      <c r="Q225" s="268">
        <v>75000</v>
      </c>
      <c r="R225" s="10">
        <v>80000</v>
      </c>
      <c r="S225" s="76">
        <f t="shared" si="345"/>
        <v>76500</v>
      </c>
      <c r="T225" s="24">
        <f t="shared" si="346"/>
        <v>50349</v>
      </c>
      <c r="U225" s="281">
        <f t="shared" si="347"/>
        <v>1.9253183434667891</v>
      </c>
      <c r="V225" s="462">
        <f t="shared" si="348"/>
        <v>76500</v>
      </c>
      <c r="W225" s="410"/>
      <c r="X225" s="41"/>
      <c r="Y225" s="31"/>
      <c r="Z225" s="31"/>
      <c r="AA225" s="76"/>
      <c r="AB225" s="24"/>
      <c r="AC225" s="25"/>
      <c r="AD225" s="309"/>
      <c r="AE225" s="462"/>
      <c r="AF225" s="410">
        <v>29056</v>
      </c>
      <c r="AG225" s="45"/>
      <c r="AH225" s="45">
        <v>34285</v>
      </c>
      <c r="AI225" s="45">
        <v>75000</v>
      </c>
      <c r="AJ225" s="76">
        <f t="shared" si="349"/>
        <v>54642.5</v>
      </c>
      <c r="AK225" s="24">
        <f t="shared" si="350"/>
        <v>25586.5</v>
      </c>
      <c r="AL225" s="281">
        <f t="shared" si="351"/>
        <v>0.88059264867841414</v>
      </c>
      <c r="AM225" s="462">
        <f t="shared" si="352"/>
        <v>54642.5</v>
      </c>
      <c r="AN225" s="513"/>
      <c r="AO225" s="88"/>
      <c r="AP225" s="116"/>
      <c r="AQ225" s="74"/>
      <c r="AR225" s="76"/>
      <c r="AS225" s="24"/>
      <c r="AT225" s="25"/>
      <c r="AU225" s="309"/>
      <c r="AV225" s="462"/>
      <c r="AW225" s="513"/>
      <c r="AX225" s="74"/>
      <c r="AY225" s="74"/>
      <c r="AZ225" s="75"/>
      <c r="BA225" s="61"/>
      <c r="BB225" s="60"/>
      <c r="BC225" s="74"/>
      <c r="BD225" s="79"/>
      <c r="BE225" s="79"/>
      <c r="BF225" s="127"/>
      <c r="BG225" s="142"/>
      <c r="BH225" s="142"/>
      <c r="BI225" s="76"/>
      <c r="BJ225" s="24"/>
      <c r="BK225" s="25"/>
      <c r="BL225" s="259"/>
      <c r="BM225" s="533"/>
    </row>
    <row r="226" spans="1:65" ht="37.35" customHeight="1">
      <c r="A226" s="91"/>
      <c r="B226" s="358" t="s">
        <v>2417</v>
      </c>
      <c r="C226" s="50" t="s">
        <v>877</v>
      </c>
      <c r="D226" s="177" t="s">
        <v>869</v>
      </c>
      <c r="E226" s="385" t="s">
        <v>10</v>
      </c>
      <c r="F226" s="410">
        <v>72276</v>
      </c>
      <c r="G226" s="10">
        <v>65000</v>
      </c>
      <c r="H226" s="167">
        <v>18500</v>
      </c>
      <c r="I226" s="10">
        <v>60523</v>
      </c>
      <c r="J226" s="76">
        <f t="shared" si="341"/>
        <v>62761.5</v>
      </c>
      <c r="K226" s="24">
        <f t="shared" si="342"/>
        <v>-9514.5</v>
      </c>
      <c r="L226" s="281">
        <f t="shared" si="343"/>
        <v>-0.13164120869998339</v>
      </c>
      <c r="M226" s="431">
        <f t="shared" si="344"/>
        <v>18500</v>
      </c>
      <c r="N226" s="410">
        <v>65688</v>
      </c>
      <c r="O226" s="10">
        <v>138000</v>
      </c>
      <c r="P226" s="10">
        <v>145000</v>
      </c>
      <c r="Q226" s="268">
        <v>140000</v>
      </c>
      <c r="R226" s="10">
        <v>150000</v>
      </c>
      <c r="S226" s="76">
        <f t="shared" si="345"/>
        <v>143250</v>
      </c>
      <c r="T226" s="24">
        <f t="shared" si="346"/>
        <v>77562</v>
      </c>
      <c r="U226" s="281">
        <f t="shared" si="347"/>
        <v>1.1807636097917429</v>
      </c>
      <c r="V226" s="462">
        <f t="shared" si="348"/>
        <v>143250</v>
      </c>
      <c r="W226" s="410"/>
      <c r="X226" s="41"/>
      <c r="Y226" s="31"/>
      <c r="Z226" s="31"/>
      <c r="AA226" s="76"/>
      <c r="AB226" s="24"/>
      <c r="AC226" s="25"/>
      <c r="AD226" s="309"/>
      <c r="AE226" s="462"/>
      <c r="AF226" s="410">
        <v>73357</v>
      </c>
      <c r="AG226" s="45"/>
      <c r="AH226" s="45">
        <v>85277</v>
      </c>
      <c r="AI226" s="45">
        <v>75000</v>
      </c>
      <c r="AJ226" s="76">
        <f t="shared" si="349"/>
        <v>80138.5</v>
      </c>
      <c r="AK226" s="24">
        <f t="shared" si="350"/>
        <v>6781.5</v>
      </c>
      <c r="AL226" s="281">
        <f t="shared" si="351"/>
        <v>9.2445165423885922E-2</v>
      </c>
      <c r="AM226" s="462">
        <f t="shared" si="352"/>
        <v>80138.5</v>
      </c>
      <c r="AN226" s="513"/>
      <c r="AO226" s="88"/>
      <c r="AP226" s="116"/>
      <c r="AQ226" s="74"/>
      <c r="AR226" s="76"/>
      <c r="AS226" s="24"/>
      <c r="AT226" s="25"/>
      <c r="AU226" s="309"/>
      <c r="AV226" s="462"/>
      <c r="AW226" s="513"/>
      <c r="AX226" s="74"/>
      <c r="AY226" s="74"/>
      <c r="AZ226" s="75"/>
      <c r="BA226" s="61"/>
      <c r="BB226" s="60"/>
      <c r="BC226" s="74"/>
      <c r="BD226" s="79"/>
      <c r="BE226" s="79"/>
      <c r="BF226" s="127"/>
      <c r="BG226" s="142"/>
      <c r="BH226" s="142"/>
      <c r="BI226" s="76"/>
      <c r="BJ226" s="24"/>
      <c r="BK226" s="25"/>
      <c r="BL226" s="259"/>
      <c r="BM226" s="533"/>
    </row>
    <row r="227" spans="1:65" ht="37.35" customHeight="1">
      <c r="A227" s="91"/>
      <c r="B227" s="358" t="s">
        <v>2418</v>
      </c>
      <c r="C227" s="50" t="s">
        <v>878</v>
      </c>
      <c r="D227" s="177" t="s">
        <v>870</v>
      </c>
      <c r="E227" s="385" t="s">
        <v>14</v>
      </c>
      <c r="F227" s="410">
        <v>32570</v>
      </c>
      <c r="G227" s="10">
        <v>110000</v>
      </c>
      <c r="H227" s="167">
        <v>110000</v>
      </c>
      <c r="I227" s="10">
        <v>95000</v>
      </c>
      <c r="J227" s="76">
        <f t="shared" si="341"/>
        <v>102500</v>
      </c>
      <c r="K227" s="24">
        <f t="shared" si="342"/>
        <v>69930</v>
      </c>
      <c r="L227" s="281">
        <f t="shared" si="343"/>
        <v>2.1470678538532391</v>
      </c>
      <c r="M227" s="431">
        <f t="shared" si="344"/>
        <v>110000</v>
      </c>
      <c r="N227" s="410">
        <v>29607</v>
      </c>
      <c r="O227" s="10">
        <v>70000</v>
      </c>
      <c r="P227" s="10">
        <v>75000</v>
      </c>
      <c r="Q227" s="268">
        <v>73000</v>
      </c>
      <c r="R227" s="10">
        <v>80000</v>
      </c>
      <c r="S227" s="76">
        <f t="shared" si="345"/>
        <v>74500</v>
      </c>
      <c r="T227" s="24">
        <f t="shared" si="346"/>
        <v>44893</v>
      </c>
      <c r="U227" s="281">
        <f t="shared" si="347"/>
        <v>1.5162968216975716</v>
      </c>
      <c r="V227" s="462">
        <f t="shared" si="348"/>
        <v>74500</v>
      </c>
      <c r="W227" s="410"/>
      <c r="X227" s="41"/>
      <c r="Y227" s="31"/>
      <c r="Z227" s="31"/>
      <c r="AA227" s="76"/>
      <c r="AB227" s="24"/>
      <c r="AC227" s="25"/>
      <c r="AD227" s="309"/>
      <c r="AE227" s="462"/>
      <c r="AF227" s="408"/>
      <c r="AG227" s="293"/>
      <c r="AH227" s="293"/>
      <c r="AI227" s="293"/>
      <c r="AJ227" s="293"/>
      <c r="AK227" s="293"/>
      <c r="AL227" s="327"/>
      <c r="AM227" s="463"/>
      <c r="AN227" s="513"/>
      <c r="AO227" s="88"/>
      <c r="AP227" s="116"/>
      <c r="AQ227" s="74"/>
      <c r="AR227" s="76"/>
      <c r="AS227" s="24"/>
      <c r="AT227" s="25"/>
      <c r="AU227" s="309"/>
      <c r="AV227" s="462"/>
      <c r="AW227" s="513"/>
      <c r="AX227" s="74"/>
      <c r="AY227" s="74"/>
      <c r="AZ227" s="75"/>
      <c r="BA227" s="61"/>
      <c r="BB227" s="60"/>
      <c r="BC227" s="74"/>
      <c r="BD227" s="79"/>
      <c r="BE227" s="79"/>
      <c r="BF227" s="127"/>
      <c r="BG227" s="142"/>
      <c r="BH227" s="142"/>
      <c r="BI227" s="76"/>
      <c r="BJ227" s="24"/>
      <c r="BK227" s="25"/>
      <c r="BL227" s="259"/>
      <c r="BM227" s="533"/>
    </row>
    <row r="228" spans="1:65" ht="37.35" customHeight="1">
      <c r="A228" s="91"/>
      <c r="B228" s="358" t="s">
        <v>2419</v>
      </c>
      <c r="C228" s="50" t="s">
        <v>879</v>
      </c>
      <c r="D228" s="177" t="s">
        <v>871</v>
      </c>
      <c r="E228" s="385" t="s">
        <v>14</v>
      </c>
      <c r="F228" s="410">
        <v>5990</v>
      </c>
      <c r="G228" s="10">
        <v>45000</v>
      </c>
      <c r="H228" s="167">
        <v>34000</v>
      </c>
      <c r="I228" s="10">
        <v>30000</v>
      </c>
      <c r="J228" s="76">
        <f t="shared" si="341"/>
        <v>37500</v>
      </c>
      <c r="K228" s="24">
        <f t="shared" si="342"/>
        <v>31510</v>
      </c>
      <c r="L228" s="281">
        <f t="shared" si="343"/>
        <v>5.2604340567612686</v>
      </c>
      <c r="M228" s="431">
        <f t="shared" si="344"/>
        <v>34000</v>
      </c>
      <c r="N228" s="443"/>
      <c r="O228" s="250"/>
      <c r="P228" s="250"/>
      <c r="Q228" s="250"/>
      <c r="R228" s="250"/>
      <c r="S228" s="250"/>
      <c r="T228" s="250"/>
      <c r="U228" s="250"/>
      <c r="V228" s="443"/>
      <c r="W228" s="410"/>
      <c r="X228" s="41"/>
      <c r="Y228" s="31"/>
      <c r="Z228" s="31"/>
      <c r="AA228" s="76"/>
      <c r="AB228" s="24"/>
      <c r="AC228" s="25"/>
      <c r="AD228" s="309"/>
      <c r="AE228" s="462"/>
      <c r="AF228" s="408"/>
      <c r="AG228" s="293"/>
      <c r="AH228" s="293"/>
      <c r="AI228" s="293"/>
      <c r="AJ228" s="293"/>
      <c r="AK228" s="293"/>
      <c r="AL228" s="327"/>
      <c r="AM228" s="463"/>
      <c r="AN228" s="513"/>
      <c r="AO228" s="88"/>
      <c r="AP228" s="116"/>
      <c r="AQ228" s="74"/>
      <c r="AR228" s="76"/>
      <c r="AS228" s="24"/>
      <c r="AT228" s="25"/>
      <c r="AU228" s="309"/>
      <c r="AV228" s="462"/>
      <c r="AW228" s="513"/>
      <c r="AX228" s="74"/>
      <c r="AY228" s="74"/>
      <c r="AZ228" s="75"/>
      <c r="BA228" s="61"/>
      <c r="BB228" s="60"/>
      <c r="BC228" s="74"/>
      <c r="BD228" s="79"/>
      <c r="BE228" s="79"/>
      <c r="BF228" s="127"/>
      <c r="BG228" s="142"/>
      <c r="BH228" s="142"/>
      <c r="BI228" s="76"/>
      <c r="BJ228" s="24"/>
      <c r="BK228" s="25"/>
      <c r="BL228" s="259"/>
      <c r="BM228" s="533"/>
    </row>
    <row r="229" spans="1:65" ht="37.35" customHeight="1">
      <c r="A229" s="91"/>
      <c r="B229" s="358" t="s">
        <v>2420</v>
      </c>
      <c r="C229" s="50" t="s">
        <v>880</v>
      </c>
      <c r="D229" s="177" t="s">
        <v>872</v>
      </c>
      <c r="E229" s="385" t="s">
        <v>13</v>
      </c>
      <c r="F229" s="410">
        <v>59803</v>
      </c>
      <c r="G229" s="10">
        <v>92316</v>
      </c>
      <c r="H229" s="167">
        <v>92316</v>
      </c>
      <c r="I229" s="10">
        <v>78569</v>
      </c>
      <c r="J229" s="76">
        <f t="shared" si="341"/>
        <v>85442.5</v>
      </c>
      <c r="K229" s="24">
        <f t="shared" si="342"/>
        <v>25639.5</v>
      </c>
      <c r="L229" s="281">
        <f t="shared" si="343"/>
        <v>0.42873267227396616</v>
      </c>
      <c r="M229" s="431">
        <f t="shared" si="344"/>
        <v>92316</v>
      </c>
      <c r="N229" s="443"/>
      <c r="O229" s="250"/>
      <c r="P229" s="250"/>
      <c r="Q229" s="250"/>
      <c r="R229" s="250"/>
      <c r="S229" s="250"/>
      <c r="T229" s="250"/>
      <c r="U229" s="250"/>
      <c r="V229" s="443"/>
      <c r="W229" s="410"/>
      <c r="X229" s="41"/>
      <c r="Y229" s="31"/>
      <c r="Z229" s="31"/>
      <c r="AA229" s="76"/>
      <c r="AB229" s="24"/>
      <c r="AC229" s="25"/>
      <c r="AD229" s="309"/>
      <c r="AE229" s="462"/>
      <c r="AF229" s="408"/>
      <c r="AG229" s="293"/>
      <c r="AH229" s="293"/>
      <c r="AI229" s="293"/>
      <c r="AJ229" s="293"/>
      <c r="AK229" s="293"/>
      <c r="AL229" s="327"/>
      <c r="AM229" s="463"/>
      <c r="AN229" s="513"/>
      <c r="AO229" s="88"/>
      <c r="AP229" s="116"/>
      <c r="AQ229" s="74"/>
      <c r="AR229" s="76"/>
      <c r="AS229" s="24"/>
      <c r="AT229" s="25"/>
      <c r="AU229" s="309"/>
      <c r="AV229" s="462"/>
      <c r="AW229" s="513"/>
      <c r="AX229" s="74"/>
      <c r="AY229" s="74"/>
      <c r="AZ229" s="75"/>
      <c r="BA229" s="61"/>
      <c r="BB229" s="60"/>
      <c r="BC229" s="74"/>
      <c r="BD229" s="79"/>
      <c r="BE229" s="79"/>
      <c r="BF229" s="127"/>
      <c r="BG229" s="142"/>
      <c r="BH229" s="142"/>
      <c r="BI229" s="76"/>
      <c r="BJ229" s="24"/>
      <c r="BK229" s="25"/>
      <c r="BL229" s="259"/>
      <c r="BM229" s="533"/>
    </row>
    <row r="230" spans="1:65" ht="37.35" customHeight="1">
      <c r="A230" s="91"/>
      <c r="B230" s="358" t="s">
        <v>2421</v>
      </c>
      <c r="C230" s="50" t="s">
        <v>881</v>
      </c>
      <c r="D230" s="177" t="s">
        <v>873</v>
      </c>
      <c r="E230" s="385" t="s">
        <v>14</v>
      </c>
      <c r="F230" s="410">
        <v>569545</v>
      </c>
      <c r="G230" s="10">
        <v>27554</v>
      </c>
      <c r="H230" s="167">
        <v>27554</v>
      </c>
      <c r="I230" s="10">
        <v>1125000</v>
      </c>
      <c r="J230" s="76">
        <f t="shared" si="341"/>
        <v>576277</v>
      </c>
      <c r="K230" s="24">
        <f t="shared" si="342"/>
        <v>6732</v>
      </c>
      <c r="L230" s="281">
        <f t="shared" si="343"/>
        <v>1.1819961548253431E-2</v>
      </c>
      <c r="M230" s="431">
        <f t="shared" si="344"/>
        <v>27554</v>
      </c>
      <c r="N230" s="443"/>
      <c r="O230" s="250"/>
      <c r="P230" s="250"/>
      <c r="Q230" s="250"/>
      <c r="R230" s="250"/>
      <c r="S230" s="250"/>
      <c r="T230" s="250"/>
      <c r="U230" s="250"/>
      <c r="V230" s="443"/>
      <c r="W230" s="410"/>
      <c r="X230" s="41"/>
      <c r="Y230" s="31"/>
      <c r="Z230" s="31"/>
      <c r="AA230" s="76"/>
      <c r="AB230" s="24"/>
      <c r="AC230" s="25"/>
      <c r="AD230" s="309"/>
      <c r="AE230" s="462"/>
      <c r="AF230" s="408"/>
      <c r="AG230" s="293"/>
      <c r="AH230" s="293"/>
      <c r="AI230" s="293"/>
      <c r="AJ230" s="293"/>
      <c r="AK230" s="293"/>
      <c r="AL230" s="327"/>
      <c r="AM230" s="463"/>
      <c r="AN230" s="513"/>
      <c r="AO230" s="88"/>
      <c r="AP230" s="116"/>
      <c r="AQ230" s="74"/>
      <c r="AR230" s="76"/>
      <c r="AS230" s="24"/>
      <c r="AT230" s="25"/>
      <c r="AU230" s="309"/>
      <c r="AV230" s="462"/>
      <c r="AW230" s="513"/>
      <c r="AX230" s="74"/>
      <c r="AY230" s="74"/>
      <c r="AZ230" s="75"/>
      <c r="BA230" s="61"/>
      <c r="BB230" s="60"/>
      <c r="BC230" s="74"/>
      <c r="BD230" s="79"/>
      <c r="BE230" s="79"/>
      <c r="BF230" s="127"/>
      <c r="BG230" s="142"/>
      <c r="BH230" s="142"/>
      <c r="BI230" s="76"/>
      <c r="BJ230" s="24"/>
      <c r="BK230" s="25"/>
      <c r="BL230" s="259"/>
      <c r="BM230" s="533"/>
    </row>
    <row r="231" spans="1:65" ht="37.35" customHeight="1">
      <c r="A231" s="91"/>
      <c r="B231" s="358" t="s">
        <v>2422</v>
      </c>
      <c r="C231" s="50" t="s">
        <v>2161</v>
      </c>
      <c r="D231" s="264" t="s">
        <v>1512</v>
      </c>
      <c r="E231" s="393" t="s">
        <v>827</v>
      </c>
      <c r="F231" s="410"/>
      <c r="G231" s="10"/>
      <c r="H231" s="167"/>
      <c r="I231" s="10"/>
      <c r="J231" s="76"/>
      <c r="K231" s="24"/>
      <c r="L231" s="281"/>
      <c r="M231" s="431"/>
      <c r="N231" s="410">
        <v>54629</v>
      </c>
      <c r="O231" s="10">
        <v>62000</v>
      </c>
      <c r="P231" s="10">
        <v>68000</v>
      </c>
      <c r="Q231" s="268">
        <v>65000</v>
      </c>
      <c r="R231" s="10">
        <v>120000</v>
      </c>
      <c r="S231" s="76">
        <f t="shared" ref="S231:S252" si="353">AVERAGE(O231,P231,Q231,R231)</f>
        <v>78750</v>
      </c>
      <c r="T231" s="24">
        <f t="shared" ref="T231:T252" si="354">S231-N231</f>
        <v>24121</v>
      </c>
      <c r="U231" s="281">
        <f t="shared" ref="U231:U252" si="355">+T231/N231</f>
        <v>0.44154203811162568</v>
      </c>
      <c r="V231" s="462">
        <f t="shared" ref="V231:V252" si="356">S231</f>
        <v>78750</v>
      </c>
      <c r="W231" s="410"/>
      <c r="X231" s="41"/>
      <c r="Y231" s="31"/>
      <c r="Z231" s="31"/>
      <c r="AA231" s="76"/>
      <c r="AB231" s="24"/>
      <c r="AC231" s="25"/>
      <c r="AD231" s="309"/>
      <c r="AE231" s="462"/>
      <c r="AF231" s="408"/>
      <c r="AG231" s="293"/>
      <c r="AH231" s="293"/>
      <c r="AI231" s="293"/>
      <c r="AJ231" s="293"/>
      <c r="AK231" s="293"/>
      <c r="AL231" s="327"/>
      <c r="AM231" s="463"/>
      <c r="AN231" s="513"/>
      <c r="AO231" s="88"/>
      <c r="AP231" s="116"/>
      <c r="AQ231" s="74"/>
      <c r="AR231" s="76"/>
      <c r="AS231" s="24"/>
      <c r="AT231" s="25"/>
      <c r="AU231" s="309"/>
      <c r="AV231" s="462"/>
      <c r="AW231" s="513"/>
      <c r="AX231" s="74"/>
      <c r="AY231" s="74"/>
      <c r="AZ231" s="75"/>
      <c r="BA231" s="61"/>
      <c r="BB231" s="60"/>
      <c r="BC231" s="74"/>
      <c r="BD231" s="79"/>
      <c r="BE231" s="79"/>
      <c r="BF231" s="127"/>
      <c r="BG231" s="142"/>
      <c r="BH231" s="142"/>
      <c r="BI231" s="76"/>
      <c r="BJ231" s="24"/>
      <c r="BK231" s="25"/>
      <c r="BL231" s="259"/>
      <c r="BM231" s="533"/>
    </row>
    <row r="232" spans="1:65" ht="37.35" customHeight="1">
      <c r="A232" s="91"/>
      <c r="B232" s="358" t="s">
        <v>2423</v>
      </c>
      <c r="C232" s="50" t="s">
        <v>2162</v>
      </c>
      <c r="D232" s="264" t="s">
        <v>1513</v>
      </c>
      <c r="E232" s="393" t="s">
        <v>999</v>
      </c>
      <c r="F232" s="410"/>
      <c r="G232" s="10"/>
      <c r="H232" s="167"/>
      <c r="I232" s="10"/>
      <c r="J232" s="76"/>
      <c r="K232" s="24"/>
      <c r="L232" s="281"/>
      <c r="M232" s="431"/>
      <c r="N232" s="410">
        <v>45678</v>
      </c>
      <c r="O232" s="10">
        <v>243000</v>
      </c>
      <c r="P232" s="10">
        <v>250000</v>
      </c>
      <c r="Q232" s="268">
        <v>250000</v>
      </c>
      <c r="R232" s="10">
        <v>250000</v>
      </c>
      <c r="S232" s="76">
        <f t="shared" si="353"/>
        <v>248250</v>
      </c>
      <c r="T232" s="24">
        <f t="shared" si="354"/>
        <v>202572</v>
      </c>
      <c r="U232" s="281">
        <f t="shared" si="355"/>
        <v>4.4347826086956523</v>
      </c>
      <c r="V232" s="462">
        <f t="shared" si="356"/>
        <v>248250</v>
      </c>
      <c r="W232" s="410"/>
      <c r="X232" s="41"/>
      <c r="Y232" s="31"/>
      <c r="Z232" s="31"/>
      <c r="AA232" s="76"/>
      <c r="AB232" s="24"/>
      <c r="AC232" s="25"/>
      <c r="AD232" s="309"/>
      <c r="AE232" s="462"/>
      <c r="AF232" s="408"/>
      <c r="AG232" s="293"/>
      <c r="AH232" s="293"/>
      <c r="AI232" s="293"/>
      <c r="AJ232" s="293"/>
      <c r="AK232" s="293"/>
      <c r="AL232" s="327"/>
      <c r="AM232" s="463"/>
      <c r="AN232" s="513"/>
      <c r="AO232" s="88"/>
      <c r="AP232" s="116"/>
      <c r="AQ232" s="74"/>
      <c r="AR232" s="76"/>
      <c r="AS232" s="24"/>
      <c r="AT232" s="25"/>
      <c r="AU232" s="309"/>
      <c r="AV232" s="462"/>
      <c r="AW232" s="513"/>
      <c r="AX232" s="74"/>
      <c r="AY232" s="74"/>
      <c r="AZ232" s="75"/>
      <c r="BA232" s="61"/>
      <c r="BB232" s="60"/>
      <c r="BC232" s="74"/>
      <c r="BD232" s="79"/>
      <c r="BE232" s="79"/>
      <c r="BF232" s="127"/>
      <c r="BG232" s="142"/>
      <c r="BH232" s="142"/>
      <c r="BI232" s="76"/>
      <c r="BJ232" s="24"/>
      <c r="BK232" s="25"/>
      <c r="BL232" s="259"/>
      <c r="BM232" s="533"/>
    </row>
    <row r="233" spans="1:65" ht="37.35" customHeight="1">
      <c r="A233" s="91"/>
      <c r="B233" s="358" t="s">
        <v>2424</v>
      </c>
      <c r="C233" s="50" t="s">
        <v>2163</v>
      </c>
      <c r="D233" s="264" t="s">
        <v>1514</v>
      </c>
      <c r="E233" s="393" t="s">
        <v>827</v>
      </c>
      <c r="F233" s="410"/>
      <c r="G233" s="10"/>
      <c r="H233" s="167"/>
      <c r="I233" s="10"/>
      <c r="J233" s="76"/>
      <c r="K233" s="24"/>
      <c r="L233" s="281"/>
      <c r="M233" s="431"/>
      <c r="N233" s="410">
        <v>46285</v>
      </c>
      <c r="O233" s="10">
        <v>43000</v>
      </c>
      <c r="P233" s="10">
        <v>48000</v>
      </c>
      <c r="Q233" s="268">
        <v>45000</v>
      </c>
      <c r="R233" s="10">
        <v>110000</v>
      </c>
      <c r="S233" s="76">
        <f t="shared" si="353"/>
        <v>61500</v>
      </c>
      <c r="T233" s="24">
        <f t="shared" si="354"/>
        <v>15215</v>
      </c>
      <c r="U233" s="281">
        <f t="shared" si="355"/>
        <v>0.32872420870692448</v>
      </c>
      <c r="V233" s="462">
        <f t="shared" si="356"/>
        <v>61500</v>
      </c>
      <c r="W233" s="410"/>
      <c r="X233" s="41"/>
      <c r="Y233" s="31"/>
      <c r="Z233" s="31"/>
      <c r="AA233" s="76"/>
      <c r="AB233" s="24"/>
      <c r="AC233" s="25"/>
      <c r="AD233" s="309"/>
      <c r="AE233" s="462"/>
      <c r="AF233" s="408"/>
      <c r="AG233" s="293"/>
      <c r="AH233" s="293"/>
      <c r="AI233" s="293"/>
      <c r="AJ233" s="293"/>
      <c r="AK233" s="293"/>
      <c r="AL233" s="327"/>
      <c r="AM233" s="463"/>
      <c r="AN233" s="513"/>
      <c r="AO233" s="88"/>
      <c r="AP233" s="116"/>
      <c r="AQ233" s="74"/>
      <c r="AR233" s="76"/>
      <c r="AS233" s="24"/>
      <c r="AT233" s="25"/>
      <c r="AU233" s="309"/>
      <c r="AV233" s="462"/>
      <c r="AW233" s="513"/>
      <c r="AX233" s="74"/>
      <c r="AY233" s="74"/>
      <c r="AZ233" s="75"/>
      <c r="BA233" s="61"/>
      <c r="BB233" s="60"/>
      <c r="BC233" s="74"/>
      <c r="BD233" s="79"/>
      <c r="BE233" s="79"/>
      <c r="BF233" s="127"/>
      <c r="BG233" s="142"/>
      <c r="BH233" s="142"/>
      <c r="BI233" s="76"/>
      <c r="BJ233" s="24"/>
      <c r="BK233" s="25"/>
      <c r="BL233" s="259"/>
      <c r="BM233" s="533"/>
    </row>
    <row r="234" spans="1:65" ht="37.35" customHeight="1">
      <c r="A234" s="91"/>
      <c r="B234" s="358" t="s">
        <v>2425</v>
      </c>
      <c r="C234" s="50" t="s">
        <v>2164</v>
      </c>
      <c r="D234" s="264" t="s">
        <v>1515</v>
      </c>
      <c r="E234" s="393" t="s">
        <v>827</v>
      </c>
      <c r="F234" s="410"/>
      <c r="G234" s="10"/>
      <c r="H234" s="167"/>
      <c r="I234" s="10"/>
      <c r="J234" s="76"/>
      <c r="K234" s="24"/>
      <c r="L234" s="281"/>
      <c r="M234" s="431"/>
      <c r="N234" s="410">
        <v>62545</v>
      </c>
      <c r="O234" s="10">
        <v>92000</v>
      </c>
      <c r="P234" s="10">
        <v>98000</v>
      </c>
      <c r="Q234" s="268">
        <v>95000</v>
      </c>
      <c r="R234" s="10">
        <v>100000</v>
      </c>
      <c r="S234" s="76">
        <f t="shared" si="353"/>
        <v>96250</v>
      </c>
      <c r="T234" s="24">
        <f t="shared" si="354"/>
        <v>33705</v>
      </c>
      <c r="U234" s="281">
        <f t="shared" si="355"/>
        <v>0.53889199776161167</v>
      </c>
      <c r="V234" s="462">
        <f t="shared" si="356"/>
        <v>96250</v>
      </c>
      <c r="W234" s="410"/>
      <c r="X234" s="41"/>
      <c r="Y234" s="31"/>
      <c r="Z234" s="31"/>
      <c r="AA234" s="76"/>
      <c r="AB234" s="24"/>
      <c r="AC234" s="25"/>
      <c r="AD234" s="309"/>
      <c r="AE234" s="462"/>
      <c r="AF234" s="408"/>
      <c r="AG234" s="293"/>
      <c r="AH234" s="293"/>
      <c r="AI234" s="293"/>
      <c r="AJ234" s="293"/>
      <c r="AK234" s="293"/>
      <c r="AL234" s="327"/>
      <c r="AM234" s="463"/>
      <c r="AN234" s="513"/>
      <c r="AO234" s="88"/>
      <c r="AP234" s="116"/>
      <c r="AQ234" s="74"/>
      <c r="AR234" s="76"/>
      <c r="AS234" s="24"/>
      <c r="AT234" s="25"/>
      <c r="AU234" s="309"/>
      <c r="AV234" s="462"/>
      <c r="AW234" s="513"/>
      <c r="AX234" s="74"/>
      <c r="AY234" s="74"/>
      <c r="AZ234" s="75"/>
      <c r="BA234" s="61"/>
      <c r="BB234" s="60"/>
      <c r="BC234" s="74"/>
      <c r="BD234" s="79"/>
      <c r="BE234" s="79"/>
      <c r="BF234" s="127"/>
      <c r="BG234" s="142"/>
      <c r="BH234" s="142"/>
      <c r="BI234" s="76"/>
      <c r="BJ234" s="24"/>
      <c r="BK234" s="25"/>
      <c r="BL234" s="259"/>
      <c r="BM234" s="533"/>
    </row>
    <row r="235" spans="1:65" ht="37.35" customHeight="1">
      <c r="A235" s="91"/>
      <c r="B235" s="358" t="s">
        <v>2426</v>
      </c>
      <c r="C235" s="50" t="s">
        <v>2165</v>
      </c>
      <c r="D235" s="264" t="s">
        <v>1516</v>
      </c>
      <c r="E235" s="393" t="s">
        <v>999</v>
      </c>
      <c r="F235" s="410"/>
      <c r="G235" s="10"/>
      <c r="H235" s="167"/>
      <c r="I235" s="10"/>
      <c r="J235" s="76"/>
      <c r="K235" s="24"/>
      <c r="L235" s="281"/>
      <c r="M235" s="431"/>
      <c r="N235" s="410">
        <v>107368</v>
      </c>
      <c r="O235" s="10">
        <v>80000</v>
      </c>
      <c r="P235" s="10">
        <v>85000</v>
      </c>
      <c r="Q235" s="268">
        <v>85000</v>
      </c>
      <c r="R235" s="10">
        <v>100000</v>
      </c>
      <c r="S235" s="76">
        <f t="shared" si="353"/>
        <v>87500</v>
      </c>
      <c r="T235" s="24">
        <f t="shared" si="354"/>
        <v>-19868</v>
      </c>
      <c r="U235" s="281">
        <f t="shared" si="355"/>
        <v>-0.18504582370911257</v>
      </c>
      <c r="V235" s="462">
        <f t="shared" si="356"/>
        <v>87500</v>
      </c>
      <c r="W235" s="410"/>
      <c r="X235" s="41"/>
      <c r="Y235" s="31"/>
      <c r="Z235" s="31"/>
      <c r="AA235" s="76"/>
      <c r="AB235" s="24"/>
      <c r="AC235" s="25"/>
      <c r="AD235" s="309"/>
      <c r="AE235" s="462"/>
      <c r="AF235" s="408"/>
      <c r="AG235" s="293"/>
      <c r="AH235" s="293"/>
      <c r="AI235" s="293"/>
      <c r="AJ235" s="293"/>
      <c r="AK235" s="293"/>
      <c r="AL235" s="327"/>
      <c r="AM235" s="463"/>
      <c r="AN235" s="513"/>
      <c r="AO235" s="88"/>
      <c r="AP235" s="116"/>
      <c r="AQ235" s="74"/>
      <c r="AR235" s="76"/>
      <c r="AS235" s="24"/>
      <c r="AT235" s="25"/>
      <c r="AU235" s="309"/>
      <c r="AV235" s="462"/>
      <c r="AW235" s="513"/>
      <c r="AX235" s="74"/>
      <c r="AY235" s="74"/>
      <c r="AZ235" s="75"/>
      <c r="BA235" s="61"/>
      <c r="BB235" s="60"/>
      <c r="BC235" s="74"/>
      <c r="BD235" s="79"/>
      <c r="BE235" s="79"/>
      <c r="BF235" s="127"/>
      <c r="BG235" s="142"/>
      <c r="BH235" s="142"/>
      <c r="BI235" s="76"/>
      <c r="BJ235" s="24"/>
      <c r="BK235" s="25"/>
      <c r="BL235" s="259"/>
      <c r="BM235" s="533"/>
    </row>
    <row r="236" spans="1:65" ht="37.35" customHeight="1">
      <c r="A236" s="91"/>
      <c r="B236" s="358" t="s">
        <v>2427</v>
      </c>
      <c r="C236" s="50" t="s">
        <v>2166</v>
      </c>
      <c r="D236" s="264" t="s">
        <v>1517</v>
      </c>
      <c r="E236" s="393" t="s">
        <v>827</v>
      </c>
      <c r="F236" s="410"/>
      <c r="G236" s="10"/>
      <c r="H236" s="167"/>
      <c r="I236" s="10"/>
      <c r="J236" s="76"/>
      <c r="K236" s="24"/>
      <c r="L236" s="281"/>
      <c r="M236" s="431"/>
      <c r="N236" s="410">
        <v>5420</v>
      </c>
      <c r="O236" s="10">
        <v>32000</v>
      </c>
      <c r="P236" s="10">
        <v>38000</v>
      </c>
      <c r="Q236" s="268">
        <v>35000</v>
      </c>
      <c r="R236" s="10">
        <v>45000</v>
      </c>
      <c r="S236" s="76">
        <f t="shared" si="353"/>
        <v>37500</v>
      </c>
      <c r="T236" s="24">
        <f t="shared" si="354"/>
        <v>32080</v>
      </c>
      <c r="U236" s="281">
        <f t="shared" si="355"/>
        <v>5.9188191881918817</v>
      </c>
      <c r="V236" s="462">
        <f t="shared" si="356"/>
        <v>37500</v>
      </c>
      <c r="W236" s="410"/>
      <c r="X236" s="41"/>
      <c r="Y236" s="31"/>
      <c r="Z236" s="31"/>
      <c r="AA236" s="76"/>
      <c r="AB236" s="24"/>
      <c r="AC236" s="25"/>
      <c r="AD236" s="309"/>
      <c r="AE236" s="462"/>
      <c r="AF236" s="408"/>
      <c r="AG236" s="293"/>
      <c r="AH236" s="293"/>
      <c r="AI236" s="293"/>
      <c r="AJ236" s="293"/>
      <c r="AK236" s="293"/>
      <c r="AL236" s="327"/>
      <c r="AM236" s="463"/>
      <c r="AN236" s="513"/>
      <c r="AO236" s="88"/>
      <c r="AP236" s="116"/>
      <c r="AQ236" s="74"/>
      <c r="AR236" s="76"/>
      <c r="AS236" s="24"/>
      <c r="AT236" s="25"/>
      <c r="AU236" s="309"/>
      <c r="AV236" s="462"/>
      <c r="AW236" s="513"/>
      <c r="AX236" s="74"/>
      <c r="AY236" s="74"/>
      <c r="AZ236" s="75"/>
      <c r="BA236" s="61"/>
      <c r="BB236" s="60"/>
      <c r="BC236" s="74"/>
      <c r="BD236" s="79"/>
      <c r="BE236" s="79"/>
      <c r="BF236" s="127"/>
      <c r="BG236" s="142"/>
      <c r="BH236" s="142"/>
      <c r="BI236" s="76"/>
      <c r="BJ236" s="24"/>
      <c r="BK236" s="25"/>
      <c r="BL236" s="259"/>
      <c r="BM236" s="533"/>
    </row>
    <row r="237" spans="1:65" ht="37.35" customHeight="1">
      <c r="A237" s="91"/>
      <c r="B237" s="358" t="s">
        <v>2428</v>
      </c>
      <c r="C237" s="50" t="s">
        <v>2167</v>
      </c>
      <c r="D237" s="264" t="s">
        <v>1518</v>
      </c>
      <c r="E237" s="393" t="s">
        <v>999</v>
      </c>
      <c r="F237" s="410"/>
      <c r="G237" s="10"/>
      <c r="H237" s="167"/>
      <c r="I237" s="10"/>
      <c r="J237" s="76"/>
      <c r="K237" s="24"/>
      <c r="L237" s="281"/>
      <c r="M237" s="431"/>
      <c r="N237" s="410">
        <v>15738</v>
      </c>
      <c r="O237" s="10">
        <v>90000</v>
      </c>
      <c r="P237" s="10">
        <v>98000</v>
      </c>
      <c r="Q237" s="268">
        <v>95000</v>
      </c>
      <c r="R237" s="10">
        <v>100000</v>
      </c>
      <c r="S237" s="76">
        <f t="shared" si="353"/>
        <v>95750</v>
      </c>
      <c r="T237" s="24">
        <f t="shared" si="354"/>
        <v>80012</v>
      </c>
      <c r="U237" s="281">
        <f t="shared" si="355"/>
        <v>5.0840005083238022</v>
      </c>
      <c r="V237" s="462">
        <f t="shared" si="356"/>
        <v>95750</v>
      </c>
      <c r="W237" s="410"/>
      <c r="X237" s="41"/>
      <c r="Y237" s="31"/>
      <c r="Z237" s="31"/>
      <c r="AA237" s="76"/>
      <c r="AB237" s="24"/>
      <c r="AC237" s="25"/>
      <c r="AD237" s="309"/>
      <c r="AE237" s="462"/>
      <c r="AF237" s="408"/>
      <c r="AG237" s="293"/>
      <c r="AH237" s="293"/>
      <c r="AI237" s="293"/>
      <c r="AJ237" s="293"/>
      <c r="AK237" s="293"/>
      <c r="AL237" s="327"/>
      <c r="AM237" s="463"/>
      <c r="AN237" s="513"/>
      <c r="AO237" s="88"/>
      <c r="AP237" s="116"/>
      <c r="AQ237" s="74"/>
      <c r="AR237" s="76"/>
      <c r="AS237" s="24"/>
      <c r="AT237" s="25"/>
      <c r="AU237" s="309"/>
      <c r="AV237" s="462"/>
      <c r="AW237" s="513"/>
      <c r="AX237" s="74"/>
      <c r="AY237" s="74"/>
      <c r="AZ237" s="75"/>
      <c r="BA237" s="61"/>
      <c r="BB237" s="60"/>
      <c r="BC237" s="74"/>
      <c r="BD237" s="79"/>
      <c r="BE237" s="79"/>
      <c r="BF237" s="127"/>
      <c r="BG237" s="142"/>
      <c r="BH237" s="142"/>
      <c r="BI237" s="76"/>
      <c r="BJ237" s="24"/>
      <c r="BK237" s="25"/>
      <c r="BL237" s="259"/>
      <c r="BM237" s="533"/>
    </row>
    <row r="238" spans="1:65" ht="37.35" customHeight="1">
      <c r="A238" s="91"/>
      <c r="B238" s="358" t="s">
        <v>2429</v>
      </c>
      <c r="C238" s="50" t="s">
        <v>2168</v>
      </c>
      <c r="D238" s="264" t="s">
        <v>1519</v>
      </c>
      <c r="E238" s="393" t="s">
        <v>999</v>
      </c>
      <c r="F238" s="410"/>
      <c r="G238" s="10"/>
      <c r="H238" s="167"/>
      <c r="I238" s="10"/>
      <c r="J238" s="76"/>
      <c r="K238" s="24"/>
      <c r="L238" s="281"/>
      <c r="M238" s="431"/>
      <c r="N238" s="410">
        <v>52512</v>
      </c>
      <c r="O238" s="10">
        <v>32000</v>
      </c>
      <c r="P238" s="10">
        <v>36000</v>
      </c>
      <c r="Q238" s="268">
        <v>35000</v>
      </c>
      <c r="R238" s="10">
        <v>45000</v>
      </c>
      <c r="S238" s="76">
        <f t="shared" si="353"/>
        <v>37000</v>
      </c>
      <c r="T238" s="24">
        <f t="shared" si="354"/>
        <v>-15512</v>
      </c>
      <c r="U238" s="281">
        <f t="shared" si="355"/>
        <v>-0.29539914686166974</v>
      </c>
      <c r="V238" s="462">
        <f t="shared" si="356"/>
        <v>37000</v>
      </c>
      <c r="W238" s="410"/>
      <c r="X238" s="41"/>
      <c r="Y238" s="31"/>
      <c r="Z238" s="31"/>
      <c r="AA238" s="76"/>
      <c r="AB238" s="24"/>
      <c r="AC238" s="25"/>
      <c r="AD238" s="309"/>
      <c r="AE238" s="462"/>
      <c r="AF238" s="408"/>
      <c r="AG238" s="293"/>
      <c r="AH238" s="293"/>
      <c r="AI238" s="293"/>
      <c r="AJ238" s="293"/>
      <c r="AK238" s="293"/>
      <c r="AL238" s="327"/>
      <c r="AM238" s="463"/>
      <c r="AN238" s="513"/>
      <c r="AO238" s="88"/>
      <c r="AP238" s="116"/>
      <c r="AQ238" s="74"/>
      <c r="AR238" s="76"/>
      <c r="AS238" s="24"/>
      <c r="AT238" s="25"/>
      <c r="AU238" s="309"/>
      <c r="AV238" s="462"/>
      <c r="AW238" s="513"/>
      <c r="AX238" s="74"/>
      <c r="AY238" s="74"/>
      <c r="AZ238" s="75"/>
      <c r="BA238" s="61"/>
      <c r="BB238" s="60"/>
      <c r="BC238" s="74"/>
      <c r="BD238" s="79"/>
      <c r="BE238" s="79"/>
      <c r="BF238" s="127"/>
      <c r="BG238" s="142"/>
      <c r="BH238" s="142"/>
      <c r="BI238" s="76"/>
      <c r="BJ238" s="24"/>
      <c r="BK238" s="25"/>
      <c r="BL238" s="259"/>
      <c r="BM238" s="533"/>
    </row>
    <row r="239" spans="1:65" ht="37.35" customHeight="1">
      <c r="A239" s="91"/>
      <c r="B239" s="358" t="s">
        <v>2430</v>
      </c>
      <c r="C239" s="50" t="s">
        <v>2169</v>
      </c>
      <c r="D239" s="264" t="s">
        <v>1520</v>
      </c>
      <c r="E239" s="393" t="s">
        <v>999</v>
      </c>
      <c r="F239" s="410"/>
      <c r="G239" s="10"/>
      <c r="H239" s="167"/>
      <c r="I239" s="10"/>
      <c r="J239" s="76"/>
      <c r="K239" s="24"/>
      <c r="L239" s="281"/>
      <c r="M239" s="431"/>
      <c r="N239" s="410">
        <v>16764</v>
      </c>
      <c r="O239" s="10">
        <v>13000</v>
      </c>
      <c r="P239" s="10">
        <v>18000</v>
      </c>
      <c r="Q239" s="268">
        <v>15000</v>
      </c>
      <c r="R239" s="10">
        <v>15000</v>
      </c>
      <c r="S239" s="76">
        <f t="shared" si="353"/>
        <v>15250</v>
      </c>
      <c r="T239" s="24">
        <f t="shared" si="354"/>
        <v>-1514</v>
      </c>
      <c r="U239" s="281">
        <f t="shared" si="355"/>
        <v>-9.0312574564543072E-2</v>
      </c>
      <c r="V239" s="462">
        <f t="shared" si="356"/>
        <v>15250</v>
      </c>
      <c r="W239" s="410"/>
      <c r="X239" s="41"/>
      <c r="Y239" s="31"/>
      <c r="Z239" s="31"/>
      <c r="AA239" s="76"/>
      <c r="AB239" s="24"/>
      <c r="AC239" s="25"/>
      <c r="AD239" s="309"/>
      <c r="AE239" s="462"/>
      <c r="AF239" s="408"/>
      <c r="AG239" s="293"/>
      <c r="AH239" s="293"/>
      <c r="AI239" s="293"/>
      <c r="AJ239" s="293"/>
      <c r="AK239" s="293"/>
      <c r="AL239" s="327"/>
      <c r="AM239" s="463"/>
      <c r="AN239" s="513"/>
      <c r="AO239" s="88"/>
      <c r="AP239" s="116"/>
      <c r="AQ239" s="74"/>
      <c r="AR239" s="76"/>
      <c r="AS239" s="24"/>
      <c r="AT239" s="25"/>
      <c r="AU239" s="309"/>
      <c r="AV239" s="462"/>
      <c r="AW239" s="513"/>
      <c r="AX239" s="74"/>
      <c r="AY239" s="74"/>
      <c r="AZ239" s="75"/>
      <c r="BA239" s="61"/>
      <c r="BB239" s="60"/>
      <c r="BC239" s="74"/>
      <c r="BD239" s="79"/>
      <c r="BE239" s="79"/>
      <c r="BF239" s="127"/>
      <c r="BG239" s="142"/>
      <c r="BH239" s="142"/>
      <c r="BI239" s="76"/>
      <c r="BJ239" s="24"/>
      <c r="BK239" s="25"/>
      <c r="BL239" s="259"/>
      <c r="BM239" s="533"/>
    </row>
    <row r="240" spans="1:65" ht="37.35" customHeight="1">
      <c r="A240" s="91"/>
      <c r="B240" s="358" t="s">
        <v>2431</v>
      </c>
      <c r="C240" s="50" t="s">
        <v>2170</v>
      </c>
      <c r="D240" s="264" t="s">
        <v>1521</v>
      </c>
      <c r="E240" s="393" t="s">
        <v>999</v>
      </c>
      <c r="F240" s="410"/>
      <c r="G240" s="10"/>
      <c r="H240" s="167"/>
      <c r="I240" s="10"/>
      <c r="J240" s="76"/>
      <c r="K240" s="24"/>
      <c r="L240" s="281"/>
      <c r="M240" s="431"/>
      <c r="N240" s="410">
        <v>50955</v>
      </c>
      <c r="O240" s="10">
        <v>180000</v>
      </c>
      <c r="P240" s="10">
        <v>190000</v>
      </c>
      <c r="Q240" s="268">
        <v>185000</v>
      </c>
      <c r="R240" s="10">
        <v>200000</v>
      </c>
      <c r="S240" s="76">
        <f t="shared" si="353"/>
        <v>188750</v>
      </c>
      <c r="T240" s="24">
        <f t="shared" si="354"/>
        <v>137795</v>
      </c>
      <c r="U240" s="281">
        <f t="shared" si="355"/>
        <v>2.7042488470218822</v>
      </c>
      <c r="V240" s="462">
        <f t="shared" si="356"/>
        <v>188750</v>
      </c>
      <c r="W240" s="410"/>
      <c r="X240" s="41"/>
      <c r="Y240" s="31"/>
      <c r="Z240" s="31"/>
      <c r="AA240" s="76"/>
      <c r="AB240" s="24"/>
      <c r="AC240" s="25"/>
      <c r="AD240" s="309"/>
      <c r="AE240" s="462"/>
      <c r="AF240" s="408"/>
      <c r="AG240" s="293"/>
      <c r="AH240" s="293"/>
      <c r="AI240" s="293"/>
      <c r="AJ240" s="293"/>
      <c r="AK240" s="293"/>
      <c r="AL240" s="327"/>
      <c r="AM240" s="463"/>
      <c r="AN240" s="513"/>
      <c r="AO240" s="88"/>
      <c r="AP240" s="116"/>
      <c r="AQ240" s="74"/>
      <c r="AR240" s="76"/>
      <c r="AS240" s="24"/>
      <c r="AT240" s="25"/>
      <c r="AU240" s="309"/>
      <c r="AV240" s="462"/>
      <c r="AW240" s="513"/>
      <c r="AX240" s="74"/>
      <c r="AY240" s="74"/>
      <c r="AZ240" s="75"/>
      <c r="BA240" s="61"/>
      <c r="BB240" s="60"/>
      <c r="BC240" s="74"/>
      <c r="BD240" s="79"/>
      <c r="BE240" s="79"/>
      <c r="BF240" s="127"/>
      <c r="BG240" s="142"/>
      <c r="BH240" s="142"/>
      <c r="BI240" s="76"/>
      <c r="BJ240" s="24"/>
      <c r="BK240" s="25"/>
      <c r="BL240" s="259"/>
      <c r="BM240" s="533"/>
    </row>
    <row r="241" spans="1:65" ht="37.35" customHeight="1">
      <c r="A241" s="91"/>
      <c r="B241" s="358" t="s">
        <v>2432</v>
      </c>
      <c r="C241" s="50" t="s">
        <v>2171</v>
      </c>
      <c r="D241" s="264" t="s">
        <v>1522</v>
      </c>
      <c r="E241" s="393" t="s">
        <v>1426</v>
      </c>
      <c r="F241" s="410"/>
      <c r="G241" s="10"/>
      <c r="H241" s="167"/>
      <c r="I241" s="10"/>
      <c r="J241" s="76"/>
      <c r="K241" s="24"/>
      <c r="L241" s="281"/>
      <c r="M241" s="431"/>
      <c r="N241" s="410">
        <v>2692665</v>
      </c>
      <c r="O241" s="10">
        <v>930000</v>
      </c>
      <c r="P241" s="10">
        <v>950000</v>
      </c>
      <c r="Q241" s="268">
        <v>940000</v>
      </c>
      <c r="R241" s="10" t="s">
        <v>1421</v>
      </c>
      <c r="S241" s="76">
        <f t="shared" si="353"/>
        <v>940000</v>
      </c>
      <c r="T241" s="24">
        <f t="shared" si="354"/>
        <v>-1752665</v>
      </c>
      <c r="U241" s="281">
        <f t="shared" si="355"/>
        <v>-0.65090347295337514</v>
      </c>
      <c r="V241" s="462">
        <f t="shared" si="356"/>
        <v>940000</v>
      </c>
      <c r="W241" s="410"/>
      <c r="X241" s="41"/>
      <c r="Y241" s="31"/>
      <c r="Z241" s="31"/>
      <c r="AA241" s="76"/>
      <c r="AB241" s="24"/>
      <c r="AC241" s="25"/>
      <c r="AD241" s="309"/>
      <c r="AE241" s="462"/>
      <c r="AF241" s="408"/>
      <c r="AG241" s="293"/>
      <c r="AH241" s="293"/>
      <c r="AI241" s="293"/>
      <c r="AJ241" s="293"/>
      <c r="AK241" s="293"/>
      <c r="AL241" s="327"/>
      <c r="AM241" s="463"/>
      <c r="AN241" s="513"/>
      <c r="AO241" s="88"/>
      <c r="AP241" s="116"/>
      <c r="AQ241" s="74"/>
      <c r="AR241" s="76"/>
      <c r="AS241" s="24"/>
      <c r="AT241" s="25"/>
      <c r="AU241" s="309"/>
      <c r="AV241" s="462"/>
      <c r="AW241" s="513"/>
      <c r="AX241" s="74"/>
      <c r="AY241" s="74"/>
      <c r="AZ241" s="75"/>
      <c r="BA241" s="61"/>
      <c r="BB241" s="60"/>
      <c r="BC241" s="74"/>
      <c r="BD241" s="79"/>
      <c r="BE241" s="79"/>
      <c r="BF241" s="127"/>
      <c r="BG241" s="142"/>
      <c r="BH241" s="142"/>
      <c r="BI241" s="76"/>
      <c r="BJ241" s="24"/>
      <c r="BK241" s="25"/>
      <c r="BL241" s="259"/>
      <c r="BM241" s="533"/>
    </row>
    <row r="242" spans="1:65" ht="37.35" customHeight="1">
      <c r="A242" s="91"/>
      <c r="B242" s="358" t="s">
        <v>2433</v>
      </c>
      <c r="C242" s="50" t="s">
        <v>2172</v>
      </c>
      <c r="D242" s="264" t="s">
        <v>1523</v>
      </c>
      <c r="E242" s="393" t="s">
        <v>999</v>
      </c>
      <c r="F242" s="410"/>
      <c r="G242" s="10"/>
      <c r="H242" s="167"/>
      <c r="I242" s="10"/>
      <c r="J242" s="76"/>
      <c r="K242" s="24"/>
      <c r="L242" s="281"/>
      <c r="M242" s="431"/>
      <c r="N242" s="410">
        <v>433002</v>
      </c>
      <c r="O242" s="10">
        <v>160000</v>
      </c>
      <c r="P242" s="10">
        <v>168000</v>
      </c>
      <c r="Q242" s="268">
        <v>165000</v>
      </c>
      <c r="R242" s="10" t="s">
        <v>1421</v>
      </c>
      <c r="S242" s="76">
        <f t="shared" si="353"/>
        <v>164333.33333333334</v>
      </c>
      <c r="T242" s="24">
        <f t="shared" si="354"/>
        <v>-268668.66666666663</v>
      </c>
      <c r="U242" s="281">
        <f t="shared" si="355"/>
        <v>-0.62047904320688274</v>
      </c>
      <c r="V242" s="462">
        <f t="shared" si="356"/>
        <v>164333.33333333334</v>
      </c>
      <c r="W242" s="410"/>
      <c r="X242" s="41"/>
      <c r="Y242" s="31"/>
      <c r="Z242" s="31"/>
      <c r="AA242" s="76"/>
      <c r="AB242" s="24"/>
      <c r="AC242" s="25"/>
      <c r="AD242" s="309"/>
      <c r="AE242" s="462"/>
      <c r="AF242" s="408"/>
      <c r="AG242" s="293"/>
      <c r="AH242" s="293"/>
      <c r="AI242" s="293"/>
      <c r="AJ242" s="293"/>
      <c r="AK242" s="293"/>
      <c r="AL242" s="327"/>
      <c r="AM242" s="463"/>
      <c r="AN242" s="513"/>
      <c r="AO242" s="88"/>
      <c r="AP242" s="116"/>
      <c r="AQ242" s="74"/>
      <c r="AR242" s="76"/>
      <c r="AS242" s="24"/>
      <c r="AT242" s="25"/>
      <c r="AU242" s="309"/>
      <c r="AV242" s="462"/>
      <c r="AW242" s="513"/>
      <c r="AX242" s="74"/>
      <c r="AY242" s="74"/>
      <c r="AZ242" s="75"/>
      <c r="BA242" s="61"/>
      <c r="BB242" s="60"/>
      <c r="BC242" s="74"/>
      <c r="BD242" s="79"/>
      <c r="BE242" s="79"/>
      <c r="BF242" s="127"/>
      <c r="BG242" s="142"/>
      <c r="BH242" s="142"/>
      <c r="BI242" s="76"/>
      <c r="BJ242" s="24"/>
      <c r="BK242" s="25"/>
      <c r="BL242" s="259"/>
      <c r="BM242" s="533"/>
    </row>
    <row r="243" spans="1:65" ht="37.35" customHeight="1">
      <c r="A243" s="91"/>
      <c r="B243" s="358" t="s">
        <v>2434</v>
      </c>
      <c r="C243" s="50" t="s">
        <v>2173</v>
      </c>
      <c r="D243" s="264" t="s">
        <v>1524</v>
      </c>
      <c r="E243" s="393" t="s">
        <v>1426</v>
      </c>
      <c r="F243" s="410"/>
      <c r="G243" s="10"/>
      <c r="H243" s="167"/>
      <c r="I243" s="10"/>
      <c r="J243" s="76"/>
      <c r="K243" s="24"/>
      <c r="L243" s="281"/>
      <c r="M243" s="431"/>
      <c r="N243" s="410">
        <v>92926</v>
      </c>
      <c r="O243" s="10">
        <v>160000</v>
      </c>
      <c r="P243" s="10">
        <v>168000</v>
      </c>
      <c r="Q243" s="268">
        <v>165000</v>
      </c>
      <c r="R243" s="10" t="s">
        <v>1421</v>
      </c>
      <c r="S243" s="76">
        <f t="shared" si="353"/>
        <v>164333.33333333334</v>
      </c>
      <c r="T243" s="24">
        <f t="shared" si="354"/>
        <v>71407.333333333343</v>
      </c>
      <c r="U243" s="281">
        <f t="shared" si="355"/>
        <v>0.76843222922899235</v>
      </c>
      <c r="V243" s="462">
        <f t="shared" si="356"/>
        <v>164333.33333333334</v>
      </c>
      <c r="W243" s="410"/>
      <c r="X243" s="41"/>
      <c r="Y243" s="31"/>
      <c r="Z243" s="31"/>
      <c r="AA243" s="76"/>
      <c r="AB243" s="24"/>
      <c r="AC243" s="25"/>
      <c r="AD243" s="309"/>
      <c r="AE243" s="462"/>
      <c r="AF243" s="408"/>
      <c r="AG243" s="293"/>
      <c r="AH243" s="293"/>
      <c r="AI243" s="293"/>
      <c r="AJ243" s="293"/>
      <c r="AK243" s="293"/>
      <c r="AL243" s="327"/>
      <c r="AM243" s="463"/>
      <c r="AN243" s="513"/>
      <c r="AO243" s="88"/>
      <c r="AP243" s="116"/>
      <c r="AQ243" s="74"/>
      <c r="AR243" s="76"/>
      <c r="AS243" s="24"/>
      <c r="AT243" s="25"/>
      <c r="AU243" s="309"/>
      <c r="AV243" s="462"/>
      <c r="AW243" s="513"/>
      <c r="AX243" s="74"/>
      <c r="AY243" s="74"/>
      <c r="AZ243" s="75"/>
      <c r="BA243" s="61"/>
      <c r="BB243" s="60"/>
      <c r="BC243" s="74"/>
      <c r="BD243" s="79"/>
      <c r="BE243" s="79"/>
      <c r="BF243" s="127"/>
      <c r="BG243" s="142"/>
      <c r="BH243" s="142"/>
      <c r="BI243" s="76"/>
      <c r="BJ243" s="24"/>
      <c r="BK243" s="25"/>
      <c r="BL243" s="259"/>
      <c r="BM243" s="533"/>
    </row>
    <row r="244" spans="1:65" ht="37.35" customHeight="1">
      <c r="A244" s="91"/>
      <c r="B244" s="358" t="s">
        <v>2435</v>
      </c>
      <c r="C244" s="50" t="s">
        <v>2174</v>
      </c>
      <c r="D244" s="264" t="s">
        <v>1525</v>
      </c>
      <c r="E244" s="393" t="s">
        <v>999</v>
      </c>
      <c r="F244" s="410"/>
      <c r="G244" s="10"/>
      <c r="H244" s="167"/>
      <c r="I244" s="10"/>
      <c r="J244" s="76"/>
      <c r="K244" s="24"/>
      <c r="L244" s="281"/>
      <c r="M244" s="431"/>
      <c r="N244" s="410">
        <v>21089</v>
      </c>
      <c r="O244" s="10">
        <v>35000</v>
      </c>
      <c r="P244" s="10">
        <v>41000</v>
      </c>
      <c r="Q244" s="268">
        <v>38000</v>
      </c>
      <c r="R244" s="10">
        <v>45000</v>
      </c>
      <c r="S244" s="76">
        <f t="shared" si="353"/>
        <v>39750</v>
      </c>
      <c r="T244" s="24">
        <f t="shared" si="354"/>
        <v>18661</v>
      </c>
      <c r="U244" s="281">
        <f t="shared" si="355"/>
        <v>0.88486888899426241</v>
      </c>
      <c r="V244" s="462">
        <f t="shared" si="356"/>
        <v>39750</v>
      </c>
      <c r="W244" s="410"/>
      <c r="X244" s="41"/>
      <c r="Y244" s="31"/>
      <c r="Z244" s="31"/>
      <c r="AA244" s="76"/>
      <c r="AB244" s="24"/>
      <c r="AC244" s="25"/>
      <c r="AD244" s="309"/>
      <c r="AE244" s="462"/>
      <c r="AF244" s="408"/>
      <c r="AG244" s="293"/>
      <c r="AH244" s="293"/>
      <c r="AI244" s="293"/>
      <c r="AJ244" s="293"/>
      <c r="AK244" s="293"/>
      <c r="AL244" s="327"/>
      <c r="AM244" s="463"/>
      <c r="AN244" s="513"/>
      <c r="AO244" s="88"/>
      <c r="AP244" s="116"/>
      <c r="AQ244" s="74"/>
      <c r="AR244" s="76"/>
      <c r="AS244" s="24"/>
      <c r="AT244" s="25"/>
      <c r="AU244" s="309"/>
      <c r="AV244" s="462"/>
      <c r="AW244" s="513"/>
      <c r="AX244" s="74"/>
      <c r="AY244" s="74"/>
      <c r="AZ244" s="75"/>
      <c r="BA244" s="61"/>
      <c r="BB244" s="60"/>
      <c r="BC244" s="74"/>
      <c r="BD244" s="79"/>
      <c r="BE244" s="79"/>
      <c r="BF244" s="127"/>
      <c r="BG244" s="142"/>
      <c r="BH244" s="142"/>
      <c r="BI244" s="76"/>
      <c r="BJ244" s="24"/>
      <c r="BK244" s="25"/>
      <c r="BL244" s="259"/>
      <c r="BM244" s="533"/>
    </row>
    <row r="245" spans="1:65" ht="37.35" customHeight="1">
      <c r="A245" s="91"/>
      <c r="B245" s="358" t="s">
        <v>2436</v>
      </c>
      <c r="C245" s="50" t="s">
        <v>2175</v>
      </c>
      <c r="D245" s="264" t="s">
        <v>1526</v>
      </c>
      <c r="E245" s="393" t="s">
        <v>999</v>
      </c>
      <c r="F245" s="410"/>
      <c r="G245" s="10"/>
      <c r="H245" s="167"/>
      <c r="I245" s="10"/>
      <c r="J245" s="76"/>
      <c r="K245" s="24"/>
      <c r="L245" s="281"/>
      <c r="M245" s="431"/>
      <c r="N245" s="410">
        <v>41440</v>
      </c>
      <c r="O245" s="10">
        <v>82000</v>
      </c>
      <c r="P245" s="10">
        <v>88000</v>
      </c>
      <c r="Q245" s="268">
        <v>85000</v>
      </c>
      <c r="R245" s="10">
        <v>100000</v>
      </c>
      <c r="S245" s="76">
        <f t="shared" si="353"/>
        <v>88750</v>
      </c>
      <c r="T245" s="24">
        <f t="shared" si="354"/>
        <v>47310</v>
      </c>
      <c r="U245" s="281">
        <f t="shared" si="355"/>
        <v>1.1416505791505791</v>
      </c>
      <c r="V245" s="462">
        <f t="shared" si="356"/>
        <v>88750</v>
      </c>
      <c r="W245" s="410"/>
      <c r="X245" s="41"/>
      <c r="Y245" s="31"/>
      <c r="Z245" s="31"/>
      <c r="AA245" s="76"/>
      <c r="AB245" s="24"/>
      <c r="AC245" s="25"/>
      <c r="AD245" s="309"/>
      <c r="AE245" s="462"/>
      <c r="AF245" s="408"/>
      <c r="AG245" s="293"/>
      <c r="AH245" s="293"/>
      <c r="AI245" s="293"/>
      <c r="AJ245" s="293"/>
      <c r="AK245" s="293"/>
      <c r="AL245" s="327"/>
      <c r="AM245" s="463"/>
      <c r="AN245" s="513"/>
      <c r="AO245" s="88"/>
      <c r="AP245" s="116"/>
      <c r="AQ245" s="74"/>
      <c r="AR245" s="76"/>
      <c r="AS245" s="24"/>
      <c r="AT245" s="25"/>
      <c r="AU245" s="309"/>
      <c r="AV245" s="462"/>
      <c r="AW245" s="513"/>
      <c r="AX245" s="74"/>
      <c r="AY245" s="74"/>
      <c r="AZ245" s="75"/>
      <c r="BA245" s="61"/>
      <c r="BB245" s="60"/>
      <c r="BC245" s="74"/>
      <c r="BD245" s="79"/>
      <c r="BE245" s="79"/>
      <c r="BF245" s="127"/>
      <c r="BG245" s="142"/>
      <c r="BH245" s="142"/>
      <c r="BI245" s="76"/>
      <c r="BJ245" s="24"/>
      <c r="BK245" s="25"/>
      <c r="BL245" s="259"/>
      <c r="BM245" s="533"/>
    </row>
    <row r="246" spans="1:65" ht="37.35" customHeight="1">
      <c r="A246" s="91"/>
      <c r="B246" s="358" t="s">
        <v>2437</v>
      </c>
      <c r="C246" s="50" t="s">
        <v>2176</v>
      </c>
      <c r="D246" s="264" t="s">
        <v>1527</v>
      </c>
      <c r="E246" s="393" t="s">
        <v>999</v>
      </c>
      <c r="F246" s="410"/>
      <c r="G246" s="10"/>
      <c r="H246" s="167"/>
      <c r="I246" s="10"/>
      <c r="J246" s="76"/>
      <c r="K246" s="24"/>
      <c r="L246" s="281"/>
      <c r="M246" s="431"/>
      <c r="N246" s="410">
        <v>107367</v>
      </c>
      <c r="O246" s="10">
        <v>16000</v>
      </c>
      <c r="P246" s="10">
        <v>19000</v>
      </c>
      <c r="Q246" s="268">
        <v>18000</v>
      </c>
      <c r="R246" s="10">
        <v>25000</v>
      </c>
      <c r="S246" s="76">
        <f t="shared" si="353"/>
        <v>19500</v>
      </c>
      <c r="T246" s="24">
        <f t="shared" si="354"/>
        <v>-87867</v>
      </c>
      <c r="U246" s="281">
        <f t="shared" si="355"/>
        <v>-0.81837994914638579</v>
      </c>
      <c r="V246" s="462">
        <f t="shared" si="356"/>
        <v>19500</v>
      </c>
      <c r="W246" s="410"/>
      <c r="X246" s="41"/>
      <c r="Y246" s="31"/>
      <c r="Z246" s="31"/>
      <c r="AA246" s="76"/>
      <c r="AB246" s="24"/>
      <c r="AC246" s="25"/>
      <c r="AD246" s="309"/>
      <c r="AE246" s="462"/>
      <c r="AF246" s="408"/>
      <c r="AG246" s="293"/>
      <c r="AH246" s="293"/>
      <c r="AI246" s="293"/>
      <c r="AJ246" s="293"/>
      <c r="AK246" s="293"/>
      <c r="AL246" s="327"/>
      <c r="AM246" s="463"/>
      <c r="AN246" s="513"/>
      <c r="AO246" s="88"/>
      <c r="AP246" s="116"/>
      <c r="AQ246" s="74"/>
      <c r="AR246" s="76"/>
      <c r="AS246" s="24"/>
      <c r="AT246" s="25"/>
      <c r="AU246" s="309"/>
      <c r="AV246" s="462"/>
      <c r="AW246" s="513"/>
      <c r="AX246" s="74"/>
      <c r="AY246" s="74"/>
      <c r="AZ246" s="75"/>
      <c r="BA246" s="61"/>
      <c r="BB246" s="60"/>
      <c r="BC246" s="74"/>
      <c r="BD246" s="79"/>
      <c r="BE246" s="79"/>
      <c r="BF246" s="127"/>
      <c r="BG246" s="142"/>
      <c r="BH246" s="142"/>
      <c r="BI246" s="76"/>
      <c r="BJ246" s="24"/>
      <c r="BK246" s="25"/>
      <c r="BL246" s="259"/>
      <c r="BM246" s="533"/>
    </row>
    <row r="247" spans="1:65" ht="37.35" customHeight="1">
      <c r="A247" s="91"/>
      <c r="B247" s="358" t="s">
        <v>2438</v>
      </c>
      <c r="C247" s="50" t="s">
        <v>2177</v>
      </c>
      <c r="D247" s="264" t="s">
        <v>1528</v>
      </c>
      <c r="E247" s="393" t="s">
        <v>999</v>
      </c>
      <c r="F247" s="410"/>
      <c r="G247" s="10"/>
      <c r="H247" s="167"/>
      <c r="I247" s="10"/>
      <c r="J247" s="76"/>
      <c r="K247" s="24"/>
      <c r="L247" s="281"/>
      <c r="M247" s="431"/>
      <c r="N247" s="410">
        <v>320754</v>
      </c>
      <c r="O247" s="10">
        <v>700000</v>
      </c>
      <c r="P247" s="10">
        <v>715000</v>
      </c>
      <c r="Q247" s="268">
        <v>710000</v>
      </c>
      <c r="R247" s="10" t="s">
        <v>1421</v>
      </c>
      <c r="S247" s="76">
        <f t="shared" si="353"/>
        <v>708333.33333333337</v>
      </c>
      <c r="T247" s="24">
        <f t="shared" si="354"/>
        <v>387579.33333333337</v>
      </c>
      <c r="U247" s="281">
        <f t="shared" si="355"/>
        <v>1.2083382696188774</v>
      </c>
      <c r="V247" s="462">
        <f t="shared" si="356"/>
        <v>708333.33333333337</v>
      </c>
      <c r="W247" s="410"/>
      <c r="X247" s="41"/>
      <c r="Y247" s="31"/>
      <c r="Z247" s="31"/>
      <c r="AA247" s="76"/>
      <c r="AB247" s="24"/>
      <c r="AC247" s="25"/>
      <c r="AD247" s="309"/>
      <c r="AE247" s="462"/>
      <c r="AF247" s="408"/>
      <c r="AG247" s="293"/>
      <c r="AH247" s="293"/>
      <c r="AI247" s="293"/>
      <c r="AJ247" s="293"/>
      <c r="AK247" s="293"/>
      <c r="AL247" s="327"/>
      <c r="AM247" s="463"/>
      <c r="AN247" s="513"/>
      <c r="AO247" s="88"/>
      <c r="AP247" s="116"/>
      <c r="AQ247" s="74"/>
      <c r="AR247" s="76"/>
      <c r="AS247" s="24"/>
      <c r="AT247" s="25"/>
      <c r="AU247" s="309"/>
      <c r="AV247" s="462"/>
      <c r="AW247" s="513"/>
      <c r="AX247" s="74"/>
      <c r="AY247" s="74"/>
      <c r="AZ247" s="75"/>
      <c r="BA247" s="61"/>
      <c r="BB247" s="60"/>
      <c r="BC247" s="74"/>
      <c r="BD247" s="79"/>
      <c r="BE247" s="79"/>
      <c r="BF247" s="127"/>
      <c r="BG247" s="142"/>
      <c r="BH247" s="142"/>
      <c r="BI247" s="76"/>
      <c r="BJ247" s="24"/>
      <c r="BK247" s="25"/>
      <c r="BL247" s="259"/>
      <c r="BM247" s="533"/>
    </row>
    <row r="248" spans="1:65" ht="37.35" customHeight="1">
      <c r="A248" s="91"/>
      <c r="B248" s="358" t="s">
        <v>2439</v>
      </c>
      <c r="C248" s="50" t="s">
        <v>2178</v>
      </c>
      <c r="D248" s="264" t="s">
        <v>1529</v>
      </c>
      <c r="E248" s="393" t="s">
        <v>999</v>
      </c>
      <c r="F248" s="410"/>
      <c r="G248" s="10"/>
      <c r="H248" s="167"/>
      <c r="I248" s="10"/>
      <c r="J248" s="76"/>
      <c r="K248" s="24"/>
      <c r="L248" s="281"/>
      <c r="M248" s="431"/>
      <c r="N248" s="410">
        <v>97426</v>
      </c>
      <c r="O248" s="10">
        <v>240000</v>
      </c>
      <c r="P248" s="10">
        <v>248000</v>
      </c>
      <c r="Q248" s="268">
        <v>245000</v>
      </c>
      <c r="R248" s="10" t="s">
        <v>1421</v>
      </c>
      <c r="S248" s="76">
        <f t="shared" si="353"/>
        <v>244333.33333333334</v>
      </c>
      <c r="T248" s="24">
        <f t="shared" si="354"/>
        <v>146907.33333333334</v>
      </c>
      <c r="U248" s="281">
        <f t="shared" si="355"/>
        <v>1.5078863274006256</v>
      </c>
      <c r="V248" s="462">
        <f t="shared" si="356"/>
        <v>244333.33333333334</v>
      </c>
      <c r="W248" s="410"/>
      <c r="X248" s="41"/>
      <c r="Y248" s="31"/>
      <c r="Z248" s="31"/>
      <c r="AA248" s="76"/>
      <c r="AB248" s="24"/>
      <c r="AC248" s="25"/>
      <c r="AD248" s="309"/>
      <c r="AE248" s="462"/>
      <c r="AF248" s="408"/>
      <c r="AG248" s="293"/>
      <c r="AH248" s="293"/>
      <c r="AI248" s="293"/>
      <c r="AJ248" s="293"/>
      <c r="AK248" s="293"/>
      <c r="AL248" s="327"/>
      <c r="AM248" s="463"/>
      <c r="AN248" s="513"/>
      <c r="AO248" s="88"/>
      <c r="AP248" s="116"/>
      <c r="AQ248" s="74"/>
      <c r="AR248" s="76"/>
      <c r="AS248" s="24"/>
      <c r="AT248" s="25"/>
      <c r="AU248" s="309"/>
      <c r="AV248" s="462"/>
      <c r="AW248" s="513"/>
      <c r="AX248" s="74"/>
      <c r="AY248" s="74"/>
      <c r="AZ248" s="75"/>
      <c r="BA248" s="61"/>
      <c r="BB248" s="60"/>
      <c r="BC248" s="74"/>
      <c r="BD248" s="79"/>
      <c r="BE248" s="79"/>
      <c r="BF248" s="127"/>
      <c r="BG248" s="142"/>
      <c r="BH248" s="142"/>
      <c r="BI248" s="76"/>
      <c r="BJ248" s="24"/>
      <c r="BK248" s="25"/>
      <c r="BL248" s="259"/>
      <c r="BM248" s="533"/>
    </row>
    <row r="249" spans="1:65" ht="37.35" customHeight="1">
      <c r="A249" s="91"/>
      <c r="B249" s="358" t="s">
        <v>2440</v>
      </c>
      <c r="C249" s="50" t="s">
        <v>2179</v>
      </c>
      <c r="D249" s="264" t="s">
        <v>1530</v>
      </c>
      <c r="E249" s="393" t="s">
        <v>999</v>
      </c>
      <c r="F249" s="410"/>
      <c r="G249" s="10"/>
      <c r="H249" s="167"/>
      <c r="I249" s="10"/>
      <c r="J249" s="76"/>
      <c r="K249" s="24"/>
      <c r="L249" s="281"/>
      <c r="M249" s="431"/>
      <c r="N249" s="410">
        <v>171820</v>
      </c>
      <c r="O249" s="10">
        <v>240000</v>
      </c>
      <c r="P249" s="10">
        <v>248000</v>
      </c>
      <c r="Q249" s="268">
        <v>245000</v>
      </c>
      <c r="R249" s="10">
        <v>250000</v>
      </c>
      <c r="S249" s="76">
        <f t="shared" si="353"/>
        <v>245750</v>
      </c>
      <c r="T249" s="24">
        <f t="shared" si="354"/>
        <v>73930</v>
      </c>
      <c r="U249" s="281">
        <f t="shared" si="355"/>
        <v>0.43027587009661272</v>
      </c>
      <c r="V249" s="462">
        <f t="shared" si="356"/>
        <v>245750</v>
      </c>
      <c r="W249" s="410"/>
      <c r="X249" s="41"/>
      <c r="Y249" s="31"/>
      <c r="Z249" s="31"/>
      <c r="AA249" s="76"/>
      <c r="AB249" s="24"/>
      <c r="AC249" s="25"/>
      <c r="AD249" s="309"/>
      <c r="AE249" s="462"/>
      <c r="AF249" s="408"/>
      <c r="AG249" s="293"/>
      <c r="AH249" s="293"/>
      <c r="AI249" s="293"/>
      <c r="AJ249" s="293"/>
      <c r="AK249" s="293"/>
      <c r="AL249" s="327"/>
      <c r="AM249" s="463"/>
      <c r="AN249" s="513"/>
      <c r="AO249" s="88"/>
      <c r="AP249" s="116"/>
      <c r="AQ249" s="74"/>
      <c r="AR249" s="76"/>
      <c r="AS249" s="24"/>
      <c r="AT249" s="25"/>
      <c r="AU249" s="309"/>
      <c r="AV249" s="462"/>
      <c r="AW249" s="513"/>
      <c r="AX249" s="74"/>
      <c r="AY249" s="74"/>
      <c r="AZ249" s="75"/>
      <c r="BA249" s="61"/>
      <c r="BB249" s="60"/>
      <c r="BC249" s="74"/>
      <c r="BD249" s="79"/>
      <c r="BE249" s="79"/>
      <c r="BF249" s="127"/>
      <c r="BG249" s="142"/>
      <c r="BH249" s="142"/>
      <c r="BI249" s="76"/>
      <c r="BJ249" s="24"/>
      <c r="BK249" s="25"/>
      <c r="BL249" s="259"/>
      <c r="BM249" s="533"/>
    </row>
    <row r="250" spans="1:65" ht="37.35" customHeight="1">
      <c r="A250" s="91"/>
      <c r="B250" s="358" t="s">
        <v>2441</v>
      </c>
      <c r="C250" s="50" t="s">
        <v>2180</v>
      </c>
      <c r="D250" s="264" t="s">
        <v>1531</v>
      </c>
      <c r="E250" s="393" t="s">
        <v>999</v>
      </c>
      <c r="F250" s="410"/>
      <c r="G250" s="10"/>
      <c r="H250" s="167"/>
      <c r="I250" s="10"/>
      <c r="J250" s="76"/>
      <c r="K250" s="24"/>
      <c r="L250" s="281"/>
      <c r="M250" s="431"/>
      <c r="N250" s="410">
        <v>65780</v>
      </c>
      <c r="O250" s="10">
        <v>120000</v>
      </c>
      <c r="P250" s="10">
        <v>126000</v>
      </c>
      <c r="Q250" s="268">
        <v>125000</v>
      </c>
      <c r="R250" s="10" t="s">
        <v>1421</v>
      </c>
      <c r="S250" s="76">
        <f t="shared" si="353"/>
        <v>123666.66666666667</v>
      </c>
      <c r="T250" s="24">
        <f t="shared" si="354"/>
        <v>57886.666666666672</v>
      </c>
      <c r="U250" s="281">
        <f t="shared" si="355"/>
        <v>0.88000405391709746</v>
      </c>
      <c r="V250" s="462">
        <f t="shared" si="356"/>
        <v>123666.66666666667</v>
      </c>
      <c r="W250" s="410"/>
      <c r="X250" s="41"/>
      <c r="Y250" s="31"/>
      <c r="Z250" s="31"/>
      <c r="AA250" s="76"/>
      <c r="AB250" s="24"/>
      <c r="AC250" s="25"/>
      <c r="AD250" s="309"/>
      <c r="AE250" s="462"/>
      <c r="AF250" s="408"/>
      <c r="AG250" s="293"/>
      <c r="AH250" s="293"/>
      <c r="AI250" s="293"/>
      <c r="AJ250" s="293"/>
      <c r="AK250" s="293"/>
      <c r="AL250" s="327"/>
      <c r="AM250" s="463"/>
      <c r="AN250" s="513"/>
      <c r="AO250" s="88"/>
      <c r="AP250" s="116"/>
      <c r="AQ250" s="74"/>
      <c r="AR250" s="76"/>
      <c r="AS250" s="24"/>
      <c r="AT250" s="25"/>
      <c r="AU250" s="309"/>
      <c r="AV250" s="462"/>
      <c r="AW250" s="513"/>
      <c r="AX250" s="74"/>
      <c r="AY250" s="74"/>
      <c r="AZ250" s="75"/>
      <c r="BA250" s="61"/>
      <c r="BB250" s="60"/>
      <c r="BC250" s="74"/>
      <c r="BD250" s="79"/>
      <c r="BE250" s="79"/>
      <c r="BF250" s="127"/>
      <c r="BG250" s="142"/>
      <c r="BH250" s="142"/>
      <c r="BI250" s="76"/>
      <c r="BJ250" s="24"/>
      <c r="BK250" s="25"/>
      <c r="BL250" s="259"/>
      <c r="BM250" s="533"/>
    </row>
    <row r="251" spans="1:65" ht="37.35" customHeight="1">
      <c r="A251" s="91"/>
      <c r="B251" s="358" t="s">
        <v>2442</v>
      </c>
      <c r="C251" s="50" t="s">
        <v>2181</v>
      </c>
      <c r="D251" s="264" t="s">
        <v>1532</v>
      </c>
      <c r="E251" s="393" t="s">
        <v>999</v>
      </c>
      <c r="F251" s="410"/>
      <c r="G251" s="10"/>
      <c r="H251" s="167"/>
      <c r="I251" s="10"/>
      <c r="J251" s="76"/>
      <c r="K251" s="24"/>
      <c r="L251" s="281"/>
      <c r="M251" s="431"/>
      <c r="N251" s="410">
        <v>60776</v>
      </c>
      <c r="O251" s="10">
        <v>90000</v>
      </c>
      <c r="P251" s="10">
        <v>95000</v>
      </c>
      <c r="Q251" s="268">
        <v>95000</v>
      </c>
      <c r="R251" s="10" t="s">
        <v>1421</v>
      </c>
      <c r="S251" s="76">
        <f t="shared" si="353"/>
        <v>93333.333333333328</v>
      </c>
      <c r="T251" s="24">
        <f t="shared" si="354"/>
        <v>32557.333333333328</v>
      </c>
      <c r="U251" s="281">
        <f t="shared" si="355"/>
        <v>0.53569391426440249</v>
      </c>
      <c r="V251" s="462">
        <f t="shared" si="356"/>
        <v>93333.333333333328</v>
      </c>
      <c r="W251" s="410"/>
      <c r="X251" s="41"/>
      <c r="Y251" s="31"/>
      <c r="Z251" s="31"/>
      <c r="AA251" s="76"/>
      <c r="AB251" s="24"/>
      <c r="AC251" s="25"/>
      <c r="AD251" s="309"/>
      <c r="AE251" s="462"/>
      <c r="AF251" s="408"/>
      <c r="AG251" s="293"/>
      <c r="AH251" s="293"/>
      <c r="AI251" s="293"/>
      <c r="AJ251" s="293"/>
      <c r="AK251" s="293"/>
      <c r="AL251" s="327"/>
      <c r="AM251" s="463"/>
      <c r="AN251" s="513"/>
      <c r="AO251" s="88"/>
      <c r="AP251" s="116"/>
      <c r="AQ251" s="74"/>
      <c r="AR251" s="76"/>
      <c r="AS251" s="24"/>
      <c r="AT251" s="25"/>
      <c r="AU251" s="309"/>
      <c r="AV251" s="462"/>
      <c r="AW251" s="513"/>
      <c r="AX251" s="74"/>
      <c r="AY251" s="74"/>
      <c r="AZ251" s="75"/>
      <c r="BA251" s="61"/>
      <c r="BB251" s="60"/>
      <c r="BC251" s="74"/>
      <c r="BD251" s="79"/>
      <c r="BE251" s="79"/>
      <c r="BF251" s="127"/>
      <c r="BG251" s="142"/>
      <c r="BH251" s="142"/>
      <c r="BI251" s="76"/>
      <c r="BJ251" s="24"/>
      <c r="BK251" s="25"/>
      <c r="BL251" s="259"/>
      <c r="BM251" s="533"/>
    </row>
    <row r="252" spans="1:65" ht="37.35" customHeight="1">
      <c r="A252" s="91"/>
      <c r="B252" s="358" t="s">
        <v>2443</v>
      </c>
      <c r="C252" s="50" t="s">
        <v>2182</v>
      </c>
      <c r="D252" s="264" t="s">
        <v>1533</v>
      </c>
      <c r="E252" s="393" t="s">
        <v>999</v>
      </c>
      <c r="F252" s="410"/>
      <c r="G252" s="10"/>
      <c r="H252" s="167"/>
      <c r="I252" s="10"/>
      <c r="J252" s="76"/>
      <c r="K252" s="24"/>
      <c r="L252" s="281"/>
      <c r="M252" s="431"/>
      <c r="N252" s="410">
        <v>31224</v>
      </c>
      <c r="O252" s="10">
        <v>60000</v>
      </c>
      <c r="P252" s="10">
        <v>66000</v>
      </c>
      <c r="Q252" s="268">
        <v>65000</v>
      </c>
      <c r="R252" s="10" t="s">
        <v>1421</v>
      </c>
      <c r="S252" s="76">
        <f t="shared" si="353"/>
        <v>63666.666666666664</v>
      </c>
      <c r="T252" s="24">
        <f t="shared" si="354"/>
        <v>32442.666666666664</v>
      </c>
      <c r="U252" s="281">
        <f t="shared" si="355"/>
        <v>1.0390298061320351</v>
      </c>
      <c r="V252" s="462">
        <f t="shared" si="356"/>
        <v>63666.666666666664</v>
      </c>
      <c r="W252" s="410"/>
      <c r="X252" s="41"/>
      <c r="Y252" s="31"/>
      <c r="Z252" s="31"/>
      <c r="AA252" s="76"/>
      <c r="AB252" s="24"/>
      <c r="AC252" s="25"/>
      <c r="AD252" s="309"/>
      <c r="AE252" s="462"/>
      <c r="AF252" s="408"/>
      <c r="AG252" s="293"/>
      <c r="AH252" s="293"/>
      <c r="AI252" s="293"/>
      <c r="AJ252" s="293"/>
      <c r="AK252" s="293"/>
      <c r="AL252" s="327"/>
      <c r="AM252" s="463"/>
      <c r="AN252" s="513"/>
      <c r="AO252" s="88"/>
      <c r="AP252" s="116"/>
      <c r="AQ252" s="74"/>
      <c r="AR252" s="76"/>
      <c r="AS252" s="24"/>
      <c r="AT252" s="25"/>
      <c r="AU252" s="309"/>
      <c r="AV252" s="462"/>
      <c r="AW252" s="513"/>
      <c r="AX252" s="74"/>
      <c r="AY252" s="74"/>
      <c r="AZ252" s="75"/>
      <c r="BA252" s="61"/>
      <c r="BB252" s="60"/>
      <c r="BC252" s="74"/>
      <c r="BD252" s="79"/>
      <c r="BE252" s="79"/>
      <c r="BF252" s="127"/>
      <c r="BG252" s="142"/>
      <c r="BH252" s="142"/>
      <c r="BI252" s="76"/>
      <c r="BJ252" s="24"/>
      <c r="BK252" s="25"/>
      <c r="BL252" s="259"/>
      <c r="BM252" s="533"/>
    </row>
    <row r="253" spans="1:65" ht="24.6" customHeight="1">
      <c r="A253" s="91" t="s">
        <v>514</v>
      </c>
      <c r="B253" s="358" t="s">
        <v>2444</v>
      </c>
      <c r="C253" s="252" t="s">
        <v>753</v>
      </c>
      <c r="D253" s="100" t="s">
        <v>514</v>
      </c>
      <c r="E253" s="91"/>
      <c r="F253" s="411"/>
      <c r="G253" s="173"/>
      <c r="H253" s="174"/>
      <c r="I253" s="173"/>
      <c r="J253" s="76"/>
      <c r="K253" s="24"/>
      <c r="L253" s="281"/>
      <c r="M253" s="431"/>
      <c r="N253" s="411"/>
      <c r="O253" s="173"/>
      <c r="P253" s="173"/>
      <c r="Q253" s="274"/>
      <c r="R253" s="266"/>
      <c r="S253" s="76"/>
      <c r="T253" s="24"/>
      <c r="U253" s="281"/>
      <c r="V253" s="462"/>
      <c r="W253" s="413"/>
      <c r="X253" s="47"/>
      <c r="Y253" s="47"/>
      <c r="Z253" s="47"/>
      <c r="AA253" s="47"/>
      <c r="AB253" s="47"/>
      <c r="AC253" s="47"/>
      <c r="AD253" s="91"/>
      <c r="AE253" s="467"/>
      <c r="AF253" s="501"/>
      <c r="AG253" s="324"/>
      <c r="AH253" s="324"/>
      <c r="AI253" s="323"/>
      <c r="AJ253" s="76"/>
      <c r="AK253" s="24"/>
      <c r="AL253" s="281"/>
      <c r="AM253" s="462">
        <f t="shared" ref="AM253:AM272" si="357">AJ253</f>
        <v>0</v>
      </c>
      <c r="AN253" s="413"/>
      <c r="AO253" s="47"/>
      <c r="AP253" s="47"/>
      <c r="AQ253" s="47"/>
      <c r="AR253" s="47"/>
      <c r="AS253" s="47"/>
      <c r="AT253" s="47"/>
      <c r="AU253" s="91"/>
      <c r="AV253" s="467"/>
      <c r="AW253" s="413"/>
      <c r="AX253" s="47"/>
      <c r="AY253" s="47"/>
      <c r="AZ253" s="47"/>
      <c r="BA253" s="47"/>
      <c r="BB253" s="47"/>
      <c r="BC253" s="47"/>
      <c r="BD253" s="148"/>
      <c r="BE253" s="148"/>
      <c r="BF253" s="149"/>
      <c r="BG253" s="148"/>
      <c r="BH253" s="148"/>
      <c r="BI253" s="47"/>
      <c r="BJ253" s="47"/>
      <c r="BK253" s="47"/>
      <c r="BL253" s="414"/>
      <c r="BM253" s="457"/>
    </row>
    <row r="254" spans="1:65" ht="45.6" customHeight="1">
      <c r="A254" s="91" t="s">
        <v>514</v>
      </c>
      <c r="B254" s="358" t="s">
        <v>2445</v>
      </c>
      <c r="C254" s="50" t="s">
        <v>173</v>
      </c>
      <c r="D254" s="99" t="s">
        <v>515</v>
      </c>
      <c r="E254" s="391" t="s">
        <v>14</v>
      </c>
      <c r="F254" s="410">
        <v>117650</v>
      </c>
      <c r="G254" s="10">
        <v>148391</v>
      </c>
      <c r="H254" s="167">
        <v>296782</v>
      </c>
      <c r="I254" s="10">
        <v>112500</v>
      </c>
      <c r="J254" s="76">
        <f t="shared" ref="J254:J272" si="358">AVERAGE(G254,I254)</f>
        <v>130445.5</v>
      </c>
      <c r="K254" s="24">
        <f t="shared" ref="K254:K272" si="359">J254-F254</f>
        <v>12795.5</v>
      </c>
      <c r="L254" s="281">
        <f t="shared" ref="L254:L272" si="360">+K254/F254</f>
        <v>0.10875903102422439</v>
      </c>
      <c r="M254" s="431">
        <f t="shared" ref="M254:M272" si="361">H254</f>
        <v>296782</v>
      </c>
      <c r="N254" s="410">
        <v>106172</v>
      </c>
      <c r="O254" s="10">
        <v>80000</v>
      </c>
      <c r="P254" s="10">
        <v>87000</v>
      </c>
      <c r="Q254" s="268">
        <v>85000</v>
      </c>
      <c r="R254" s="10" t="s">
        <v>1421</v>
      </c>
      <c r="S254" s="76">
        <f t="shared" ref="S254:S272" si="362">AVERAGE(O254,P254,Q254,R254)</f>
        <v>84000</v>
      </c>
      <c r="T254" s="24">
        <f t="shared" ref="T254:T272" si="363">S254-N254</f>
        <v>-22172</v>
      </c>
      <c r="U254" s="281">
        <f t="shared" ref="U254:U272" si="364">+T254/N254</f>
        <v>-0.20883095354707457</v>
      </c>
      <c r="V254" s="462">
        <f t="shared" ref="V254:V272" si="365">S254</f>
        <v>84000</v>
      </c>
      <c r="W254" s="410">
        <v>131992</v>
      </c>
      <c r="X254" s="31">
        <v>171666</v>
      </c>
      <c r="Y254" s="31">
        <v>223166</v>
      </c>
      <c r="Z254" s="472">
        <v>150048.79999999999</v>
      </c>
      <c r="AA254" s="76">
        <f t="shared" ref="AA254:AA275" si="366">AVERAGE(X254,Y254,Z254)</f>
        <v>181626.93333333335</v>
      </c>
      <c r="AB254" s="24">
        <f t="shared" ref="AB254:AB275" si="367">AA254-W254</f>
        <v>49634.933333333349</v>
      </c>
      <c r="AC254" s="25">
        <f t="shared" ref="AC254:AC275" si="368">+AB254/W254</f>
        <v>0.37604501282906044</v>
      </c>
      <c r="AD254" s="309" t="str">
        <f t="shared" ref="AD254:AD275" si="369">+IF(AC254&lt;35%,AA254,"REVISAR PRECIO")</f>
        <v>REVISAR PRECIO</v>
      </c>
      <c r="AE254" s="462">
        <f t="shared" ref="AE254:AE275" si="370">AA254</f>
        <v>181626.93333333335</v>
      </c>
      <c r="AF254" s="410">
        <v>117649</v>
      </c>
      <c r="AG254" s="45"/>
      <c r="AH254" s="45">
        <v>138809</v>
      </c>
      <c r="AI254" s="45">
        <v>140000</v>
      </c>
      <c r="AJ254" s="76">
        <f t="shared" ref="AJ254:AJ272" si="371">AVERAGE(AG254,AH254,AI254)</f>
        <v>139404.5</v>
      </c>
      <c r="AK254" s="24">
        <f t="shared" ref="AK254:AK272" si="372">AJ254-AF254</f>
        <v>21755.5</v>
      </c>
      <c r="AL254" s="281">
        <f t="shared" ref="AL254:AL272" si="373">+AK254/AF254</f>
        <v>0.18491869884146911</v>
      </c>
      <c r="AM254" s="462">
        <f t="shared" si="357"/>
        <v>139404.5</v>
      </c>
      <c r="AN254" s="513">
        <v>117649</v>
      </c>
      <c r="AO254" s="88">
        <v>165000</v>
      </c>
      <c r="AP254" s="116">
        <v>165000</v>
      </c>
      <c r="AQ254" s="74">
        <v>163230.21000000002</v>
      </c>
      <c r="AR254" s="76">
        <f t="shared" ref="AR254:AR274" si="374">AVERAGE(AO254,AP254,AQ254)</f>
        <v>164410.07</v>
      </c>
      <c r="AS254" s="24">
        <f t="shared" ref="AS254:AS274" si="375">AR254-AN254</f>
        <v>46761.070000000007</v>
      </c>
      <c r="AT254" s="25">
        <f t="shared" ref="AT254:AT273" si="376">+AS254/AN254</f>
        <v>0.39746253686814176</v>
      </c>
      <c r="AU254" s="309" t="str">
        <f t="shared" ref="AU254:AU273" si="377">+IF(AT254&lt;35%,AR254,"REVISAR PRECIO")</f>
        <v>REVISAR PRECIO</v>
      </c>
      <c r="AV254" s="462">
        <f t="shared" ref="AV254:AV274" si="378">AR254</f>
        <v>164410.07</v>
      </c>
      <c r="AW254" s="513">
        <v>117649</v>
      </c>
      <c r="AX254" s="74">
        <v>170649.76500000001</v>
      </c>
      <c r="AY254" s="74">
        <v>160000</v>
      </c>
      <c r="AZ254" s="75">
        <v>196618.20750000002</v>
      </c>
      <c r="BA254" s="61">
        <v>170649.76499999998</v>
      </c>
      <c r="BB254" s="60">
        <v>23000</v>
      </c>
      <c r="BC254" s="74">
        <v>196247.22974999997</v>
      </c>
      <c r="BD254" s="79">
        <v>196618.20750000002</v>
      </c>
      <c r="BE254" s="79">
        <f>134901*1.1</f>
        <v>148391.1</v>
      </c>
      <c r="BF254" s="127">
        <v>155810.655</v>
      </c>
      <c r="BG254" s="128">
        <v>180900</v>
      </c>
      <c r="BH254" s="128">
        <v>160000</v>
      </c>
      <c r="BI254" s="76">
        <f t="shared" ref="BI254:BI274" si="379">AVERAGE(AX254,AY254,AZ254,BA254,BB254,BC254)</f>
        <v>152860.82787499999</v>
      </c>
      <c r="BJ254" s="24">
        <f t="shared" ref="BJ254:BJ274" si="380">BI254-AW254</f>
        <v>35211.827874999988</v>
      </c>
      <c r="BK254" s="25">
        <f t="shared" ref="BK254:BK273" si="381">+BJ254/AW254</f>
        <v>0.29929559856012367</v>
      </c>
      <c r="BL254" s="259">
        <f t="shared" ref="BL254:BL274" si="382">+IF(BK254&lt;35%,BI254,"REVISAR PRECIO")</f>
        <v>152860.82787499999</v>
      </c>
      <c r="BM254" s="533">
        <f t="shared" ref="BM254:BM274" si="383">BI254</f>
        <v>152860.82787499999</v>
      </c>
    </row>
    <row r="255" spans="1:65" ht="45.6" customHeight="1">
      <c r="A255" s="91" t="s">
        <v>514</v>
      </c>
      <c r="B255" s="358" t="s">
        <v>2446</v>
      </c>
      <c r="C255" s="50" t="s">
        <v>174</v>
      </c>
      <c r="D255" s="99" t="s">
        <v>516</v>
      </c>
      <c r="E255" s="391" t="s">
        <v>14</v>
      </c>
      <c r="F255" s="410">
        <v>206166</v>
      </c>
      <c r="G255" s="10">
        <v>269095</v>
      </c>
      <c r="H255" s="167">
        <v>538190</v>
      </c>
      <c r="I255" s="10">
        <v>202670</v>
      </c>
      <c r="J255" s="76">
        <f t="shared" si="358"/>
        <v>235882.5</v>
      </c>
      <c r="K255" s="24">
        <f t="shared" si="359"/>
        <v>29716.5</v>
      </c>
      <c r="L255" s="281">
        <f t="shared" si="360"/>
        <v>0.1441387037629871</v>
      </c>
      <c r="M255" s="431">
        <f t="shared" si="361"/>
        <v>538190</v>
      </c>
      <c r="N255" s="410">
        <v>172040</v>
      </c>
      <c r="O255" s="10">
        <v>147000</v>
      </c>
      <c r="P255" s="10">
        <v>160000</v>
      </c>
      <c r="Q255" s="268">
        <v>155000</v>
      </c>
      <c r="R255" s="10" t="s">
        <v>1421</v>
      </c>
      <c r="S255" s="76">
        <f t="shared" si="362"/>
        <v>154000</v>
      </c>
      <c r="T255" s="24">
        <f t="shared" si="363"/>
        <v>-18040</v>
      </c>
      <c r="U255" s="281">
        <f t="shared" si="364"/>
        <v>-0.10485933503836317</v>
      </c>
      <c r="V255" s="462">
        <f t="shared" si="365"/>
        <v>154000</v>
      </c>
      <c r="W255" s="410">
        <v>231339</v>
      </c>
      <c r="X255" s="31">
        <v>300875</v>
      </c>
      <c r="Y255" s="31">
        <v>391137</v>
      </c>
      <c r="Z255" s="472">
        <v>262986.59999999998</v>
      </c>
      <c r="AA255" s="76">
        <f t="shared" si="366"/>
        <v>318332.86666666664</v>
      </c>
      <c r="AB255" s="24">
        <f t="shared" si="367"/>
        <v>86993.86666666664</v>
      </c>
      <c r="AC255" s="25">
        <f t="shared" si="368"/>
        <v>0.37604496719820973</v>
      </c>
      <c r="AD255" s="309" t="str">
        <f t="shared" si="369"/>
        <v>REVISAR PRECIO</v>
      </c>
      <c r="AE255" s="462">
        <f t="shared" si="370"/>
        <v>318332.86666666664</v>
      </c>
      <c r="AF255" s="410">
        <v>206279</v>
      </c>
      <c r="AG255" s="45"/>
      <c r="AH255" s="45">
        <v>243251</v>
      </c>
      <c r="AI255" s="45">
        <v>260000</v>
      </c>
      <c r="AJ255" s="76">
        <f t="shared" si="371"/>
        <v>251625.5</v>
      </c>
      <c r="AK255" s="24">
        <f t="shared" si="372"/>
        <v>45346.5</v>
      </c>
      <c r="AL255" s="281">
        <f t="shared" si="373"/>
        <v>0.21983090862375715</v>
      </c>
      <c r="AM255" s="462">
        <f t="shared" si="357"/>
        <v>251625.5</v>
      </c>
      <c r="AN255" s="513">
        <v>206194</v>
      </c>
      <c r="AO255" s="88">
        <v>300000</v>
      </c>
      <c r="AP255" s="116">
        <v>300000</v>
      </c>
      <c r="AQ255" s="74">
        <v>296004.72000000003</v>
      </c>
      <c r="AR255" s="76">
        <f t="shared" si="374"/>
        <v>298668.24</v>
      </c>
      <c r="AS255" s="24">
        <f t="shared" si="375"/>
        <v>92474.239999999991</v>
      </c>
      <c r="AT255" s="25">
        <f t="shared" si="376"/>
        <v>0.44848172109760709</v>
      </c>
      <c r="AU255" s="309" t="str">
        <f t="shared" si="377"/>
        <v>REVISAR PRECIO</v>
      </c>
      <c r="AV255" s="462">
        <f t="shared" si="378"/>
        <v>298668.24</v>
      </c>
      <c r="AW255" s="513">
        <v>206194</v>
      </c>
      <c r="AX255" s="74">
        <v>309459.48</v>
      </c>
      <c r="AY255" s="74">
        <v>280000</v>
      </c>
      <c r="AZ255" s="75">
        <v>356551.14</v>
      </c>
      <c r="BA255" s="61">
        <v>309459.48</v>
      </c>
      <c r="BB255" s="60">
        <v>190000</v>
      </c>
      <c r="BC255" s="74">
        <v>355878.40199999994</v>
      </c>
      <c r="BD255" s="79">
        <v>356551.14</v>
      </c>
      <c r="BE255" s="79">
        <f>244632*1.1</f>
        <v>269095.2</v>
      </c>
      <c r="BF255" s="127">
        <v>322914.24</v>
      </c>
      <c r="BG255" s="128">
        <v>3259000</v>
      </c>
      <c r="BH255" s="128">
        <v>300000</v>
      </c>
      <c r="BI255" s="76">
        <f t="shared" si="379"/>
        <v>300224.75033333333</v>
      </c>
      <c r="BJ255" s="24">
        <f t="shared" si="380"/>
        <v>94030.75033333333</v>
      </c>
      <c r="BK255" s="25">
        <f t="shared" si="381"/>
        <v>0.45603048746972913</v>
      </c>
      <c r="BL255" s="259" t="str">
        <f t="shared" si="382"/>
        <v>REVISAR PRECIO</v>
      </c>
      <c r="BM255" s="533">
        <f t="shared" si="383"/>
        <v>300224.75033333333</v>
      </c>
    </row>
    <row r="256" spans="1:65" ht="58.35" customHeight="1">
      <c r="A256" s="91" t="s">
        <v>514</v>
      </c>
      <c r="B256" s="358" t="s">
        <v>2447</v>
      </c>
      <c r="C256" s="50" t="s">
        <v>175</v>
      </c>
      <c r="D256" s="99" t="s">
        <v>517</v>
      </c>
      <c r="E256" s="391" t="s">
        <v>14</v>
      </c>
      <c r="F256" s="410">
        <v>110549</v>
      </c>
      <c r="G256" s="10">
        <v>137734</v>
      </c>
      <c r="H256" s="167">
        <v>275468</v>
      </c>
      <c r="I256" s="10">
        <v>115000</v>
      </c>
      <c r="J256" s="76">
        <f t="shared" si="358"/>
        <v>126367</v>
      </c>
      <c r="K256" s="24">
        <f t="shared" si="359"/>
        <v>15818</v>
      </c>
      <c r="L256" s="281">
        <f t="shared" si="360"/>
        <v>0.14308587142353166</v>
      </c>
      <c r="M256" s="431">
        <f t="shared" si="361"/>
        <v>275468</v>
      </c>
      <c r="N256" s="410">
        <v>99500</v>
      </c>
      <c r="O256" s="10">
        <v>110200</v>
      </c>
      <c r="P256" s="10">
        <v>115500</v>
      </c>
      <c r="Q256" s="268">
        <v>113000</v>
      </c>
      <c r="R256" s="10" t="s">
        <v>1421</v>
      </c>
      <c r="S256" s="76">
        <f t="shared" si="362"/>
        <v>112900</v>
      </c>
      <c r="T256" s="24">
        <f t="shared" si="363"/>
        <v>13400</v>
      </c>
      <c r="U256" s="281">
        <f t="shared" si="364"/>
        <v>0.13467336683417086</v>
      </c>
      <c r="V256" s="462">
        <f t="shared" si="365"/>
        <v>112900</v>
      </c>
      <c r="W256" s="410">
        <v>126812</v>
      </c>
      <c r="X256" s="31">
        <v>164930</v>
      </c>
      <c r="Y256" s="31">
        <v>214408</v>
      </c>
      <c r="Z256" s="472">
        <v>144160.6</v>
      </c>
      <c r="AA256" s="76">
        <f t="shared" si="366"/>
        <v>174499.53333333333</v>
      </c>
      <c r="AB256" s="24">
        <f t="shared" si="367"/>
        <v>47687.533333333326</v>
      </c>
      <c r="AC256" s="25">
        <f t="shared" si="368"/>
        <v>0.37604905950015238</v>
      </c>
      <c r="AD256" s="309" t="str">
        <f t="shared" si="369"/>
        <v>REVISAR PRECIO</v>
      </c>
      <c r="AE256" s="462">
        <f t="shared" si="370"/>
        <v>174499.53333333333</v>
      </c>
      <c r="AF256" s="410">
        <v>110549</v>
      </c>
      <c r="AG256" s="45"/>
      <c r="AH256" s="45">
        <v>130436</v>
      </c>
      <c r="AI256" s="45">
        <v>160000</v>
      </c>
      <c r="AJ256" s="76">
        <f t="shared" si="371"/>
        <v>145218</v>
      </c>
      <c r="AK256" s="24">
        <f t="shared" si="372"/>
        <v>34669</v>
      </c>
      <c r="AL256" s="281">
        <f t="shared" si="373"/>
        <v>0.31360754054763046</v>
      </c>
      <c r="AM256" s="462">
        <f t="shared" si="357"/>
        <v>145218</v>
      </c>
      <c r="AN256" s="513">
        <v>110549</v>
      </c>
      <c r="AO256" s="88">
        <v>144600</v>
      </c>
      <c r="AP256" s="116">
        <v>144600</v>
      </c>
      <c r="AQ256" s="74">
        <v>151507.73000000001</v>
      </c>
      <c r="AR256" s="76">
        <f t="shared" si="374"/>
        <v>146902.57666666666</v>
      </c>
      <c r="AS256" s="24">
        <f t="shared" si="375"/>
        <v>36353.57666666666</v>
      </c>
      <c r="AT256" s="25">
        <f t="shared" si="376"/>
        <v>0.32884582100848186</v>
      </c>
      <c r="AU256" s="309">
        <f t="shared" si="377"/>
        <v>146902.57666666666</v>
      </c>
      <c r="AV256" s="462">
        <f t="shared" si="378"/>
        <v>146902.57666666666</v>
      </c>
      <c r="AW256" s="513">
        <v>110549</v>
      </c>
      <c r="AX256" s="74">
        <v>158394.44500000001</v>
      </c>
      <c r="AY256" s="74">
        <v>160000</v>
      </c>
      <c r="AZ256" s="75">
        <v>182497.94750000001</v>
      </c>
      <c r="BA256" s="61">
        <v>158394.44500000001</v>
      </c>
      <c r="BB256" s="60">
        <v>170000</v>
      </c>
      <c r="BC256" s="74">
        <v>182153.61174999998</v>
      </c>
      <c r="BD256" s="79">
        <v>182497.94750000001</v>
      </c>
      <c r="BE256" s="79">
        <f>125213*1.1</f>
        <v>137734.30000000002</v>
      </c>
      <c r="BF256" s="127">
        <v>165281.16000000003</v>
      </c>
      <c r="BG256" s="128">
        <v>165700</v>
      </c>
      <c r="BH256" s="128">
        <v>150000</v>
      </c>
      <c r="BI256" s="76">
        <f t="shared" si="379"/>
        <v>168573.40820833333</v>
      </c>
      <c r="BJ256" s="24">
        <f t="shared" si="380"/>
        <v>58024.408208333334</v>
      </c>
      <c r="BK256" s="25">
        <f t="shared" si="381"/>
        <v>0.5248750165838979</v>
      </c>
      <c r="BL256" s="259" t="str">
        <f t="shared" si="382"/>
        <v>REVISAR PRECIO</v>
      </c>
      <c r="BM256" s="533">
        <f t="shared" si="383"/>
        <v>168573.40820833333</v>
      </c>
    </row>
    <row r="257" spans="1:65" ht="58.35" customHeight="1">
      <c r="A257" s="91" t="s">
        <v>514</v>
      </c>
      <c r="B257" s="358" t="s">
        <v>2448</v>
      </c>
      <c r="C257" s="50" t="s">
        <v>176</v>
      </c>
      <c r="D257" s="99" t="s">
        <v>518</v>
      </c>
      <c r="E257" s="391" t="s">
        <v>14</v>
      </c>
      <c r="F257" s="410">
        <v>104646</v>
      </c>
      <c r="G257" s="10">
        <v>125012</v>
      </c>
      <c r="H257" s="167">
        <v>250024</v>
      </c>
      <c r="I257" s="10">
        <v>115000</v>
      </c>
      <c r="J257" s="76">
        <f t="shared" si="358"/>
        <v>120006</v>
      </c>
      <c r="K257" s="24">
        <f t="shared" si="359"/>
        <v>15360</v>
      </c>
      <c r="L257" s="281">
        <f t="shared" si="360"/>
        <v>0.14678057450834242</v>
      </c>
      <c r="M257" s="431">
        <f t="shared" si="361"/>
        <v>250024</v>
      </c>
      <c r="N257" s="410">
        <v>95114</v>
      </c>
      <c r="O257" s="10">
        <v>120000</v>
      </c>
      <c r="P257" s="10">
        <v>126000</v>
      </c>
      <c r="Q257" s="268">
        <v>125000</v>
      </c>
      <c r="R257" s="10" t="s">
        <v>1421</v>
      </c>
      <c r="S257" s="76">
        <f t="shared" si="362"/>
        <v>123666.66666666667</v>
      </c>
      <c r="T257" s="24">
        <f t="shared" si="363"/>
        <v>28552.666666666672</v>
      </c>
      <c r="U257" s="281">
        <f t="shared" si="364"/>
        <v>0.30019415298133473</v>
      </c>
      <c r="V257" s="462">
        <f t="shared" si="365"/>
        <v>123666.66666666667</v>
      </c>
      <c r="W257" s="410">
        <v>119754</v>
      </c>
      <c r="X257" s="31">
        <v>155750</v>
      </c>
      <c r="Y257" s="31">
        <v>202474</v>
      </c>
      <c r="Z257" s="472">
        <v>136136.6</v>
      </c>
      <c r="AA257" s="76">
        <f t="shared" si="366"/>
        <v>164786.86666666667</v>
      </c>
      <c r="AB257" s="24">
        <f t="shared" si="367"/>
        <v>45032.866666666669</v>
      </c>
      <c r="AC257" s="25">
        <f t="shared" si="368"/>
        <v>0.37604478068930197</v>
      </c>
      <c r="AD257" s="309" t="str">
        <f t="shared" si="369"/>
        <v>REVISAR PRECIO</v>
      </c>
      <c r="AE257" s="462">
        <f t="shared" si="370"/>
        <v>164786.86666666667</v>
      </c>
      <c r="AF257" s="410">
        <v>106201</v>
      </c>
      <c r="AG257" s="45"/>
      <c r="AH257" s="45">
        <v>123468</v>
      </c>
      <c r="AI257" s="45">
        <v>180000</v>
      </c>
      <c r="AJ257" s="76">
        <f t="shared" si="371"/>
        <v>151734</v>
      </c>
      <c r="AK257" s="24">
        <f t="shared" si="372"/>
        <v>45533</v>
      </c>
      <c r="AL257" s="281">
        <f t="shared" si="373"/>
        <v>0.42874360881724277</v>
      </c>
      <c r="AM257" s="462">
        <f t="shared" si="357"/>
        <v>151734</v>
      </c>
      <c r="AN257" s="513">
        <v>115295</v>
      </c>
      <c r="AO257" s="88">
        <v>131300</v>
      </c>
      <c r="AP257" s="116">
        <v>131300</v>
      </c>
      <c r="AQ257" s="74">
        <v>137512.87000000002</v>
      </c>
      <c r="AR257" s="76">
        <f t="shared" si="374"/>
        <v>133370.95666666667</v>
      </c>
      <c r="AS257" s="24">
        <f t="shared" si="375"/>
        <v>18075.956666666665</v>
      </c>
      <c r="AT257" s="25">
        <f t="shared" si="376"/>
        <v>0.15678005695534641</v>
      </c>
      <c r="AU257" s="309">
        <f t="shared" si="377"/>
        <v>133370.95666666667</v>
      </c>
      <c r="AV257" s="462">
        <f t="shared" si="378"/>
        <v>133370.95666666667</v>
      </c>
      <c r="AW257" s="513">
        <v>115295</v>
      </c>
      <c r="AX257" s="74">
        <v>143763.45500000002</v>
      </c>
      <c r="AY257" s="74">
        <v>160000</v>
      </c>
      <c r="AZ257" s="75">
        <v>165640.5025</v>
      </c>
      <c r="BA257" s="61">
        <v>143763.45500000002</v>
      </c>
      <c r="BB257" s="60">
        <v>38000</v>
      </c>
      <c r="BC257" s="74">
        <v>165327.97325000001</v>
      </c>
      <c r="BD257" s="79">
        <v>165640.5025</v>
      </c>
      <c r="BE257" s="79">
        <f>113647*1.1</f>
        <v>125011.70000000001</v>
      </c>
      <c r="BF257" s="127">
        <v>150014.04</v>
      </c>
      <c r="BG257" s="128">
        <v>125600</v>
      </c>
      <c r="BH257" s="128">
        <v>130000</v>
      </c>
      <c r="BI257" s="76">
        <f t="shared" si="379"/>
        <v>136082.5642916667</v>
      </c>
      <c r="BJ257" s="24">
        <f t="shared" si="380"/>
        <v>20787.564291666698</v>
      </c>
      <c r="BK257" s="25">
        <f t="shared" si="381"/>
        <v>0.18029892269106812</v>
      </c>
      <c r="BL257" s="259">
        <f t="shared" si="382"/>
        <v>136082.5642916667</v>
      </c>
      <c r="BM257" s="533">
        <f t="shared" si="383"/>
        <v>136082.5642916667</v>
      </c>
    </row>
    <row r="258" spans="1:65" ht="34.35" customHeight="1">
      <c r="A258" s="91" t="s">
        <v>514</v>
      </c>
      <c r="B258" s="358" t="s">
        <v>2449</v>
      </c>
      <c r="C258" s="50" t="s">
        <v>177</v>
      </c>
      <c r="D258" s="99" t="s">
        <v>519</v>
      </c>
      <c r="E258" s="391" t="s">
        <v>14</v>
      </c>
      <c r="F258" s="410">
        <v>84758</v>
      </c>
      <c r="G258" s="10">
        <v>120010</v>
      </c>
      <c r="H258" s="167">
        <v>360030</v>
      </c>
      <c r="I258" s="10">
        <v>108900</v>
      </c>
      <c r="J258" s="76">
        <f t="shared" si="358"/>
        <v>114455</v>
      </c>
      <c r="K258" s="24">
        <f t="shared" si="359"/>
        <v>29697</v>
      </c>
      <c r="L258" s="281">
        <f t="shared" si="360"/>
        <v>0.35037400599353452</v>
      </c>
      <c r="M258" s="431">
        <f t="shared" si="361"/>
        <v>360030</v>
      </c>
      <c r="N258" s="410">
        <v>77041</v>
      </c>
      <c r="O258" s="10">
        <v>78200</v>
      </c>
      <c r="P258" s="10">
        <v>85000</v>
      </c>
      <c r="Q258" s="268">
        <v>85000</v>
      </c>
      <c r="R258" s="10" t="s">
        <v>1421</v>
      </c>
      <c r="S258" s="76">
        <f t="shared" si="362"/>
        <v>82733.333333333328</v>
      </c>
      <c r="T258" s="24">
        <f t="shared" si="363"/>
        <v>5692.3333333333285</v>
      </c>
      <c r="U258" s="281">
        <f t="shared" si="364"/>
        <v>7.3887064463510704E-2</v>
      </c>
      <c r="V258" s="462">
        <f t="shared" si="365"/>
        <v>82733.333333333328</v>
      </c>
      <c r="W258" s="410">
        <v>97001</v>
      </c>
      <c r="X258" s="31">
        <v>126158</v>
      </c>
      <c r="Y258" s="31">
        <v>126158</v>
      </c>
      <c r="Z258" s="472">
        <v>110271</v>
      </c>
      <c r="AA258" s="76">
        <f t="shared" si="366"/>
        <v>120862.33333333333</v>
      </c>
      <c r="AB258" s="24">
        <f t="shared" si="367"/>
        <v>23861.333333333328</v>
      </c>
      <c r="AC258" s="25">
        <f t="shared" si="368"/>
        <v>0.24599059116229038</v>
      </c>
      <c r="AD258" s="309">
        <f t="shared" si="369"/>
        <v>120862.33333333333</v>
      </c>
      <c r="AE258" s="462">
        <f t="shared" si="370"/>
        <v>120862.33333333333</v>
      </c>
      <c r="AF258" s="410">
        <v>86030</v>
      </c>
      <c r="AG258" s="45"/>
      <c r="AH258" s="45">
        <v>100008</v>
      </c>
      <c r="AI258" s="45">
        <v>140000</v>
      </c>
      <c r="AJ258" s="76">
        <f t="shared" si="371"/>
        <v>120004</v>
      </c>
      <c r="AK258" s="24">
        <f t="shared" si="372"/>
        <v>33974</v>
      </c>
      <c r="AL258" s="281">
        <f t="shared" si="373"/>
        <v>0.39490875276066489</v>
      </c>
      <c r="AM258" s="462">
        <f t="shared" si="357"/>
        <v>120004</v>
      </c>
      <c r="AN258" s="513">
        <v>86457</v>
      </c>
      <c r="AO258" s="88">
        <v>125000</v>
      </c>
      <c r="AP258" s="116">
        <v>125000</v>
      </c>
      <c r="AQ258" s="74">
        <v>132011.00000000003</v>
      </c>
      <c r="AR258" s="76">
        <f t="shared" si="374"/>
        <v>127337</v>
      </c>
      <c r="AS258" s="24">
        <f t="shared" si="375"/>
        <v>40880</v>
      </c>
      <c r="AT258" s="25">
        <f t="shared" si="376"/>
        <v>0.47283620759452677</v>
      </c>
      <c r="AU258" s="309" t="str">
        <f t="shared" si="377"/>
        <v>REVISAR PRECIO</v>
      </c>
      <c r="AV258" s="462">
        <f t="shared" si="378"/>
        <v>127337</v>
      </c>
      <c r="AW258" s="513">
        <v>86457</v>
      </c>
      <c r="AX258" s="74">
        <v>138011.5</v>
      </c>
      <c r="AY258" s="74">
        <v>150000</v>
      </c>
      <c r="AZ258" s="75">
        <v>159013.25</v>
      </c>
      <c r="BA258" s="61">
        <v>138011.5</v>
      </c>
      <c r="BB258" s="60">
        <v>230000</v>
      </c>
      <c r="BC258" s="74">
        <v>158713.22499999998</v>
      </c>
      <c r="BD258" s="79">
        <v>159013.25</v>
      </c>
      <c r="BE258" s="79">
        <f>109100*1.1</f>
        <v>120010.00000000001</v>
      </c>
      <c r="BF258" s="127">
        <v>144012.00000000003</v>
      </c>
      <c r="BG258" s="128">
        <v>130000</v>
      </c>
      <c r="BH258" s="128">
        <v>130000</v>
      </c>
      <c r="BI258" s="76">
        <f t="shared" si="379"/>
        <v>162291.57916666666</v>
      </c>
      <c r="BJ258" s="24">
        <f t="shared" si="380"/>
        <v>75834.579166666663</v>
      </c>
      <c r="BK258" s="25">
        <f t="shared" si="381"/>
        <v>0.87713637029583102</v>
      </c>
      <c r="BL258" s="259" t="str">
        <f t="shared" si="382"/>
        <v>REVISAR PRECIO</v>
      </c>
      <c r="BM258" s="533">
        <f t="shared" si="383"/>
        <v>162291.57916666666</v>
      </c>
    </row>
    <row r="259" spans="1:65" ht="34.35" customHeight="1">
      <c r="A259" s="91" t="s">
        <v>514</v>
      </c>
      <c r="B259" s="358" t="s">
        <v>2450</v>
      </c>
      <c r="C259" s="50" t="s">
        <v>178</v>
      </c>
      <c r="D259" s="99" t="s">
        <v>520</v>
      </c>
      <c r="E259" s="391" t="s">
        <v>14</v>
      </c>
      <c r="F259" s="410">
        <v>88442</v>
      </c>
      <c r="G259" s="10">
        <v>103463</v>
      </c>
      <c r="H259" s="167">
        <v>310389</v>
      </c>
      <c r="I259" s="10">
        <v>105000</v>
      </c>
      <c r="J259" s="76">
        <f t="shared" si="358"/>
        <v>104231.5</v>
      </c>
      <c r="K259" s="24">
        <f t="shared" si="359"/>
        <v>15789.5</v>
      </c>
      <c r="L259" s="281">
        <f t="shared" si="360"/>
        <v>0.17852943171796207</v>
      </c>
      <c r="M259" s="431">
        <f t="shared" si="361"/>
        <v>310389</v>
      </c>
      <c r="N259" s="410">
        <v>80382</v>
      </c>
      <c r="O259" s="10">
        <v>79400</v>
      </c>
      <c r="P259" s="10">
        <v>86000</v>
      </c>
      <c r="Q259" s="268">
        <v>82000</v>
      </c>
      <c r="R259" s="10" t="s">
        <v>1421</v>
      </c>
      <c r="S259" s="76">
        <f t="shared" si="362"/>
        <v>82466.666666666672</v>
      </c>
      <c r="T259" s="24">
        <f t="shared" si="363"/>
        <v>2084.6666666666715</v>
      </c>
      <c r="U259" s="281">
        <f t="shared" si="364"/>
        <v>2.5934496114387195E-2</v>
      </c>
      <c r="V259" s="462">
        <f t="shared" si="365"/>
        <v>82466.666666666672</v>
      </c>
      <c r="W259" s="410">
        <v>101205</v>
      </c>
      <c r="X259" s="31">
        <v>131625</v>
      </c>
      <c r="Y259" s="31">
        <v>171113</v>
      </c>
      <c r="Z259" s="472">
        <v>115050</v>
      </c>
      <c r="AA259" s="76">
        <f t="shared" si="366"/>
        <v>139262.66666666666</v>
      </c>
      <c r="AB259" s="24">
        <f t="shared" si="367"/>
        <v>38057.666666666657</v>
      </c>
      <c r="AC259" s="25">
        <f t="shared" si="368"/>
        <v>0.37604532055399098</v>
      </c>
      <c r="AD259" s="309" t="str">
        <f t="shared" si="369"/>
        <v>REVISAR PRECIO</v>
      </c>
      <c r="AE259" s="462">
        <f t="shared" si="370"/>
        <v>139262.66666666666</v>
      </c>
      <c r="AF259" s="499">
        <v>89760</v>
      </c>
      <c r="AG259" s="317"/>
      <c r="AH259" s="317">
        <v>104350</v>
      </c>
      <c r="AI259" s="45">
        <v>100000</v>
      </c>
      <c r="AJ259" s="76">
        <f t="shared" si="371"/>
        <v>102175</v>
      </c>
      <c r="AK259" s="24">
        <f t="shared" si="372"/>
        <v>12415</v>
      </c>
      <c r="AL259" s="281">
        <f t="shared" si="373"/>
        <v>0.1383132798573975</v>
      </c>
      <c r="AM259" s="462">
        <f t="shared" si="357"/>
        <v>102175</v>
      </c>
      <c r="AN259" s="513">
        <v>90206</v>
      </c>
      <c r="AO259" s="88">
        <v>108000</v>
      </c>
      <c r="AP259" s="116">
        <v>108000</v>
      </c>
      <c r="AQ259" s="74">
        <v>113808.97000000002</v>
      </c>
      <c r="AR259" s="76">
        <f t="shared" si="374"/>
        <v>109936.32333333335</v>
      </c>
      <c r="AS259" s="24">
        <f t="shared" si="375"/>
        <v>19730.323333333348</v>
      </c>
      <c r="AT259" s="25">
        <f t="shared" si="376"/>
        <v>0.21872517718703133</v>
      </c>
      <c r="AU259" s="309">
        <f t="shared" si="377"/>
        <v>109936.32333333335</v>
      </c>
      <c r="AV259" s="462">
        <f t="shared" si="378"/>
        <v>109936.32333333335</v>
      </c>
      <c r="AW259" s="513">
        <v>90206</v>
      </c>
      <c r="AX259" s="74">
        <v>118982.10500000001</v>
      </c>
      <c r="AY259" s="74">
        <v>140000</v>
      </c>
      <c r="AZ259" s="75">
        <v>137088.07750000001</v>
      </c>
      <c r="BA259" s="61">
        <v>118982.10500000001</v>
      </c>
      <c r="BB259" s="60">
        <v>260000</v>
      </c>
      <c r="BC259" s="74">
        <v>136829.42074999999</v>
      </c>
      <c r="BD259" s="79">
        <v>137088.07750000001</v>
      </c>
      <c r="BE259" s="79">
        <f>94057*1.1</f>
        <v>103462.70000000001</v>
      </c>
      <c r="BF259" s="127">
        <v>124155.24000000002</v>
      </c>
      <c r="BG259" s="128">
        <v>105600</v>
      </c>
      <c r="BH259" s="128">
        <v>105000</v>
      </c>
      <c r="BI259" s="76">
        <f t="shared" si="379"/>
        <v>151980.28470833332</v>
      </c>
      <c r="BJ259" s="24">
        <f t="shared" si="380"/>
        <v>61774.284708333318</v>
      </c>
      <c r="BK259" s="25">
        <f t="shared" si="381"/>
        <v>0.68481347924010949</v>
      </c>
      <c r="BL259" s="259" t="str">
        <f t="shared" si="382"/>
        <v>REVISAR PRECIO</v>
      </c>
      <c r="BM259" s="533">
        <f t="shared" si="383"/>
        <v>151980.28470833332</v>
      </c>
    </row>
    <row r="260" spans="1:65" ht="45" customHeight="1">
      <c r="A260" s="91" t="s">
        <v>514</v>
      </c>
      <c r="B260" s="358" t="s">
        <v>2451</v>
      </c>
      <c r="C260" s="50" t="s">
        <v>179</v>
      </c>
      <c r="D260" s="99" t="s">
        <v>521</v>
      </c>
      <c r="E260" s="391" t="s">
        <v>10</v>
      </c>
      <c r="F260" s="410">
        <v>4624</v>
      </c>
      <c r="G260" s="10">
        <v>19214</v>
      </c>
      <c r="H260" s="167">
        <v>57642</v>
      </c>
      <c r="I260" s="10">
        <v>22300</v>
      </c>
      <c r="J260" s="76">
        <f t="shared" si="358"/>
        <v>20757</v>
      </c>
      <c r="K260" s="24">
        <f t="shared" si="359"/>
        <v>16133</v>
      </c>
      <c r="L260" s="281">
        <f t="shared" si="360"/>
        <v>3.4889705882352939</v>
      </c>
      <c r="M260" s="431">
        <f t="shared" si="361"/>
        <v>57642</v>
      </c>
      <c r="N260" s="410">
        <v>4206</v>
      </c>
      <c r="O260" s="10">
        <v>78200</v>
      </c>
      <c r="P260" s="10">
        <v>85500</v>
      </c>
      <c r="Q260" s="268">
        <v>85500</v>
      </c>
      <c r="R260" s="10">
        <v>85000</v>
      </c>
      <c r="S260" s="76">
        <f t="shared" si="362"/>
        <v>83550</v>
      </c>
      <c r="T260" s="24">
        <f t="shared" si="363"/>
        <v>79344</v>
      </c>
      <c r="U260" s="281">
        <f t="shared" si="364"/>
        <v>18.86447931526391</v>
      </c>
      <c r="V260" s="462">
        <f t="shared" si="365"/>
        <v>83550</v>
      </c>
      <c r="W260" s="410">
        <v>5294</v>
      </c>
      <c r="X260" s="31">
        <v>6885</v>
      </c>
      <c r="Y260" s="31">
        <v>8951</v>
      </c>
      <c r="Z260" s="472">
        <v>6018</v>
      </c>
      <c r="AA260" s="76">
        <f t="shared" si="366"/>
        <v>7284.666666666667</v>
      </c>
      <c r="AB260" s="24">
        <f t="shared" si="367"/>
        <v>1990.666666666667</v>
      </c>
      <c r="AC260" s="25">
        <f t="shared" si="368"/>
        <v>0.37602317088527898</v>
      </c>
      <c r="AD260" s="309" t="str">
        <f t="shared" si="369"/>
        <v>REVISAR PRECIO</v>
      </c>
      <c r="AE260" s="462">
        <f t="shared" si="370"/>
        <v>7284.666666666667</v>
      </c>
      <c r="AF260" s="410">
        <v>4698</v>
      </c>
      <c r="AG260" s="45"/>
      <c r="AH260" s="45">
        <v>19214</v>
      </c>
      <c r="AI260" s="45">
        <v>25000</v>
      </c>
      <c r="AJ260" s="76">
        <f t="shared" si="371"/>
        <v>22107</v>
      </c>
      <c r="AK260" s="24">
        <f t="shared" si="372"/>
        <v>17409</v>
      </c>
      <c r="AL260" s="281">
        <f t="shared" si="373"/>
        <v>3.7056194125159641</v>
      </c>
      <c r="AM260" s="462">
        <f t="shared" si="357"/>
        <v>22107</v>
      </c>
      <c r="AN260" s="513">
        <v>4718</v>
      </c>
      <c r="AO260" s="88">
        <v>22000</v>
      </c>
      <c r="AP260" s="116">
        <v>22000</v>
      </c>
      <c r="AQ260" s="74">
        <v>21135.113999999998</v>
      </c>
      <c r="AR260" s="76">
        <f t="shared" si="374"/>
        <v>21711.704666666668</v>
      </c>
      <c r="AS260" s="24">
        <f t="shared" si="375"/>
        <v>16993.704666666668</v>
      </c>
      <c r="AT260" s="25">
        <f t="shared" si="376"/>
        <v>3.6018873816588952</v>
      </c>
      <c r="AU260" s="309" t="str">
        <f t="shared" si="377"/>
        <v>REVISAR PRECIO</v>
      </c>
      <c r="AV260" s="462">
        <f t="shared" si="378"/>
        <v>21711.704666666668</v>
      </c>
      <c r="AW260" s="513">
        <v>4718</v>
      </c>
      <c r="AX260" s="74">
        <v>22095.800999999999</v>
      </c>
      <c r="AY260" s="74">
        <v>30000</v>
      </c>
      <c r="AZ260" s="75">
        <v>25458.205499999996</v>
      </c>
      <c r="BA260" s="61">
        <v>22095.800999999996</v>
      </c>
      <c r="BB260" s="60">
        <v>190000</v>
      </c>
      <c r="BC260" s="74">
        <v>25410.171149999995</v>
      </c>
      <c r="BD260" s="79">
        <v>25458.205499999996</v>
      </c>
      <c r="BE260" s="79">
        <f>16146*1.19</f>
        <v>19213.739999999998</v>
      </c>
      <c r="BF260" s="127">
        <v>23056.487999999998</v>
      </c>
      <c r="BG260" s="128">
        <v>21900</v>
      </c>
      <c r="BH260" s="128">
        <v>20000</v>
      </c>
      <c r="BI260" s="76">
        <f t="shared" si="379"/>
        <v>52509.99644166667</v>
      </c>
      <c r="BJ260" s="24">
        <f t="shared" si="380"/>
        <v>47791.99644166667</v>
      </c>
      <c r="BK260" s="25">
        <f t="shared" si="381"/>
        <v>10.129715227144271</v>
      </c>
      <c r="BL260" s="259" t="str">
        <f t="shared" si="382"/>
        <v>REVISAR PRECIO</v>
      </c>
      <c r="BM260" s="533">
        <f t="shared" si="383"/>
        <v>52509.99644166667</v>
      </c>
    </row>
    <row r="261" spans="1:65" ht="56.1" customHeight="1">
      <c r="A261" s="91" t="s">
        <v>514</v>
      </c>
      <c r="B261" s="358" t="s">
        <v>2452</v>
      </c>
      <c r="C261" s="50" t="s">
        <v>180</v>
      </c>
      <c r="D261" s="99" t="s">
        <v>522</v>
      </c>
      <c r="E261" s="391" t="s">
        <v>14</v>
      </c>
      <c r="F261" s="410">
        <v>37287</v>
      </c>
      <c r="G261" s="10">
        <v>268365</v>
      </c>
      <c r="H261" s="167">
        <v>1073460</v>
      </c>
      <c r="I261" s="10">
        <v>265000</v>
      </c>
      <c r="J261" s="76">
        <f t="shared" si="358"/>
        <v>266682.5</v>
      </c>
      <c r="K261" s="24">
        <f t="shared" si="359"/>
        <v>229395.5</v>
      </c>
      <c r="L261" s="281">
        <f t="shared" si="360"/>
        <v>6.1521575884356476</v>
      </c>
      <c r="M261" s="431">
        <f t="shared" si="361"/>
        <v>1073460</v>
      </c>
      <c r="N261" s="410">
        <v>33897</v>
      </c>
      <c r="O261" s="10">
        <v>136000</v>
      </c>
      <c r="P261" s="10">
        <v>145000</v>
      </c>
      <c r="Q261" s="268">
        <v>140000</v>
      </c>
      <c r="R261" s="10">
        <v>145000</v>
      </c>
      <c r="S261" s="76">
        <f t="shared" si="362"/>
        <v>141500</v>
      </c>
      <c r="T261" s="24">
        <f t="shared" si="363"/>
        <v>107603</v>
      </c>
      <c r="U261" s="281">
        <f t="shared" si="364"/>
        <v>3.1744107148125202</v>
      </c>
      <c r="V261" s="462">
        <f t="shared" si="365"/>
        <v>141500</v>
      </c>
      <c r="W261" s="410">
        <v>42672</v>
      </c>
      <c r="X261" s="31">
        <v>55499</v>
      </c>
      <c r="Y261" s="31">
        <v>72148</v>
      </c>
      <c r="Z261" s="472">
        <v>48509.8</v>
      </c>
      <c r="AA261" s="76">
        <f t="shared" si="366"/>
        <v>58718.933333333327</v>
      </c>
      <c r="AB261" s="24">
        <f t="shared" si="367"/>
        <v>16046.933333333327</v>
      </c>
      <c r="AC261" s="25">
        <f t="shared" si="368"/>
        <v>0.37605299337582787</v>
      </c>
      <c r="AD261" s="309" t="str">
        <f t="shared" si="369"/>
        <v>REVISAR PRECIO</v>
      </c>
      <c r="AE261" s="462">
        <f t="shared" si="370"/>
        <v>58718.933333333327</v>
      </c>
      <c r="AF261" s="410">
        <v>37847</v>
      </c>
      <c r="AG261" s="45"/>
      <c r="AH261" s="45">
        <v>268365</v>
      </c>
      <c r="AI261" s="45">
        <v>260000</v>
      </c>
      <c r="AJ261" s="76">
        <f t="shared" si="371"/>
        <v>264182.5</v>
      </c>
      <c r="AK261" s="24">
        <f t="shared" si="372"/>
        <v>226335.5</v>
      </c>
      <c r="AL261" s="281">
        <f t="shared" si="373"/>
        <v>5.9802758474912148</v>
      </c>
      <c r="AM261" s="462">
        <f t="shared" si="357"/>
        <v>264182.5</v>
      </c>
      <c r="AN261" s="513">
        <v>38036</v>
      </c>
      <c r="AO261" s="88">
        <v>298000</v>
      </c>
      <c r="AP261" s="116">
        <v>320000</v>
      </c>
      <c r="AQ261" s="74">
        <v>295201.82999999996</v>
      </c>
      <c r="AR261" s="76">
        <f t="shared" si="374"/>
        <v>304400.61</v>
      </c>
      <c r="AS261" s="24">
        <f t="shared" si="375"/>
        <v>266364.61</v>
      </c>
      <c r="AT261" s="25">
        <f t="shared" si="376"/>
        <v>7.0029606162582816</v>
      </c>
      <c r="AU261" s="309" t="str">
        <f t="shared" si="377"/>
        <v>REVISAR PRECIO</v>
      </c>
      <c r="AV261" s="462">
        <f t="shared" si="378"/>
        <v>304400.61</v>
      </c>
      <c r="AW261" s="513">
        <v>38036</v>
      </c>
      <c r="AX261" s="74">
        <v>308620.09499999997</v>
      </c>
      <c r="AY261" s="74">
        <v>290000</v>
      </c>
      <c r="AZ261" s="75">
        <v>355584.02249999996</v>
      </c>
      <c r="BA261" s="61">
        <v>308620.09499999997</v>
      </c>
      <c r="BB261" s="60">
        <v>360000</v>
      </c>
      <c r="BC261" s="74">
        <v>354913.10924999992</v>
      </c>
      <c r="BD261" s="79">
        <v>355584.02249999996</v>
      </c>
      <c r="BE261" s="79">
        <f>255586*1.05</f>
        <v>268365.3</v>
      </c>
      <c r="BF261" s="127">
        <v>322038.36</v>
      </c>
      <c r="BG261" s="128">
        <v>259600</v>
      </c>
      <c r="BH261" s="128">
        <v>300000</v>
      </c>
      <c r="BI261" s="76">
        <f t="shared" si="379"/>
        <v>329622.88695833331</v>
      </c>
      <c r="BJ261" s="24">
        <f t="shared" si="380"/>
        <v>291586.88695833331</v>
      </c>
      <c r="BK261" s="25">
        <f t="shared" si="381"/>
        <v>7.6660765316629851</v>
      </c>
      <c r="BL261" s="259" t="str">
        <f t="shared" si="382"/>
        <v>REVISAR PRECIO</v>
      </c>
      <c r="BM261" s="533">
        <f t="shared" si="383"/>
        <v>329622.88695833331</v>
      </c>
    </row>
    <row r="262" spans="1:65" ht="43.35" customHeight="1">
      <c r="A262" s="91" t="s">
        <v>514</v>
      </c>
      <c r="B262" s="358" t="s">
        <v>2453</v>
      </c>
      <c r="C262" s="50" t="s">
        <v>181</v>
      </c>
      <c r="D262" s="99" t="s">
        <v>523</v>
      </c>
      <c r="E262" s="391" t="s">
        <v>14</v>
      </c>
      <c r="F262" s="410">
        <v>162131</v>
      </c>
      <c r="G262" s="10">
        <v>190852</v>
      </c>
      <c r="H262" s="167">
        <v>954260</v>
      </c>
      <c r="I262" s="10">
        <v>201500</v>
      </c>
      <c r="J262" s="76">
        <f t="shared" si="358"/>
        <v>196176</v>
      </c>
      <c r="K262" s="24">
        <f t="shared" si="359"/>
        <v>34045</v>
      </c>
      <c r="L262" s="281">
        <f t="shared" si="360"/>
        <v>0.20998451869167525</v>
      </c>
      <c r="M262" s="431">
        <f t="shared" si="361"/>
        <v>954260</v>
      </c>
      <c r="N262" s="410">
        <v>146212</v>
      </c>
      <c r="O262" s="10">
        <v>99000</v>
      </c>
      <c r="P262" s="10">
        <v>106000</v>
      </c>
      <c r="Q262" s="268">
        <v>100000</v>
      </c>
      <c r="R262" s="10">
        <v>100000</v>
      </c>
      <c r="S262" s="76">
        <f t="shared" si="362"/>
        <v>101250</v>
      </c>
      <c r="T262" s="24">
        <f t="shared" si="363"/>
        <v>-44962</v>
      </c>
      <c r="U262" s="281">
        <f t="shared" si="364"/>
        <v>-0.30751237928487402</v>
      </c>
      <c r="V262" s="462">
        <f t="shared" si="365"/>
        <v>101250</v>
      </c>
      <c r="W262" s="410">
        <v>181899</v>
      </c>
      <c r="X262" s="31">
        <v>236574</v>
      </c>
      <c r="Y262" s="31">
        <v>307546</v>
      </c>
      <c r="Z262" s="472">
        <v>206783.2</v>
      </c>
      <c r="AA262" s="76">
        <f t="shared" si="366"/>
        <v>250301.06666666665</v>
      </c>
      <c r="AB262" s="24">
        <f t="shared" si="367"/>
        <v>68402.066666666651</v>
      </c>
      <c r="AC262" s="25">
        <f t="shared" si="368"/>
        <v>0.37604421501309326</v>
      </c>
      <c r="AD262" s="309" t="str">
        <f t="shared" si="369"/>
        <v>REVISAR PRECIO</v>
      </c>
      <c r="AE262" s="462">
        <f t="shared" si="370"/>
        <v>250301.06666666665</v>
      </c>
      <c r="AF262" s="410">
        <v>162130</v>
      </c>
      <c r="AG262" s="45"/>
      <c r="AH262" s="45">
        <v>191295</v>
      </c>
      <c r="AI262" s="45">
        <v>95000</v>
      </c>
      <c r="AJ262" s="76">
        <f t="shared" si="371"/>
        <v>143147.5</v>
      </c>
      <c r="AK262" s="24">
        <f t="shared" si="372"/>
        <v>-18982.5</v>
      </c>
      <c r="AL262" s="281">
        <f t="shared" si="373"/>
        <v>-0.11708197125763277</v>
      </c>
      <c r="AM262" s="462">
        <f t="shared" si="357"/>
        <v>143147.5</v>
      </c>
      <c r="AN262" s="513">
        <v>162130</v>
      </c>
      <c r="AO262" s="88">
        <v>210000</v>
      </c>
      <c r="AP262" s="116">
        <v>210000</v>
      </c>
      <c r="AQ262" s="74">
        <v>209937.42</v>
      </c>
      <c r="AR262" s="76">
        <f t="shared" si="374"/>
        <v>209979.14</v>
      </c>
      <c r="AS262" s="24">
        <f t="shared" si="375"/>
        <v>47849.140000000014</v>
      </c>
      <c r="AT262" s="25">
        <f t="shared" si="376"/>
        <v>0.29512823043236919</v>
      </c>
      <c r="AU262" s="309">
        <f t="shared" si="377"/>
        <v>209979.14</v>
      </c>
      <c r="AV262" s="462">
        <f t="shared" si="378"/>
        <v>209979.14</v>
      </c>
      <c r="AW262" s="513">
        <v>162130</v>
      </c>
      <c r="AX262" s="74">
        <v>219480.03000000003</v>
      </c>
      <c r="AY262" s="74">
        <v>230000</v>
      </c>
      <c r="AZ262" s="75">
        <v>252879.16500000001</v>
      </c>
      <c r="BA262" s="61">
        <v>219480.03</v>
      </c>
      <c r="BB262" s="60">
        <v>140000</v>
      </c>
      <c r="BC262" s="74">
        <v>252402.03449999998</v>
      </c>
      <c r="BD262" s="79">
        <v>252879.16500000001</v>
      </c>
      <c r="BE262" s="79">
        <f>181764*1.05</f>
        <v>190852.2</v>
      </c>
      <c r="BF262" s="127">
        <v>229022.64</v>
      </c>
      <c r="BG262" s="128">
        <v>234200</v>
      </c>
      <c r="BH262" s="128">
        <v>210000</v>
      </c>
      <c r="BI262" s="76">
        <f t="shared" si="379"/>
        <v>219040.2099166667</v>
      </c>
      <c r="BJ262" s="24">
        <f t="shared" si="380"/>
        <v>56910.209916666703</v>
      </c>
      <c r="BK262" s="25">
        <f t="shared" si="381"/>
        <v>0.35101591264211868</v>
      </c>
      <c r="BL262" s="259" t="str">
        <f t="shared" si="382"/>
        <v>REVISAR PRECIO</v>
      </c>
      <c r="BM262" s="533">
        <f t="shared" si="383"/>
        <v>219040.2099166667</v>
      </c>
    </row>
    <row r="263" spans="1:65" ht="35.1" customHeight="1">
      <c r="A263" s="91" t="s">
        <v>514</v>
      </c>
      <c r="B263" s="358" t="s">
        <v>2454</v>
      </c>
      <c r="C263" s="50" t="s">
        <v>182</v>
      </c>
      <c r="D263" s="99" t="s">
        <v>524</v>
      </c>
      <c r="E263" s="391" t="s">
        <v>14</v>
      </c>
      <c r="F263" s="410">
        <v>14847</v>
      </c>
      <c r="G263" s="10">
        <v>85000</v>
      </c>
      <c r="H263" s="167">
        <v>9000</v>
      </c>
      <c r="I263" s="10">
        <v>65000</v>
      </c>
      <c r="J263" s="76">
        <f t="shared" si="358"/>
        <v>75000</v>
      </c>
      <c r="K263" s="24">
        <f t="shared" si="359"/>
        <v>60153</v>
      </c>
      <c r="L263" s="281">
        <f t="shared" si="360"/>
        <v>4.0515255607193374</v>
      </c>
      <c r="M263" s="431">
        <f t="shared" si="361"/>
        <v>9000</v>
      </c>
      <c r="N263" s="410">
        <v>13489</v>
      </c>
      <c r="O263" s="10">
        <v>40000</v>
      </c>
      <c r="P263" s="10">
        <v>47000</v>
      </c>
      <c r="Q263" s="268">
        <v>45000</v>
      </c>
      <c r="R263" s="10">
        <v>45000</v>
      </c>
      <c r="S263" s="76">
        <f t="shared" si="362"/>
        <v>44250</v>
      </c>
      <c r="T263" s="24">
        <f t="shared" si="363"/>
        <v>30761</v>
      </c>
      <c r="U263" s="281">
        <f t="shared" si="364"/>
        <v>2.2804507376380756</v>
      </c>
      <c r="V263" s="462">
        <f t="shared" si="365"/>
        <v>44250</v>
      </c>
      <c r="W263" s="410">
        <v>16992</v>
      </c>
      <c r="X263" s="31">
        <v>22100</v>
      </c>
      <c r="Y263" s="31">
        <v>28729</v>
      </c>
      <c r="Z263" s="472">
        <v>19316.599999999999</v>
      </c>
      <c r="AA263" s="76">
        <f t="shared" si="366"/>
        <v>23381.866666666669</v>
      </c>
      <c r="AB263" s="24">
        <f t="shared" si="367"/>
        <v>6389.8666666666686</v>
      </c>
      <c r="AC263" s="25">
        <f t="shared" si="368"/>
        <v>0.37605147520401772</v>
      </c>
      <c r="AD263" s="309" t="str">
        <f t="shared" si="369"/>
        <v>REVISAR PRECIO</v>
      </c>
      <c r="AE263" s="462">
        <f t="shared" si="370"/>
        <v>23381.866666666669</v>
      </c>
      <c r="AF263" s="410">
        <v>15065</v>
      </c>
      <c r="AG263" s="45"/>
      <c r="AH263" s="45">
        <v>17516</v>
      </c>
      <c r="AI263" s="45">
        <v>45000</v>
      </c>
      <c r="AJ263" s="76">
        <f t="shared" si="371"/>
        <v>31258</v>
      </c>
      <c r="AK263" s="24">
        <f t="shared" si="372"/>
        <v>16193</v>
      </c>
      <c r="AL263" s="281">
        <f t="shared" si="373"/>
        <v>1.0748755393295719</v>
      </c>
      <c r="AM263" s="462">
        <f t="shared" si="357"/>
        <v>31258</v>
      </c>
      <c r="AN263" s="513">
        <v>15140</v>
      </c>
      <c r="AO263" s="88">
        <v>50000</v>
      </c>
      <c r="AP263" s="116">
        <v>50000</v>
      </c>
      <c r="AQ263" s="74">
        <v>49500</v>
      </c>
      <c r="AR263" s="76">
        <f t="shared" si="374"/>
        <v>49833.333333333336</v>
      </c>
      <c r="AS263" s="24">
        <f t="shared" si="375"/>
        <v>34693.333333333336</v>
      </c>
      <c r="AT263" s="25">
        <f t="shared" si="376"/>
        <v>2.2915015411712902</v>
      </c>
      <c r="AU263" s="309" t="str">
        <f t="shared" si="377"/>
        <v>REVISAR PRECIO</v>
      </c>
      <c r="AV263" s="462">
        <f t="shared" si="378"/>
        <v>49833.333333333336</v>
      </c>
      <c r="AW263" s="513">
        <v>15140</v>
      </c>
      <c r="AX263" s="74">
        <v>51750</v>
      </c>
      <c r="AY263" s="74">
        <v>80000</v>
      </c>
      <c r="AZ263" s="75">
        <v>59625</v>
      </c>
      <c r="BA263" s="61">
        <v>51749.999999999993</v>
      </c>
      <c r="BB263" s="60">
        <v>120000</v>
      </c>
      <c r="BC263" s="74">
        <v>59512.499999999985</v>
      </c>
      <c r="BD263" s="79">
        <v>59625</v>
      </c>
      <c r="BE263" s="79">
        <v>45000</v>
      </c>
      <c r="BF263" s="127">
        <v>54000</v>
      </c>
      <c r="BG263" s="128">
        <v>44200</v>
      </c>
      <c r="BH263" s="128">
        <v>50000</v>
      </c>
      <c r="BI263" s="76">
        <f t="shared" si="379"/>
        <v>70439.583333333328</v>
      </c>
      <c r="BJ263" s="24">
        <f t="shared" si="380"/>
        <v>55299.583333333328</v>
      </c>
      <c r="BK263" s="25">
        <f t="shared" si="381"/>
        <v>3.6525484368119767</v>
      </c>
      <c r="BL263" s="259" t="str">
        <f t="shared" si="382"/>
        <v>REVISAR PRECIO</v>
      </c>
      <c r="BM263" s="533">
        <f t="shared" si="383"/>
        <v>70439.583333333328</v>
      </c>
    </row>
    <row r="264" spans="1:65" ht="47.1" customHeight="1">
      <c r="A264" s="91" t="s">
        <v>514</v>
      </c>
      <c r="B264" s="358" t="s">
        <v>2455</v>
      </c>
      <c r="C264" s="50" t="s">
        <v>183</v>
      </c>
      <c r="D264" s="99" t="s">
        <v>525</v>
      </c>
      <c r="E264" s="391" t="s">
        <v>14</v>
      </c>
      <c r="F264" s="410">
        <v>84968</v>
      </c>
      <c r="G264" s="10">
        <v>34860</v>
      </c>
      <c r="H264" s="167">
        <v>69720</v>
      </c>
      <c r="I264" s="10">
        <v>49800</v>
      </c>
      <c r="J264" s="76">
        <f t="shared" si="358"/>
        <v>42330</v>
      </c>
      <c r="K264" s="24">
        <f t="shared" si="359"/>
        <v>-42638</v>
      </c>
      <c r="L264" s="281">
        <f t="shared" si="360"/>
        <v>-0.50181244703888528</v>
      </c>
      <c r="M264" s="431">
        <f t="shared" si="361"/>
        <v>69720</v>
      </c>
      <c r="N264" s="410">
        <v>77231</v>
      </c>
      <c r="O264" s="10">
        <v>48000</v>
      </c>
      <c r="P264" s="10">
        <v>55000</v>
      </c>
      <c r="Q264" s="268">
        <v>52000</v>
      </c>
      <c r="R264" s="10">
        <v>55000</v>
      </c>
      <c r="S264" s="76">
        <f t="shared" si="362"/>
        <v>52500</v>
      </c>
      <c r="T264" s="24">
        <f t="shared" si="363"/>
        <v>-24731</v>
      </c>
      <c r="U264" s="281">
        <f t="shared" si="364"/>
        <v>-0.32022115471766521</v>
      </c>
      <c r="V264" s="462">
        <f t="shared" si="365"/>
        <v>52500</v>
      </c>
      <c r="W264" s="410">
        <v>122899</v>
      </c>
      <c r="X264" s="33">
        <v>159840</v>
      </c>
      <c r="Y264" s="31">
        <v>207792</v>
      </c>
      <c r="Z264" s="472">
        <v>139712</v>
      </c>
      <c r="AA264" s="76">
        <f t="shared" si="366"/>
        <v>169114.66666666666</v>
      </c>
      <c r="AB264" s="24">
        <f t="shared" si="367"/>
        <v>46215.666666666657</v>
      </c>
      <c r="AC264" s="25">
        <f t="shared" si="368"/>
        <v>0.37604591303970464</v>
      </c>
      <c r="AD264" s="309" t="str">
        <f t="shared" si="369"/>
        <v>REVISAR PRECIO</v>
      </c>
      <c r="AE264" s="462">
        <f t="shared" si="370"/>
        <v>169114.66666666666</v>
      </c>
      <c r="AF264" s="410">
        <v>86238</v>
      </c>
      <c r="AG264" s="45"/>
      <c r="AH264" s="45">
        <v>100250</v>
      </c>
      <c r="AI264" s="45">
        <v>50000</v>
      </c>
      <c r="AJ264" s="76">
        <f t="shared" si="371"/>
        <v>75125</v>
      </c>
      <c r="AK264" s="24">
        <f t="shared" si="372"/>
        <v>-11113</v>
      </c>
      <c r="AL264" s="281">
        <f t="shared" si="373"/>
        <v>-0.12886430575848234</v>
      </c>
      <c r="AM264" s="462">
        <f t="shared" si="357"/>
        <v>75125</v>
      </c>
      <c r="AN264" s="513">
        <v>86665</v>
      </c>
      <c r="AO264" s="88">
        <v>39000</v>
      </c>
      <c r="AP264" s="116">
        <v>39000</v>
      </c>
      <c r="AQ264" s="74">
        <v>38346</v>
      </c>
      <c r="AR264" s="76">
        <f t="shared" si="374"/>
        <v>38782</v>
      </c>
      <c r="AS264" s="24">
        <f t="shared" si="375"/>
        <v>-47883</v>
      </c>
      <c r="AT264" s="25">
        <f t="shared" si="376"/>
        <v>-0.55250677897651879</v>
      </c>
      <c r="AU264" s="309">
        <f t="shared" si="377"/>
        <v>38782</v>
      </c>
      <c r="AV264" s="462">
        <f t="shared" si="378"/>
        <v>38782</v>
      </c>
      <c r="AW264" s="513">
        <v>86665</v>
      </c>
      <c r="AX264" s="74">
        <v>40089</v>
      </c>
      <c r="AY264" s="74">
        <v>60000</v>
      </c>
      <c r="AZ264" s="75">
        <v>46189.5</v>
      </c>
      <c r="BA264" s="61">
        <v>40089</v>
      </c>
      <c r="BB264" s="60">
        <v>140000</v>
      </c>
      <c r="BC264" s="74">
        <v>46102.35</v>
      </c>
      <c r="BD264" s="79">
        <v>46189.5</v>
      </c>
      <c r="BE264" s="79">
        <f>24900*1.4</f>
        <v>34860</v>
      </c>
      <c r="BF264" s="127">
        <v>41832</v>
      </c>
      <c r="BG264" s="128">
        <v>41700</v>
      </c>
      <c r="BH264" s="128">
        <v>40000</v>
      </c>
      <c r="BI264" s="76">
        <f t="shared" si="379"/>
        <v>62078.308333333327</v>
      </c>
      <c r="BJ264" s="24">
        <f t="shared" si="380"/>
        <v>-24586.691666666673</v>
      </c>
      <c r="BK264" s="25">
        <f t="shared" si="381"/>
        <v>-0.28369805188561326</v>
      </c>
      <c r="BL264" s="259">
        <f t="shared" si="382"/>
        <v>62078.308333333327</v>
      </c>
      <c r="BM264" s="533">
        <f t="shared" si="383"/>
        <v>62078.308333333327</v>
      </c>
    </row>
    <row r="265" spans="1:65" ht="45" customHeight="1">
      <c r="A265" s="91" t="s">
        <v>514</v>
      </c>
      <c r="B265" s="358" t="s">
        <v>2456</v>
      </c>
      <c r="C265" s="50" t="s">
        <v>184</v>
      </c>
      <c r="D265" s="99" t="s">
        <v>20</v>
      </c>
      <c r="E265" s="391" t="s">
        <v>14</v>
      </c>
      <c r="F265" s="410">
        <v>15369</v>
      </c>
      <c r="G265" s="10">
        <v>31900</v>
      </c>
      <c r="H265" s="167">
        <v>95700</v>
      </c>
      <c r="I265" s="10">
        <v>45900</v>
      </c>
      <c r="J265" s="76">
        <f t="shared" si="358"/>
        <v>38900</v>
      </c>
      <c r="K265" s="24">
        <f t="shared" si="359"/>
        <v>23531</v>
      </c>
      <c r="L265" s="281">
        <f t="shared" si="360"/>
        <v>1.5310690350705967</v>
      </c>
      <c r="M265" s="431">
        <f t="shared" si="361"/>
        <v>95700</v>
      </c>
      <c r="N265" s="410">
        <v>13830</v>
      </c>
      <c r="O265" s="10">
        <v>45000</v>
      </c>
      <c r="P265" s="10">
        <v>51000</v>
      </c>
      <c r="Q265" s="268">
        <v>51000</v>
      </c>
      <c r="R265" s="10">
        <v>75000</v>
      </c>
      <c r="S265" s="76">
        <f t="shared" si="362"/>
        <v>55500</v>
      </c>
      <c r="T265" s="24">
        <f t="shared" si="363"/>
        <v>41670</v>
      </c>
      <c r="U265" s="281">
        <f t="shared" si="364"/>
        <v>3.013015184381779</v>
      </c>
      <c r="V265" s="462">
        <f t="shared" si="365"/>
        <v>55500</v>
      </c>
      <c r="W265" s="410">
        <v>21175</v>
      </c>
      <c r="X265" s="31">
        <v>27540</v>
      </c>
      <c r="Y265" s="31">
        <v>35802</v>
      </c>
      <c r="Z265" s="472">
        <v>24072</v>
      </c>
      <c r="AA265" s="76">
        <f t="shared" si="366"/>
        <v>29138</v>
      </c>
      <c r="AB265" s="24">
        <f t="shared" si="367"/>
        <v>7963</v>
      </c>
      <c r="AC265" s="25">
        <f t="shared" si="368"/>
        <v>0.37605667060212516</v>
      </c>
      <c r="AD265" s="309" t="str">
        <f t="shared" si="369"/>
        <v>REVISAR PRECIO</v>
      </c>
      <c r="AE265" s="462">
        <f t="shared" si="370"/>
        <v>29138</v>
      </c>
      <c r="AF265" s="410">
        <v>15369</v>
      </c>
      <c r="AG265" s="45"/>
      <c r="AH265" s="45">
        <v>31900</v>
      </c>
      <c r="AI265" s="45">
        <v>45000</v>
      </c>
      <c r="AJ265" s="76">
        <f t="shared" si="371"/>
        <v>38450</v>
      </c>
      <c r="AK265" s="24">
        <f t="shared" si="372"/>
        <v>23081</v>
      </c>
      <c r="AL265" s="281">
        <f t="shared" si="373"/>
        <v>1.5017893161558982</v>
      </c>
      <c r="AM265" s="462">
        <f t="shared" si="357"/>
        <v>38450</v>
      </c>
      <c r="AN265" s="513">
        <v>15369</v>
      </c>
      <c r="AO265" s="88">
        <v>35000</v>
      </c>
      <c r="AP265" s="116">
        <v>35000</v>
      </c>
      <c r="AQ265" s="74">
        <v>35090</v>
      </c>
      <c r="AR265" s="76">
        <f t="shared" si="374"/>
        <v>35030</v>
      </c>
      <c r="AS265" s="24">
        <f t="shared" si="375"/>
        <v>19661</v>
      </c>
      <c r="AT265" s="25">
        <f t="shared" si="376"/>
        <v>1.2792634524041901</v>
      </c>
      <c r="AU265" s="309" t="str">
        <f t="shared" si="377"/>
        <v>REVISAR PRECIO</v>
      </c>
      <c r="AV265" s="462">
        <f t="shared" si="378"/>
        <v>35030</v>
      </c>
      <c r="AW265" s="513">
        <v>15369</v>
      </c>
      <c r="AX265" s="74">
        <v>36685</v>
      </c>
      <c r="AY265" s="74">
        <v>40000</v>
      </c>
      <c r="AZ265" s="75">
        <v>42267.5</v>
      </c>
      <c r="BA265" s="61">
        <v>36685</v>
      </c>
      <c r="BB265" s="60">
        <v>90000</v>
      </c>
      <c r="BC265" s="74">
        <v>42187.75</v>
      </c>
      <c r="BD265" s="79">
        <v>42267.5</v>
      </c>
      <c r="BE265" s="79">
        <f>22000*1.45</f>
        <v>31900</v>
      </c>
      <c r="BF265" s="127">
        <v>38280</v>
      </c>
      <c r="BG265" s="128">
        <v>31900</v>
      </c>
      <c r="BH265" s="128">
        <v>30000</v>
      </c>
      <c r="BI265" s="76">
        <f t="shared" si="379"/>
        <v>47970.875</v>
      </c>
      <c r="BJ265" s="24">
        <f t="shared" si="380"/>
        <v>32601.875</v>
      </c>
      <c r="BK265" s="25">
        <f t="shared" si="381"/>
        <v>2.1212749690936299</v>
      </c>
      <c r="BL265" s="259" t="str">
        <f t="shared" si="382"/>
        <v>REVISAR PRECIO</v>
      </c>
      <c r="BM265" s="533">
        <f t="shared" si="383"/>
        <v>47970.875</v>
      </c>
    </row>
    <row r="266" spans="1:65" ht="45" customHeight="1">
      <c r="A266" s="91" t="s">
        <v>514</v>
      </c>
      <c r="B266" s="358" t="s">
        <v>2457</v>
      </c>
      <c r="C266" s="50" t="s">
        <v>185</v>
      </c>
      <c r="D266" s="99" t="s">
        <v>21</v>
      </c>
      <c r="E266" s="391" t="s">
        <v>14</v>
      </c>
      <c r="F266" s="410">
        <v>75485</v>
      </c>
      <c r="G266" s="10">
        <v>56000</v>
      </c>
      <c r="H266" s="167">
        <v>112000</v>
      </c>
      <c r="I266" s="10">
        <v>80000</v>
      </c>
      <c r="J266" s="76">
        <f t="shared" si="358"/>
        <v>68000</v>
      </c>
      <c r="K266" s="24">
        <f t="shared" si="359"/>
        <v>-7485</v>
      </c>
      <c r="L266" s="281">
        <f t="shared" si="360"/>
        <v>-9.9158773266211836E-2</v>
      </c>
      <c r="M266" s="431">
        <f t="shared" si="361"/>
        <v>112000</v>
      </c>
      <c r="N266" s="410">
        <v>67937</v>
      </c>
      <c r="O266" s="10">
        <v>89000</v>
      </c>
      <c r="P266" s="10">
        <v>95000</v>
      </c>
      <c r="Q266" s="268">
        <v>93000</v>
      </c>
      <c r="R266" s="10">
        <v>85000</v>
      </c>
      <c r="S266" s="76">
        <f t="shared" si="362"/>
        <v>90500</v>
      </c>
      <c r="T266" s="24">
        <f t="shared" si="363"/>
        <v>22563</v>
      </c>
      <c r="U266" s="281">
        <f t="shared" si="364"/>
        <v>0.33211651971679645</v>
      </c>
      <c r="V266" s="462">
        <f t="shared" si="365"/>
        <v>90500</v>
      </c>
      <c r="W266" s="410">
        <v>104008</v>
      </c>
      <c r="X266" s="31">
        <v>135270</v>
      </c>
      <c r="Y266" s="31">
        <v>175851</v>
      </c>
      <c r="Z266" s="472">
        <v>118236</v>
      </c>
      <c r="AA266" s="76">
        <f t="shared" si="366"/>
        <v>143119</v>
      </c>
      <c r="AB266" s="24">
        <f t="shared" si="367"/>
        <v>39111</v>
      </c>
      <c r="AC266" s="25">
        <f t="shared" si="368"/>
        <v>0.37603838166294901</v>
      </c>
      <c r="AD266" s="309" t="str">
        <f t="shared" si="369"/>
        <v>REVISAR PRECIO</v>
      </c>
      <c r="AE266" s="462">
        <f t="shared" si="370"/>
        <v>143119</v>
      </c>
      <c r="AF266" s="410">
        <v>75484</v>
      </c>
      <c r="AG266" s="45"/>
      <c r="AH266" s="45">
        <v>89065</v>
      </c>
      <c r="AI266" s="45">
        <v>55000</v>
      </c>
      <c r="AJ266" s="76">
        <f t="shared" si="371"/>
        <v>72032.5</v>
      </c>
      <c r="AK266" s="24">
        <f t="shared" si="372"/>
        <v>-3451.5</v>
      </c>
      <c r="AL266" s="281">
        <f t="shared" si="373"/>
        <v>-4.5724921837740448E-2</v>
      </c>
      <c r="AM266" s="462">
        <f t="shared" si="357"/>
        <v>72032.5</v>
      </c>
      <c r="AN266" s="513">
        <v>75484</v>
      </c>
      <c r="AO266" s="88">
        <v>58800</v>
      </c>
      <c r="AP266" s="116">
        <v>58800</v>
      </c>
      <c r="AQ266" s="74">
        <v>61600</v>
      </c>
      <c r="AR266" s="76">
        <f t="shared" si="374"/>
        <v>59733.333333333336</v>
      </c>
      <c r="AS266" s="24">
        <f t="shared" si="375"/>
        <v>-15750.666666666664</v>
      </c>
      <c r="AT266" s="25">
        <f t="shared" si="376"/>
        <v>-0.20866232137494919</v>
      </c>
      <c r="AU266" s="309">
        <f t="shared" si="377"/>
        <v>59733.333333333336</v>
      </c>
      <c r="AV266" s="462">
        <f t="shared" si="378"/>
        <v>59733.333333333336</v>
      </c>
      <c r="AW266" s="513">
        <v>75484</v>
      </c>
      <c r="AX266" s="74">
        <v>64400</v>
      </c>
      <c r="AY266" s="74">
        <v>100000</v>
      </c>
      <c r="AZ266" s="75">
        <v>74200</v>
      </c>
      <c r="BA266" s="61">
        <v>64399.999999999993</v>
      </c>
      <c r="BB266" s="60">
        <v>140000</v>
      </c>
      <c r="BC266" s="74">
        <v>74059.999999999985</v>
      </c>
      <c r="BD266" s="79">
        <v>74200</v>
      </c>
      <c r="BE266" s="79">
        <f>40000*1.4</f>
        <v>56000</v>
      </c>
      <c r="BF266" s="127">
        <v>67200</v>
      </c>
      <c r="BG266" s="128">
        <v>55100</v>
      </c>
      <c r="BH266" s="128">
        <v>55000</v>
      </c>
      <c r="BI266" s="76">
        <f t="shared" si="379"/>
        <v>86176.666666666672</v>
      </c>
      <c r="BJ266" s="24">
        <f t="shared" si="380"/>
        <v>10692.666666666672</v>
      </c>
      <c r="BK266" s="25">
        <f t="shared" si="381"/>
        <v>0.14165474361012495</v>
      </c>
      <c r="BL266" s="259">
        <f t="shared" si="382"/>
        <v>86176.666666666672</v>
      </c>
      <c r="BM266" s="533">
        <f t="shared" si="383"/>
        <v>86176.666666666672</v>
      </c>
    </row>
    <row r="267" spans="1:65" ht="45" customHeight="1">
      <c r="A267" s="91" t="s">
        <v>514</v>
      </c>
      <c r="B267" s="358" t="s">
        <v>2458</v>
      </c>
      <c r="C267" s="50" t="s">
        <v>186</v>
      </c>
      <c r="D267" s="99" t="s">
        <v>526</v>
      </c>
      <c r="E267" s="391" t="s">
        <v>22</v>
      </c>
      <c r="F267" s="410">
        <v>97517</v>
      </c>
      <c r="G267" s="10">
        <v>30786</v>
      </c>
      <c r="H267" s="167">
        <v>61572</v>
      </c>
      <c r="I267" s="10">
        <v>203000</v>
      </c>
      <c r="J267" s="76">
        <f t="shared" si="358"/>
        <v>116893</v>
      </c>
      <c r="K267" s="24">
        <f t="shared" si="359"/>
        <v>19376</v>
      </c>
      <c r="L267" s="281">
        <f t="shared" si="360"/>
        <v>0.19869356112267605</v>
      </c>
      <c r="M267" s="431">
        <f t="shared" si="361"/>
        <v>61572</v>
      </c>
      <c r="N267" s="410">
        <v>88640</v>
      </c>
      <c r="O267" s="10">
        <v>79900</v>
      </c>
      <c r="P267" s="10">
        <v>85000</v>
      </c>
      <c r="Q267" s="268">
        <v>80000</v>
      </c>
      <c r="R267" s="10">
        <v>120000</v>
      </c>
      <c r="S267" s="76">
        <f t="shared" si="362"/>
        <v>91225</v>
      </c>
      <c r="T267" s="24">
        <f t="shared" si="363"/>
        <v>2585</v>
      </c>
      <c r="U267" s="281">
        <f t="shared" si="364"/>
        <v>2.9162906137184117E-2</v>
      </c>
      <c r="V267" s="462">
        <f t="shared" si="365"/>
        <v>91225</v>
      </c>
      <c r="W267" s="410">
        <v>137047</v>
      </c>
      <c r="X267" s="31">
        <v>178241</v>
      </c>
      <c r="Y267" s="31">
        <v>178241</v>
      </c>
      <c r="Z267" s="472">
        <v>155795.4</v>
      </c>
      <c r="AA267" s="76">
        <f t="shared" si="366"/>
        <v>170759.13333333333</v>
      </c>
      <c r="AB267" s="24">
        <f t="shared" si="367"/>
        <v>33712.133333333331</v>
      </c>
      <c r="AC267" s="25">
        <f t="shared" si="368"/>
        <v>0.24598957535249463</v>
      </c>
      <c r="AD267" s="309">
        <f t="shared" si="369"/>
        <v>170759.13333333333</v>
      </c>
      <c r="AE267" s="462">
        <f t="shared" si="370"/>
        <v>170759.13333333333</v>
      </c>
      <c r="AF267" s="410">
        <v>98977</v>
      </c>
      <c r="AG267" s="45"/>
      <c r="AH267" s="45">
        <v>115062</v>
      </c>
      <c r="AI267" s="45">
        <v>45000</v>
      </c>
      <c r="AJ267" s="76">
        <f t="shared" si="371"/>
        <v>80031</v>
      </c>
      <c r="AK267" s="24">
        <f t="shared" si="372"/>
        <v>-18946</v>
      </c>
      <c r="AL267" s="281">
        <f t="shared" si="373"/>
        <v>-0.19141820827060832</v>
      </c>
      <c r="AM267" s="462">
        <f t="shared" si="357"/>
        <v>80031</v>
      </c>
      <c r="AN267" s="513">
        <v>99471</v>
      </c>
      <c r="AO267" s="88">
        <v>33000</v>
      </c>
      <c r="AP267" s="116">
        <v>33000</v>
      </c>
      <c r="AQ267" s="74">
        <v>33864.6</v>
      </c>
      <c r="AR267" s="76">
        <f t="shared" si="374"/>
        <v>33288.200000000004</v>
      </c>
      <c r="AS267" s="24">
        <f t="shared" si="375"/>
        <v>-66182.799999999988</v>
      </c>
      <c r="AT267" s="25">
        <f t="shared" si="376"/>
        <v>-0.66534768927627141</v>
      </c>
      <c r="AU267" s="309">
        <f t="shared" si="377"/>
        <v>33288.200000000004</v>
      </c>
      <c r="AV267" s="462">
        <f t="shared" si="378"/>
        <v>33288.200000000004</v>
      </c>
      <c r="AW267" s="513">
        <v>99471</v>
      </c>
      <c r="AX267" s="74">
        <v>35403.899999999994</v>
      </c>
      <c r="AY267" s="74">
        <v>50000</v>
      </c>
      <c r="AZ267" s="75">
        <v>40791.449999999997</v>
      </c>
      <c r="BA267" s="61">
        <v>35403.899999999994</v>
      </c>
      <c r="BB267" s="60">
        <v>18000</v>
      </c>
      <c r="BC267" s="74">
        <v>40714.484999999993</v>
      </c>
      <c r="BD267" s="79">
        <v>40791.449999999997</v>
      </c>
      <c r="BE267" s="79">
        <f>21990*1.4</f>
        <v>30785.999999999996</v>
      </c>
      <c r="BF267" s="127">
        <v>36943.199999999997</v>
      </c>
      <c r="BG267" s="128">
        <v>36200</v>
      </c>
      <c r="BH267" s="128">
        <v>30000</v>
      </c>
      <c r="BI267" s="76">
        <f t="shared" si="379"/>
        <v>36718.955833333333</v>
      </c>
      <c r="BJ267" s="24">
        <f t="shared" si="380"/>
        <v>-62752.044166666667</v>
      </c>
      <c r="BK267" s="25">
        <f t="shared" si="381"/>
        <v>-0.63085767878745225</v>
      </c>
      <c r="BL267" s="259">
        <f t="shared" si="382"/>
        <v>36718.955833333333</v>
      </c>
      <c r="BM267" s="533">
        <f t="shared" si="383"/>
        <v>36718.955833333333</v>
      </c>
    </row>
    <row r="268" spans="1:65" ht="45" customHeight="1">
      <c r="A268" s="91" t="s">
        <v>514</v>
      </c>
      <c r="B268" s="358" t="s">
        <v>2459</v>
      </c>
      <c r="C268" s="50" t="s">
        <v>187</v>
      </c>
      <c r="D268" s="99" t="s">
        <v>527</v>
      </c>
      <c r="E268" s="391" t="s">
        <v>14</v>
      </c>
      <c r="F268" s="410">
        <v>61578</v>
      </c>
      <c r="G268" s="10">
        <v>117645</v>
      </c>
      <c r="H268" s="167">
        <v>352935</v>
      </c>
      <c r="I268" s="10">
        <v>145000</v>
      </c>
      <c r="J268" s="76">
        <f t="shared" si="358"/>
        <v>131322.5</v>
      </c>
      <c r="K268" s="24">
        <f t="shared" si="359"/>
        <v>69744.5</v>
      </c>
      <c r="L268" s="281">
        <f t="shared" si="360"/>
        <v>1.1326204163824742</v>
      </c>
      <c r="M268" s="431">
        <f t="shared" si="361"/>
        <v>352935</v>
      </c>
      <c r="N268" s="410">
        <v>55967</v>
      </c>
      <c r="O268" s="10">
        <v>70000</v>
      </c>
      <c r="P268" s="10">
        <v>76500</v>
      </c>
      <c r="Q268" s="268">
        <v>74000</v>
      </c>
      <c r="R268" s="10">
        <v>120000</v>
      </c>
      <c r="S268" s="76">
        <f t="shared" si="362"/>
        <v>85125</v>
      </c>
      <c r="T268" s="24">
        <f t="shared" si="363"/>
        <v>29158</v>
      </c>
      <c r="U268" s="281">
        <f t="shared" si="364"/>
        <v>0.52098558078867907</v>
      </c>
      <c r="V268" s="462">
        <f t="shared" si="365"/>
        <v>85125</v>
      </c>
      <c r="W268" s="410">
        <v>86538</v>
      </c>
      <c r="X268" s="31">
        <v>112550</v>
      </c>
      <c r="Y268" s="31">
        <v>146314</v>
      </c>
      <c r="Z268" s="472">
        <v>98376.6</v>
      </c>
      <c r="AA268" s="76">
        <f t="shared" si="366"/>
        <v>119080.2</v>
      </c>
      <c r="AB268" s="24">
        <f t="shared" si="367"/>
        <v>32542.199999999997</v>
      </c>
      <c r="AC268" s="25">
        <f t="shared" si="368"/>
        <v>0.37604520557442972</v>
      </c>
      <c r="AD268" s="309" t="str">
        <f t="shared" si="369"/>
        <v>REVISAR PRECIO</v>
      </c>
      <c r="AE268" s="462">
        <f t="shared" si="370"/>
        <v>119080.2</v>
      </c>
      <c r="AF268" s="410">
        <v>62498</v>
      </c>
      <c r="AG268" s="45"/>
      <c r="AH268" s="45">
        <v>72654</v>
      </c>
      <c r="AI268" s="45">
        <v>110000</v>
      </c>
      <c r="AJ268" s="76">
        <f t="shared" si="371"/>
        <v>91327</v>
      </c>
      <c r="AK268" s="24">
        <f t="shared" si="372"/>
        <v>28829</v>
      </c>
      <c r="AL268" s="281">
        <f t="shared" si="373"/>
        <v>0.46127876092034947</v>
      </c>
      <c r="AM268" s="462">
        <f t="shared" si="357"/>
        <v>91327</v>
      </c>
      <c r="AN268" s="513">
        <v>62811</v>
      </c>
      <c r="AO268" s="88">
        <v>130000</v>
      </c>
      <c r="AP268" s="116">
        <v>130000</v>
      </c>
      <c r="AQ268" s="74">
        <v>129409.5</v>
      </c>
      <c r="AR268" s="76">
        <f t="shared" si="374"/>
        <v>129803.16666666667</v>
      </c>
      <c r="AS268" s="24">
        <f t="shared" si="375"/>
        <v>66992.166666666672</v>
      </c>
      <c r="AT268" s="25">
        <f t="shared" si="376"/>
        <v>1.0665674271491725</v>
      </c>
      <c r="AU268" s="309" t="str">
        <f t="shared" si="377"/>
        <v>REVISAR PRECIO</v>
      </c>
      <c r="AV268" s="462">
        <f t="shared" si="378"/>
        <v>129803.16666666667</v>
      </c>
      <c r="AW268" s="513">
        <v>62811</v>
      </c>
      <c r="AX268" s="74">
        <v>135291.75</v>
      </c>
      <c r="AY268" s="74">
        <v>200000</v>
      </c>
      <c r="AZ268" s="75">
        <v>155879.625</v>
      </c>
      <c r="BA268" s="61">
        <v>135291.75</v>
      </c>
      <c r="BB268" s="60">
        <v>600000</v>
      </c>
      <c r="BC268" s="74">
        <v>155585.51249999998</v>
      </c>
      <c r="BD268" s="79">
        <v>155879.625</v>
      </c>
      <c r="BE268" s="79">
        <f>75900*1.55</f>
        <v>117645</v>
      </c>
      <c r="BF268" s="127">
        <v>141174</v>
      </c>
      <c r="BG268" s="128">
        <v>120100</v>
      </c>
      <c r="BH268" s="128">
        <v>120000</v>
      </c>
      <c r="BI268" s="76">
        <f t="shared" si="379"/>
        <v>230341.43958333333</v>
      </c>
      <c r="BJ268" s="24">
        <f t="shared" si="380"/>
        <v>167530.43958333333</v>
      </c>
      <c r="BK268" s="25">
        <f t="shared" si="381"/>
        <v>2.66721497163448</v>
      </c>
      <c r="BL268" s="259" t="str">
        <f t="shared" si="382"/>
        <v>REVISAR PRECIO</v>
      </c>
      <c r="BM268" s="533">
        <f t="shared" si="383"/>
        <v>230341.43958333333</v>
      </c>
    </row>
    <row r="269" spans="1:65" ht="45" customHeight="1">
      <c r="A269" s="91" t="s">
        <v>514</v>
      </c>
      <c r="B269" s="358" t="s">
        <v>2460</v>
      </c>
      <c r="C269" s="50" t="s">
        <v>188</v>
      </c>
      <c r="D269" s="99" t="s">
        <v>528</v>
      </c>
      <c r="E269" s="391" t="s">
        <v>14</v>
      </c>
      <c r="F269" s="410">
        <v>132154</v>
      </c>
      <c r="G269" s="10">
        <v>159460</v>
      </c>
      <c r="H269" s="167">
        <v>318920</v>
      </c>
      <c r="I269" s="10">
        <v>160000</v>
      </c>
      <c r="J269" s="76">
        <f t="shared" si="358"/>
        <v>159730</v>
      </c>
      <c r="K269" s="24">
        <f t="shared" si="359"/>
        <v>27576</v>
      </c>
      <c r="L269" s="281">
        <f t="shared" si="360"/>
        <v>0.20866564765349516</v>
      </c>
      <c r="M269" s="431">
        <f t="shared" si="361"/>
        <v>318920</v>
      </c>
      <c r="N269" s="410">
        <v>120117</v>
      </c>
      <c r="O269" s="10">
        <v>250000</v>
      </c>
      <c r="P269" s="10">
        <v>260000</v>
      </c>
      <c r="Q269" s="268">
        <v>265000</v>
      </c>
      <c r="R269" s="10">
        <v>320000</v>
      </c>
      <c r="S269" s="76">
        <f t="shared" si="362"/>
        <v>273750</v>
      </c>
      <c r="T269" s="24">
        <f t="shared" si="363"/>
        <v>153633</v>
      </c>
      <c r="U269" s="281">
        <f t="shared" si="364"/>
        <v>1.2790279477509428</v>
      </c>
      <c r="V269" s="462">
        <f t="shared" si="365"/>
        <v>273750</v>
      </c>
      <c r="W269" s="410">
        <v>185729</v>
      </c>
      <c r="X269" s="31">
        <v>241556</v>
      </c>
      <c r="Y269" s="31">
        <v>314022</v>
      </c>
      <c r="Z269" s="472">
        <v>211137.4</v>
      </c>
      <c r="AA269" s="76">
        <f t="shared" si="366"/>
        <v>255571.80000000002</v>
      </c>
      <c r="AB269" s="24">
        <f t="shared" si="367"/>
        <v>69842.800000000017</v>
      </c>
      <c r="AC269" s="25">
        <f t="shared" si="368"/>
        <v>0.37604682090572833</v>
      </c>
      <c r="AD269" s="309" t="str">
        <f t="shared" si="369"/>
        <v>REVISAR PRECIO</v>
      </c>
      <c r="AE269" s="462">
        <f t="shared" si="370"/>
        <v>255571.80000000002</v>
      </c>
      <c r="AF269" s="410">
        <v>134127</v>
      </c>
      <c r="AG269" s="45"/>
      <c r="AH269" s="45">
        <v>155928</v>
      </c>
      <c r="AI269" s="45">
        <v>155000</v>
      </c>
      <c r="AJ269" s="76">
        <f t="shared" si="371"/>
        <v>155464</v>
      </c>
      <c r="AK269" s="24">
        <f t="shared" si="372"/>
        <v>21337</v>
      </c>
      <c r="AL269" s="281">
        <f t="shared" si="373"/>
        <v>0.15908057288987304</v>
      </c>
      <c r="AM269" s="462">
        <f t="shared" si="357"/>
        <v>155464</v>
      </c>
      <c r="AN269" s="513">
        <v>134802</v>
      </c>
      <c r="AO269" s="88">
        <v>167400</v>
      </c>
      <c r="AP269" s="116">
        <v>167400</v>
      </c>
      <c r="AQ269" s="74">
        <v>175406</v>
      </c>
      <c r="AR269" s="76">
        <f t="shared" si="374"/>
        <v>170068.66666666666</v>
      </c>
      <c r="AS269" s="24">
        <f t="shared" si="375"/>
        <v>35266.666666666657</v>
      </c>
      <c r="AT269" s="25">
        <f t="shared" si="376"/>
        <v>0.2616182747041339</v>
      </c>
      <c r="AU269" s="309">
        <f t="shared" si="377"/>
        <v>170068.66666666666</v>
      </c>
      <c r="AV269" s="462">
        <f t="shared" si="378"/>
        <v>170068.66666666666</v>
      </c>
      <c r="AW269" s="513">
        <v>134802</v>
      </c>
      <c r="AX269" s="74">
        <v>183379</v>
      </c>
      <c r="AY269" s="74">
        <v>300000</v>
      </c>
      <c r="AZ269" s="75">
        <v>211284.5</v>
      </c>
      <c r="BA269" s="61">
        <v>183379</v>
      </c>
      <c r="BB269" s="60">
        <v>750000</v>
      </c>
      <c r="BC269" s="74">
        <v>210885.84999999998</v>
      </c>
      <c r="BD269" s="79">
        <v>211284.5</v>
      </c>
      <c r="BE269" s="79">
        <f>113900*1.4</f>
        <v>159460</v>
      </c>
      <c r="BF269" s="127">
        <v>191352</v>
      </c>
      <c r="BG269" s="128">
        <v>163000</v>
      </c>
      <c r="BH269" s="128">
        <v>160000</v>
      </c>
      <c r="BI269" s="76">
        <f t="shared" si="379"/>
        <v>306488.05833333335</v>
      </c>
      <c r="BJ269" s="24">
        <f t="shared" si="380"/>
        <v>171686.05833333335</v>
      </c>
      <c r="BK269" s="25">
        <f t="shared" si="381"/>
        <v>1.273616551188657</v>
      </c>
      <c r="BL269" s="259" t="str">
        <f t="shared" si="382"/>
        <v>REVISAR PRECIO</v>
      </c>
      <c r="BM269" s="533">
        <f t="shared" si="383"/>
        <v>306488.05833333335</v>
      </c>
    </row>
    <row r="270" spans="1:65" ht="45" customHeight="1">
      <c r="A270" s="91" t="s">
        <v>514</v>
      </c>
      <c r="B270" s="358" t="s">
        <v>2461</v>
      </c>
      <c r="C270" s="50" t="s">
        <v>189</v>
      </c>
      <c r="D270" s="99" t="s">
        <v>529</v>
      </c>
      <c r="E270" s="391" t="s">
        <v>14</v>
      </c>
      <c r="F270" s="410">
        <v>179673</v>
      </c>
      <c r="G270" s="10">
        <v>160860</v>
      </c>
      <c r="H270" s="167">
        <v>321720</v>
      </c>
      <c r="I270" s="10">
        <v>160000</v>
      </c>
      <c r="J270" s="76">
        <f t="shared" si="358"/>
        <v>160430</v>
      </c>
      <c r="K270" s="24">
        <f t="shared" si="359"/>
        <v>-19243</v>
      </c>
      <c r="L270" s="281">
        <f t="shared" si="360"/>
        <v>-0.10710012077496341</v>
      </c>
      <c r="M270" s="431">
        <f t="shared" si="361"/>
        <v>321720</v>
      </c>
      <c r="N270" s="410">
        <v>163308</v>
      </c>
      <c r="O270" s="10">
        <v>270000</v>
      </c>
      <c r="P270" s="10">
        <v>280000</v>
      </c>
      <c r="Q270" s="268">
        <v>275000</v>
      </c>
      <c r="R270" s="10">
        <v>320000</v>
      </c>
      <c r="S270" s="76">
        <f t="shared" si="362"/>
        <v>286250</v>
      </c>
      <c r="T270" s="24">
        <f t="shared" si="363"/>
        <v>122942</v>
      </c>
      <c r="U270" s="281">
        <f t="shared" si="364"/>
        <v>0.7528228868150979</v>
      </c>
      <c r="V270" s="462">
        <f t="shared" si="365"/>
        <v>286250</v>
      </c>
      <c r="W270" s="410">
        <v>252504</v>
      </c>
      <c r="X270" s="31">
        <v>328401</v>
      </c>
      <c r="Y270" s="31">
        <v>426921</v>
      </c>
      <c r="Z270" s="472">
        <v>287046.8</v>
      </c>
      <c r="AA270" s="76">
        <f t="shared" si="366"/>
        <v>347456.26666666666</v>
      </c>
      <c r="AB270" s="24">
        <f t="shared" si="367"/>
        <v>94952.266666666663</v>
      </c>
      <c r="AC270" s="25">
        <f t="shared" si="368"/>
        <v>0.37604262374721453</v>
      </c>
      <c r="AD270" s="309" t="str">
        <f t="shared" si="369"/>
        <v>REVISAR PRECIO</v>
      </c>
      <c r="AE270" s="462">
        <f t="shared" si="370"/>
        <v>347456.26666666666</v>
      </c>
      <c r="AF270" s="410">
        <v>182358</v>
      </c>
      <c r="AG270" s="45"/>
      <c r="AH270" s="45">
        <v>211995</v>
      </c>
      <c r="AI270" s="45">
        <v>157000</v>
      </c>
      <c r="AJ270" s="76">
        <f t="shared" si="371"/>
        <v>184497.5</v>
      </c>
      <c r="AK270" s="24">
        <f t="shared" si="372"/>
        <v>2139.5</v>
      </c>
      <c r="AL270" s="281">
        <f t="shared" si="373"/>
        <v>1.1732416455543491E-2</v>
      </c>
      <c r="AM270" s="462">
        <f t="shared" si="357"/>
        <v>184497.5</v>
      </c>
      <c r="AN270" s="513">
        <v>183270</v>
      </c>
      <c r="AO270" s="88">
        <v>170000</v>
      </c>
      <c r="AP270" s="116">
        <v>170000</v>
      </c>
      <c r="AQ270" s="74">
        <v>176946</v>
      </c>
      <c r="AR270" s="76">
        <f t="shared" si="374"/>
        <v>172315.33333333334</v>
      </c>
      <c r="AS270" s="24">
        <f t="shared" si="375"/>
        <v>-10954.666666666657</v>
      </c>
      <c r="AT270" s="25">
        <f t="shared" si="376"/>
        <v>-5.9773376257252452E-2</v>
      </c>
      <c r="AU270" s="309">
        <f t="shared" si="377"/>
        <v>172315.33333333334</v>
      </c>
      <c r="AV270" s="462">
        <f t="shared" si="378"/>
        <v>172315.33333333334</v>
      </c>
      <c r="AW270" s="513">
        <v>183270</v>
      </c>
      <c r="AX270" s="74">
        <v>184989</v>
      </c>
      <c r="AY270" s="74">
        <v>300000</v>
      </c>
      <c r="AZ270" s="75">
        <v>213139.5</v>
      </c>
      <c r="BA270" s="61">
        <v>184989</v>
      </c>
      <c r="BB270" s="60">
        <v>820000</v>
      </c>
      <c r="BC270" s="74">
        <v>212737.34999999998</v>
      </c>
      <c r="BD270" s="79">
        <v>213139.5</v>
      </c>
      <c r="BE270" s="79">
        <f>114900*1.4</f>
        <v>160860</v>
      </c>
      <c r="BF270" s="127">
        <v>193032</v>
      </c>
      <c r="BG270" s="128">
        <v>159800</v>
      </c>
      <c r="BH270" s="128">
        <v>160000</v>
      </c>
      <c r="BI270" s="76">
        <f t="shared" si="379"/>
        <v>319309.14166666666</v>
      </c>
      <c r="BJ270" s="24">
        <f t="shared" si="380"/>
        <v>136039.14166666666</v>
      </c>
      <c r="BK270" s="25">
        <f t="shared" si="381"/>
        <v>0.74228810861934125</v>
      </c>
      <c r="BL270" s="259" t="str">
        <f t="shared" si="382"/>
        <v>REVISAR PRECIO</v>
      </c>
      <c r="BM270" s="533">
        <f t="shared" si="383"/>
        <v>319309.14166666666</v>
      </c>
    </row>
    <row r="271" spans="1:65" ht="45" customHeight="1">
      <c r="A271" s="91" t="s">
        <v>514</v>
      </c>
      <c r="B271" s="358" t="s">
        <v>2462</v>
      </c>
      <c r="C271" s="50" t="s">
        <v>190</v>
      </c>
      <c r="D271" s="99" t="s">
        <v>530</v>
      </c>
      <c r="E271" s="391" t="s">
        <v>14</v>
      </c>
      <c r="F271" s="410">
        <v>256201</v>
      </c>
      <c r="G271" s="10">
        <v>317550</v>
      </c>
      <c r="H271" s="167">
        <v>635100</v>
      </c>
      <c r="I271" s="10">
        <v>315000</v>
      </c>
      <c r="J271" s="76">
        <f t="shared" si="358"/>
        <v>316275</v>
      </c>
      <c r="K271" s="24">
        <f t="shared" si="359"/>
        <v>60074</v>
      </c>
      <c r="L271" s="281">
        <f t="shared" si="360"/>
        <v>0.23447995909461711</v>
      </c>
      <c r="M271" s="431">
        <f t="shared" si="361"/>
        <v>635100</v>
      </c>
      <c r="N271" s="410">
        <v>230581</v>
      </c>
      <c r="O271" s="10">
        <v>350000</v>
      </c>
      <c r="P271" s="10">
        <v>380000</v>
      </c>
      <c r="Q271" s="268">
        <v>370000</v>
      </c>
      <c r="R271" s="10">
        <v>420000</v>
      </c>
      <c r="S271" s="76">
        <f t="shared" si="362"/>
        <v>380000</v>
      </c>
      <c r="T271" s="24">
        <f t="shared" si="363"/>
        <v>149419</v>
      </c>
      <c r="U271" s="281">
        <f t="shared" si="364"/>
        <v>0.64801089421938496</v>
      </c>
      <c r="V271" s="462">
        <f t="shared" si="365"/>
        <v>380000</v>
      </c>
      <c r="W271" s="410">
        <v>352993</v>
      </c>
      <c r="X271" s="31">
        <v>459095</v>
      </c>
      <c r="Y271" s="31">
        <v>596823</v>
      </c>
      <c r="Z271" s="472">
        <v>401282.6</v>
      </c>
      <c r="AA271" s="76">
        <f t="shared" si="366"/>
        <v>485733.53333333338</v>
      </c>
      <c r="AB271" s="24">
        <f t="shared" si="367"/>
        <v>132740.53333333338</v>
      </c>
      <c r="AC271" s="25">
        <f t="shared" si="368"/>
        <v>0.37604296213617094</v>
      </c>
      <c r="AD271" s="309" t="str">
        <f t="shared" si="369"/>
        <v>REVISAR PRECIO</v>
      </c>
      <c r="AE271" s="462">
        <f t="shared" si="370"/>
        <v>485733.53333333338</v>
      </c>
      <c r="AF271" s="410">
        <v>256200</v>
      </c>
      <c r="AG271" s="45"/>
      <c r="AH271" s="45">
        <v>302285</v>
      </c>
      <c r="AI271" s="45">
        <v>310000</v>
      </c>
      <c r="AJ271" s="76">
        <f t="shared" si="371"/>
        <v>306142.5</v>
      </c>
      <c r="AK271" s="24">
        <f t="shared" si="372"/>
        <v>49942.5</v>
      </c>
      <c r="AL271" s="281">
        <f t="shared" si="373"/>
        <v>0.19493559718969555</v>
      </c>
      <c r="AM271" s="462">
        <f t="shared" si="357"/>
        <v>306142.5</v>
      </c>
      <c r="AN271" s="513">
        <v>256200</v>
      </c>
      <c r="AO271" s="88">
        <v>350000</v>
      </c>
      <c r="AP271" s="116">
        <v>350000</v>
      </c>
      <c r="AQ271" s="74">
        <v>349305</v>
      </c>
      <c r="AR271" s="76">
        <f t="shared" si="374"/>
        <v>349768.33333333331</v>
      </c>
      <c r="AS271" s="24">
        <f t="shared" si="375"/>
        <v>93568.333333333314</v>
      </c>
      <c r="AT271" s="25">
        <f t="shared" si="376"/>
        <v>0.36521597710122294</v>
      </c>
      <c r="AU271" s="309" t="str">
        <f t="shared" si="377"/>
        <v>REVISAR PRECIO</v>
      </c>
      <c r="AV271" s="462">
        <f t="shared" si="378"/>
        <v>349768.33333333331</v>
      </c>
      <c r="AW271" s="513">
        <v>256200</v>
      </c>
      <c r="AX271" s="74">
        <v>365182.5</v>
      </c>
      <c r="AY271" s="74">
        <v>750000</v>
      </c>
      <c r="AZ271" s="75">
        <v>420753.75</v>
      </c>
      <c r="BA271" s="61">
        <v>365182.5</v>
      </c>
      <c r="BB271" s="60">
        <v>1200000</v>
      </c>
      <c r="BC271" s="74">
        <v>419959.87499999994</v>
      </c>
      <c r="BD271" s="79">
        <v>420753.75</v>
      </c>
      <c r="BE271" s="79">
        <f>219000*1.45</f>
        <v>317550</v>
      </c>
      <c r="BF271" s="127">
        <v>381060</v>
      </c>
      <c r="BG271" s="128">
        <v>386900</v>
      </c>
      <c r="BH271" s="128">
        <v>330000</v>
      </c>
      <c r="BI271" s="76">
        <f t="shared" si="379"/>
        <v>586846.4375</v>
      </c>
      <c r="BJ271" s="24">
        <f t="shared" si="380"/>
        <v>330646.4375</v>
      </c>
      <c r="BK271" s="25">
        <f t="shared" si="381"/>
        <v>1.2905793813427011</v>
      </c>
      <c r="BL271" s="259" t="str">
        <f t="shared" si="382"/>
        <v>REVISAR PRECIO</v>
      </c>
      <c r="BM271" s="533">
        <f t="shared" si="383"/>
        <v>586846.4375</v>
      </c>
    </row>
    <row r="272" spans="1:65" ht="45" customHeight="1">
      <c r="A272" s="91" t="s">
        <v>514</v>
      </c>
      <c r="B272" s="358" t="s">
        <v>2463</v>
      </c>
      <c r="C272" s="50" t="s">
        <v>191</v>
      </c>
      <c r="D272" s="99" t="s">
        <v>531</v>
      </c>
      <c r="E272" s="391" t="s">
        <v>14</v>
      </c>
      <c r="F272" s="410">
        <v>231749</v>
      </c>
      <c r="G272" s="10">
        <v>281145</v>
      </c>
      <c r="H272" s="167">
        <v>281145</v>
      </c>
      <c r="I272" s="10">
        <v>260000</v>
      </c>
      <c r="J272" s="76">
        <f t="shared" si="358"/>
        <v>270572.5</v>
      </c>
      <c r="K272" s="24">
        <f t="shared" si="359"/>
        <v>38823.5</v>
      </c>
      <c r="L272" s="281">
        <f t="shared" si="360"/>
        <v>0.16752391596080243</v>
      </c>
      <c r="M272" s="431">
        <f t="shared" si="361"/>
        <v>281145</v>
      </c>
      <c r="N272" s="410">
        <v>210637</v>
      </c>
      <c r="O272" s="10">
        <v>120000</v>
      </c>
      <c r="P272" s="10">
        <v>128000</v>
      </c>
      <c r="Q272" s="268">
        <v>125000</v>
      </c>
      <c r="R272" s="10">
        <v>150000</v>
      </c>
      <c r="S272" s="76">
        <f t="shared" si="362"/>
        <v>130750</v>
      </c>
      <c r="T272" s="24">
        <f t="shared" si="363"/>
        <v>-79887</v>
      </c>
      <c r="U272" s="281">
        <f t="shared" si="364"/>
        <v>-0.37926385202979535</v>
      </c>
      <c r="V272" s="462">
        <f t="shared" si="365"/>
        <v>130750</v>
      </c>
      <c r="W272" s="410">
        <v>325693</v>
      </c>
      <c r="X272" s="31">
        <v>423590</v>
      </c>
      <c r="Y272" s="31">
        <v>550666</v>
      </c>
      <c r="Z272" s="472">
        <v>370248.6</v>
      </c>
      <c r="AA272" s="76">
        <f t="shared" si="366"/>
        <v>448168.2</v>
      </c>
      <c r="AB272" s="24">
        <f t="shared" si="367"/>
        <v>122475.20000000001</v>
      </c>
      <c r="AC272" s="25">
        <f t="shared" si="368"/>
        <v>0.37604492574295428</v>
      </c>
      <c r="AD272" s="309" t="str">
        <f t="shared" si="369"/>
        <v>REVISAR PRECIO</v>
      </c>
      <c r="AE272" s="462">
        <f t="shared" si="370"/>
        <v>448168.2</v>
      </c>
      <c r="AF272" s="410">
        <v>235203</v>
      </c>
      <c r="AG272" s="45"/>
      <c r="AH272" s="45">
        <v>273433</v>
      </c>
      <c r="AI272" s="45">
        <v>280000</v>
      </c>
      <c r="AJ272" s="76">
        <f t="shared" si="371"/>
        <v>276716.5</v>
      </c>
      <c r="AK272" s="24">
        <f t="shared" si="372"/>
        <v>41513.5</v>
      </c>
      <c r="AL272" s="281">
        <f t="shared" si="373"/>
        <v>0.17650072490571975</v>
      </c>
      <c r="AM272" s="462">
        <f t="shared" si="357"/>
        <v>276716.5</v>
      </c>
      <c r="AN272" s="513">
        <v>236379</v>
      </c>
      <c r="AO272" s="88">
        <v>320000</v>
      </c>
      <c r="AP272" s="116">
        <v>320000</v>
      </c>
      <c r="AQ272" s="74">
        <v>309259.06000000006</v>
      </c>
      <c r="AR272" s="76">
        <f t="shared" si="374"/>
        <v>316419.6866666667</v>
      </c>
      <c r="AS272" s="24">
        <f t="shared" si="375"/>
        <v>80040.686666666705</v>
      </c>
      <c r="AT272" s="25">
        <f t="shared" si="376"/>
        <v>0.33861166460077546</v>
      </c>
      <c r="AU272" s="309">
        <f t="shared" si="377"/>
        <v>316419.6866666667</v>
      </c>
      <c r="AV272" s="462">
        <f t="shared" si="378"/>
        <v>316419.6866666667</v>
      </c>
      <c r="AW272" s="513">
        <v>236379</v>
      </c>
      <c r="AX272" s="74">
        <v>323316.29000000004</v>
      </c>
      <c r="AY272" s="74">
        <v>330000</v>
      </c>
      <c r="AZ272" s="75">
        <v>372516.59500000003</v>
      </c>
      <c r="BA272" s="61">
        <v>323316.29000000004</v>
      </c>
      <c r="BB272" s="60">
        <v>1400000</v>
      </c>
      <c r="BC272" s="74">
        <v>371813.73350000003</v>
      </c>
      <c r="BD272" s="79">
        <v>372516.59500000003</v>
      </c>
      <c r="BE272" s="79">
        <f>255586*1.1</f>
        <v>281144.60000000003</v>
      </c>
      <c r="BF272" s="127">
        <v>337373.52</v>
      </c>
      <c r="BG272" s="128">
        <v>341200</v>
      </c>
      <c r="BH272" s="128">
        <v>300000</v>
      </c>
      <c r="BI272" s="76">
        <f t="shared" si="379"/>
        <v>520160.48475</v>
      </c>
      <c r="BJ272" s="24">
        <f t="shared" si="380"/>
        <v>283781.48475</v>
      </c>
      <c r="BK272" s="25">
        <f t="shared" si="381"/>
        <v>1.2005359391062658</v>
      </c>
      <c r="BL272" s="259" t="str">
        <f t="shared" si="382"/>
        <v>REVISAR PRECIO</v>
      </c>
      <c r="BM272" s="533">
        <f t="shared" si="383"/>
        <v>520160.48475</v>
      </c>
    </row>
    <row r="273" spans="1:65" ht="22.35" customHeight="1">
      <c r="A273" s="91" t="s">
        <v>514</v>
      </c>
      <c r="B273" s="358" t="s">
        <v>2464</v>
      </c>
      <c r="C273" s="50" t="s">
        <v>192</v>
      </c>
      <c r="D273" s="99" t="s">
        <v>532</v>
      </c>
      <c r="E273" s="391" t="s">
        <v>740</v>
      </c>
      <c r="F273" s="408"/>
      <c r="G273" s="293"/>
      <c r="H273" s="293"/>
      <c r="I273" s="293"/>
      <c r="J273" s="293"/>
      <c r="K273" s="293"/>
      <c r="L273" s="327"/>
      <c r="M273" s="432"/>
      <c r="N273" s="443"/>
      <c r="O273" s="250"/>
      <c r="P273" s="250"/>
      <c r="Q273" s="250"/>
      <c r="R273" s="250"/>
      <c r="S273" s="250"/>
      <c r="T273" s="250"/>
      <c r="U273" s="250"/>
      <c r="V273" s="443"/>
      <c r="W273" s="410">
        <v>67460</v>
      </c>
      <c r="X273" s="33">
        <v>87737</v>
      </c>
      <c r="Y273" s="33">
        <v>114057</v>
      </c>
      <c r="Z273" s="472">
        <v>76688.2</v>
      </c>
      <c r="AA273" s="76">
        <f t="shared" si="366"/>
        <v>92827.400000000009</v>
      </c>
      <c r="AB273" s="24">
        <f t="shared" si="367"/>
        <v>25367.400000000009</v>
      </c>
      <c r="AC273" s="25">
        <f t="shared" si="368"/>
        <v>0.37603616958197461</v>
      </c>
      <c r="AD273" s="309" t="str">
        <f t="shared" si="369"/>
        <v>REVISAR PRECIO</v>
      </c>
      <c r="AE273" s="462">
        <f t="shared" si="370"/>
        <v>92827.400000000009</v>
      </c>
      <c r="AF273" s="408"/>
      <c r="AG273" s="293"/>
      <c r="AH273" s="293"/>
      <c r="AI273" s="293"/>
      <c r="AJ273" s="293"/>
      <c r="AK273" s="293"/>
      <c r="AL273" s="327"/>
      <c r="AM273" s="463"/>
      <c r="AN273" s="513">
        <v>44064</v>
      </c>
      <c r="AO273" s="88">
        <v>233000</v>
      </c>
      <c r="AP273" s="116">
        <v>233000</v>
      </c>
      <c r="AQ273" s="74">
        <v>224724.83000000002</v>
      </c>
      <c r="AR273" s="76">
        <f t="shared" si="374"/>
        <v>230241.61000000002</v>
      </c>
      <c r="AS273" s="24">
        <f t="shared" si="375"/>
        <v>186177.61000000002</v>
      </c>
      <c r="AT273" s="25">
        <f t="shared" si="376"/>
        <v>4.2251636256354397</v>
      </c>
      <c r="AU273" s="309" t="str">
        <f t="shared" si="377"/>
        <v>REVISAR PRECIO</v>
      </c>
      <c r="AV273" s="462">
        <f t="shared" si="378"/>
        <v>230241.61000000002</v>
      </c>
      <c r="AW273" s="513">
        <v>44064</v>
      </c>
      <c r="AX273" s="74">
        <v>234939.59500000003</v>
      </c>
      <c r="AY273" s="74">
        <v>280000</v>
      </c>
      <c r="AZ273" s="75">
        <v>270691.27250000002</v>
      </c>
      <c r="BA273" s="61">
        <v>234939.595</v>
      </c>
      <c r="BB273" s="60"/>
      <c r="BC273" s="74">
        <v>270180.53424999997</v>
      </c>
      <c r="BD273" s="79">
        <v>270691.27250000002</v>
      </c>
      <c r="BE273" s="79">
        <f>185723*1.1</f>
        <v>204295.30000000002</v>
      </c>
      <c r="BF273" s="127">
        <v>245154.36000000002</v>
      </c>
      <c r="BG273" s="128">
        <v>201900</v>
      </c>
      <c r="BH273" s="128">
        <v>210000</v>
      </c>
      <c r="BI273" s="76">
        <f t="shared" si="379"/>
        <v>258150.19934999998</v>
      </c>
      <c r="BJ273" s="24">
        <f t="shared" si="380"/>
        <v>214086.19934999998</v>
      </c>
      <c r="BK273" s="25">
        <f t="shared" si="381"/>
        <v>4.8585284892429188</v>
      </c>
      <c r="BL273" s="259" t="str">
        <f t="shared" si="382"/>
        <v>REVISAR PRECIO</v>
      </c>
      <c r="BM273" s="533">
        <f t="shared" si="383"/>
        <v>258150.19934999998</v>
      </c>
    </row>
    <row r="274" spans="1:65" ht="34.35" customHeight="1">
      <c r="A274" s="91" t="s">
        <v>514</v>
      </c>
      <c r="B274" s="358" t="s">
        <v>2465</v>
      </c>
      <c r="C274" s="50" t="s">
        <v>193</v>
      </c>
      <c r="D274" s="99" t="s">
        <v>533</v>
      </c>
      <c r="E274" s="391" t="s">
        <v>740</v>
      </c>
      <c r="F274" s="408"/>
      <c r="G274" s="293"/>
      <c r="H274" s="293"/>
      <c r="I274" s="293"/>
      <c r="J274" s="293"/>
      <c r="K274" s="293"/>
      <c r="L274" s="327"/>
      <c r="M274" s="432"/>
      <c r="N274" s="443"/>
      <c r="O274" s="250"/>
      <c r="P274" s="250"/>
      <c r="Q274" s="250"/>
      <c r="R274" s="250"/>
      <c r="S274" s="250"/>
      <c r="T274" s="250"/>
      <c r="U274" s="250"/>
      <c r="V274" s="443"/>
      <c r="W274" s="410">
        <v>314514</v>
      </c>
      <c r="X274" s="31">
        <v>409050</v>
      </c>
      <c r="Y274" s="33">
        <v>531765</v>
      </c>
      <c r="Z274" s="472">
        <v>357540</v>
      </c>
      <c r="AA274" s="76">
        <f t="shared" si="366"/>
        <v>432785</v>
      </c>
      <c r="AB274" s="24">
        <f t="shared" si="367"/>
        <v>118271</v>
      </c>
      <c r="AC274" s="25">
        <f t="shared" si="368"/>
        <v>0.37604367373153502</v>
      </c>
      <c r="AD274" s="309" t="str">
        <f t="shared" si="369"/>
        <v>REVISAR PRECIO</v>
      </c>
      <c r="AE274" s="462">
        <f t="shared" si="370"/>
        <v>432785</v>
      </c>
      <c r="AF274" s="408"/>
      <c r="AG274" s="293"/>
      <c r="AH274" s="293"/>
      <c r="AI274" s="293"/>
      <c r="AJ274" s="293"/>
      <c r="AK274" s="293"/>
      <c r="AL274" s="327"/>
      <c r="AM274" s="463"/>
      <c r="AN274" s="513"/>
      <c r="AO274" s="88">
        <v>220000</v>
      </c>
      <c r="AP274" s="116">
        <v>220000</v>
      </c>
      <c r="AQ274" s="74">
        <v>239090.5</v>
      </c>
      <c r="AR274" s="76">
        <f t="shared" si="374"/>
        <v>226363.5</v>
      </c>
      <c r="AS274" s="24">
        <f t="shared" si="375"/>
        <v>226363.5</v>
      </c>
      <c r="AT274" s="25"/>
      <c r="AU274" s="309"/>
      <c r="AV274" s="462">
        <f t="shared" si="378"/>
        <v>226363.5</v>
      </c>
      <c r="AW274" s="513"/>
      <c r="AX274" s="74">
        <v>249958.25</v>
      </c>
      <c r="AY274" s="74">
        <v>350000</v>
      </c>
      <c r="AZ274" s="75">
        <v>287995.375</v>
      </c>
      <c r="BA274" s="61">
        <v>249958.24999999997</v>
      </c>
      <c r="BB274" s="60"/>
      <c r="BC274" s="74">
        <v>287451.98749999993</v>
      </c>
      <c r="BD274" s="79">
        <v>287995.375</v>
      </c>
      <c r="BE274" s="79">
        <f>149900*1.45</f>
        <v>217355</v>
      </c>
      <c r="BF274" s="127">
        <v>217355</v>
      </c>
      <c r="BG274" s="128">
        <v>220900</v>
      </c>
      <c r="BH274" s="128">
        <v>220000</v>
      </c>
      <c r="BI274" s="76">
        <f t="shared" si="379"/>
        <v>285072.77249999996</v>
      </c>
      <c r="BJ274" s="24">
        <f t="shared" si="380"/>
        <v>285072.77249999996</v>
      </c>
      <c r="BK274" s="25"/>
      <c r="BL274" s="259">
        <f t="shared" si="382"/>
        <v>285072.77249999996</v>
      </c>
      <c r="BM274" s="533">
        <f t="shared" si="383"/>
        <v>285072.77249999996</v>
      </c>
    </row>
    <row r="275" spans="1:65" ht="34.35" customHeight="1">
      <c r="A275" s="91" t="s">
        <v>514</v>
      </c>
      <c r="B275" s="358" t="s">
        <v>2466</v>
      </c>
      <c r="C275" s="50" t="s">
        <v>194</v>
      </c>
      <c r="D275" s="99" t="s">
        <v>534</v>
      </c>
      <c r="E275" s="391" t="s">
        <v>742</v>
      </c>
      <c r="F275" s="408"/>
      <c r="G275" s="293"/>
      <c r="H275" s="293"/>
      <c r="I275" s="293"/>
      <c r="J275" s="293"/>
      <c r="K275" s="293"/>
      <c r="L275" s="327"/>
      <c r="M275" s="432"/>
      <c r="N275" s="443"/>
      <c r="O275" s="250"/>
      <c r="P275" s="250"/>
      <c r="Q275" s="250"/>
      <c r="R275" s="250"/>
      <c r="S275" s="250"/>
      <c r="T275" s="250"/>
      <c r="U275" s="250"/>
      <c r="V275" s="443"/>
      <c r="W275" s="410">
        <v>945961</v>
      </c>
      <c r="X275" s="42">
        <v>1230296</v>
      </c>
      <c r="Y275" s="42">
        <v>1599384</v>
      </c>
      <c r="Z275" s="472">
        <v>1075369.3999999999</v>
      </c>
      <c r="AA275" s="76">
        <f t="shared" si="366"/>
        <v>1301683.1333333333</v>
      </c>
      <c r="AB275" s="24">
        <f t="shared" si="367"/>
        <v>355722.1333333333</v>
      </c>
      <c r="AC275" s="25">
        <f t="shared" si="368"/>
        <v>0.37604312792317368</v>
      </c>
      <c r="AD275" s="309" t="str">
        <f t="shared" si="369"/>
        <v>REVISAR PRECIO</v>
      </c>
      <c r="AE275" s="462">
        <f t="shared" si="370"/>
        <v>1301683.1333333333</v>
      </c>
      <c r="AF275" s="408"/>
      <c r="AG275" s="293"/>
      <c r="AH275" s="293"/>
      <c r="AI275" s="293"/>
      <c r="AJ275" s="293"/>
      <c r="AK275" s="293"/>
      <c r="AL275" s="327"/>
      <c r="AM275" s="463"/>
      <c r="AN275" s="513"/>
      <c r="AO275" s="120"/>
      <c r="AP275" s="120"/>
      <c r="AQ275" s="120"/>
      <c r="AR275" s="120"/>
      <c r="AS275" s="120"/>
      <c r="AT275" s="120"/>
      <c r="AU275" s="422"/>
      <c r="AV275" s="508"/>
      <c r="AW275" s="513"/>
      <c r="AX275" s="74"/>
      <c r="AY275" s="74"/>
      <c r="AZ275" s="75"/>
      <c r="BA275" s="61"/>
      <c r="BB275" s="60"/>
      <c r="BC275" s="74"/>
      <c r="BD275" s="250"/>
      <c r="BE275" s="250"/>
      <c r="BF275" s="250"/>
      <c r="BG275" s="250"/>
      <c r="BH275" s="250"/>
      <c r="BI275" s="76"/>
      <c r="BJ275" s="24"/>
      <c r="BK275" s="25"/>
      <c r="BL275" s="259"/>
      <c r="BM275" s="533"/>
    </row>
    <row r="276" spans="1:65" ht="60" customHeight="1">
      <c r="A276" s="91"/>
      <c r="B276" s="358" t="s">
        <v>2467</v>
      </c>
      <c r="C276" s="50" t="s">
        <v>916</v>
      </c>
      <c r="D276" s="177" t="s">
        <v>882</v>
      </c>
      <c r="E276" s="385" t="s">
        <v>14</v>
      </c>
      <c r="F276" s="410">
        <v>113027</v>
      </c>
      <c r="G276" s="10">
        <v>137734</v>
      </c>
      <c r="H276" s="167">
        <v>275468</v>
      </c>
      <c r="I276" s="10">
        <v>115000</v>
      </c>
      <c r="J276" s="76">
        <f t="shared" ref="J276:J286" si="384">AVERAGE(G276,I276)</f>
        <v>126367</v>
      </c>
      <c r="K276" s="24">
        <f t="shared" ref="K276:K286" si="385">J276-F276</f>
        <v>13340</v>
      </c>
      <c r="L276" s="281">
        <f t="shared" ref="L276:L286" si="386">+K276/F276</f>
        <v>0.11802489670609677</v>
      </c>
      <c r="M276" s="431">
        <f t="shared" ref="M276:M286" si="387">H276</f>
        <v>275468</v>
      </c>
      <c r="N276" s="443"/>
      <c r="O276" s="250"/>
      <c r="P276" s="250"/>
      <c r="Q276" s="250"/>
      <c r="R276" s="250"/>
      <c r="S276" s="250"/>
      <c r="T276" s="250"/>
      <c r="U276" s="250"/>
      <c r="V276" s="443"/>
      <c r="W276" s="410"/>
      <c r="X276" s="42"/>
      <c r="Y276" s="42"/>
      <c r="Z276" s="472"/>
      <c r="AA276" s="76"/>
      <c r="AB276" s="24"/>
      <c r="AC276" s="25"/>
      <c r="AD276" s="309"/>
      <c r="AE276" s="462"/>
      <c r="AF276" s="410">
        <v>113026</v>
      </c>
      <c r="AG276" s="45"/>
      <c r="AH276" s="45">
        <v>133360</v>
      </c>
      <c r="AI276" s="45">
        <v>160000</v>
      </c>
      <c r="AJ276" s="76">
        <f t="shared" ref="AJ276" si="388">AVERAGE(AG276,AH276,AI276)</f>
        <v>146680</v>
      </c>
      <c r="AK276" s="24">
        <f t="shared" ref="AK276" si="389">AJ276-AF276</f>
        <v>33654</v>
      </c>
      <c r="AL276" s="281">
        <f t="shared" ref="AL276" si="390">+AK276/AF276</f>
        <v>0.29775449896483996</v>
      </c>
      <c r="AM276" s="462">
        <f t="shared" ref="AM276" si="391">AJ276</f>
        <v>146680</v>
      </c>
      <c r="AN276" s="513"/>
      <c r="AO276" s="120"/>
      <c r="AP276" s="120"/>
      <c r="AQ276" s="120"/>
      <c r="AR276" s="120"/>
      <c r="AS276" s="120"/>
      <c r="AT276" s="120"/>
      <c r="AU276" s="422"/>
      <c r="AV276" s="508"/>
      <c r="AW276" s="513"/>
      <c r="AX276" s="74"/>
      <c r="AY276" s="74"/>
      <c r="AZ276" s="75"/>
      <c r="BA276" s="61"/>
      <c r="BB276" s="60"/>
      <c r="BC276" s="74"/>
      <c r="BD276" s="250"/>
      <c r="BE276" s="250"/>
      <c r="BF276" s="250"/>
      <c r="BG276" s="250"/>
      <c r="BH276" s="250"/>
      <c r="BI276" s="76"/>
      <c r="BJ276" s="24"/>
      <c r="BK276" s="25"/>
      <c r="BL276" s="259"/>
      <c r="BM276" s="537"/>
    </row>
    <row r="277" spans="1:65" ht="60.95" customHeight="1">
      <c r="A277" s="91"/>
      <c r="B277" s="358" t="s">
        <v>2468</v>
      </c>
      <c r="C277" s="50" t="s">
        <v>917</v>
      </c>
      <c r="D277" s="177" t="s">
        <v>883</v>
      </c>
      <c r="E277" s="385" t="s">
        <v>14</v>
      </c>
      <c r="F277" s="410">
        <v>115295</v>
      </c>
      <c r="G277" s="10">
        <v>136000</v>
      </c>
      <c r="H277" s="167">
        <v>13000</v>
      </c>
      <c r="I277" s="10">
        <v>112000</v>
      </c>
      <c r="J277" s="76">
        <f t="shared" si="384"/>
        <v>124000</v>
      </c>
      <c r="K277" s="24">
        <f t="shared" si="385"/>
        <v>8705</v>
      </c>
      <c r="L277" s="281">
        <f t="shared" si="386"/>
        <v>7.5501973199184697E-2</v>
      </c>
      <c r="M277" s="431">
        <f t="shared" si="387"/>
        <v>13000</v>
      </c>
      <c r="N277" s="443"/>
      <c r="O277" s="250"/>
      <c r="P277" s="250"/>
      <c r="Q277" s="250"/>
      <c r="R277" s="250"/>
      <c r="S277" s="250"/>
      <c r="T277" s="250"/>
      <c r="U277" s="250"/>
      <c r="V277" s="443"/>
      <c r="W277" s="410"/>
      <c r="X277" s="42"/>
      <c r="Y277" s="42"/>
      <c r="Z277" s="472"/>
      <c r="AA277" s="76"/>
      <c r="AB277" s="24"/>
      <c r="AC277" s="25"/>
      <c r="AD277" s="309"/>
      <c r="AE277" s="462"/>
      <c r="AF277" s="408"/>
      <c r="AG277" s="293"/>
      <c r="AH277" s="293"/>
      <c r="AI277" s="293"/>
      <c r="AJ277" s="293"/>
      <c r="AK277" s="293"/>
      <c r="AL277" s="327"/>
      <c r="AM277" s="463"/>
      <c r="AN277" s="513"/>
      <c r="AO277" s="120"/>
      <c r="AP277" s="120"/>
      <c r="AQ277" s="120"/>
      <c r="AR277" s="120"/>
      <c r="AS277" s="120"/>
      <c r="AT277" s="120"/>
      <c r="AU277" s="422"/>
      <c r="AV277" s="508"/>
      <c r="AW277" s="513"/>
      <c r="AX277" s="74"/>
      <c r="AY277" s="74"/>
      <c r="AZ277" s="75"/>
      <c r="BA277" s="61"/>
      <c r="BB277" s="60"/>
      <c r="BC277" s="74"/>
      <c r="BD277" s="250"/>
      <c r="BE277" s="250"/>
      <c r="BF277" s="250"/>
      <c r="BG277" s="250"/>
      <c r="BH277" s="250"/>
      <c r="BI277" s="76"/>
      <c r="BJ277" s="24"/>
      <c r="BK277" s="25"/>
      <c r="BL277" s="259"/>
      <c r="BM277" s="537"/>
    </row>
    <row r="278" spans="1:65" ht="34.35" customHeight="1">
      <c r="A278" s="91"/>
      <c r="B278" s="358" t="s">
        <v>2469</v>
      </c>
      <c r="C278" s="50" t="s">
        <v>918</v>
      </c>
      <c r="D278" s="177" t="s">
        <v>884</v>
      </c>
      <c r="E278" s="385" t="s">
        <v>14</v>
      </c>
      <c r="F278" s="410">
        <v>122102</v>
      </c>
      <c r="G278" s="10">
        <v>102293.22</v>
      </c>
      <c r="H278" s="167">
        <v>306879.66000000003</v>
      </c>
      <c r="I278" s="10">
        <v>105600</v>
      </c>
      <c r="J278" s="76">
        <f t="shared" si="384"/>
        <v>103946.61</v>
      </c>
      <c r="K278" s="24">
        <f t="shared" si="385"/>
        <v>-18155.39</v>
      </c>
      <c r="L278" s="281">
        <f t="shared" si="386"/>
        <v>-0.14869035724230562</v>
      </c>
      <c r="M278" s="431">
        <f t="shared" si="387"/>
        <v>306879.66000000003</v>
      </c>
      <c r="N278" s="410">
        <v>112077</v>
      </c>
      <c r="O278" s="10">
        <v>80000</v>
      </c>
      <c r="P278" s="10">
        <v>87000</v>
      </c>
      <c r="Q278" s="268">
        <v>87000</v>
      </c>
      <c r="R278" s="10">
        <v>85000</v>
      </c>
      <c r="S278" s="76">
        <f t="shared" ref="S278" si="392">AVERAGE(O278,P278,Q278,R278)</f>
        <v>84750</v>
      </c>
      <c r="T278" s="24">
        <f t="shared" ref="T278" si="393">S278-N278</f>
        <v>-27327</v>
      </c>
      <c r="U278" s="281">
        <f t="shared" ref="U278" si="394">+T278/N278</f>
        <v>-0.24382344281163842</v>
      </c>
      <c r="V278" s="462">
        <f t="shared" ref="V278" si="395">S278</f>
        <v>84750</v>
      </c>
      <c r="W278" s="410"/>
      <c r="X278" s="42"/>
      <c r="Y278" s="42"/>
      <c r="Z278" s="472"/>
      <c r="AA278" s="76"/>
      <c r="AB278" s="24"/>
      <c r="AC278" s="25"/>
      <c r="AD278" s="309"/>
      <c r="AE278" s="462"/>
      <c r="AF278" s="410">
        <v>122205</v>
      </c>
      <c r="AG278" s="45"/>
      <c r="AH278" s="45">
        <v>144069</v>
      </c>
      <c r="AI278" s="45">
        <v>159000</v>
      </c>
      <c r="AJ278" s="76">
        <f t="shared" ref="AJ278:AJ293" si="396">AVERAGE(AG278,AH278,AI278)</f>
        <v>151534.5</v>
      </c>
      <c r="AK278" s="24">
        <f t="shared" ref="AK278:AK293" si="397">AJ278-AF278</f>
        <v>29329.5</v>
      </c>
      <c r="AL278" s="281">
        <f t="shared" ref="AL278:AL293" si="398">+AK278/AF278</f>
        <v>0.24000245489137106</v>
      </c>
      <c r="AM278" s="462">
        <f t="shared" ref="AM278:AM293" si="399">AJ278</f>
        <v>151534.5</v>
      </c>
      <c r="AN278" s="513"/>
      <c r="AO278" s="120"/>
      <c r="AP278" s="120"/>
      <c r="AQ278" s="120"/>
      <c r="AR278" s="120"/>
      <c r="AS278" s="120"/>
      <c r="AT278" s="120"/>
      <c r="AU278" s="422"/>
      <c r="AV278" s="508"/>
      <c r="AW278" s="513"/>
      <c r="AX278" s="74"/>
      <c r="AY278" s="74"/>
      <c r="AZ278" s="75"/>
      <c r="BA278" s="61"/>
      <c r="BB278" s="60"/>
      <c r="BC278" s="74"/>
      <c r="BD278" s="250"/>
      <c r="BE278" s="250"/>
      <c r="BF278" s="250"/>
      <c r="BG278" s="250"/>
      <c r="BH278" s="250"/>
      <c r="BI278" s="76"/>
      <c r="BJ278" s="24"/>
      <c r="BK278" s="25"/>
      <c r="BL278" s="259"/>
      <c r="BM278" s="537"/>
    </row>
    <row r="279" spans="1:65" ht="34.35" customHeight="1">
      <c r="A279" s="91"/>
      <c r="B279" s="358" t="s">
        <v>2470</v>
      </c>
      <c r="C279" s="50" t="s">
        <v>919</v>
      </c>
      <c r="D279" s="177" t="s">
        <v>885</v>
      </c>
      <c r="E279" s="385" t="s">
        <v>14</v>
      </c>
      <c r="F279" s="410">
        <v>206166</v>
      </c>
      <c r="G279" s="10">
        <v>156000</v>
      </c>
      <c r="H279" s="167">
        <v>12000</v>
      </c>
      <c r="I279" s="10">
        <v>139600</v>
      </c>
      <c r="J279" s="76">
        <f t="shared" si="384"/>
        <v>147800</v>
      </c>
      <c r="K279" s="24">
        <f t="shared" si="385"/>
        <v>-58366</v>
      </c>
      <c r="L279" s="281">
        <f t="shared" si="386"/>
        <v>-0.28310196637660912</v>
      </c>
      <c r="M279" s="431">
        <f t="shared" si="387"/>
        <v>12000</v>
      </c>
      <c r="N279" s="443"/>
      <c r="O279" s="250"/>
      <c r="P279" s="250"/>
      <c r="Q279" s="250"/>
      <c r="R279" s="250"/>
      <c r="S279" s="250"/>
      <c r="T279" s="250"/>
      <c r="U279" s="250"/>
      <c r="V279" s="443"/>
      <c r="W279" s="410"/>
      <c r="X279" s="42"/>
      <c r="Y279" s="42"/>
      <c r="Z279" s="472"/>
      <c r="AA279" s="76"/>
      <c r="AB279" s="24"/>
      <c r="AC279" s="25"/>
      <c r="AD279" s="309"/>
      <c r="AE279" s="462"/>
      <c r="AF279" s="410">
        <v>206279</v>
      </c>
      <c r="AG279" s="45"/>
      <c r="AH279" s="45">
        <v>243251</v>
      </c>
      <c r="AI279" s="45">
        <v>270000</v>
      </c>
      <c r="AJ279" s="76">
        <f t="shared" si="396"/>
        <v>256625.5</v>
      </c>
      <c r="AK279" s="24">
        <f t="shared" si="397"/>
        <v>50346.5</v>
      </c>
      <c r="AL279" s="281">
        <f t="shared" si="398"/>
        <v>0.24406992471361602</v>
      </c>
      <c r="AM279" s="462">
        <f t="shared" si="399"/>
        <v>256625.5</v>
      </c>
      <c r="AN279" s="513"/>
      <c r="AO279" s="120"/>
      <c r="AP279" s="120"/>
      <c r="AQ279" s="120"/>
      <c r="AR279" s="120"/>
      <c r="AS279" s="120"/>
      <c r="AT279" s="120"/>
      <c r="AU279" s="422"/>
      <c r="AV279" s="508"/>
      <c r="AW279" s="513"/>
      <c r="AX279" s="74"/>
      <c r="AY279" s="74"/>
      <c r="AZ279" s="75"/>
      <c r="BA279" s="61"/>
      <c r="BB279" s="60"/>
      <c r="BC279" s="74"/>
      <c r="BD279" s="250"/>
      <c r="BE279" s="250"/>
      <c r="BF279" s="250"/>
      <c r="BG279" s="250"/>
      <c r="BH279" s="250"/>
      <c r="BI279" s="76"/>
      <c r="BJ279" s="24"/>
      <c r="BK279" s="25"/>
      <c r="BL279" s="259"/>
      <c r="BM279" s="537"/>
    </row>
    <row r="280" spans="1:65" ht="34.35" customHeight="1">
      <c r="A280" s="91"/>
      <c r="B280" s="358" t="s">
        <v>2471</v>
      </c>
      <c r="C280" s="50" t="s">
        <v>920</v>
      </c>
      <c r="D280" s="177" t="s">
        <v>886</v>
      </c>
      <c r="E280" s="385" t="s">
        <v>14</v>
      </c>
      <c r="F280" s="410">
        <v>78902</v>
      </c>
      <c r="G280" s="10">
        <v>186000</v>
      </c>
      <c r="H280" s="167">
        <v>12000</v>
      </c>
      <c r="I280" s="10">
        <v>176000</v>
      </c>
      <c r="J280" s="76">
        <f t="shared" si="384"/>
        <v>181000</v>
      </c>
      <c r="K280" s="24">
        <f t="shared" si="385"/>
        <v>102098</v>
      </c>
      <c r="L280" s="281">
        <f t="shared" si="386"/>
        <v>1.2939849433474437</v>
      </c>
      <c r="M280" s="431">
        <f t="shared" si="387"/>
        <v>12000</v>
      </c>
      <c r="N280" s="443"/>
      <c r="O280" s="250"/>
      <c r="P280" s="250"/>
      <c r="Q280" s="250"/>
      <c r="R280" s="250"/>
      <c r="S280" s="250"/>
      <c r="T280" s="250"/>
      <c r="U280" s="250"/>
      <c r="V280" s="443"/>
      <c r="W280" s="410"/>
      <c r="X280" s="42"/>
      <c r="Y280" s="42"/>
      <c r="Z280" s="472"/>
      <c r="AA280" s="76"/>
      <c r="AB280" s="24"/>
      <c r="AC280" s="25"/>
      <c r="AD280" s="309"/>
      <c r="AE280" s="462"/>
      <c r="AF280" s="410">
        <v>80078</v>
      </c>
      <c r="AG280" s="45"/>
      <c r="AH280" s="45">
        <v>93090</v>
      </c>
      <c r="AI280" s="45">
        <v>95000</v>
      </c>
      <c r="AJ280" s="76">
        <f t="shared" si="396"/>
        <v>94045</v>
      </c>
      <c r="AK280" s="24">
        <f t="shared" si="397"/>
        <v>13967</v>
      </c>
      <c r="AL280" s="281">
        <f t="shared" si="398"/>
        <v>0.17441744299308173</v>
      </c>
      <c r="AM280" s="462">
        <f t="shared" si="399"/>
        <v>94045</v>
      </c>
      <c r="AN280" s="513"/>
      <c r="AO280" s="120"/>
      <c r="AP280" s="120"/>
      <c r="AQ280" s="120"/>
      <c r="AR280" s="120"/>
      <c r="AS280" s="120"/>
      <c r="AT280" s="120"/>
      <c r="AU280" s="422"/>
      <c r="AV280" s="508"/>
      <c r="AW280" s="513"/>
      <c r="AX280" s="74"/>
      <c r="AY280" s="74"/>
      <c r="AZ280" s="75"/>
      <c r="BA280" s="61"/>
      <c r="BB280" s="60"/>
      <c r="BC280" s="74"/>
      <c r="BD280" s="250"/>
      <c r="BE280" s="250"/>
      <c r="BF280" s="250"/>
      <c r="BG280" s="250"/>
      <c r="BH280" s="250"/>
      <c r="BI280" s="76"/>
      <c r="BJ280" s="24"/>
      <c r="BK280" s="25"/>
      <c r="BL280" s="259"/>
      <c r="BM280" s="537"/>
    </row>
    <row r="281" spans="1:65" ht="34.35" customHeight="1">
      <c r="A281" s="91"/>
      <c r="B281" s="358" t="s">
        <v>2472</v>
      </c>
      <c r="C281" s="50" t="s">
        <v>921</v>
      </c>
      <c r="D281" s="177" t="s">
        <v>887</v>
      </c>
      <c r="E281" s="385" t="s">
        <v>14</v>
      </c>
      <c r="F281" s="410">
        <v>318671</v>
      </c>
      <c r="G281" s="10">
        <v>185000</v>
      </c>
      <c r="H281" s="167">
        <v>45000</v>
      </c>
      <c r="I281" s="10">
        <v>205670</v>
      </c>
      <c r="J281" s="76">
        <f t="shared" si="384"/>
        <v>195335</v>
      </c>
      <c r="K281" s="24">
        <f t="shared" si="385"/>
        <v>-123336</v>
      </c>
      <c r="L281" s="281">
        <f t="shared" si="386"/>
        <v>-0.38703239391096145</v>
      </c>
      <c r="M281" s="431">
        <f t="shared" si="387"/>
        <v>45000</v>
      </c>
      <c r="N281" s="410">
        <v>145936</v>
      </c>
      <c r="O281" s="10">
        <v>160000</v>
      </c>
      <c r="P281" s="10">
        <v>160000</v>
      </c>
      <c r="Q281" s="268">
        <v>165000</v>
      </c>
      <c r="R281" s="10">
        <v>550000</v>
      </c>
      <c r="S281" s="76">
        <f t="shared" ref="S281:S293" si="400">AVERAGE(O281,P281,Q281,R281)</f>
        <v>258750</v>
      </c>
      <c r="T281" s="24">
        <f t="shared" ref="T281:T293" si="401">S281-N281</f>
        <v>112814</v>
      </c>
      <c r="U281" s="281">
        <f t="shared" ref="U281:U293" si="402">+T281/N281</f>
        <v>0.77303749588860871</v>
      </c>
      <c r="V281" s="462">
        <f t="shared" ref="V281:V293" si="403">S281</f>
        <v>258750</v>
      </c>
      <c r="W281" s="410"/>
      <c r="X281" s="42"/>
      <c r="Y281" s="42"/>
      <c r="Z281" s="472"/>
      <c r="AA281" s="76"/>
      <c r="AB281" s="24"/>
      <c r="AC281" s="25"/>
      <c r="AD281" s="309"/>
      <c r="AE281" s="462"/>
      <c r="AF281" s="410">
        <v>318669</v>
      </c>
      <c r="AG281" s="45"/>
      <c r="AH281" s="45">
        <v>375997</v>
      </c>
      <c r="AI281" s="45">
        <v>170000</v>
      </c>
      <c r="AJ281" s="76">
        <f t="shared" si="396"/>
        <v>272998.5</v>
      </c>
      <c r="AK281" s="24">
        <f t="shared" si="397"/>
        <v>-45670.5</v>
      </c>
      <c r="AL281" s="281">
        <f t="shared" si="398"/>
        <v>-0.14331641923123994</v>
      </c>
      <c r="AM281" s="462">
        <f t="shared" si="399"/>
        <v>272998.5</v>
      </c>
      <c r="AN281" s="513"/>
      <c r="AO281" s="120"/>
      <c r="AP281" s="120"/>
      <c r="AQ281" s="120"/>
      <c r="AR281" s="120"/>
      <c r="AS281" s="120"/>
      <c r="AT281" s="120"/>
      <c r="AU281" s="422"/>
      <c r="AV281" s="508"/>
      <c r="AW281" s="513"/>
      <c r="AX281" s="74"/>
      <c r="AY281" s="74"/>
      <c r="AZ281" s="75"/>
      <c r="BA281" s="61"/>
      <c r="BB281" s="60"/>
      <c r="BC281" s="74"/>
      <c r="BD281" s="250"/>
      <c r="BE281" s="250"/>
      <c r="BF281" s="250"/>
      <c r="BG281" s="250"/>
      <c r="BH281" s="250"/>
      <c r="BI281" s="76"/>
      <c r="BJ281" s="24"/>
      <c r="BK281" s="25"/>
      <c r="BL281" s="259"/>
      <c r="BM281" s="537"/>
    </row>
    <row r="282" spans="1:65" ht="34.35" customHeight="1">
      <c r="A282" s="91"/>
      <c r="B282" s="358" t="s">
        <v>2473</v>
      </c>
      <c r="C282" s="50" t="s">
        <v>922</v>
      </c>
      <c r="D282" s="177" t="s">
        <v>888</v>
      </c>
      <c r="E282" s="385" t="s">
        <v>14</v>
      </c>
      <c r="F282" s="410">
        <v>207106</v>
      </c>
      <c r="G282" s="10">
        <v>165000</v>
      </c>
      <c r="H282" s="167">
        <v>45000</v>
      </c>
      <c r="I282" s="10">
        <v>205670</v>
      </c>
      <c r="J282" s="76">
        <f t="shared" si="384"/>
        <v>185335</v>
      </c>
      <c r="K282" s="24">
        <f t="shared" si="385"/>
        <v>-21771</v>
      </c>
      <c r="L282" s="281">
        <f t="shared" si="386"/>
        <v>-0.10512008343553543</v>
      </c>
      <c r="M282" s="431">
        <f t="shared" si="387"/>
        <v>45000</v>
      </c>
      <c r="N282" s="410">
        <v>125907</v>
      </c>
      <c r="O282" s="10">
        <v>560000</v>
      </c>
      <c r="P282" s="10">
        <v>610000</v>
      </c>
      <c r="Q282" s="268">
        <v>590000</v>
      </c>
      <c r="R282" s="10">
        <v>600000</v>
      </c>
      <c r="S282" s="76">
        <f t="shared" si="400"/>
        <v>590000</v>
      </c>
      <c r="T282" s="24">
        <f t="shared" si="401"/>
        <v>464093</v>
      </c>
      <c r="U282" s="281">
        <f t="shared" si="402"/>
        <v>3.6859983956412274</v>
      </c>
      <c r="V282" s="462">
        <f t="shared" si="403"/>
        <v>590000</v>
      </c>
      <c r="W282" s="410"/>
      <c r="X282" s="42"/>
      <c r="Y282" s="42"/>
      <c r="Z282" s="472"/>
      <c r="AA282" s="76"/>
      <c r="AB282" s="24"/>
      <c r="AC282" s="25"/>
      <c r="AD282" s="309"/>
      <c r="AE282" s="462"/>
      <c r="AF282" s="410">
        <v>210190</v>
      </c>
      <c r="AG282" s="45"/>
      <c r="AH282" s="45">
        <v>244356</v>
      </c>
      <c r="AI282" s="45">
        <v>175000</v>
      </c>
      <c r="AJ282" s="76">
        <f t="shared" si="396"/>
        <v>209678</v>
      </c>
      <c r="AK282" s="24">
        <f t="shared" si="397"/>
        <v>-512</v>
      </c>
      <c r="AL282" s="281">
        <f t="shared" si="398"/>
        <v>-2.435891336409915E-3</v>
      </c>
      <c r="AM282" s="462">
        <f t="shared" si="399"/>
        <v>209678</v>
      </c>
      <c r="AN282" s="513"/>
      <c r="AO282" s="120"/>
      <c r="AP282" s="120"/>
      <c r="AQ282" s="120"/>
      <c r="AR282" s="120"/>
      <c r="AS282" s="120"/>
      <c r="AT282" s="120"/>
      <c r="AU282" s="422"/>
      <c r="AV282" s="508"/>
      <c r="AW282" s="513"/>
      <c r="AX282" s="74"/>
      <c r="AY282" s="74"/>
      <c r="AZ282" s="75"/>
      <c r="BA282" s="61"/>
      <c r="BB282" s="60"/>
      <c r="BC282" s="74"/>
      <c r="BD282" s="250"/>
      <c r="BE282" s="250"/>
      <c r="BF282" s="250"/>
      <c r="BG282" s="250"/>
      <c r="BH282" s="250"/>
      <c r="BI282" s="76"/>
      <c r="BJ282" s="24"/>
      <c r="BK282" s="25"/>
      <c r="BL282" s="259"/>
      <c r="BM282" s="537"/>
    </row>
    <row r="283" spans="1:65" ht="44.1" customHeight="1">
      <c r="A283" s="91"/>
      <c r="B283" s="358" t="s">
        <v>2474</v>
      </c>
      <c r="C283" s="50" t="s">
        <v>923</v>
      </c>
      <c r="D283" s="177" t="s">
        <v>889</v>
      </c>
      <c r="E283" s="385" t="s">
        <v>14</v>
      </c>
      <c r="F283" s="410">
        <v>1098130</v>
      </c>
      <c r="G283" s="10">
        <v>185000</v>
      </c>
      <c r="H283" s="167">
        <v>18000</v>
      </c>
      <c r="I283" s="10">
        <v>190000</v>
      </c>
      <c r="J283" s="76">
        <f t="shared" si="384"/>
        <v>187500</v>
      </c>
      <c r="K283" s="24">
        <f t="shared" si="385"/>
        <v>-910630</v>
      </c>
      <c r="L283" s="281">
        <f t="shared" si="386"/>
        <v>-0.82925518836567624</v>
      </c>
      <c r="M283" s="431">
        <f t="shared" si="387"/>
        <v>18000</v>
      </c>
      <c r="N283" s="410">
        <v>998098</v>
      </c>
      <c r="O283" s="10">
        <v>1350000</v>
      </c>
      <c r="P283" s="10">
        <v>1380000</v>
      </c>
      <c r="Q283" s="268">
        <v>1380000</v>
      </c>
      <c r="R283" s="10">
        <v>1400000</v>
      </c>
      <c r="S283" s="76">
        <f t="shared" si="400"/>
        <v>1377500</v>
      </c>
      <c r="T283" s="24">
        <f t="shared" si="401"/>
        <v>379402</v>
      </c>
      <c r="U283" s="281">
        <f t="shared" si="402"/>
        <v>0.38012499774571235</v>
      </c>
      <c r="V283" s="462">
        <f t="shared" si="403"/>
        <v>1377500</v>
      </c>
      <c r="W283" s="410"/>
      <c r="X283" s="42"/>
      <c r="Y283" s="42"/>
      <c r="Z283" s="472"/>
      <c r="AA283" s="76"/>
      <c r="AB283" s="24"/>
      <c r="AC283" s="25"/>
      <c r="AD283" s="309"/>
      <c r="AE283" s="462"/>
      <c r="AF283" s="410">
        <v>1114513</v>
      </c>
      <c r="AG283" s="45"/>
      <c r="AH283" s="45">
        <v>1295668</v>
      </c>
      <c r="AI283" s="45">
        <v>50000</v>
      </c>
      <c r="AJ283" s="76">
        <f t="shared" si="396"/>
        <v>672834</v>
      </c>
      <c r="AK283" s="24">
        <f t="shared" si="397"/>
        <v>-441679</v>
      </c>
      <c r="AL283" s="281">
        <f t="shared" si="398"/>
        <v>-0.39629775516301741</v>
      </c>
      <c r="AM283" s="462">
        <f t="shared" si="399"/>
        <v>672834</v>
      </c>
      <c r="AN283" s="513"/>
      <c r="AO283" s="120"/>
      <c r="AP283" s="120"/>
      <c r="AQ283" s="120"/>
      <c r="AR283" s="120"/>
      <c r="AS283" s="120"/>
      <c r="AT283" s="120"/>
      <c r="AU283" s="422"/>
      <c r="AV283" s="508"/>
      <c r="AW283" s="513"/>
      <c r="AX283" s="74"/>
      <c r="AY283" s="74"/>
      <c r="AZ283" s="75"/>
      <c r="BA283" s="61"/>
      <c r="BB283" s="60"/>
      <c r="BC283" s="74"/>
      <c r="BD283" s="250"/>
      <c r="BE283" s="250"/>
      <c r="BF283" s="250"/>
      <c r="BG283" s="250"/>
      <c r="BH283" s="250"/>
      <c r="BI283" s="76"/>
      <c r="BJ283" s="24"/>
      <c r="BK283" s="25"/>
      <c r="BL283" s="259"/>
      <c r="BM283" s="537"/>
    </row>
    <row r="284" spans="1:65" ht="39" customHeight="1">
      <c r="A284" s="91"/>
      <c r="B284" s="358" t="s">
        <v>2475</v>
      </c>
      <c r="C284" s="50" t="s">
        <v>924</v>
      </c>
      <c r="D284" s="177" t="s">
        <v>890</v>
      </c>
      <c r="E284" s="385" t="s">
        <v>14</v>
      </c>
      <c r="F284" s="410">
        <v>1245481</v>
      </c>
      <c r="G284" s="10">
        <v>258000</v>
      </c>
      <c r="H284" s="167">
        <v>18000</v>
      </c>
      <c r="I284" s="10">
        <v>255670</v>
      </c>
      <c r="J284" s="76">
        <f t="shared" si="384"/>
        <v>256835</v>
      </c>
      <c r="K284" s="24">
        <f t="shared" si="385"/>
        <v>-988646</v>
      </c>
      <c r="L284" s="281">
        <f t="shared" si="386"/>
        <v>-0.79378649694375103</v>
      </c>
      <c r="M284" s="431">
        <f t="shared" si="387"/>
        <v>18000</v>
      </c>
      <c r="N284" s="410">
        <v>1132036</v>
      </c>
      <c r="O284" s="10">
        <v>1400000</v>
      </c>
      <c r="P284" s="10">
        <v>1450000</v>
      </c>
      <c r="Q284" s="268">
        <v>1450000</v>
      </c>
      <c r="R284" s="10">
        <v>1500000</v>
      </c>
      <c r="S284" s="76">
        <f t="shared" si="400"/>
        <v>1450000</v>
      </c>
      <c r="T284" s="24">
        <f t="shared" si="401"/>
        <v>317964</v>
      </c>
      <c r="U284" s="281">
        <f t="shared" si="402"/>
        <v>0.28087799327936569</v>
      </c>
      <c r="V284" s="462">
        <f t="shared" si="403"/>
        <v>1450000</v>
      </c>
      <c r="W284" s="410"/>
      <c r="X284" s="42"/>
      <c r="Y284" s="42"/>
      <c r="Z284" s="472"/>
      <c r="AA284" s="76"/>
      <c r="AB284" s="24"/>
      <c r="AC284" s="25"/>
      <c r="AD284" s="309"/>
      <c r="AE284" s="462"/>
      <c r="AF284" s="410">
        <v>1264075</v>
      </c>
      <c r="AG284" s="45"/>
      <c r="AH284" s="45">
        <v>1469532</v>
      </c>
      <c r="AI284" s="45">
        <v>50000</v>
      </c>
      <c r="AJ284" s="76">
        <f t="shared" si="396"/>
        <v>759766</v>
      </c>
      <c r="AK284" s="24">
        <f t="shared" si="397"/>
        <v>-504309</v>
      </c>
      <c r="AL284" s="281">
        <f t="shared" si="398"/>
        <v>-0.39895496707078298</v>
      </c>
      <c r="AM284" s="462">
        <f t="shared" si="399"/>
        <v>759766</v>
      </c>
      <c r="AN284" s="513"/>
      <c r="AO284" s="120"/>
      <c r="AP284" s="120"/>
      <c r="AQ284" s="120"/>
      <c r="AR284" s="120"/>
      <c r="AS284" s="120"/>
      <c r="AT284" s="120"/>
      <c r="AU284" s="422"/>
      <c r="AV284" s="508"/>
      <c r="AW284" s="513"/>
      <c r="AX284" s="74"/>
      <c r="AY284" s="74"/>
      <c r="AZ284" s="75"/>
      <c r="BA284" s="61"/>
      <c r="BB284" s="60"/>
      <c r="BC284" s="74"/>
      <c r="BD284" s="250"/>
      <c r="BE284" s="250"/>
      <c r="BF284" s="250"/>
      <c r="BG284" s="250"/>
      <c r="BH284" s="250"/>
      <c r="BI284" s="76"/>
      <c r="BJ284" s="24"/>
      <c r="BK284" s="25"/>
      <c r="BL284" s="259"/>
      <c r="BM284" s="537"/>
    </row>
    <row r="285" spans="1:65" ht="34.35" customHeight="1">
      <c r="A285" s="91"/>
      <c r="B285" s="358" t="s">
        <v>2476</v>
      </c>
      <c r="C285" s="50" t="s">
        <v>925</v>
      </c>
      <c r="D285" s="177" t="s">
        <v>891</v>
      </c>
      <c r="E285" s="385" t="s">
        <v>14</v>
      </c>
      <c r="F285" s="410">
        <v>121827</v>
      </c>
      <c r="G285" s="10"/>
      <c r="H285" s="167">
        <v>18000</v>
      </c>
      <c r="I285" s="10">
        <v>79000</v>
      </c>
      <c r="J285" s="76">
        <f t="shared" si="384"/>
        <v>79000</v>
      </c>
      <c r="K285" s="24">
        <f t="shared" si="385"/>
        <v>-42827</v>
      </c>
      <c r="L285" s="281">
        <f t="shared" si="386"/>
        <v>-0.35153947811240532</v>
      </c>
      <c r="M285" s="431">
        <f t="shared" si="387"/>
        <v>18000</v>
      </c>
      <c r="N285" s="410">
        <v>110728</v>
      </c>
      <c r="O285" s="10">
        <v>65000</v>
      </c>
      <c r="P285" s="10">
        <v>70000</v>
      </c>
      <c r="Q285" s="268">
        <v>70000</v>
      </c>
      <c r="R285" s="10">
        <v>120000</v>
      </c>
      <c r="S285" s="76">
        <f t="shared" si="400"/>
        <v>81250</v>
      </c>
      <c r="T285" s="24">
        <f t="shared" si="401"/>
        <v>-29478</v>
      </c>
      <c r="U285" s="281">
        <f t="shared" si="402"/>
        <v>-0.26621992630590274</v>
      </c>
      <c r="V285" s="462">
        <f t="shared" si="403"/>
        <v>81250</v>
      </c>
      <c r="W285" s="410"/>
      <c r="X285" s="42"/>
      <c r="Y285" s="42"/>
      <c r="Z285" s="472"/>
      <c r="AA285" s="76"/>
      <c r="AB285" s="24"/>
      <c r="AC285" s="25"/>
      <c r="AD285" s="309"/>
      <c r="AE285" s="462"/>
      <c r="AF285" s="410">
        <v>123639</v>
      </c>
      <c r="AG285" s="45"/>
      <c r="AH285" s="45">
        <v>143739</v>
      </c>
      <c r="AI285" s="45">
        <v>120000</v>
      </c>
      <c r="AJ285" s="76">
        <f t="shared" si="396"/>
        <v>131869.5</v>
      </c>
      <c r="AK285" s="24">
        <f t="shared" si="397"/>
        <v>8230.5</v>
      </c>
      <c r="AL285" s="281">
        <f t="shared" si="398"/>
        <v>6.6568801106447001E-2</v>
      </c>
      <c r="AM285" s="462">
        <f t="shared" si="399"/>
        <v>131869.5</v>
      </c>
      <c r="AN285" s="513"/>
      <c r="AO285" s="120"/>
      <c r="AP285" s="120"/>
      <c r="AQ285" s="120"/>
      <c r="AR285" s="120"/>
      <c r="AS285" s="120"/>
      <c r="AT285" s="120"/>
      <c r="AU285" s="422"/>
      <c r="AV285" s="508"/>
      <c r="AW285" s="513"/>
      <c r="AX285" s="74"/>
      <c r="AY285" s="74"/>
      <c r="AZ285" s="75"/>
      <c r="BA285" s="61"/>
      <c r="BB285" s="60"/>
      <c r="BC285" s="74"/>
      <c r="BD285" s="250"/>
      <c r="BE285" s="250"/>
      <c r="BF285" s="250"/>
      <c r="BG285" s="250"/>
      <c r="BH285" s="250"/>
      <c r="BI285" s="76"/>
      <c r="BJ285" s="24"/>
      <c r="BK285" s="25"/>
      <c r="BL285" s="259"/>
      <c r="BM285" s="537"/>
    </row>
    <row r="286" spans="1:65" ht="50.1" customHeight="1">
      <c r="A286" s="91"/>
      <c r="B286" s="358" t="s">
        <v>2477</v>
      </c>
      <c r="C286" s="50" t="s">
        <v>926</v>
      </c>
      <c r="D286" s="177" t="s">
        <v>892</v>
      </c>
      <c r="E286" s="385" t="s">
        <v>14</v>
      </c>
      <c r="F286" s="410">
        <v>163498</v>
      </c>
      <c r="G286" s="10"/>
      <c r="H286" s="167">
        <v>18000</v>
      </c>
      <c r="I286" s="10">
        <v>98000</v>
      </c>
      <c r="J286" s="76">
        <f t="shared" si="384"/>
        <v>98000</v>
      </c>
      <c r="K286" s="24">
        <f t="shared" si="385"/>
        <v>-65498</v>
      </c>
      <c r="L286" s="281">
        <f t="shared" si="386"/>
        <v>-0.40060428873747689</v>
      </c>
      <c r="M286" s="431">
        <f t="shared" si="387"/>
        <v>18000</v>
      </c>
      <c r="N286" s="410">
        <v>148604</v>
      </c>
      <c r="O286" s="10">
        <v>120000</v>
      </c>
      <c r="P286" s="10">
        <v>128000</v>
      </c>
      <c r="Q286" s="268">
        <v>125000</v>
      </c>
      <c r="R286" s="10">
        <v>120000</v>
      </c>
      <c r="S286" s="76">
        <f t="shared" si="400"/>
        <v>123250</v>
      </c>
      <c r="T286" s="24">
        <f t="shared" si="401"/>
        <v>-25354</v>
      </c>
      <c r="U286" s="281">
        <f t="shared" si="402"/>
        <v>-0.17061451912465345</v>
      </c>
      <c r="V286" s="462">
        <f t="shared" si="403"/>
        <v>123250</v>
      </c>
      <c r="W286" s="410"/>
      <c r="X286" s="42"/>
      <c r="Y286" s="42"/>
      <c r="Z286" s="472"/>
      <c r="AA286" s="76"/>
      <c r="AB286" s="24"/>
      <c r="AC286" s="25"/>
      <c r="AD286" s="309"/>
      <c r="AE286" s="462"/>
      <c r="AF286" s="410">
        <v>165937</v>
      </c>
      <c r="AG286" s="45"/>
      <c r="AH286" s="45">
        <v>192908</v>
      </c>
      <c r="AI286" s="45">
        <v>140000</v>
      </c>
      <c r="AJ286" s="76">
        <f t="shared" si="396"/>
        <v>166454</v>
      </c>
      <c r="AK286" s="24">
        <f t="shared" si="397"/>
        <v>517</v>
      </c>
      <c r="AL286" s="281">
        <f t="shared" si="398"/>
        <v>3.1156402731157004E-3</v>
      </c>
      <c r="AM286" s="462">
        <f t="shared" si="399"/>
        <v>166454</v>
      </c>
      <c r="AN286" s="513"/>
      <c r="AO286" s="120"/>
      <c r="AP286" s="120"/>
      <c r="AQ286" s="120"/>
      <c r="AR286" s="120"/>
      <c r="AS286" s="120"/>
      <c r="AT286" s="120"/>
      <c r="AU286" s="422"/>
      <c r="AV286" s="508"/>
      <c r="AW286" s="513"/>
      <c r="AX286" s="74"/>
      <c r="AY286" s="74"/>
      <c r="AZ286" s="75"/>
      <c r="BA286" s="61"/>
      <c r="BB286" s="60"/>
      <c r="BC286" s="74"/>
      <c r="BD286" s="250"/>
      <c r="BE286" s="250"/>
      <c r="BF286" s="250"/>
      <c r="BG286" s="250"/>
      <c r="BH286" s="250"/>
      <c r="BI286" s="76"/>
      <c r="BJ286" s="24"/>
      <c r="BK286" s="25"/>
      <c r="BL286" s="259"/>
      <c r="BM286" s="537"/>
    </row>
    <row r="287" spans="1:65" ht="34.35" customHeight="1">
      <c r="A287" s="91"/>
      <c r="B287" s="358" t="s">
        <v>2478</v>
      </c>
      <c r="C287" s="50" t="s">
        <v>927</v>
      </c>
      <c r="D287" s="177" t="s">
        <v>893</v>
      </c>
      <c r="E287" s="385" t="s">
        <v>14</v>
      </c>
      <c r="F287" s="410">
        <v>92257</v>
      </c>
      <c r="G287" s="10"/>
      <c r="H287" s="167">
        <v>18000</v>
      </c>
      <c r="I287" s="10"/>
      <c r="J287" s="76"/>
      <c r="K287" s="24"/>
      <c r="L287" s="281"/>
      <c r="M287" s="431" t="s">
        <v>894</v>
      </c>
      <c r="N287" s="410">
        <v>83856</v>
      </c>
      <c r="O287" s="10">
        <v>128000</v>
      </c>
      <c r="P287" s="10">
        <v>135000</v>
      </c>
      <c r="Q287" s="268">
        <v>135000</v>
      </c>
      <c r="R287" s="10">
        <v>450000</v>
      </c>
      <c r="S287" s="76">
        <f t="shared" si="400"/>
        <v>212000</v>
      </c>
      <c r="T287" s="24">
        <f t="shared" si="401"/>
        <v>128144</v>
      </c>
      <c r="U287" s="281">
        <f t="shared" si="402"/>
        <v>1.528143484067926</v>
      </c>
      <c r="V287" s="462">
        <f t="shared" si="403"/>
        <v>212000</v>
      </c>
      <c r="W287" s="410"/>
      <c r="X287" s="42"/>
      <c r="Y287" s="42"/>
      <c r="Z287" s="472"/>
      <c r="AA287" s="76"/>
      <c r="AB287" s="24"/>
      <c r="AC287" s="25"/>
      <c r="AD287" s="309"/>
      <c r="AE287" s="462"/>
      <c r="AF287" s="410">
        <v>93633</v>
      </c>
      <c r="AG287" s="45"/>
      <c r="AH287" s="45">
        <v>108854</v>
      </c>
      <c r="AI287" s="45">
        <v>135000</v>
      </c>
      <c r="AJ287" s="76">
        <f t="shared" si="396"/>
        <v>121927</v>
      </c>
      <c r="AK287" s="24">
        <f t="shared" si="397"/>
        <v>28294</v>
      </c>
      <c r="AL287" s="281">
        <f t="shared" si="398"/>
        <v>0.30217978704089371</v>
      </c>
      <c r="AM287" s="462">
        <f t="shared" si="399"/>
        <v>121927</v>
      </c>
      <c r="AN287" s="513"/>
      <c r="AO287" s="120"/>
      <c r="AP287" s="120"/>
      <c r="AQ287" s="120"/>
      <c r="AR287" s="120"/>
      <c r="AS287" s="120"/>
      <c r="AT287" s="120"/>
      <c r="AU287" s="422"/>
      <c r="AV287" s="508"/>
      <c r="AW287" s="513"/>
      <c r="AX287" s="74"/>
      <c r="AY287" s="74"/>
      <c r="AZ287" s="75"/>
      <c r="BA287" s="61"/>
      <c r="BB287" s="60"/>
      <c r="BC287" s="74"/>
      <c r="BD287" s="250"/>
      <c r="BE287" s="250"/>
      <c r="BF287" s="250"/>
      <c r="BG287" s="250"/>
      <c r="BH287" s="250"/>
      <c r="BI287" s="76"/>
      <c r="BJ287" s="24"/>
      <c r="BK287" s="25"/>
      <c r="BL287" s="259"/>
      <c r="BM287" s="537"/>
    </row>
    <row r="288" spans="1:65" ht="47.1" customHeight="1">
      <c r="A288" s="91"/>
      <c r="B288" s="358" t="s">
        <v>2479</v>
      </c>
      <c r="C288" s="50" t="s">
        <v>928</v>
      </c>
      <c r="D288" s="177" t="s">
        <v>895</v>
      </c>
      <c r="E288" s="385" t="s">
        <v>14</v>
      </c>
      <c r="F288" s="410">
        <v>26514</v>
      </c>
      <c r="G288" s="10"/>
      <c r="H288" s="167">
        <v>22000</v>
      </c>
      <c r="I288" s="10">
        <v>35000</v>
      </c>
      <c r="J288" s="76">
        <f t="shared" ref="J288:J301" si="404">AVERAGE(G288,I288)</f>
        <v>35000</v>
      </c>
      <c r="K288" s="24">
        <f t="shared" ref="K288:K301" si="405">J288-F288</f>
        <v>8486</v>
      </c>
      <c r="L288" s="281">
        <f t="shared" ref="L288:L301" si="406">+K288/F288</f>
        <v>0.32005732820396771</v>
      </c>
      <c r="M288" s="431">
        <f t="shared" ref="M288:M307" si="407">H288</f>
        <v>22000</v>
      </c>
      <c r="N288" s="410">
        <v>23294</v>
      </c>
      <c r="O288" s="10">
        <v>92000</v>
      </c>
      <c r="P288" s="10">
        <v>99000</v>
      </c>
      <c r="Q288" s="268">
        <v>96000</v>
      </c>
      <c r="R288" s="10">
        <v>95000</v>
      </c>
      <c r="S288" s="76">
        <f t="shared" si="400"/>
        <v>95500</v>
      </c>
      <c r="T288" s="24">
        <f t="shared" si="401"/>
        <v>72206</v>
      </c>
      <c r="U288" s="281">
        <f t="shared" si="402"/>
        <v>3.0997681806473771</v>
      </c>
      <c r="V288" s="462">
        <f t="shared" si="403"/>
        <v>95500</v>
      </c>
      <c r="W288" s="410"/>
      <c r="X288" s="42"/>
      <c r="Y288" s="42"/>
      <c r="Z288" s="472"/>
      <c r="AA288" s="76"/>
      <c r="AB288" s="24"/>
      <c r="AC288" s="25"/>
      <c r="AD288" s="309"/>
      <c r="AE288" s="462"/>
      <c r="AF288" s="410">
        <v>26512</v>
      </c>
      <c r="AG288" s="45"/>
      <c r="AH288" s="45">
        <v>31279</v>
      </c>
      <c r="AI288" s="45">
        <v>35000</v>
      </c>
      <c r="AJ288" s="76">
        <f t="shared" si="396"/>
        <v>33139.5</v>
      </c>
      <c r="AK288" s="24">
        <f t="shared" si="397"/>
        <v>6627.5</v>
      </c>
      <c r="AL288" s="281">
        <f t="shared" si="398"/>
        <v>0.24998114061557031</v>
      </c>
      <c r="AM288" s="462">
        <f t="shared" si="399"/>
        <v>33139.5</v>
      </c>
      <c r="AN288" s="513"/>
      <c r="AO288" s="120"/>
      <c r="AP288" s="120"/>
      <c r="AQ288" s="120"/>
      <c r="AR288" s="120"/>
      <c r="AS288" s="120"/>
      <c r="AT288" s="120"/>
      <c r="AU288" s="422"/>
      <c r="AV288" s="508"/>
      <c r="AW288" s="513"/>
      <c r="AX288" s="74"/>
      <c r="AY288" s="74"/>
      <c r="AZ288" s="75"/>
      <c r="BA288" s="61"/>
      <c r="BB288" s="60"/>
      <c r="BC288" s="74"/>
      <c r="BD288" s="250"/>
      <c r="BE288" s="250"/>
      <c r="BF288" s="250"/>
      <c r="BG288" s="250"/>
      <c r="BH288" s="250"/>
      <c r="BI288" s="76"/>
      <c r="BJ288" s="24"/>
      <c r="BK288" s="25"/>
      <c r="BL288" s="259"/>
      <c r="BM288" s="537"/>
    </row>
    <row r="289" spans="1:65" ht="34.35" customHeight="1">
      <c r="A289" s="91"/>
      <c r="B289" s="358" t="s">
        <v>2480</v>
      </c>
      <c r="C289" s="50" t="s">
        <v>929</v>
      </c>
      <c r="D289" s="177" t="s">
        <v>896</v>
      </c>
      <c r="E289" s="385" t="s">
        <v>14</v>
      </c>
      <c r="F289" s="410">
        <v>353773</v>
      </c>
      <c r="G289" s="10"/>
      <c r="H289" s="167">
        <v>22000</v>
      </c>
      <c r="I289" s="10">
        <v>125000</v>
      </c>
      <c r="J289" s="76">
        <f t="shared" si="404"/>
        <v>125000</v>
      </c>
      <c r="K289" s="24">
        <f t="shared" si="405"/>
        <v>-228773</v>
      </c>
      <c r="L289" s="281">
        <f t="shared" si="406"/>
        <v>-0.64666608248792301</v>
      </c>
      <c r="M289" s="431">
        <f t="shared" si="407"/>
        <v>22000</v>
      </c>
      <c r="N289" s="410">
        <v>321546</v>
      </c>
      <c r="O289" s="10">
        <v>250000</v>
      </c>
      <c r="P289" s="10">
        <v>270000</v>
      </c>
      <c r="Q289" s="268">
        <v>260000</v>
      </c>
      <c r="R289" s="10">
        <v>350000</v>
      </c>
      <c r="S289" s="76">
        <f t="shared" si="400"/>
        <v>282500</v>
      </c>
      <c r="T289" s="24">
        <f t="shared" si="401"/>
        <v>-39046</v>
      </c>
      <c r="U289" s="281">
        <f t="shared" si="402"/>
        <v>-0.12143208125742506</v>
      </c>
      <c r="V289" s="462">
        <f t="shared" si="403"/>
        <v>282500</v>
      </c>
      <c r="W289" s="410"/>
      <c r="X289" s="42"/>
      <c r="Y289" s="42"/>
      <c r="Z289" s="472"/>
      <c r="AA289" s="76"/>
      <c r="AB289" s="24"/>
      <c r="AC289" s="25"/>
      <c r="AD289" s="309"/>
      <c r="AE289" s="462"/>
      <c r="AF289" s="410">
        <v>359050</v>
      </c>
      <c r="AG289" s="45"/>
      <c r="AH289" s="45">
        <v>417409</v>
      </c>
      <c r="AI289" s="45">
        <v>35000</v>
      </c>
      <c r="AJ289" s="76">
        <f t="shared" si="396"/>
        <v>226204.5</v>
      </c>
      <c r="AK289" s="24">
        <f t="shared" si="397"/>
        <v>-132845.5</v>
      </c>
      <c r="AL289" s="281">
        <f t="shared" si="398"/>
        <v>-0.36999164461774126</v>
      </c>
      <c r="AM289" s="462">
        <f t="shared" si="399"/>
        <v>226204.5</v>
      </c>
      <c r="AN289" s="513"/>
      <c r="AO289" s="120"/>
      <c r="AP289" s="120"/>
      <c r="AQ289" s="120"/>
      <c r="AR289" s="120"/>
      <c r="AS289" s="120"/>
      <c r="AT289" s="120"/>
      <c r="AU289" s="422"/>
      <c r="AV289" s="508"/>
      <c r="AW289" s="513"/>
      <c r="AX289" s="74"/>
      <c r="AY289" s="74"/>
      <c r="AZ289" s="75"/>
      <c r="BA289" s="61"/>
      <c r="BB289" s="60"/>
      <c r="BC289" s="74"/>
      <c r="BD289" s="250"/>
      <c r="BE289" s="250"/>
      <c r="BF289" s="250"/>
      <c r="BG289" s="250"/>
      <c r="BH289" s="250"/>
      <c r="BI289" s="76"/>
      <c r="BJ289" s="24"/>
      <c r="BK289" s="25"/>
      <c r="BL289" s="259"/>
      <c r="BM289" s="537"/>
    </row>
    <row r="290" spans="1:65" ht="34.35" customHeight="1">
      <c r="A290" s="91"/>
      <c r="B290" s="358" t="s">
        <v>2481</v>
      </c>
      <c r="C290" s="50" t="s">
        <v>930</v>
      </c>
      <c r="D290" s="177" t="s">
        <v>897</v>
      </c>
      <c r="E290" s="385" t="s">
        <v>14</v>
      </c>
      <c r="F290" s="410">
        <v>849087</v>
      </c>
      <c r="G290" s="10"/>
      <c r="H290" s="167">
        <v>22000</v>
      </c>
      <c r="I290" s="10">
        <v>160000</v>
      </c>
      <c r="J290" s="76">
        <f t="shared" si="404"/>
        <v>160000</v>
      </c>
      <c r="K290" s="24">
        <f t="shared" si="405"/>
        <v>-689087</v>
      </c>
      <c r="L290" s="281">
        <f t="shared" si="406"/>
        <v>-0.81156230162515741</v>
      </c>
      <c r="M290" s="431">
        <f t="shared" si="407"/>
        <v>22000</v>
      </c>
      <c r="N290" s="410">
        <v>771742</v>
      </c>
      <c r="O290" s="10">
        <v>325000</v>
      </c>
      <c r="P290" s="10">
        <v>332000</v>
      </c>
      <c r="Q290" s="268">
        <v>330000</v>
      </c>
      <c r="R290" s="10">
        <v>350000</v>
      </c>
      <c r="S290" s="76">
        <f t="shared" si="400"/>
        <v>334250</v>
      </c>
      <c r="T290" s="24">
        <f t="shared" si="401"/>
        <v>-437492</v>
      </c>
      <c r="U290" s="281">
        <f t="shared" si="402"/>
        <v>-0.56688893438480736</v>
      </c>
      <c r="V290" s="462">
        <f t="shared" si="403"/>
        <v>334250</v>
      </c>
      <c r="W290" s="410"/>
      <c r="X290" s="42"/>
      <c r="Y290" s="42"/>
      <c r="Z290" s="472"/>
      <c r="AA290" s="76"/>
      <c r="AB290" s="24"/>
      <c r="AC290" s="25"/>
      <c r="AD290" s="309"/>
      <c r="AE290" s="462"/>
      <c r="AF290" s="410">
        <v>861758</v>
      </c>
      <c r="AG290" s="45"/>
      <c r="AH290" s="45">
        <v>1001828</v>
      </c>
      <c r="AI290" s="45">
        <v>45000</v>
      </c>
      <c r="AJ290" s="76">
        <f t="shared" si="396"/>
        <v>523414</v>
      </c>
      <c r="AK290" s="24">
        <f t="shared" si="397"/>
        <v>-338344</v>
      </c>
      <c r="AL290" s="281">
        <f t="shared" si="398"/>
        <v>-0.39262066612668522</v>
      </c>
      <c r="AM290" s="462">
        <f t="shared" si="399"/>
        <v>523414</v>
      </c>
      <c r="AN290" s="513"/>
      <c r="AO290" s="120"/>
      <c r="AP290" s="120"/>
      <c r="AQ290" s="120"/>
      <c r="AR290" s="120"/>
      <c r="AS290" s="120"/>
      <c r="AT290" s="120"/>
      <c r="AU290" s="422"/>
      <c r="AV290" s="508"/>
      <c r="AW290" s="513"/>
      <c r="AX290" s="74"/>
      <c r="AY290" s="74"/>
      <c r="AZ290" s="75"/>
      <c r="BA290" s="61"/>
      <c r="BB290" s="60"/>
      <c r="BC290" s="74"/>
      <c r="BD290" s="250"/>
      <c r="BE290" s="250"/>
      <c r="BF290" s="250"/>
      <c r="BG290" s="250"/>
      <c r="BH290" s="250"/>
      <c r="BI290" s="76"/>
      <c r="BJ290" s="24"/>
      <c r="BK290" s="25"/>
      <c r="BL290" s="259"/>
      <c r="BM290" s="537"/>
    </row>
    <row r="291" spans="1:65" ht="47.1" customHeight="1">
      <c r="A291" s="91"/>
      <c r="B291" s="358" t="s">
        <v>2482</v>
      </c>
      <c r="C291" s="50" t="s">
        <v>931</v>
      </c>
      <c r="D291" s="177" t="s">
        <v>898</v>
      </c>
      <c r="E291" s="385" t="s">
        <v>14</v>
      </c>
      <c r="F291" s="410">
        <v>13622</v>
      </c>
      <c r="G291" s="10"/>
      <c r="H291" s="167">
        <v>6000</v>
      </c>
      <c r="I291" s="10">
        <v>78000</v>
      </c>
      <c r="J291" s="76">
        <f t="shared" si="404"/>
        <v>78000</v>
      </c>
      <c r="K291" s="24">
        <f t="shared" si="405"/>
        <v>64378</v>
      </c>
      <c r="L291" s="281">
        <f t="shared" si="406"/>
        <v>4.7260314197621494</v>
      </c>
      <c r="M291" s="431">
        <f t="shared" si="407"/>
        <v>6000</v>
      </c>
      <c r="N291" s="410">
        <v>12207</v>
      </c>
      <c r="O291" s="10">
        <v>43000</v>
      </c>
      <c r="P291" s="10">
        <v>48000</v>
      </c>
      <c r="Q291" s="268">
        <v>45000</v>
      </c>
      <c r="R291" s="10">
        <v>150000</v>
      </c>
      <c r="S291" s="76">
        <f t="shared" si="400"/>
        <v>71500</v>
      </c>
      <c r="T291" s="24">
        <f t="shared" si="401"/>
        <v>59293</v>
      </c>
      <c r="U291" s="281">
        <f t="shared" si="402"/>
        <v>4.8572949946751862</v>
      </c>
      <c r="V291" s="462">
        <f t="shared" si="403"/>
        <v>71500</v>
      </c>
      <c r="W291" s="410"/>
      <c r="X291" s="42"/>
      <c r="Y291" s="42"/>
      <c r="Z291" s="472"/>
      <c r="AA291" s="76"/>
      <c r="AB291" s="24"/>
      <c r="AC291" s="25"/>
      <c r="AD291" s="309"/>
      <c r="AE291" s="462"/>
      <c r="AF291" s="410">
        <v>13622</v>
      </c>
      <c r="AG291" s="45"/>
      <c r="AH291" s="45">
        <v>16068</v>
      </c>
      <c r="AI291" s="45">
        <v>45000</v>
      </c>
      <c r="AJ291" s="76">
        <f t="shared" si="396"/>
        <v>30534</v>
      </c>
      <c r="AK291" s="24">
        <f t="shared" si="397"/>
        <v>16912</v>
      </c>
      <c r="AL291" s="281">
        <f t="shared" si="398"/>
        <v>1.2415210688591984</v>
      </c>
      <c r="AM291" s="462">
        <f t="shared" si="399"/>
        <v>30534</v>
      </c>
      <c r="AN291" s="513"/>
      <c r="AO291" s="120"/>
      <c r="AP291" s="120"/>
      <c r="AQ291" s="120"/>
      <c r="AR291" s="120"/>
      <c r="AS291" s="120"/>
      <c r="AT291" s="120"/>
      <c r="AU291" s="422"/>
      <c r="AV291" s="508"/>
      <c r="AW291" s="513"/>
      <c r="AX291" s="74"/>
      <c r="AY291" s="74"/>
      <c r="AZ291" s="75"/>
      <c r="BA291" s="61"/>
      <c r="BB291" s="60"/>
      <c r="BC291" s="74"/>
      <c r="BD291" s="250"/>
      <c r="BE291" s="250"/>
      <c r="BF291" s="250"/>
      <c r="BG291" s="250"/>
      <c r="BH291" s="250"/>
      <c r="BI291" s="76"/>
      <c r="BJ291" s="24"/>
      <c r="BK291" s="25"/>
      <c r="BL291" s="259"/>
      <c r="BM291" s="537"/>
    </row>
    <row r="292" spans="1:65" ht="45" customHeight="1">
      <c r="A292" s="91"/>
      <c r="B292" s="358" t="s">
        <v>2483</v>
      </c>
      <c r="C292" s="50" t="s">
        <v>932</v>
      </c>
      <c r="D292" s="177" t="s">
        <v>899</v>
      </c>
      <c r="E292" s="385" t="s">
        <v>14</v>
      </c>
      <c r="F292" s="410">
        <v>41559</v>
      </c>
      <c r="G292" s="10"/>
      <c r="H292" s="167">
        <v>6000</v>
      </c>
      <c r="I292" s="10">
        <v>78000</v>
      </c>
      <c r="J292" s="76">
        <f t="shared" si="404"/>
        <v>78000</v>
      </c>
      <c r="K292" s="24">
        <f t="shared" si="405"/>
        <v>36441</v>
      </c>
      <c r="L292" s="281">
        <f t="shared" si="406"/>
        <v>0.87684977983108348</v>
      </c>
      <c r="M292" s="431">
        <f t="shared" si="407"/>
        <v>6000</v>
      </c>
      <c r="N292" s="410">
        <v>37353</v>
      </c>
      <c r="O292" s="10">
        <v>57000</v>
      </c>
      <c r="P292" s="10">
        <v>62000</v>
      </c>
      <c r="Q292" s="268">
        <v>60000</v>
      </c>
      <c r="R292" s="10">
        <v>150000</v>
      </c>
      <c r="S292" s="76">
        <f t="shared" si="400"/>
        <v>82250</v>
      </c>
      <c r="T292" s="24">
        <f t="shared" si="401"/>
        <v>44897</v>
      </c>
      <c r="U292" s="281">
        <f t="shared" si="402"/>
        <v>1.2019650362755334</v>
      </c>
      <c r="V292" s="462">
        <f t="shared" si="403"/>
        <v>82250</v>
      </c>
      <c r="W292" s="410"/>
      <c r="X292" s="42"/>
      <c r="Y292" s="42"/>
      <c r="Z292" s="472"/>
      <c r="AA292" s="76"/>
      <c r="AB292" s="24"/>
      <c r="AC292" s="25"/>
      <c r="AD292" s="309"/>
      <c r="AE292" s="462"/>
      <c r="AF292" s="410">
        <v>41557</v>
      </c>
      <c r="AG292" s="45"/>
      <c r="AH292" s="45">
        <v>49029</v>
      </c>
      <c r="AI292" s="45">
        <v>45000</v>
      </c>
      <c r="AJ292" s="76">
        <f t="shared" si="396"/>
        <v>47014.5</v>
      </c>
      <c r="AK292" s="24">
        <f t="shared" si="397"/>
        <v>5457.5</v>
      </c>
      <c r="AL292" s="281">
        <f t="shared" si="398"/>
        <v>0.13132564910845346</v>
      </c>
      <c r="AM292" s="462">
        <f t="shared" si="399"/>
        <v>47014.5</v>
      </c>
      <c r="AN292" s="513"/>
      <c r="AO292" s="120"/>
      <c r="AP292" s="120"/>
      <c r="AQ292" s="120"/>
      <c r="AR292" s="120"/>
      <c r="AS292" s="120"/>
      <c r="AT292" s="120"/>
      <c r="AU292" s="422"/>
      <c r="AV292" s="508"/>
      <c r="AW292" s="513"/>
      <c r="AX292" s="74"/>
      <c r="AY292" s="74"/>
      <c r="AZ292" s="75"/>
      <c r="BA292" s="61"/>
      <c r="BB292" s="60"/>
      <c r="BC292" s="74"/>
      <c r="BD292" s="250"/>
      <c r="BE292" s="250"/>
      <c r="BF292" s="250"/>
      <c r="BG292" s="250"/>
      <c r="BH292" s="250"/>
      <c r="BI292" s="76"/>
      <c r="BJ292" s="24"/>
      <c r="BK292" s="25"/>
      <c r="BL292" s="259"/>
      <c r="BM292" s="537"/>
    </row>
    <row r="293" spans="1:65" ht="34.35" customHeight="1">
      <c r="A293" s="91"/>
      <c r="B293" s="358" t="s">
        <v>2484</v>
      </c>
      <c r="C293" s="50" t="s">
        <v>933</v>
      </c>
      <c r="D293" s="177" t="s">
        <v>900</v>
      </c>
      <c r="E293" s="385" t="s">
        <v>14</v>
      </c>
      <c r="F293" s="410">
        <v>31459</v>
      </c>
      <c r="G293" s="10"/>
      <c r="H293" s="167">
        <v>6000</v>
      </c>
      <c r="I293" s="10">
        <v>101000</v>
      </c>
      <c r="J293" s="76">
        <f t="shared" si="404"/>
        <v>101000</v>
      </c>
      <c r="K293" s="24">
        <f t="shared" si="405"/>
        <v>69541</v>
      </c>
      <c r="L293" s="281">
        <f t="shared" si="406"/>
        <v>2.2105279888108331</v>
      </c>
      <c r="M293" s="431">
        <f t="shared" si="407"/>
        <v>6000</v>
      </c>
      <c r="N293" s="410">
        <v>28591</v>
      </c>
      <c r="O293" s="10">
        <v>45000</v>
      </c>
      <c r="P293" s="10">
        <v>50000</v>
      </c>
      <c r="Q293" s="268">
        <v>48000</v>
      </c>
      <c r="R293" s="10">
        <v>320000</v>
      </c>
      <c r="S293" s="76">
        <f t="shared" si="400"/>
        <v>115750</v>
      </c>
      <c r="T293" s="24">
        <f t="shared" si="401"/>
        <v>87159</v>
      </c>
      <c r="U293" s="281">
        <f t="shared" si="402"/>
        <v>3.0484767933965236</v>
      </c>
      <c r="V293" s="462">
        <f t="shared" si="403"/>
        <v>115750</v>
      </c>
      <c r="W293" s="410"/>
      <c r="X293" s="42"/>
      <c r="Y293" s="42"/>
      <c r="Z293" s="472"/>
      <c r="AA293" s="76"/>
      <c r="AB293" s="24"/>
      <c r="AC293" s="25"/>
      <c r="AD293" s="309"/>
      <c r="AE293" s="462"/>
      <c r="AF293" s="410">
        <v>31932</v>
      </c>
      <c r="AG293" s="45"/>
      <c r="AH293" s="45">
        <v>37119</v>
      </c>
      <c r="AI293" s="45">
        <v>60000</v>
      </c>
      <c r="AJ293" s="76">
        <f t="shared" si="396"/>
        <v>48559.5</v>
      </c>
      <c r="AK293" s="24">
        <f t="shared" si="397"/>
        <v>16627.5</v>
      </c>
      <c r="AL293" s="281">
        <f t="shared" si="398"/>
        <v>0.52071589627959414</v>
      </c>
      <c r="AM293" s="462">
        <f t="shared" si="399"/>
        <v>48559.5</v>
      </c>
      <c r="AN293" s="513"/>
      <c r="AO293" s="120"/>
      <c r="AP293" s="120"/>
      <c r="AQ293" s="120"/>
      <c r="AR293" s="120"/>
      <c r="AS293" s="120"/>
      <c r="AT293" s="120"/>
      <c r="AU293" s="422"/>
      <c r="AV293" s="508"/>
      <c r="AW293" s="513"/>
      <c r="AX293" s="74"/>
      <c r="AY293" s="74"/>
      <c r="AZ293" s="75"/>
      <c r="BA293" s="61"/>
      <c r="BB293" s="60"/>
      <c r="BC293" s="74"/>
      <c r="BD293" s="250"/>
      <c r="BE293" s="250"/>
      <c r="BF293" s="250"/>
      <c r="BG293" s="250"/>
      <c r="BH293" s="250"/>
      <c r="BI293" s="76"/>
      <c r="BJ293" s="24"/>
      <c r="BK293" s="25"/>
      <c r="BL293" s="259"/>
      <c r="BM293" s="537"/>
    </row>
    <row r="294" spans="1:65" ht="34.35" customHeight="1">
      <c r="A294" s="91"/>
      <c r="B294" s="358" t="s">
        <v>2485</v>
      </c>
      <c r="C294" s="50" t="s">
        <v>934</v>
      </c>
      <c r="D294" s="177" t="s">
        <v>901</v>
      </c>
      <c r="E294" s="385" t="s">
        <v>10</v>
      </c>
      <c r="F294" s="410">
        <v>2156</v>
      </c>
      <c r="G294" s="10">
        <v>4699.5200000000004</v>
      </c>
      <c r="H294" s="167">
        <v>4699.5200000000004</v>
      </c>
      <c r="I294" s="10">
        <v>4000</v>
      </c>
      <c r="J294" s="76">
        <f t="shared" si="404"/>
        <v>4349.76</v>
      </c>
      <c r="K294" s="24">
        <f t="shared" si="405"/>
        <v>2193.7600000000002</v>
      </c>
      <c r="L294" s="281">
        <f t="shared" si="406"/>
        <v>1.017513914656772</v>
      </c>
      <c r="M294" s="431">
        <f t="shared" si="407"/>
        <v>4699.5200000000004</v>
      </c>
      <c r="N294" s="443"/>
      <c r="O294" s="250"/>
      <c r="P294" s="250"/>
      <c r="Q294" s="250"/>
      <c r="R294" s="250"/>
      <c r="S294" s="250"/>
      <c r="T294" s="250"/>
      <c r="U294" s="250"/>
      <c r="V294" s="443"/>
      <c r="W294" s="410"/>
      <c r="X294" s="42"/>
      <c r="Y294" s="42"/>
      <c r="Z294" s="472"/>
      <c r="AA294" s="76"/>
      <c r="AB294" s="24"/>
      <c r="AC294" s="25"/>
      <c r="AD294" s="309"/>
      <c r="AE294" s="462"/>
      <c r="AF294" s="408"/>
      <c r="AG294" s="293"/>
      <c r="AH294" s="293"/>
      <c r="AI294" s="293"/>
      <c r="AJ294" s="293"/>
      <c r="AK294" s="293"/>
      <c r="AL294" s="327"/>
      <c r="AM294" s="463"/>
      <c r="AN294" s="513"/>
      <c r="AO294" s="120"/>
      <c r="AP294" s="120"/>
      <c r="AQ294" s="120"/>
      <c r="AR294" s="120"/>
      <c r="AS294" s="120"/>
      <c r="AT294" s="120"/>
      <c r="AU294" s="422"/>
      <c r="AV294" s="508"/>
      <c r="AW294" s="513"/>
      <c r="AX294" s="74"/>
      <c r="AY294" s="74"/>
      <c r="AZ294" s="75"/>
      <c r="BA294" s="61"/>
      <c r="BB294" s="60"/>
      <c r="BC294" s="74"/>
      <c r="BD294" s="250"/>
      <c r="BE294" s="250"/>
      <c r="BF294" s="250"/>
      <c r="BG294" s="250"/>
      <c r="BH294" s="250"/>
      <c r="BI294" s="76"/>
      <c r="BJ294" s="24"/>
      <c r="BK294" s="25"/>
      <c r="BL294" s="259"/>
      <c r="BM294" s="537"/>
    </row>
    <row r="295" spans="1:65" ht="34.35" customHeight="1">
      <c r="A295" s="91"/>
      <c r="B295" s="358" t="s">
        <v>2486</v>
      </c>
      <c r="C295" s="50" t="s">
        <v>935</v>
      </c>
      <c r="D295" s="177" t="s">
        <v>902</v>
      </c>
      <c r="E295" s="385" t="s">
        <v>10</v>
      </c>
      <c r="F295" s="410">
        <v>1814</v>
      </c>
      <c r="G295" s="10">
        <v>3328.84</v>
      </c>
      <c r="H295" s="167">
        <v>6657.68</v>
      </c>
      <c r="I295" s="10">
        <v>3000</v>
      </c>
      <c r="J295" s="76">
        <f t="shared" si="404"/>
        <v>3164.42</v>
      </c>
      <c r="K295" s="24">
        <f t="shared" si="405"/>
        <v>1350.42</v>
      </c>
      <c r="L295" s="281">
        <f t="shared" si="406"/>
        <v>0.74444321940463065</v>
      </c>
      <c r="M295" s="431">
        <f t="shared" si="407"/>
        <v>6657.68</v>
      </c>
      <c r="N295" s="443"/>
      <c r="O295" s="250"/>
      <c r="P295" s="250"/>
      <c r="Q295" s="250"/>
      <c r="R295" s="250"/>
      <c r="S295" s="250"/>
      <c r="T295" s="250"/>
      <c r="U295" s="250"/>
      <c r="V295" s="443"/>
      <c r="W295" s="410"/>
      <c r="X295" s="42"/>
      <c r="Y295" s="42"/>
      <c r="Z295" s="472"/>
      <c r="AA295" s="76"/>
      <c r="AB295" s="24"/>
      <c r="AC295" s="25"/>
      <c r="AD295" s="309"/>
      <c r="AE295" s="462"/>
      <c r="AF295" s="408"/>
      <c r="AG295" s="293"/>
      <c r="AH295" s="293"/>
      <c r="AI295" s="293"/>
      <c r="AJ295" s="293"/>
      <c r="AK295" s="293"/>
      <c r="AL295" s="327"/>
      <c r="AM295" s="463"/>
      <c r="AN295" s="513"/>
      <c r="AO295" s="120"/>
      <c r="AP295" s="120"/>
      <c r="AQ295" s="120"/>
      <c r="AR295" s="120"/>
      <c r="AS295" s="120"/>
      <c r="AT295" s="120"/>
      <c r="AU295" s="422"/>
      <c r="AV295" s="508"/>
      <c r="AW295" s="513"/>
      <c r="AX295" s="74"/>
      <c r="AY295" s="74"/>
      <c r="AZ295" s="75"/>
      <c r="BA295" s="61"/>
      <c r="BB295" s="60"/>
      <c r="BC295" s="74"/>
      <c r="BD295" s="250"/>
      <c r="BE295" s="250"/>
      <c r="BF295" s="250"/>
      <c r="BG295" s="250"/>
      <c r="BH295" s="250"/>
      <c r="BI295" s="76"/>
      <c r="BJ295" s="24"/>
      <c r="BK295" s="25"/>
      <c r="BL295" s="259"/>
      <c r="BM295" s="537"/>
    </row>
    <row r="296" spans="1:65" ht="34.35" customHeight="1">
      <c r="A296" s="91"/>
      <c r="B296" s="358" t="s">
        <v>2487</v>
      </c>
      <c r="C296" s="50" t="s">
        <v>936</v>
      </c>
      <c r="D296" s="177" t="s">
        <v>903</v>
      </c>
      <c r="E296" s="385" t="s">
        <v>10</v>
      </c>
      <c r="F296" s="410">
        <v>3522</v>
      </c>
      <c r="G296" s="10">
        <v>91000</v>
      </c>
      <c r="H296" s="167">
        <v>12000</v>
      </c>
      <c r="I296" s="10">
        <v>23400</v>
      </c>
      <c r="J296" s="76">
        <f t="shared" si="404"/>
        <v>57200</v>
      </c>
      <c r="K296" s="24">
        <f t="shared" si="405"/>
        <v>53678</v>
      </c>
      <c r="L296" s="281">
        <f t="shared" si="406"/>
        <v>15.240772288472458</v>
      </c>
      <c r="M296" s="431">
        <f t="shared" si="407"/>
        <v>12000</v>
      </c>
      <c r="N296" s="443"/>
      <c r="O296" s="250"/>
      <c r="P296" s="250"/>
      <c r="Q296" s="250"/>
      <c r="R296" s="250"/>
      <c r="S296" s="250"/>
      <c r="T296" s="250"/>
      <c r="U296" s="250"/>
      <c r="V296" s="443"/>
      <c r="W296" s="410"/>
      <c r="X296" s="42"/>
      <c r="Y296" s="42"/>
      <c r="Z296" s="472"/>
      <c r="AA296" s="76"/>
      <c r="AB296" s="24"/>
      <c r="AC296" s="25"/>
      <c r="AD296" s="309"/>
      <c r="AE296" s="462"/>
      <c r="AF296" s="408"/>
      <c r="AG296" s="293"/>
      <c r="AH296" s="293"/>
      <c r="AI296" s="293"/>
      <c r="AJ296" s="293"/>
      <c r="AK296" s="293"/>
      <c r="AL296" s="327"/>
      <c r="AM296" s="463"/>
      <c r="AN296" s="513"/>
      <c r="AO296" s="120"/>
      <c r="AP296" s="120"/>
      <c r="AQ296" s="120"/>
      <c r="AR296" s="120"/>
      <c r="AS296" s="120"/>
      <c r="AT296" s="120"/>
      <c r="AU296" s="422"/>
      <c r="AV296" s="508"/>
      <c r="AW296" s="513"/>
      <c r="AX296" s="74"/>
      <c r="AY296" s="74"/>
      <c r="AZ296" s="75"/>
      <c r="BA296" s="61"/>
      <c r="BB296" s="60"/>
      <c r="BC296" s="74"/>
      <c r="BD296" s="250"/>
      <c r="BE296" s="250"/>
      <c r="BF296" s="250"/>
      <c r="BG296" s="250"/>
      <c r="BH296" s="250"/>
      <c r="BI296" s="76"/>
      <c r="BJ296" s="24"/>
      <c r="BK296" s="25"/>
      <c r="BL296" s="259"/>
      <c r="BM296" s="537"/>
    </row>
    <row r="297" spans="1:65" ht="34.35" customHeight="1">
      <c r="A297" s="91"/>
      <c r="B297" s="358" t="s">
        <v>2488</v>
      </c>
      <c r="C297" s="50" t="s">
        <v>937</v>
      </c>
      <c r="D297" s="177" t="s">
        <v>904</v>
      </c>
      <c r="E297" s="385" t="s">
        <v>905</v>
      </c>
      <c r="F297" s="410">
        <v>440743</v>
      </c>
      <c r="G297" s="10"/>
      <c r="H297" s="167">
        <v>12000</v>
      </c>
      <c r="I297" s="10">
        <v>300000</v>
      </c>
      <c r="J297" s="76">
        <f t="shared" si="404"/>
        <v>300000</v>
      </c>
      <c r="K297" s="24">
        <f t="shared" si="405"/>
        <v>-140743</v>
      </c>
      <c r="L297" s="281">
        <f t="shared" si="406"/>
        <v>-0.3193312202349215</v>
      </c>
      <c r="M297" s="431" t="s">
        <v>807</v>
      </c>
      <c r="N297" s="443"/>
      <c r="O297" s="250"/>
      <c r="P297" s="250"/>
      <c r="Q297" s="250"/>
      <c r="R297" s="250"/>
      <c r="S297" s="250"/>
      <c r="T297" s="250"/>
      <c r="U297" s="250"/>
      <c r="V297" s="443"/>
      <c r="W297" s="410"/>
      <c r="X297" s="42"/>
      <c r="Y297" s="42"/>
      <c r="Z297" s="472"/>
      <c r="AA297" s="76"/>
      <c r="AB297" s="24"/>
      <c r="AC297" s="25"/>
      <c r="AD297" s="309"/>
      <c r="AE297" s="462"/>
      <c r="AF297" s="408"/>
      <c r="AG297" s="293"/>
      <c r="AH297" s="293"/>
      <c r="AI297" s="293"/>
      <c r="AJ297" s="293"/>
      <c r="AK297" s="293"/>
      <c r="AL297" s="327"/>
      <c r="AM297" s="463"/>
      <c r="AN297" s="513"/>
      <c r="AO297" s="120"/>
      <c r="AP297" s="120"/>
      <c r="AQ297" s="120"/>
      <c r="AR297" s="120"/>
      <c r="AS297" s="120"/>
      <c r="AT297" s="120"/>
      <c r="AU297" s="422"/>
      <c r="AV297" s="508"/>
      <c r="AW297" s="513"/>
      <c r="AX297" s="74"/>
      <c r="AY297" s="74"/>
      <c r="AZ297" s="75"/>
      <c r="BA297" s="61"/>
      <c r="BB297" s="60"/>
      <c r="BC297" s="74"/>
      <c r="BD297" s="250"/>
      <c r="BE297" s="250"/>
      <c r="BF297" s="250"/>
      <c r="BG297" s="250"/>
      <c r="BH297" s="250"/>
      <c r="BI297" s="76"/>
      <c r="BJ297" s="24"/>
      <c r="BK297" s="25"/>
      <c r="BL297" s="259"/>
      <c r="BM297" s="537"/>
    </row>
    <row r="298" spans="1:65" ht="34.35" customHeight="1">
      <c r="A298" s="91"/>
      <c r="B298" s="358" t="s">
        <v>2489</v>
      </c>
      <c r="C298" s="50" t="s">
        <v>938</v>
      </c>
      <c r="D298" s="177" t="s">
        <v>906</v>
      </c>
      <c r="E298" s="385" t="s">
        <v>10</v>
      </c>
      <c r="F298" s="410">
        <v>3542</v>
      </c>
      <c r="G298" s="10">
        <v>7157</v>
      </c>
      <c r="H298" s="167">
        <v>21471</v>
      </c>
      <c r="I298" s="10">
        <v>6700</v>
      </c>
      <c r="J298" s="76">
        <f t="shared" si="404"/>
        <v>6928.5</v>
      </c>
      <c r="K298" s="24">
        <f t="shared" si="405"/>
        <v>3386.5</v>
      </c>
      <c r="L298" s="281">
        <f t="shared" si="406"/>
        <v>0.95609824957651046</v>
      </c>
      <c r="M298" s="431">
        <f t="shared" si="407"/>
        <v>21471</v>
      </c>
      <c r="N298" s="443"/>
      <c r="O298" s="250"/>
      <c r="P298" s="250"/>
      <c r="Q298" s="250"/>
      <c r="R298" s="250"/>
      <c r="S298" s="250"/>
      <c r="T298" s="250"/>
      <c r="U298" s="250"/>
      <c r="V298" s="443"/>
      <c r="W298" s="410"/>
      <c r="X298" s="42"/>
      <c r="Y298" s="42"/>
      <c r="Z298" s="472"/>
      <c r="AA298" s="76"/>
      <c r="AB298" s="24"/>
      <c r="AC298" s="25"/>
      <c r="AD298" s="309"/>
      <c r="AE298" s="462"/>
      <c r="AF298" s="408"/>
      <c r="AG298" s="293"/>
      <c r="AH298" s="293"/>
      <c r="AI298" s="293"/>
      <c r="AJ298" s="293"/>
      <c r="AK298" s="293"/>
      <c r="AL298" s="327"/>
      <c r="AM298" s="463"/>
      <c r="AN298" s="513"/>
      <c r="AO298" s="120"/>
      <c r="AP298" s="120"/>
      <c r="AQ298" s="120"/>
      <c r="AR298" s="120"/>
      <c r="AS298" s="120"/>
      <c r="AT298" s="120"/>
      <c r="AU298" s="422"/>
      <c r="AV298" s="508"/>
      <c r="AW298" s="513"/>
      <c r="AX298" s="74"/>
      <c r="AY298" s="74"/>
      <c r="AZ298" s="75"/>
      <c r="BA298" s="61"/>
      <c r="BB298" s="60"/>
      <c r="BC298" s="74"/>
      <c r="BD298" s="250"/>
      <c r="BE298" s="250"/>
      <c r="BF298" s="250"/>
      <c r="BG298" s="250"/>
      <c r="BH298" s="250"/>
      <c r="BI298" s="76"/>
      <c r="BJ298" s="24"/>
      <c r="BK298" s="25"/>
      <c r="BL298" s="259"/>
      <c r="BM298" s="537"/>
    </row>
    <row r="299" spans="1:65" ht="34.35" customHeight="1">
      <c r="A299" s="91"/>
      <c r="B299" s="358" t="s">
        <v>2490</v>
      </c>
      <c r="C299" s="50" t="s">
        <v>939</v>
      </c>
      <c r="D299" s="177" t="s">
        <v>907</v>
      </c>
      <c r="E299" s="385" t="s">
        <v>14</v>
      </c>
      <c r="F299" s="410">
        <v>93881</v>
      </c>
      <c r="G299" s="10">
        <v>783000</v>
      </c>
      <c r="H299" s="167">
        <v>23000</v>
      </c>
      <c r="I299" s="10">
        <v>680000</v>
      </c>
      <c r="J299" s="76">
        <f t="shared" si="404"/>
        <v>731500</v>
      </c>
      <c r="K299" s="24">
        <f t="shared" si="405"/>
        <v>637619</v>
      </c>
      <c r="L299" s="281">
        <f t="shared" si="406"/>
        <v>6.7917789542079863</v>
      </c>
      <c r="M299" s="431">
        <f t="shared" si="407"/>
        <v>23000</v>
      </c>
      <c r="N299" s="443"/>
      <c r="O299" s="250"/>
      <c r="P299" s="250"/>
      <c r="Q299" s="250"/>
      <c r="R299" s="250"/>
      <c r="S299" s="250"/>
      <c r="T299" s="250"/>
      <c r="U299" s="250"/>
      <c r="V299" s="443"/>
      <c r="W299" s="410"/>
      <c r="X299" s="42"/>
      <c r="Y299" s="42"/>
      <c r="Z299" s="472"/>
      <c r="AA299" s="76"/>
      <c r="AB299" s="24"/>
      <c r="AC299" s="25"/>
      <c r="AD299" s="309"/>
      <c r="AE299" s="462"/>
      <c r="AF299" s="408"/>
      <c r="AG299" s="293"/>
      <c r="AH299" s="293"/>
      <c r="AI299" s="293"/>
      <c r="AJ299" s="293"/>
      <c r="AK299" s="293"/>
      <c r="AL299" s="327"/>
      <c r="AM299" s="463"/>
      <c r="AN299" s="513"/>
      <c r="AO299" s="120"/>
      <c r="AP299" s="120"/>
      <c r="AQ299" s="120"/>
      <c r="AR299" s="120"/>
      <c r="AS299" s="120"/>
      <c r="AT299" s="120"/>
      <c r="AU299" s="422"/>
      <c r="AV299" s="508"/>
      <c r="AW299" s="513"/>
      <c r="AX299" s="74"/>
      <c r="AY299" s="74"/>
      <c r="AZ299" s="75"/>
      <c r="BA299" s="61"/>
      <c r="BB299" s="60"/>
      <c r="BC299" s="74"/>
      <c r="BD299" s="250"/>
      <c r="BE299" s="250"/>
      <c r="BF299" s="250"/>
      <c r="BG299" s="250"/>
      <c r="BH299" s="250"/>
      <c r="BI299" s="76"/>
      <c r="BJ299" s="24"/>
      <c r="BK299" s="25"/>
      <c r="BL299" s="259"/>
      <c r="BM299" s="537"/>
    </row>
    <row r="300" spans="1:65" ht="48" customHeight="1">
      <c r="A300" s="91"/>
      <c r="B300" s="358" t="s">
        <v>2491</v>
      </c>
      <c r="C300" s="50" t="s">
        <v>940</v>
      </c>
      <c r="D300" s="177" t="s">
        <v>908</v>
      </c>
      <c r="E300" s="385" t="s">
        <v>14</v>
      </c>
      <c r="F300" s="410">
        <v>47766</v>
      </c>
      <c r="G300" s="10"/>
      <c r="H300" s="167">
        <v>25000</v>
      </c>
      <c r="I300" s="10">
        <v>125000</v>
      </c>
      <c r="J300" s="76">
        <f t="shared" si="404"/>
        <v>125000</v>
      </c>
      <c r="K300" s="24">
        <f t="shared" si="405"/>
        <v>77234</v>
      </c>
      <c r="L300" s="281">
        <f t="shared" si="406"/>
        <v>1.6169241720051919</v>
      </c>
      <c r="M300" s="431">
        <f t="shared" si="407"/>
        <v>25000</v>
      </c>
      <c r="N300" s="443"/>
      <c r="O300" s="250"/>
      <c r="P300" s="250"/>
      <c r="Q300" s="250"/>
      <c r="R300" s="250"/>
      <c r="S300" s="250"/>
      <c r="T300" s="250"/>
      <c r="U300" s="250"/>
      <c r="V300" s="443"/>
      <c r="W300" s="410"/>
      <c r="X300" s="42"/>
      <c r="Y300" s="42"/>
      <c r="Z300" s="472"/>
      <c r="AA300" s="76"/>
      <c r="AB300" s="24"/>
      <c r="AC300" s="25"/>
      <c r="AD300" s="309"/>
      <c r="AE300" s="462"/>
      <c r="AF300" s="408"/>
      <c r="AG300" s="293"/>
      <c r="AH300" s="293"/>
      <c r="AI300" s="293"/>
      <c r="AJ300" s="293"/>
      <c r="AK300" s="293"/>
      <c r="AL300" s="327"/>
      <c r="AM300" s="463"/>
      <c r="AN300" s="513"/>
      <c r="AO300" s="120"/>
      <c r="AP300" s="120"/>
      <c r="AQ300" s="120"/>
      <c r="AR300" s="120"/>
      <c r="AS300" s="120"/>
      <c r="AT300" s="120"/>
      <c r="AU300" s="422"/>
      <c r="AV300" s="508"/>
      <c r="AW300" s="513"/>
      <c r="AX300" s="74"/>
      <c r="AY300" s="74"/>
      <c r="AZ300" s="75"/>
      <c r="BA300" s="61"/>
      <c r="BB300" s="60"/>
      <c r="BC300" s="74"/>
      <c r="BD300" s="250"/>
      <c r="BE300" s="250"/>
      <c r="BF300" s="250"/>
      <c r="BG300" s="250"/>
      <c r="BH300" s="250"/>
      <c r="BI300" s="76"/>
      <c r="BJ300" s="24"/>
      <c r="BK300" s="25"/>
      <c r="BL300" s="259"/>
      <c r="BM300" s="537"/>
    </row>
    <row r="301" spans="1:65" ht="48" customHeight="1">
      <c r="A301" s="91"/>
      <c r="B301" s="358" t="s">
        <v>2492</v>
      </c>
      <c r="C301" s="50" t="s">
        <v>941</v>
      </c>
      <c r="D301" s="177" t="s">
        <v>909</v>
      </c>
      <c r="E301" s="385" t="s">
        <v>14</v>
      </c>
      <c r="F301" s="410">
        <v>281043</v>
      </c>
      <c r="G301" s="10"/>
      <c r="H301" s="167">
        <v>32000</v>
      </c>
      <c r="I301" s="10">
        <v>350000</v>
      </c>
      <c r="J301" s="76">
        <f t="shared" si="404"/>
        <v>350000</v>
      </c>
      <c r="K301" s="24">
        <f t="shared" si="405"/>
        <v>68957</v>
      </c>
      <c r="L301" s="281">
        <f t="shared" si="406"/>
        <v>0.24536103016264416</v>
      </c>
      <c r="M301" s="431">
        <f t="shared" si="407"/>
        <v>32000</v>
      </c>
      <c r="N301" s="443"/>
      <c r="O301" s="250"/>
      <c r="P301" s="250"/>
      <c r="Q301" s="250"/>
      <c r="R301" s="250"/>
      <c r="S301" s="250"/>
      <c r="T301" s="250"/>
      <c r="U301" s="250"/>
      <c r="V301" s="443"/>
      <c r="W301" s="410"/>
      <c r="X301" s="42"/>
      <c r="Y301" s="42"/>
      <c r="Z301" s="472"/>
      <c r="AA301" s="76"/>
      <c r="AB301" s="24"/>
      <c r="AC301" s="25"/>
      <c r="AD301" s="309"/>
      <c r="AE301" s="462"/>
      <c r="AF301" s="408"/>
      <c r="AG301" s="293"/>
      <c r="AH301" s="293"/>
      <c r="AI301" s="293"/>
      <c r="AJ301" s="293"/>
      <c r="AK301" s="293"/>
      <c r="AL301" s="327"/>
      <c r="AM301" s="463"/>
      <c r="AN301" s="513"/>
      <c r="AO301" s="120"/>
      <c r="AP301" s="120"/>
      <c r="AQ301" s="120"/>
      <c r="AR301" s="120"/>
      <c r="AS301" s="120"/>
      <c r="AT301" s="120"/>
      <c r="AU301" s="422"/>
      <c r="AV301" s="508"/>
      <c r="AW301" s="513"/>
      <c r="AX301" s="74"/>
      <c r="AY301" s="74"/>
      <c r="AZ301" s="75"/>
      <c r="BA301" s="61"/>
      <c r="BB301" s="60"/>
      <c r="BC301" s="74"/>
      <c r="BD301" s="250"/>
      <c r="BE301" s="250"/>
      <c r="BF301" s="250"/>
      <c r="BG301" s="250"/>
      <c r="BH301" s="250"/>
      <c r="BI301" s="76"/>
      <c r="BJ301" s="24"/>
      <c r="BK301" s="25"/>
      <c r="BL301" s="259"/>
      <c r="BM301" s="537"/>
    </row>
    <row r="302" spans="1:65" ht="47.1" customHeight="1">
      <c r="A302" s="91"/>
      <c r="B302" s="358" t="s">
        <v>2493</v>
      </c>
      <c r="C302" s="50" t="s">
        <v>942</v>
      </c>
      <c r="D302" s="177" t="s">
        <v>910</v>
      </c>
      <c r="E302" s="385" t="s">
        <v>14</v>
      </c>
      <c r="F302" s="410">
        <v>1347353</v>
      </c>
      <c r="G302" s="10"/>
      <c r="H302" s="167">
        <v>28000</v>
      </c>
      <c r="I302" s="10"/>
      <c r="J302" s="76"/>
      <c r="K302" s="24"/>
      <c r="L302" s="281"/>
      <c r="M302" s="431" t="s">
        <v>894</v>
      </c>
      <c r="N302" s="443"/>
      <c r="O302" s="250"/>
      <c r="P302" s="250"/>
      <c r="Q302" s="250"/>
      <c r="R302" s="250"/>
      <c r="S302" s="250"/>
      <c r="T302" s="250"/>
      <c r="U302" s="250"/>
      <c r="V302" s="443"/>
      <c r="W302" s="410"/>
      <c r="X302" s="42"/>
      <c r="Y302" s="42"/>
      <c r="Z302" s="472"/>
      <c r="AA302" s="76"/>
      <c r="AB302" s="24"/>
      <c r="AC302" s="25"/>
      <c r="AD302" s="309"/>
      <c r="AE302" s="462"/>
      <c r="AF302" s="408"/>
      <c r="AG302" s="293"/>
      <c r="AH302" s="293"/>
      <c r="AI302" s="293"/>
      <c r="AJ302" s="293"/>
      <c r="AK302" s="293"/>
      <c r="AL302" s="327"/>
      <c r="AM302" s="463"/>
      <c r="AN302" s="513"/>
      <c r="AO302" s="120"/>
      <c r="AP302" s="120"/>
      <c r="AQ302" s="120"/>
      <c r="AR302" s="120"/>
      <c r="AS302" s="120"/>
      <c r="AT302" s="120"/>
      <c r="AU302" s="422"/>
      <c r="AV302" s="508"/>
      <c r="AW302" s="513"/>
      <c r="AX302" s="74"/>
      <c r="AY302" s="74"/>
      <c r="AZ302" s="75"/>
      <c r="BA302" s="61"/>
      <c r="BB302" s="60"/>
      <c r="BC302" s="74"/>
      <c r="BD302" s="250"/>
      <c r="BE302" s="250"/>
      <c r="BF302" s="250"/>
      <c r="BG302" s="250"/>
      <c r="BH302" s="250"/>
      <c r="BI302" s="76"/>
      <c r="BJ302" s="24"/>
      <c r="BK302" s="25"/>
      <c r="BL302" s="259"/>
      <c r="BM302" s="537"/>
    </row>
    <row r="303" spans="1:65" ht="34.35" customHeight="1">
      <c r="A303" s="91"/>
      <c r="B303" s="358" t="s">
        <v>2494</v>
      </c>
      <c r="C303" s="50" t="s">
        <v>943</v>
      </c>
      <c r="D303" s="177" t="s">
        <v>911</v>
      </c>
      <c r="E303" s="385" t="s">
        <v>14</v>
      </c>
      <c r="F303" s="410">
        <v>19992</v>
      </c>
      <c r="G303" s="10">
        <v>98200</v>
      </c>
      <c r="H303" s="167">
        <v>196400</v>
      </c>
      <c r="I303" s="10">
        <v>78900</v>
      </c>
      <c r="J303" s="76">
        <f t="shared" ref="J303:J307" si="408">AVERAGE(G303,I303)</f>
        <v>88550</v>
      </c>
      <c r="K303" s="24">
        <f t="shared" ref="K303:K307" si="409">J303-F303</f>
        <v>68558</v>
      </c>
      <c r="L303" s="281">
        <f t="shared" ref="L303:L307" si="410">+K303/F303</f>
        <v>3.4292717086834732</v>
      </c>
      <c r="M303" s="431">
        <f t="shared" si="407"/>
        <v>196400</v>
      </c>
      <c r="N303" s="443"/>
      <c r="O303" s="250"/>
      <c r="P303" s="250"/>
      <c r="Q303" s="250"/>
      <c r="R303" s="250"/>
      <c r="S303" s="250"/>
      <c r="T303" s="250"/>
      <c r="U303" s="250"/>
      <c r="V303" s="443"/>
      <c r="W303" s="410"/>
      <c r="X303" s="42"/>
      <c r="Y303" s="42"/>
      <c r="Z303" s="472"/>
      <c r="AA303" s="76"/>
      <c r="AB303" s="24"/>
      <c r="AC303" s="25"/>
      <c r="AD303" s="309"/>
      <c r="AE303" s="462"/>
      <c r="AF303" s="408"/>
      <c r="AG303" s="293"/>
      <c r="AH303" s="293"/>
      <c r="AI303" s="293"/>
      <c r="AJ303" s="293"/>
      <c r="AK303" s="293"/>
      <c r="AL303" s="327"/>
      <c r="AM303" s="463"/>
      <c r="AN303" s="513"/>
      <c r="AO303" s="120"/>
      <c r="AP303" s="120"/>
      <c r="AQ303" s="120"/>
      <c r="AR303" s="120"/>
      <c r="AS303" s="120"/>
      <c r="AT303" s="120"/>
      <c r="AU303" s="422"/>
      <c r="AV303" s="508"/>
      <c r="AW303" s="513"/>
      <c r="AX303" s="74"/>
      <c r="AY303" s="74"/>
      <c r="AZ303" s="75"/>
      <c r="BA303" s="61"/>
      <c r="BB303" s="60"/>
      <c r="BC303" s="74"/>
      <c r="BD303" s="250"/>
      <c r="BE303" s="250"/>
      <c r="BF303" s="250"/>
      <c r="BG303" s="250"/>
      <c r="BH303" s="250"/>
      <c r="BI303" s="76"/>
      <c r="BJ303" s="24"/>
      <c r="BK303" s="25"/>
      <c r="BL303" s="259"/>
      <c r="BM303" s="537"/>
    </row>
    <row r="304" spans="1:65" ht="34.35" customHeight="1">
      <c r="A304" s="91"/>
      <c r="B304" s="358" t="s">
        <v>2495</v>
      </c>
      <c r="C304" s="50" t="s">
        <v>944</v>
      </c>
      <c r="D304" s="177" t="s">
        <v>912</v>
      </c>
      <c r="E304" s="385" t="s">
        <v>14</v>
      </c>
      <c r="F304" s="410">
        <v>15104</v>
      </c>
      <c r="G304" s="10">
        <v>69514.67</v>
      </c>
      <c r="H304" s="167">
        <v>139029.34</v>
      </c>
      <c r="I304" s="10">
        <v>90000</v>
      </c>
      <c r="J304" s="76">
        <f t="shared" si="408"/>
        <v>79757.334999999992</v>
      </c>
      <c r="K304" s="24">
        <f t="shared" si="409"/>
        <v>64653.334999999992</v>
      </c>
      <c r="L304" s="281">
        <f t="shared" si="410"/>
        <v>4.2805438956567787</v>
      </c>
      <c r="M304" s="431">
        <f t="shared" si="407"/>
        <v>139029.34</v>
      </c>
      <c r="N304" s="443"/>
      <c r="O304" s="250"/>
      <c r="P304" s="250"/>
      <c r="Q304" s="250"/>
      <c r="R304" s="250"/>
      <c r="S304" s="250"/>
      <c r="T304" s="250"/>
      <c r="U304" s="250"/>
      <c r="V304" s="443"/>
      <c r="W304" s="410"/>
      <c r="X304" s="42"/>
      <c r="Y304" s="42"/>
      <c r="Z304" s="472"/>
      <c r="AA304" s="76"/>
      <c r="AB304" s="24"/>
      <c r="AC304" s="25"/>
      <c r="AD304" s="309"/>
      <c r="AE304" s="462"/>
      <c r="AF304" s="408"/>
      <c r="AG304" s="293"/>
      <c r="AH304" s="293"/>
      <c r="AI304" s="293"/>
      <c r="AJ304" s="293"/>
      <c r="AK304" s="293"/>
      <c r="AL304" s="327"/>
      <c r="AM304" s="463"/>
      <c r="AN304" s="513"/>
      <c r="AO304" s="120"/>
      <c r="AP304" s="120"/>
      <c r="AQ304" s="120"/>
      <c r="AR304" s="120"/>
      <c r="AS304" s="120"/>
      <c r="AT304" s="120"/>
      <c r="AU304" s="422"/>
      <c r="AV304" s="508"/>
      <c r="AW304" s="513"/>
      <c r="AX304" s="74"/>
      <c r="AY304" s="74"/>
      <c r="AZ304" s="75"/>
      <c r="BA304" s="61"/>
      <c r="BB304" s="60"/>
      <c r="BC304" s="74"/>
      <c r="BD304" s="250"/>
      <c r="BE304" s="250"/>
      <c r="BF304" s="250"/>
      <c r="BG304" s="250"/>
      <c r="BH304" s="250"/>
      <c r="BI304" s="76"/>
      <c r="BJ304" s="24"/>
      <c r="BK304" s="25"/>
      <c r="BL304" s="259"/>
      <c r="BM304" s="537"/>
    </row>
    <row r="305" spans="1:65" ht="34.35" customHeight="1">
      <c r="A305" s="91"/>
      <c r="B305" s="358" t="s">
        <v>2496</v>
      </c>
      <c r="C305" s="50" t="s">
        <v>945</v>
      </c>
      <c r="D305" s="177" t="s">
        <v>913</v>
      </c>
      <c r="E305" s="385" t="s">
        <v>14</v>
      </c>
      <c r="F305" s="410">
        <v>16470</v>
      </c>
      <c r="G305" s="10">
        <v>77524.570000000007</v>
      </c>
      <c r="H305" s="167">
        <v>77524.570000000007</v>
      </c>
      <c r="I305" s="10">
        <v>78000</v>
      </c>
      <c r="J305" s="76">
        <f t="shared" si="408"/>
        <v>77762.285000000003</v>
      </c>
      <c r="K305" s="24">
        <f t="shared" si="409"/>
        <v>61292.285000000003</v>
      </c>
      <c r="L305" s="281">
        <f t="shared" si="410"/>
        <v>3.7214502125075897</v>
      </c>
      <c r="M305" s="431">
        <f t="shared" si="407"/>
        <v>77524.570000000007</v>
      </c>
      <c r="N305" s="443"/>
      <c r="O305" s="250"/>
      <c r="P305" s="250"/>
      <c r="Q305" s="250"/>
      <c r="R305" s="250"/>
      <c r="S305" s="250"/>
      <c r="T305" s="250"/>
      <c r="U305" s="250"/>
      <c r="V305" s="443"/>
      <c r="W305" s="410"/>
      <c r="X305" s="42"/>
      <c r="Y305" s="42"/>
      <c r="Z305" s="472"/>
      <c r="AA305" s="76"/>
      <c r="AB305" s="24"/>
      <c r="AC305" s="25"/>
      <c r="AD305" s="309"/>
      <c r="AE305" s="462"/>
      <c r="AF305" s="408"/>
      <c r="AG305" s="293"/>
      <c r="AH305" s="293"/>
      <c r="AI305" s="293"/>
      <c r="AJ305" s="293"/>
      <c r="AK305" s="293"/>
      <c r="AL305" s="327"/>
      <c r="AM305" s="463"/>
      <c r="AN305" s="513"/>
      <c r="AO305" s="120"/>
      <c r="AP305" s="120"/>
      <c r="AQ305" s="120"/>
      <c r="AR305" s="120"/>
      <c r="AS305" s="120"/>
      <c r="AT305" s="120"/>
      <c r="AU305" s="422"/>
      <c r="AV305" s="508"/>
      <c r="AW305" s="513"/>
      <c r="AX305" s="74"/>
      <c r="AY305" s="74"/>
      <c r="AZ305" s="75"/>
      <c r="BA305" s="61"/>
      <c r="BB305" s="60"/>
      <c r="BC305" s="74"/>
      <c r="BD305" s="250"/>
      <c r="BE305" s="250"/>
      <c r="BF305" s="250"/>
      <c r="BG305" s="250"/>
      <c r="BH305" s="250"/>
      <c r="BI305" s="76"/>
      <c r="BJ305" s="24"/>
      <c r="BK305" s="25"/>
      <c r="BL305" s="259"/>
      <c r="BM305" s="537"/>
    </row>
    <row r="306" spans="1:65" ht="34.35" customHeight="1">
      <c r="A306" s="91"/>
      <c r="B306" s="358" t="s">
        <v>2497</v>
      </c>
      <c r="C306" s="50" t="s">
        <v>946</v>
      </c>
      <c r="D306" s="177" t="s">
        <v>914</v>
      </c>
      <c r="E306" s="385" t="s">
        <v>14</v>
      </c>
      <c r="F306" s="410">
        <v>23504</v>
      </c>
      <c r="G306" s="10">
        <v>84694.67</v>
      </c>
      <c r="H306" s="167">
        <v>84694.67</v>
      </c>
      <c r="I306" s="10">
        <v>81000</v>
      </c>
      <c r="J306" s="76">
        <f t="shared" si="408"/>
        <v>82847.334999999992</v>
      </c>
      <c r="K306" s="24">
        <f t="shared" si="409"/>
        <v>59343.334999999992</v>
      </c>
      <c r="L306" s="281">
        <f t="shared" si="410"/>
        <v>2.5248185415248465</v>
      </c>
      <c r="M306" s="431">
        <f t="shared" si="407"/>
        <v>84694.67</v>
      </c>
      <c r="N306" s="443"/>
      <c r="O306" s="250"/>
      <c r="P306" s="250"/>
      <c r="Q306" s="250"/>
      <c r="R306" s="250"/>
      <c r="S306" s="250"/>
      <c r="T306" s="250"/>
      <c r="U306" s="250"/>
      <c r="V306" s="443"/>
      <c r="W306" s="410"/>
      <c r="X306" s="42"/>
      <c r="Y306" s="42"/>
      <c r="Z306" s="472"/>
      <c r="AA306" s="76"/>
      <c r="AB306" s="24"/>
      <c r="AC306" s="25"/>
      <c r="AD306" s="309"/>
      <c r="AE306" s="462"/>
      <c r="AF306" s="408"/>
      <c r="AG306" s="293"/>
      <c r="AH306" s="293"/>
      <c r="AI306" s="293"/>
      <c r="AJ306" s="293"/>
      <c r="AK306" s="293"/>
      <c r="AL306" s="327"/>
      <c r="AM306" s="463"/>
      <c r="AN306" s="513"/>
      <c r="AO306" s="120"/>
      <c r="AP306" s="120"/>
      <c r="AQ306" s="120"/>
      <c r="AR306" s="120"/>
      <c r="AS306" s="120"/>
      <c r="AT306" s="120"/>
      <c r="AU306" s="422"/>
      <c r="AV306" s="508"/>
      <c r="AW306" s="513"/>
      <c r="AX306" s="74"/>
      <c r="AY306" s="74"/>
      <c r="AZ306" s="75"/>
      <c r="BA306" s="61"/>
      <c r="BB306" s="60"/>
      <c r="BC306" s="74"/>
      <c r="BD306" s="250"/>
      <c r="BE306" s="250"/>
      <c r="BF306" s="250"/>
      <c r="BG306" s="250"/>
      <c r="BH306" s="250"/>
      <c r="BI306" s="76"/>
      <c r="BJ306" s="24"/>
      <c r="BK306" s="25"/>
      <c r="BL306" s="259"/>
      <c r="BM306" s="537"/>
    </row>
    <row r="307" spans="1:65" ht="34.35" customHeight="1">
      <c r="A307" s="91"/>
      <c r="B307" s="358" t="s">
        <v>2498</v>
      </c>
      <c r="C307" s="50" t="s">
        <v>947</v>
      </c>
      <c r="D307" s="177" t="s">
        <v>915</v>
      </c>
      <c r="E307" s="385" t="s">
        <v>14</v>
      </c>
      <c r="F307" s="410">
        <v>31269</v>
      </c>
      <c r="G307" s="10"/>
      <c r="H307" s="167">
        <v>45000</v>
      </c>
      <c r="I307" s="10">
        <v>135000</v>
      </c>
      <c r="J307" s="76">
        <f t="shared" si="408"/>
        <v>135000</v>
      </c>
      <c r="K307" s="24">
        <f t="shared" si="409"/>
        <v>103731</v>
      </c>
      <c r="L307" s="281">
        <f t="shared" si="410"/>
        <v>3.3173750359781251</v>
      </c>
      <c r="M307" s="431">
        <f t="shared" si="407"/>
        <v>45000</v>
      </c>
      <c r="N307" s="443"/>
      <c r="O307" s="250"/>
      <c r="P307" s="250"/>
      <c r="Q307" s="250"/>
      <c r="R307" s="250"/>
      <c r="S307" s="250"/>
      <c r="T307" s="250"/>
      <c r="U307" s="250"/>
      <c r="V307" s="443"/>
      <c r="W307" s="410"/>
      <c r="X307" s="42"/>
      <c r="Y307" s="42"/>
      <c r="Z307" s="472"/>
      <c r="AA307" s="76"/>
      <c r="AB307" s="24"/>
      <c r="AC307" s="25"/>
      <c r="AD307" s="309"/>
      <c r="AE307" s="462"/>
      <c r="AF307" s="408"/>
      <c r="AG307" s="293"/>
      <c r="AH307" s="293"/>
      <c r="AI307" s="293"/>
      <c r="AJ307" s="293"/>
      <c r="AK307" s="293"/>
      <c r="AL307" s="327"/>
      <c r="AM307" s="463"/>
      <c r="AN307" s="513"/>
      <c r="AO307" s="120"/>
      <c r="AP307" s="120"/>
      <c r="AQ307" s="120"/>
      <c r="AR307" s="120"/>
      <c r="AS307" s="120"/>
      <c r="AT307" s="120"/>
      <c r="AU307" s="422"/>
      <c r="AV307" s="508"/>
      <c r="AW307" s="513"/>
      <c r="AX307" s="74"/>
      <c r="AY307" s="74"/>
      <c r="AZ307" s="75"/>
      <c r="BA307" s="61"/>
      <c r="BB307" s="60"/>
      <c r="BC307" s="74"/>
      <c r="BD307" s="250"/>
      <c r="BE307" s="250"/>
      <c r="BF307" s="250"/>
      <c r="BG307" s="250"/>
      <c r="BH307" s="250"/>
      <c r="BI307" s="76"/>
      <c r="BJ307" s="24"/>
      <c r="BK307" s="25"/>
      <c r="BL307" s="259"/>
      <c r="BM307" s="537"/>
    </row>
    <row r="308" spans="1:65" ht="54.95" customHeight="1">
      <c r="A308" s="91"/>
      <c r="B308" s="358" t="s">
        <v>2499</v>
      </c>
      <c r="C308" s="50" t="s">
        <v>948</v>
      </c>
      <c r="D308" s="264" t="s">
        <v>883</v>
      </c>
      <c r="E308" s="393" t="s">
        <v>999</v>
      </c>
      <c r="F308" s="410"/>
      <c r="G308" s="10"/>
      <c r="H308" s="167"/>
      <c r="I308" s="10"/>
      <c r="J308" s="76"/>
      <c r="K308" s="24"/>
      <c r="L308" s="281"/>
      <c r="M308" s="431"/>
      <c r="N308" s="410">
        <v>103771</v>
      </c>
      <c r="O308" s="10">
        <v>80000</v>
      </c>
      <c r="P308" s="10">
        <v>87000</v>
      </c>
      <c r="Q308" s="268">
        <v>85000</v>
      </c>
      <c r="R308" s="10" t="s">
        <v>1421</v>
      </c>
      <c r="S308" s="76">
        <f t="shared" ref="S308:S333" si="411">AVERAGE(O308,P308,Q308,R308)</f>
        <v>84000</v>
      </c>
      <c r="T308" s="24">
        <f t="shared" ref="T308:T333" si="412">S308-N308</f>
        <v>-19771</v>
      </c>
      <c r="U308" s="281">
        <f t="shared" ref="U308:U333" si="413">+T308/N308</f>
        <v>-0.1905252912663461</v>
      </c>
      <c r="V308" s="462">
        <f t="shared" ref="V308:V333" si="414">S308</f>
        <v>84000</v>
      </c>
      <c r="W308" s="410"/>
      <c r="X308" s="42"/>
      <c r="Y308" s="42"/>
      <c r="Z308" s="472"/>
      <c r="AA308" s="76"/>
      <c r="AB308" s="24"/>
      <c r="AC308" s="25"/>
      <c r="AD308" s="309"/>
      <c r="AE308" s="462"/>
      <c r="AF308" s="410">
        <v>115295</v>
      </c>
      <c r="AG308" s="45"/>
      <c r="AH308" s="45">
        <v>136036</v>
      </c>
      <c r="AI308" s="45">
        <v>180000</v>
      </c>
      <c r="AJ308" s="76">
        <f t="shared" ref="AJ308" si="415">AVERAGE(AG308,AH308,AI308)</f>
        <v>158018</v>
      </c>
      <c r="AK308" s="24">
        <f t="shared" ref="AK308" si="416">AJ308-AF308</f>
        <v>42723</v>
      </c>
      <c r="AL308" s="281">
        <f t="shared" ref="AL308" si="417">+AK308/AF308</f>
        <v>0.37055379678216749</v>
      </c>
      <c r="AM308" s="462">
        <f t="shared" ref="AM308" si="418">AJ308</f>
        <v>158018</v>
      </c>
      <c r="AN308" s="513"/>
      <c r="AO308" s="120"/>
      <c r="AP308" s="120"/>
      <c r="AQ308" s="120"/>
      <c r="AR308" s="120"/>
      <c r="AS308" s="120"/>
      <c r="AT308" s="120"/>
      <c r="AU308" s="422"/>
      <c r="AV308" s="508"/>
      <c r="AW308" s="513"/>
      <c r="AX308" s="74"/>
      <c r="AY308" s="74"/>
      <c r="AZ308" s="75"/>
      <c r="BA308" s="61"/>
      <c r="BB308" s="60"/>
      <c r="BC308" s="74"/>
      <c r="BD308" s="250"/>
      <c r="BE308" s="250"/>
      <c r="BF308" s="250"/>
      <c r="BG308" s="250"/>
      <c r="BH308" s="250"/>
      <c r="BI308" s="76"/>
      <c r="BJ308" s="24"/>
      <c r="BK308" s="25"/>
      <c r="BL308" s="259"/>
      <c r="BM308" s="537"/>
    </row>
    <row r="309" spans="1:65" ht="34.35" customHeight="1">
      <c r="A309" s="91"/>
      <c r="B309" s="358" t="s">
        <v>2500</v>
      </c>
      <c r="C309" s="50" t="s">
        <v>949</v>
      </c>
      <c r="D309" s="264" t="s">
        <v>885</v>
      </c>
      <c r="E309" s="393" t="s">
        <v>999</v>
      </c>
      <c r="F309" s="410"/>
      <c r="G309" s="10"/>
      <c r="H309" s="167"/>
      <c r="I309" s="10"/>
      <c r="J309" s="76"/>
      <c r="K309" s="24"/>
      <c r="L309" s="281"/>
      <c r="M309" s="431"/>
      <c r="N309" s="410">
        <v>172040</v>
      </c>
      <c r="O309" s="10">
        <v>107000</v>
      </c>
      <c r="P309" s="10">
        <v>115000</v>
      </c>
      <c r="Q309" s="268">
        <v>110000</v>
      </c>
      <c r="R309" s="10">
        <v>145000</v>
      </c>
      <c r="S309" s="76">
        <f t="shared" si="411"/>
        <v>119250</v>
      </c>
      <c r="T309" s="24">
        <f t="shared" si="412"/>
        <v>-52790</v>
      </c>
      <c r="U309" s="281">
        <f t="shared" si="413"/>
        <v>-0.30684724482678449</v>
      </c>
      <c r="V309" s="462">
        <f t="shared" si="414"/>
        <v>119250</v>
      </c>
      <c r="W309" s="410"/>
      <c r="X309" s="42"/>
      <c r="Y309" s="42"/>
      <c r="Z309" s="472"/>
      <c r="AA309" s="76"/>
      <c r="AB309" s="24"/>
      <c r="AC309" s="25"/>
      <c r="AD309" s="309"/>
      <c r="AE309" s="462"/>
      <c r="AF309" s="408"/>
      <c r="AG309" s="293"/>
      <c r="AH309" s="293"/>
      <c r="AI309" s="293"/>
      <c r="AJ309" s="293"/>
      <c r="AK309" s="293"/>
      <c r="AL309" s="327"/>
      <c r="AM309" s="463"/>
      <c r="AN309" s="513"/>
      <c r="AO309" s="120"/>
      <c r="AP309" s="120"/>
      <c r="AQ309" s="120"/>
      <c r="AR309" s="120"/>
      <c r="AS309" s="120"/>
      <c r="AT309" s="120"/>
      <c r="AU309" s="422"/>
      <c r="AV309" s="508"/>
      <c r="AW309" s="513"/>
      <c r="AX309" s="74"/>
      <c r="AY309" s="74"/>
      <c r="AZ309" s="75"/>
      <c r="BA309" s="61"/>
      <c r="BB309" s="60"/>
      <c r="BC309" s="74"/>
      <c r="BD309" s="250"/>
      <c r="BE309" s="250"/>
      <c r="BF309" s="250"/>
      <c r="BG309" s="250"/>
      <c r="BH309" s="250"/>
      <c r="BI309" s="76"/>
      <c r="BJ309" s="24"/>
      <c r="BK309" s="25"/>
      <c r="BL309" s="259"/>
      <c r="BM309" s="537"/>
    </row>
    <row r="310" spans="1:65" ht="34.35" customHeight="1">
      <c r="A310" s="91"/>
      <c r="B310" s="358" t="s">
        <v>2501</v>
      </c>
      <c r="C310" s="50" t="s">
        <v>950</v>
      </c>
      <c r="D310" s="264" t="s">
        <v>886</v>
      </c>
      <c r="E310" s="393" t="s">
        <v>999</v>
      </c>
      <c r="F310" s="410"/>
      <c r="G310" s="10"/>
      <c r="H310" s="167"/>
      <c r="I310" s="10"/>
      <c r="J310" s="76"/>
      <c r="K310" s="24"/>
      <c r="L310" s="281"/>
      <c r="M310" s="431"/>
      <c r="N310" s="410">
        <v>71715</v>
      </c>
      <c r="O310" s="10">
        <v>80000</v>
      </c>
      <c r="P310" s="10">
        <v>87000</v>
      </c>
      <c r="Q310" s="268">
        <v>85000</v>
      </c>
      <c r="R310" s="10">
        <v>80000</v>
      </c>
      <c r="S310" s="76">
        <f t="shared" si="411"/>
        <v>83000</v>
      </c>
      <c r="T310" s="24">
        <f t="shared" si="412"/>
        <v>11285</v>
      </c>
      <c r="U310" s="281">
        <f t="shared" si="413"/>
        <v>0.15735899044830232</v>
      </c>
      <c r="V310" s="462">
        <f t="shared" si="414"/>
        <v>83000</v>
      </c>
      <c r="W310" s="410"/>
      <c r="X310" s="42"/>
      <c r="Y310" s="42"/>
      <c r="Z310" s="472"/>
      <c r="AA310" s="76"/>
      <c r="AB310" s="24"/>
      <c r="AC310" s="25"/>
      <c r="AD310" s="309"/>
      <c r="AE310" s="462"/>
      <c r="AF310" s="408"/>
      <c r="AG310" s="293"/>
      <c r="AH310" s="293"/>
      <c r="AI310" s="293"/>
      <c r="AJ310" s="293"/>
      <c r="AK310" s="293"/>
      <c r="AL310" s="327"/>
      <c r="AM310" s="463"/>
      <c r="AN310" s="513"/>
      <c r="AO310" s="120"/>
      <c r="AP310" s="120"/>
      <c r="AQ310" s="120"/>
      <c r="AR310" s="120"/>
      <c r="AS310" s="120"/>
      <c r="AT310" s="120"/>
      <c r="AU310" s="422"/>
      <c r="AV310" s="508"/>
      <c r="AW310" s="513"/>
      <c r="AX310" s="74"/>
      <c r="AY310" s="74"/>
      <c r="AZ310" s="75"/>
      <c r="BA310" s="61"/>
      <c r="BB310" s="60"/>
      <c r="BC310" s="74"/>
      <c r="BD310" s="250"/>
      <c r="BE310" s="250"/>
      <c r="BF310" s="250"/>
      <c r="BG310" s="250"/>
      <c r="BH310" s="250"/>
      <c r="BI310" s="76"/>
      <c r="BJ310" s="24"/>
      <c r="BK310" s="25"/>
      <c r="BL310" s="259"/>
      <c r="BM310" s="537"/>
    </row>
    <row r="311" spans="1:65" ht="34.35" customHeight="1">
      <c r="A311" s="91"/>
      <c r="B311" s="358" t="s">
        <v>2502</v>
      </c>
      <c r="C311" s="50" t="s">
        <v>951</v>
      </c>
      <c r="D311" s="264" t="s">
        <v>1534</v>
      </c>
      <c r="E311" s="393" t="s">
        <v>999</v>
      </c>
      <c r="F311" s="410"/>
      <c r="G311" s="10"/>
      <c r="H311" s="167"/>
      <c r="I311" s="10"/>
      <c r="J311" s="76"/>
      <c r="K311" s="24"/>
      <c r="L311" s="281"/>
      <c r="M311" s="431"/>
      <c r="N311" s="410">
        <v>260890</v>
      </c>
      <c r="O311" s="10">
        <v>60000</v>
      </c>
      <c r="P311" s="10">
        <v>65000</v>
      </c>
      <c r="Q311" s="268">
        <v>65000</v>
      </c>
      <c r="R311" s="10">
        <v>150000</v>
      </c>
      <c r="S311" s="76">
        <f t="shared" si="411"/>
        <v>85000</v>
      </c>
      <c r="T311" s="24">
        <f t="shared" si="412"/>
        <v>-175890</v>
      </c>
      <c r="U311" s="281">
        <f t="shared" si="413"/>
        <v>-0.67419218827858485</v>
      </c>
      <c r="V311" s="462">
        <f t="shared" si="414"/>
        <v>85000</v>
      </c>
      <c r="W311" s="410"/>
      <c r="X311" s="42"/>
      <c r="Y311" s="42"/>
      <c r="Z311" s="472"/>
      <c r="AA311" s="76"/>
      <c r="AB311" s="24"/>
      <c r="AC311" s="25"/>
      <c r="AD311" s="309"/>
      <c r="AE311" s="462"/>
      <c r="AF311" s="408"/>
      <c r="AG311" s="293"/>
      <c r="AH311" s="293"/>
      <c r="AI311" s="293"/>
      <c r="AJ311" s="293"/>
      <c r="AK311" s="293"/>
      <c r="AL311" s="327"/>
      <c r="AM311" s="463"/>
      <c r="AN311" s="513"/>
      <c r="AO311" s="120"/>
      <c r="AP311" s="120"/>
      <c r="AQ311" s="120"/>
      <c r="AR311" s="120"/>
      <c r="AS311" s="120"/>
      <c r="AT311" s="120"/>
      <c r="AU311" s="422"/>
      <c r="AV311" s="508"/>
      <c r="AW311" s="513"/>
      <c r="AX311" s="74"/>
      <c r="AY311" s="74"/>
      <c r="AZ311" s="75"/>
      <c r="BA311" s="61"/>
      <c r="BB311" s="60"/>
      <c r="BC311" s="74"/>
      <c r="BD311" s="250"/>
      <c r="BE311" s="250"/>
      <c r="BF311" s="250"/>
      <c r="BG311" s="250"/>
      <c r="BH311" s="250"/>
      <c r="BI311" s="76"/>
      <c r="BJ311" s="24"/>
      <c r="BK311" s="25"/>
      <c r="BL311" s="259"/>
      <c r="BM311" s="537"/>
    </row>
    <row r="312" spans="1:65" ht="34.35" customHeight="1">
      <c r="A312" s="91"/>
      <c r="B312" s="358" t="s">
        <v>2503</v>
      </c>
      <c r="C312" s="50" t="s">
        <v>952</v>
      </c>
      <c r="D312" s="264" t="s">
        <v>1535</v>
      </c>
      <c r="E312" s="393" t="s">
        <v>999</v>
      </c>
      <c r="F312" s="410"/>
      <c r="G312" s="10"/>
      <c r="H312" s="167"/>
      <c r="I312" s="10"/>
      <c r="J312" s="76"/>
      <c r="K312" s="24"/>
      <c r="L312" s="281"/>
      <c r="M312" s="431"/>
      <c r="N312" s="410">
        <v>87662</v>
      </c>
      <c r="O312" s="10">
        <v>40000</v>
      </c>
      <c r="P312" s="10">
        <v>45000</v>
      </c>
      <c r="Q312" s="268">
        <v>45000</v>
      </c>
      <c r="R312" s="10">
        <v>100000</v>
      </c>
      <c r="S312" s="76">
        <f t="shared" si="411"/>
        <v>57500</v>
      </c>
      <c r="T312" s="24">
        <f t="shared" si="412"/>
        <v>-30162</v>
      </c>
      <c r="U312" s="281">
        <f t="shared" si="413"/>
        <v>-0.34407154753484975</v>
      </c>
      <c r="V312" s="462">
        <f t="shared" si="414"/>
        <v>57500</v>
      </c>
      <c r="W312" s="410"/>
      <c r="X312" s="42"/>
      <c r="Y312" s="42"/>
      <c r="Z312" s="472"/>
      <c r="AA312" s="76"/>
      <c r="AB312" s="24"/>
      <c r="AC312" s="25"/>
      <c r="AD312" s="309"/>
      <c r="AE312" s="462"/>
      <c r="AF312" s="408"/>
      <c r="AG312" s="293"/>
      <c r="AH312" s="293"/>
      <c r="AI312" s="293"/>
      <c r="AJ312" s="293"/>
      <c r="AK312" s="293"/>
      <c r="AL312" s="327"/>
      <c r="AM312" s="463"/>
      <c r="AN312" s="513"/>
      <c r="AO312" s="120"/>
      <c r="AP312" s="120"/>
      <c r="AQ312" s="120"/>
      <c r="AR312" s="120"/>
      <c r="AS312" s="120"/>
      <c r="AT312" s="120"/>
      <c r="AU312" s="422"/>
      <c r="AV312" s="508"/>
      <c r="AW312" s="513"/>
      <c r="AX312" s="74"/>
      <c r="AY312" s="74"/>
      <c r="AZ312" s="75"/>
      <c r="BA312" s="61"/>
      <c r="BB312" s="60"/>
      <c r="BC312" s="74"/>
      <c r="BD312" s="250"/>
      <c r="BE312" s="250"/>
      <c r="BF312" s="250"/>
      <c r="BG312" s="250"/>
      <c r="BH312" s="250"/>
      <c r="BI312" s="76"/>
      <c r="BJ312" s="24"/>
      <c r="BK312" s="25"/>
      <c r="BL312" s="259"/>
      <c r="BM312" s="537"/>
    </row>
    <row r="313" spans="1:65" ht="34.35" customHeight="1">
      <c r="A313" s="91"/>
      <c r="B313" s="358" t="s">
        <v>2504</v>
      </c>
      <c r="C313" s="50" t="s">
        <v>1557</v>
      </c>
      <c r="D313" s="264" t="s">
        <v>1536</v>
      </c>
      <c r="E313" s="393" t="s">
        <v>999</v>
      </c>
      <c r="F313" s="410"/>
      <c r="G313" s="10"/>
      <c r="H313" s="167"/>
      <c r="I313" s="10"/>
      <c r="J313" s="76"/>
      <c r="K313" s="24"/>
      <c r="L313" s="281"/>
      <c r="M313" s="431"/>
      <c r="N313" s="410">
        <v>13783</v>
      </c>
      <c r="O313" s="10">
        <v>25000</v>
      </c>
      <c r="P313" s="10">
        <v>28000</v>
      </c>
      <c r="Q313" s="268">
        <v>28000</v>
      </c>
      <c r="R313" s="10">
        <v>60000</v>
      </c>
      <c r="S313" s="76">
        <f t="shared" si="411"/>
        <v>35250</v>
      </c>
      <c r="T313" s="24">
        <f t="shared" si="412"/>
        <v>21467</v>
      </c>
      <c r="U313" s="281">
        <f t="shared" si="413"/>
        <v>1.5574983675542335</v>
      </c>
      <c r="V313" s="462">
        <f t="shared" si="414"/>
        <v>35250</v>
      </c>
      <c r="W313" s="410"/>
      <c r="X313" s="42"/>
      <c r="Y313" s="42"/>
      <c r="Z313" s="472"/>
      <c r="AA313" s="76"/>
      <c r="AB313" s="24"/>
      <c r="AC313" s="25"/>
      <c r="AD313" s="309"/>
      <c r="AE313" s="462"/>
      <c r="AF313" s="408"/>
      <c r="AG313" s="293"/>
      <c r="AH313" s="293"/>
      <c r="AI313" s="293"/>
      <c r="AJ313" s="293"/>
      <c r="AK313" s="293"/>
      <c r="AL313" s="327"/>
      <c r="AM313" s="463"/>
      <c r="AN313" s="513"/>
      <c r="AO313" s="120"/>
      <c r="AP313" s="120"/>
      <c r="AQ313" s="120"/>
      <c r="AR313" s="120"/>
      <c r="AS313" s="120"/>
      <c r="AT313" s="120"/>
      <c r="AU313" s="422"/>
      <c r="AV313" s="508"/>
      <c r="AW313" s="513"/>
      <c r="AX313" s="74"/>
      <c r="AY313" s="74"/>
      <c r="AZ313" s="75"/>
      <c r="BA313" s="61"/>
      <c r="BB313" s="60"/>
      <c r="BC313" s="74"/>
      <c r="BD313" s="250"/>
      <c r="BE313" s="250"/>
      <c r="BF313" s="250"/>
      <c r="BG313" s="250"/>
      <c r="BH313" s="250"/>
      <c r="BI313" s="76"/>
      <c r="BJ313" s="24"/>
      <c r="BK313" s="25"/>
      <c r="BL313" s="259"/>
      <c r="BM313" s="537"/>
    </row>
    <row r="314" spans="1:65" ht="34.35" customHeight="1">
      <c r="A314" s="91"/>
      <c r="B314" s="358" t="s">
        <v>2505</v>
      </c>
      <c r="C314" s="50" t="s">
        <v>1558</v>
      </c>
      <c r="D314" s="264" t="s">
        <v>1537</v>
      </c>
      <c r="E314" s="393" t="s">
        <v>999</v>
      </c>
      <c r="F314" s="410"/>
      <c r="G314" s="10"/>
      <c r="H314" s="167"/>
      <c r="I314" s="10"/>
      <c r="J314" s="76"/>
      <c r="K314" s="24"/>
      <c r="L314" s="281"/>
      <c r="M314" s="431"/>
      <c r="N314" s="410">
        <v>10233</v>
      </c>
      <c r="O314" s="10">
        <v>25000</v>
      </c>
      <c r="P314" s="10">
        <v>28000</v>
      </c>
      <c r="Q314" s="268">
        <v>28000</v>
      </c>
      <c r="R314" s="10">
        <v>120000</v>
      </c>
      <c r="S314" s="76">
        <f t="shared" si="411"/>
        <v>50250</v>
      </c>
      <c r="T314" s="24">
        <f t="shared" si="412"/>
        <v>40017</v>
      </c>
      <c r="U314" s="281">
        <f t="shared" si="413"/>
        <v>3.9105834066256229</v>
      </c>
      <c r="V314" s="462">
        <f t="shared" si="414"/>
        <v>50250</v>
      </c>
      <c r="W314" s="410"/>
      <c r="X314" s="42"/>
      <c r="Y314" s="42"/>
      <c r="Z314" s="472"/>
      <c r="AA314" s="76"/>
      <c r="AB314" s="24"/>
      <c r="AC314" s="25"/>
      <c r="AD314" s="309"/>
      <c r="AE314" s="462"/>
      <c r="AF314" s="408"/>
      <c r="AG314" s="293"/>
      <c r="AH314" s="293"/>
      <c r="AI314" s="293"/>
      <c r="AJ314" s="293"/>
      <c r="AK314" s="293"/>
      <c r="AL314" s="327"/>
      <c r="AM314" s="463"/>
      <c r="AN314" s="513"/>
      <c r="AO314" s="120"/>
      <c r="AP314" s="120"/>
      <c r="AQ314" s="120"/>
      <c r="AR314" s="120"/>
      <c r="AS314" s="120"/>
      <c r="AT314" s="120"/>
      <c r="AU314" s="422"/>
      <c r="AV314" s="508"/>
      <c r="AW314" s="513"/>
      <c r="AX314" s="74"/>
      <c r="AY314" s="74"/>
      <c r="AZ314" s="75"/>
      <c r="BA314" s="61"/>
      <c r="BB314" s="60"/>
      <c r="BC314" s="74"/>
      <c r="BD314" s="250"/>
      <c r="BE314" s="250"/>
      <c r="BF314" s="250"/>
      <c r="BG314" s="250"/>
      <c r="BH314" s="250"/>
      <c r="BI314" s="76"/>
      <c r="BJ314" s="24"/>
      <c r="BK314" s="25"/>
      <c r="BL314" s="259"/>
      <c r="BM314" s="537"/>
    </row>
    <row r="315" spans="1:65" ht="34.35" customHeight="1">
      <c r="A315" s="91"/>
      <c r="B315" s="358" t="s">
        <v>2506</v>
      </c>
      <c r="C315" s="50" t="s">
        <v>1559</v>
      </c>
      <c r="D315" s="264" t="s">
        <v>1538</v>
      </c>
      <c r="E315" s="393" t="s">
        <v>999</v>
      </c>
      <c r="F315" s="410"/>
      <c r="G315" s="10"/>
      <c r="H315" s="167"/>
      <c r="I315" s="10"/>
      <c r="J315" s="76"/>
      <c r="K315" s="24"/>
      <c r="L315" s="281"/>
      <c r="M315" s="431"/>
      <c r="N315" s="410">
        <v>9995</v>
      </c>
      <c r="O315" s="10">
        <v>3000</v>
      </c>
      <c r="P315" s="10">
        <v>4500</v>
      </c>
      <c r="Q315" s="268">
        <v>4000</v>
      </c>
      <c r="R315" s="10">
        <v>5000</v>
      </c>
      <c r="S315" s="76">
        <f t="shared" si="411"/>
        <v>4125</v>
      </c>
      <c r="T315" s="24">
        <f t="shared" si="412"/>
        <v>-5870</v>
      </c>
      <c r="U315" s="281">
        <f t="shared" si="413"/>
        <v>-0.58729364682341167</v>
      </c>
      <c r="V315" s="462">
        <f t="shared" si="414"/>
        <v>4125</v>
      </c>
      <c r="W315" s="410"/>
      <c r="X315" s="42"/>
      <c r="Y315" s="42"/>
      <c r="Z315" s="472"/>
      <c r="AA315" s="76"/>
      <c r="AB315" s="24"/>
      <c r="AC315" s="25"/>
      <c r="AD315" s="309"/>
      <c r="AE315" s="462"/>
      <c r="AF315" s="408"/>
      <c r="AG315" s="293"/>
      <c r="AH315" s="293"/>
      <c r="AI315" s="293"/>
      <c r="AJ315" s="293"/>
      <c r="AK315" s="293"/>
      <c r="AL315" s="327"/>
      <c r="AM315" s="463"/>
      <c r="AN315" s="513"/>
      <c r="AO315" s="120"/>
      <c r="AP315" s="120"/>
      <c r="AQ315" s="120"/>
      <c r="AR315" s="120"/>
      <c r="AS315" s="120"/>
      <c r="AT315" s="120"/>
      <c r="AU315" s="422"/>
      <c r="AV315" s="508"/>
      <c r="AW315" s="513"/>
      <c r="AX315" s="74"/>
      <c r="AY315" s="74"/>
      <c r="AZ315" s="75"/>
      <c r="BA315" s="61"/>
      <c r="BB315" s="60"/>
      <c r="BC315" s="74"/>
      <c r="BD315" s="250"/>
      <c r="BE315" s="250"/>
      <c r="BF315" s="250"/>
      <c r="BG315" s="250"/>
      <c r="BH315" s="250"/>
      <c r="BI315" s="76"/>
      <c r="BJ315" s="24"/>
      <c r="BK315" s="25"/>
      <c r="BL315" s="259"/>
      <c r="BM315" s="537"/>
    </row>
    <row r="316" spans="1:65" ht="34.35" customHeight="1">
      <c r="A316" s="91"/>
      <c r="B316" s="358" t="s">
        <v>2507</v>
      </c>
      <c r="C316" s="50" t="s">
        <v>1560</v>
      </c>
      <c r="D316" s="264" t="s">
        <v>1539</v>
      </c>
      <c r="E316" s="393" t="s">
        <v>999</v>
      </c>
      <c r="F316" s="410"/>
      <c r="G316" s="10"/>
      <c r="H316" s="167"/>
      <c r="I316" s="10"/>
      <c r="J316" s="76"/>
      <c r="K316" s="24"/>
      <c r="L316" s="281"/>
      <c r="M316" s="431"/>
      <c r="N316" s="410">
        <v>7774</v>
      </c>
      <c r="O316" s="10">
        <v>15000</v>
      </c>
      <c r="P316" s="10">
        <v>18000</v>
      </c>
      <c r="Q316" s="268">
        <v>16000</v>
      </c>
      <c r="R316" s="10">
        <v>20000</v>
      </c>
      <c r="S316" s="76">
        <f t="shared" si="411"/>
        <v>17250</v>
      </c>
      <c r="T316" s="24">
        <f t="shared" si="412"/>
        <v>9476</v>
      </c>
      <c r="U316" s="281">
        <f t="shared" si="413"/>
        <v>1.2189349112426036</v>
      </c>
      <c r="V316" s="462">
        <f t="shared" si="414"/>
        <v>17250</v>
      </c>
      <c r="W316" s="410"/>
      <c r="X316" s="42"/>
      <c r="Y316" s="42"/>
      <c r="Z316" s="472"/>
      <c r="AA316" s="76"/>
      <c r="AB316" s="24"/>
      <c r="AC316" s="25"/>
      <c r="AD316" s="309"/>
      <c r="AE316" s="462"/>
      <c r="AF316" s="408"/>
      <c r="AG316" s="293"/>
      <c r="AH316" s="293"/>
      <c r="AI316" s="293"/>
      <c r="AJ316" s="293"/>
      <c r="AK316" s="293"/>
      <c r="AL316" s="327"/>
      <c r="AM316" s="463"/>
      <c r="AN316" s="513"/>
      <c r="AO316" s="120"/>
      <c r="AP316" s="120"/>
      <c r="AQ316" s="120"/>
      <c r="AR316" s="120"/>
      <c r="AS316" s="120"/>
      <c r="AT316" s="120"/>
      <c r="AU316" s="422"/>
      <c r="AV316" s="508"/>
      <c r="AW316" s="513"/>
      <c r="AX316" s="74"/>
      <c r="AY316" s="74"/>
      <c r="AZ316" s="75"/>
      <c r="BA316" s="61"/>
      <c r="BB316" s="60"/>
      <c r="BC316" s="74"/>
      <c r="BD316" s="250"/>
      <c r="BE316" s="250"/>
      <c r="BF316" s="250"/>
      <c r="BG316" s="250"/>
      <c r="BH316" s="250"/>
      <c r="BI316" s="76"/>
      <c r="BJ316" s="24"/>
      <c r="BK316" s="25"/>
      <c r="BL316" s="259"/>
      <c r="BM316" s="537"/>
    </row>
    <row r="317" spans="1:65" ht="34.35" customHeight="1">
      <c r="A317" s="91"/>
      <c r="B317" s="358" t="s">
        <v>2508</v>
      </c>
      <c r="C317" s="50" t="s">
        <v>1561</v>
      </c>
      <c r="D317" s="264" t="s">
        <v>1540</v>
      </c>
      <c r="E317" s="393" t="s">
        <v>999</v>
      </c>
      <c r="F317" s="410"/>
      <c r="G317" s="10"/>
      <c r="H317" s="167"/>
      <c r="I317" s="10"/>
      <c r="J317" s="76"/>
      <c r="K317" s="24"/>
      <c r="L317" s="281"/>
      <c r="M317" s="431"/>
      <c r="N317" s="410">
        <v>782677</v>
      </c>
      <c r="O317" s="10">
        <v>180000</v>
      </c>
      <c r="P317" s="10">
        <v>205000</v>
      </c>
      <c r="Q317" s="268">
        <v>195000</v>
      </c>
      <c r="R317" s="10">
        <v>250000</v>
      </c>
      <c r="S317" s="76">
        <f t="shared" si="411"/>
        <v>207500</v>
      </c>
      <c r="T317" s="24">
        <f t="shared" si="412"/>
        <v>-575177</v>
      </c>
      <c r="U317" s="281">
        <f t="shared" si="413"/>
        <v>-0.73488424982464029</v>
      </c>
      <c r="V317" s="462">
        <f t="shared" si="414"/>
        <v>207500</v>
      </c>
      <c r="W317" s="410"/>
      <c r="X317" s="42"/>
      <c r="Y317" s="42"/>
      <c r="Z317" s="472"/>
      <c r="AA317" s="76"/>
      <c r="AB317" s="24"/>
      <c r="AC317" s="25"/>
      <c r="AD317" s="309"/>
      <c r="AE317" s="462"/>
      <c r="AF317" s="408"/>
      <c r="AG317" s="293"/>
      <c r="AH317" s="293"/>
      <c r="AI317" s="293"/>
      <c r="AJ317" s="293"/>
      <c r="AK317" s="293"/>
      <c r="AL317" s="327"/>
      <c r="AM317" s="463"/>
      <c r="AN317" s="513"/>
      <c r="AO317" s="120"/>
      <c r="AP317" s="120"/>
      <c r="AQ317" s="120"/>
      <c r="AR317" s="120"/>
      <c r="AS317" s="120"/>
      <c r="AT317" s="120"/>
      <c r="AU317" s="422"/>
      <c r="AV317" s="508"/>
      <c r="AW317" s="513"/>
      <c r="AX317" s="74"/>
      <c r="AY317" s="74"/>
      <c r="AZ317" s="75"/>
      <c r="BA317" s="61"/>
      <c r="BB317" s="60"/>
      <c r="BC317" s="74"/>
      <c r="BD317" s="250"/>
      <c r="BE317" s="250"/>
      <c r="BF317" s="250"/>
      <c r="BG317" s="250"/>
      <c r="BH317" s="250"/>
      <c r="BI317" s="76"/>
      <c r="BJ317" s="24"/>
      <c r="BK317" s="25"/>
      <c r="BL317" s="259"/>
      <c r="BM317" s="537"/>
    </row>
    <row r="318" spans="1:65" ht="34.35" customHeight="1">
      <c r="A318" s="91"/>
      <c r="B318" s="358" t="s">
        <v>2509</v>
      </c>
      <c r="C318" s="50" t="s">
        <v>1562</v>
      </c>
      <c r="D318" s="264" t="s">
        <v>1541</v>
      </c>
      <c r="E318" s="393" t="s">
        <v>999</v>
      </c>
      <c r="F318" s="410"/>
      <c r="G318" s="10"/>
      <c r="H318" s="167"/>
      <c r="I318" s="10"/>
      <c r="J318" s="76"/>
      <c r="K318" s="24"/>
      <c r="L318" s="281"/>
      <c r="M318" s="431"/>
      <c r="N318" s="410">
        <v>48743</v>
      </c>
      <c r="O318" s="10">
        <v>15000</v>
      </c>
      <c r="P318" s="10">
        <v>18000</v>
      </c>
      <c r="Q318" s="268">
        <v>18000</v>
      </c>
      <c r="R318" s="10">
        <v>20000</v>
      </c>
      <c r="S318" s="76">
        <f t="shared" si="411"/>
        <v>17750</v>
      </c>
      <c r="T318" s="24">
        <f t="shared" si="412"/>
        <v>-30993</v>
      </c>
      <c r="U318" s="281">
        <f t="shared" si="413"/>
        <v>-0.63584514699546602</v>
      </c>
      <c r="V318" s="462">
        <f t="shared" si="414"/>
        <v>17750</v>
      </c>
      <c r="W318" s="410"/>
      <c r="X318" s="42"/>
      <c r="Y318" s="42"/>
      <c r="Z318" s="472"/>
      <c r="AA318" s="76"/>
      <c r="AB318" s="24"/>
      <c r="AC318" s="25"/>
      <c r="AD318" s="309"/>
      <c r="AE318" s="462"/>
      <c r="AF318" s="408"/>
      <c r="AG318" s="293"/>
      <c r="AH318" s="293"/>
      <c r="AI318" s="293"/>
      <c r="AJ318" s="293"/>
      <c r="AK318" s="293"/>
      <c r="AL318" s="327"/>
      <c r="AM318" s="463"/>
      <c r="AN318" s="513"/>
      <c r="AO318" s="120"/>
      <c r="AP318" s="120"/>
      <c r="AQ318" s="120"/>
      <c r="AR318" s="120"/>
      <c r="AS318" s="120"/>
      <c r="AT318" s="120"/>
      <c r="AU318" s="422"/>
      <c r="AV318" s="508"/>
      <c r="AW318" s="513"/>
      <c r="AX318" s="74"/>
      <c r="AY318" s="74"/>
      <c r="AZ318" s="75"/>
      <c r="BA318" s="61"/>
      <c r="BB318" s="60"/>
      <c r="BC318" s="74"/>
      <c r="BD318" s="250"/>
      <c r="BE318" s="250"/>
      <c r="BF318" s="250"/>
      <c r="BG318" s="250"/>
      <c r="BH318" s="250"/>
      <c r="BI318" s="76"/>
      <c r="BJ318" s="24"/>
      <c r="BK318" s="25"/>
      <c r="BL318" s="259"/>
      <c r="BM318" s="537"/>
    </row>
    <row r="319" spans="1:65" ht="34.35" customHeight="1">
      <c r="A319" s="91"/>
      <c r="B319" s="358" t="s">
        <v>2510</v>
      </c>
      <c r="C319" s="50" t="s">
        <v>1563</v>
      </c>
      <c r="D319" s="264" t="s">
        <v>1542</v>
      </c>
      <c r="E319" s="393" t="s">
        <v>999</v>
      </c>
      <c r="F319" s="410"/>
      <c r="G319" s="10"/>
      <c r="H319" s="167"/>
      <c r="I319" s="10"/>
      <c r="J319" s="76"/>
      <c r="K319" s="24"/>
      <c r="L319" s="281"/>
      <c r="M319" s="431"/>
      <c r="N319" s="410">
        <v>39014</v>
      </c>
      <c r="O319" s="10">
        <v>25000</v>
      </c>
      <c r="P319" s="10">
        <v>25000</v>
      </c>
      <c r="Q319" s="268">
        <v>25000</v>
      </c>
      <c r="R319" s="10">
        <v>40000</v>
      </c>
      <c r="S319" s="76">
        <f t="shared" si="411"/>
        <v>28750</v>
      </c>
      <c r="T319" s="24">
        <f t="shared" si="412"/>
        <v>-10264</v>
      </c>
      <c r="U319" s="281">
        <f t="shared" si="413"/>
        <v>-0.26308504639360231</v>
      </c>
      <c r="V319" s="462">
        <f t="shared" si="414"/>
        <v>28750</v>
      </c>
      <c r="W319" s="410"/>
      <c r="X319" s="42"/>
      <c r="Y319" s="42"/>
      <c r="Z319" s="472"/>
      <c r="AA319" s="76"/>
      <c r="AB319" s="24"/>
      <c r="AC319" s="25"/>
      <c r="AD319" s="309"/>
      <c r="AE319" s="462"/>
      <c r="AF319" s="408"/>
      <c r="AG319" s="293"/>
      <c r="AH319" s="293"/>
      <c r="AI319" s="293"/>
      <c r="AJ319" s="293"/>
      <c r="AK319" s="293"/>
      <c r="AL319" s="327"/>
      <c r="AM319" s="463"/>
      <c r="AN319" s="513"/>
      <c r="AO319" s="120"/>
      <c r="AP319" s="120"/>
      <c r="AQ319" s="120"/>
      <c r="AR319" s="120"/>
      <c r="AS319" s="120"/>
      <c r="AT319" s="120"/>
      <c r="AU319" s="422"/>
      <c r="AV319" s="508"/>
      <c r="AW319" s="513"/>
      <c r="AX319" s="74"/>
      <c r="AY319" s="74"/>
      <c r="AZ319" s="75"/>
      <c r="BA319" s="61"/>
      <c r="BB319" s="60"/>
      <c r="BC319" s="74"/>
      <c r="BD319" s="250"/>
      <c r="BE319" s="250"/>
      <c r="BF319" s="250"/>
      <c r="BG319" s="250"/>
      <c r="BH319" s="250"/>
      <c r="BI319" s="76"/>
      <c r="BJ319" s="24"/>
      <c r="BK319" s="25"/>
      <c r="BL319" s="259"/>
      <c r="BM319" s="537"/>
    </row>
    <row r="320" spans="1:65" ht="34.35" customHeight="1">
      <c r="A320" s="91"/>
      <c r="B320" s="358" t="s">
        <v>2511</v>
      </c>
      <c r="C320" s="50" t="s">
        <v>1564</v>
      </c>
      <c r="D320" s="264" t="s">
        <v>1543</v>
      </c>
      <c r="E320" s="393" t="s">
        <v>999</v>
      </c>
      <c r="F320" s="410"/>
      <c r="G320" s="10"/>
      <c r="H320" s="167"/>
      <c r="I320" s="10"/>
      <c r="J320" s="76"/>
      <c r="K320" s="24"/>
      <c r="L320" s="281"/>
      <c r="M320" s="431"/>
      <c r="N320" s="410">
        <v>63010</v>
      </c>
      <c r="O320" s="10">
        <v>55000</v>
      </c>
      <c r="P320" s="10">
        <v>60000</v>
      </c>
      <c r="Q320" s="268">
        <v>60000</v>
      </c>
      <c r="R320" s="10">
        <v>75000</v>
      </c>
      <c r="S320" s="76">
        <f t="shared" si="411"/>
        <v>62500</v>
      </c>
      <c r="T320" s="24">
        <f t="shared" si="412"/>
        <v>-510</v>
      </c>
      <c r="U320" s="281">
        <f t="shared" si="413"/>
        <v>-8.093953340739566E-3</v>
      </c>
      <c r="V320" s="462">
        <f t="shared" si="414"/>
        <v>62500</v>
      </c>
      <c r="W320" s="410"/>
      <c r="X320" s="42"/>
      <c r="Y320" s="42"/>
      <c r="Z320" s="472"/>
      <c r="AA320" s="76"/>
      <c r="AB320" s="24"/>
      <c r="AC320" s="25"/>
      <c r="AD320" s="309"/>
      <c r="AE320" s="462"/>
      <c r="AF320" s="408"/>
      <c r="AG320" s="293"/>
      <c r="AH320" s="293"/>
      <c r="AI320" s="293"/>
      <c r="AJ320" s="293"/>
      <c r="AK320" s="293"/>
      <c r="AL320" s="327"/>
      <c r="AM320" s="463"/>
      <c r="AN320" s="513"/>
      <c r="AO320" s="120"/>
      <c r="AP320" s="120"/>
      <c r="AQ320" s="120"/>
      <c r="AR320" s="120"/>
      <c r="AS320" s="120"/>
      <c r="AT320" s="120"/>
      <c r="AU320" s="422"/>
      <c r="AV320" s="508"/>
      <c r="AW320" s="513"/>
      <c r="AX320" s="74"/>
      <c r="AY320" s="74"/>
      <c r="AZ320" s="75"/>
      <c r="BA320" s="61"/>
      <c r="BB320" s="60"/>
      <c r="BC320" s="74"/>
      <c r="BD320" s="250"/>
      <c r="BE320" s="250"/>
      <c r="BF320" s="250"/>
      <c r="BG320" s="250"/>
      <c r="BH320" s="250"/>
      <c r="BI320" s="76"/>
      <c r="BJ320" s="24"/>
      <c r="BK320" s="25"/>
      <c r="BL320" s="259"/>
      <c r="BM320" s="537"/>
    </row>
    <row r="321" spans="1:65" ht="34.35" customHeight="1">
      <c r="A321" s="91"/>
      <c r="B321" s="358" t="s">
        <v>2512</v>
      </c>
      <c r="C321" s="50" t="s">
        <v>1565</v>
      </c>
      <c r="D321" s="264" t="s">
        <v>1544</v>
      </c>
      <c r="E321" s="393" t="s">
        <v>999</v>
      </c>
      <c r="F321" s="410"/>
      <c r="G321" s="10"/>
      <c r="H321" s="167"/>
      <c r="I321" s="10"/>
      <c r="J321" s="76"/>
      <c r="K321" s="24"/>
      <c r="L321" s="281"/>
      <c r="M321" s="431"/>
      <c r="N321" s="410">
        <v>103400</v>
      </c>
      <c r="O321" s="10">
        <v>50000</v>
      </c>
      <c r="P321" s="10">
        <v>55000</v>
      </c>
      <c r="Q321" s="268">
        <v>55000</v>
      </c>
      <c r="R321" s="10">
        <v>60000</v>
      </c>
      <c r="S321" s="76">
        <f t="shared" si="411"/>
        <v>55000</v>
      </c>
      <c r="T321" s="24">
        <f t="shared" si="412"/>
        <v>-48400</v>
      </c>
      <c r="U321" s="281">
        <f t="shared" si="413"/>
        <v>-0.46808510638297873</v>
      </c>
      <c r="V321" s="462">
        <f t="shared" si="414"/>
        <v>55000</v>
      </c>
      <c r="W321" s="410"/>
      <c r="X321" s="42"/>
      <c r="Y321" s="42"/>
      <c r="Z321" s="472"/>
      <c r="AA321" s="76"/>
      <c r="AB321" s="24"/>
      <c r="AC321" s="25"/>
      <c r="AD321" s="309"/>
      <c r="AE321" s="462"/>
      <c r="AF321" s="408"/>
      <c r="AG321" s="293"/>
      <c r="AH321" s="293"/>
      <c r="AI321" s="293"/>
      <c r="AJ321" s="293"/>
      <c r="AK321" s="293"/>
      <c r="AL321" s="327"/>
      <c r="AM321" s="463"/>
      <c r="AN321" s="513"/>
      <c r="AO321" s="120"/>
      <c r="AP321" s="120"/>
      <c r="AQ321" s="120"/>
      <c r="AR321" s="120"/>
      <c r="AS321" s="120"/>
      <c r="AT321" s="120"/>
      <c r="AU321" s="422"/>
      <c r="AV321" s="508"/>
      <c r="AW321" s="513"/>
      <c r="AX321" s="74"/>
      <c r="AY321" s="74"/>
      <c r="AZ321" s="75"/>
      <c r="BA321" s="61"/>
      <c r="BB321" s="60"/>
      <c r="BC321" s="74"/>
      <c r="BD321" s="250"/>
      <c r="BE321" s="250"/>
      <c r="BF321" s="250"/>
      <c r="BG321" s="250"/>
      <c r="BH321" s="250"/>
      <c r="BI321" s="76"/>
      <c r="BJ321" s="24"/>
      <c r="BK321" s="25"/>
      <c r="BL321" s="259"/>
      <c r="BM321" s="537"/>
    </row>
    <row r="322" spans="1:65" ht="34.35" customHeight="1">
      <c r="A322" s="91"/>
      <c r="B322" s="358" t="s">
        <v>2513</v>
      </c>
      <c r="C322" s="50" t="s">
        <v>1566</v>
      </c>
      <c r="D322" s="264" t="s">
        <v>1545</v>
      </c>
      <c r="E322" s="393" t="s">
        <v>999</v>
      </c>
      <c r="F322" s="410"/>
      <c r="G322" s="10"/>
      <c r="H322" s="167"/>
      <c r="I322" s="10"/>
      <c r="J322" s="76"/>
      <c r="K322" s="24"/>
      <c r="L322" s="281"/>
      <c r="M322" s="431"/>
      <c r="N322" s="410">
        <v>45848</v>
      </c>
      <c r="O322" s="10">
        <v>27000</v>
      </c>
      <c r="P322" s="10">
        <v>30000</v>
      </c>
      <c r="Q322" s="268">
        <v>30000</v>
      </c>
      <c r="R322" s="10">
        <v>45000</v>
      </c>
      <c r="S322" s="76">
        <f t="shared" si="411"/>
        <v>33000</v>
      </c>
      <c r="T322" s="24">
        <f t="shared" si="412"/>
        <v>-12848</v>
      </c>
      <c r="U322" s="281">
        <f t="shared" si="413"/>
        <v>-0.28023032629558542</v>
      </c>
      <c r="V322" s="462">
        <f t="shared" si="414"/>
        <v>33000</v>
      </c>
      <c r="W322" s="410"/>
      <c r="X322" s="42"/>
      <c r="Y322" s="42"/>
      <c r="Z322" s="472"/>
      <c r="AA322" s="76"/>
      <c r="AB322" s="24"/>
      <c r="AC322" s="25"/>
      <c r="AD322" s="309"/>
      <c r="AE322" s="462"/>
      <c r="AF322" s="408"/>
      <c r="AG322" s="293"/>
      <c r="AH322" s="293"/>
      <c r="AI322" s="293"/>
      <c r="AJ322" s="293"/>
      <c r="AK322" s="293"/>
      <c r="AL322" s="327"/>
      <c r="AM322" s="463"/>
      <c r="AN322" s="513"/>
      <c r="AO322" s="120"/>
      <c r="AP322" s="120"/>
      <c r="AQ322" s="120"/>
      <c r="AR322" s="120"/>
      <c r="AS322" s="120"/>
      <c r="AT322" s="120"/>
      <c r="AU322" s="422"/>
      <c r="AV322" s="508"/>
      <c r="AW322" s="513"/>
      <c r="AX322" s="74"/>
      <c r="AY322" s="74"/>
      <c r="AZ322" s="75"/>
      <c r="BA322" s="61"/>
      <c r="BB322" s="60"/>
      <c r="BC322" s="74"/>
      <c r="BD322" s="250"/>
      <c r="BE322" s="250"/>
      <c r="BF322" s="250"/>
      <c r="BG322" s="250"/>
      <c r="BH322" s="250"/>
      <c r="BI322" s="76"/>
      <c r="BJ322" s="24"/>
      <c r="BK322" s="25"/>
      <c r="BL322" s="259"/>
      <c r="BM322" s="537"/>
    </row>
    <row r="323" spans="1:65" ht="34.35" customHeight="1">
      <c r="A323" s="91"/>
      <c r="B323" s="358" t="s">
        <v>2514</v>
      </c>
      <c r="C323" s="50" t="s">
        <v>1567</v>
      </c>
      <c r="D323" s="264" t="s">
        <v>1546</v>
      </c>
      <c r="E323" s="393" t="s">
        <v>999</v>
      </c>
      <c r="F323" s="410"/>
      <c r="G323" s="10"/>
      <c r="H323" s="167"/>
      <c r="I323" s="10"/>
      <c r="J323" s="76"/>
      <c r="K323" s="24"/>
      <c r="L323" s="281"/>
      <c r="M323" s="431"/>
      <c r="N323" s="410">
        <v>22050</v>
      </c>
      <c r="O323" s="10">
        <v>15000</v>
      </c>
      <c r="P323" s="10">
        <v>18000</v>
      </c>
      <c r="Q323" s="268">
        <v>18000</v>
      </c>
      <c r="R323" s="10"/>
      <c r="S323" s="76">
        <f t="shared" si="411"/>
        <v>17000</v>
      </c>
      <c r="T323" s="24">
        <f t="shared" si="412"/>
        <v>-5050</v>
      </c>
      <c r="U323" s="281">
        <f t="shared" si="413"/>
        <v>-0.22902494331065759</v>
      </c>
      <c r="V323" s="462">
        <f t="shared" si="414"/>
        <v>17000</v>
      </c>
      <c r="W323" s="410"/>
      <c r="X323" s="42"/>
      <c r="Y323" s="42"/>
      <c r="Z323" s="472"/>
      <c r="AA323" s="76"/>
      <c r="AB323" s="24"/>
      <c r="AC323" s="25"/>
      <c r="AD323" s="309"/>
      <c r="AE323" s="462"/>
      <c r="AF323" s="408"/>
      <c r="AG323" s="293"/>
      <c r="AH323" s="293"/>
      <c r="AI323" s="293"/>
      <c r="AJ323" s="293"/>
      <c r="AK323" s="293"/>
      <c r="AL323" s="327"/>
      <c r="AM323" s="463"/>
      <c r="AN323" s="513"/>
      <c r="AO323" s="120"/>
      <c r="AP323" s="120"/>
      <c r="AQ323" s="120"/>
      <c r="AR323" s="120"/>
      <c r="AS323" s="120"/>
      <c r="AT323" s="120"/>
      <c r="AU323" s="422"/>
      <c r="AV323" s="508"/>
      <c r="AW323" s="513"/>
      <c r="AX323" s="74"/>
      <c r="AY323" s="74"/>
      <c r="AZ323" s="75"/>
      <c r="BA323" s="61"/>
      <c r="BB323" s="60"/>
      <c r="BC323" s="74"/>
      <c r="BD323" s="250"/>
      <c r="BE323" s="250"/>
      <c r="BF323" s="250"/>
      <c r="BG323" s="250"/>
      <c r="BH323" s="250"/>
      <c r="BI323" s="76"/>
      <c r="BJ323" s="24"/>
      <c r="BK323" s="25"/>
      <c r="BL323" s="259"/>
      <c r="BM323" s="537"/>
    </row>
    <row r="324" spans="1:65" ht="34.35" customHeight="1">
      <c r="A324" s="91"/>
      <c r="B324" s="358" t="s">
        <v>2515</v>
      </c>
      <c r="C324" s="50" t="s">
        <v>1568</v>
      </c>
      <c r="D324" s="264" t="s">
        <v>1547</v>
      </c>
      <c r="E324" s="393" t="s">
        <v>999</v>
      </c>
      <c r="F324" s="410"/>
      <c r="G324" s="10"/>
      <c r="H324" s="167"/>
      <c r="I324" s="10"/>
      <c r="J324" s="76"/>
      <c r="K324" s="24"/>
      <c r="L324" s="281"/>
      <c r="M324" s="431"/>
      <c r="N324" s="410">
        <v>18653</v>
      </c>
      <c r="O324" s="10">
        <v>60000</v>
      </c>
      <c r="P324" s="10">
        <v>60000</v>
      </c>
      <c r="Q324" s="268">
        <v>60000</v>
      </c>
      <c r="R324" s="10">
        <v>55000</v>
      </c>
      <c r="S324" s="76">
        <f t="shared" si="411"/>
        <v>58750</v>
      </c>
      <c r="T324" s="24">
        <f t="shared" si="412"/>
        <v>40097</v>
      </c>
      <c r="U324" s="281">
        <f t="shared" si="413"/>
        <v>2.1496274057792313</v>
      </c>
      <c r="V324" s="462">
        <f t="shared" si="414"/>
        <v>58750</v>
      </c>
      <c r="W324" s="410"/>
      <c r="X324" s="42"/>
      <c r="Y324" s="42"/>
      <c r="Z324" s="472"/>
      <c r="AA324" s="76"/>
      <c r="AB324" s="24"/>
      <c r="AC324" s="25"/>
      <c r="AD324" s="309"/>
      <c r="AE324" s="462"/>
      <c r="AF324" s="408"/>
      <c r="AG324" s="293"/>
      <c r="AH324" s="293"/>
      <c r="AI324" s="293"/>
      <c r="AJ324" s="293"/>
      <c r="AK324" s="293"/>
      <c r="AL324" s="327"/>
      <c r="AM324" s="463"/>
      <c r="AN324" s="513"/>
      <c r="AO324" s="120"/>
      <c r="AP324" s="120"/>
      <c r="AQ324" s="120"/>
      <c r="AR324" s="120"/>
      <c r="AS324" s="120"/>
      <c r="AT324" s="120"/>
      <c r="AU324" s="422"/>
      <c r="AV324" s="508"/>
      <c r="AW324" s="513"/>
      <c r="AX324" s="74"/>
      <c r="AY324" s="74"/>
      <c r="AZ324" s="75"/>
      <c r="BA324" s="61"/>
      <c r="BB324" s="60"/>
      <c r="BC324" s="74"/>
      <c r="BD324" s="250"/>
      <c r="BE324" s="250"/>
      <c r="BF324" s="250"/>
      <c r="BG324" s="250"/>
      <c r="BH324" s="250"/>
      <c r="BI324" s="76"/>
      <c r="BJ324" s="24"/>
      <c r="BK324" s="25"/>
      <c r="BL324" s="259"/>
      <c r="BM324" s="537"/>
    </row>
    <row r="325" spans="1:65" ht="34.35" customHeight="1">
      <c r="A325" s="91"/>
      <c r="B325" s="358" t="s">
        <v>2516</v>
      </c>
      <c r="C325" s="50" t="s">
        <v>1569</v>
      </c>
      <c r="D325" s="264" t="s">
        <v>1548</v>
      </c>
      <c r="E325" s="393" t="s">
        <v>827</v>
      </c>
      <c r="F325" s="410"/>
      <c r="G325" s="10"/>
      <c r="H325" s="167"/>
      <c r="I325" s="10"/>
      <c r="J325" s="76"/>
      <c r="K325" s="24"/>
      <c r="L325" s="281"/>
      <c r="M325" s="431"/>
      <c r="N325" s="410">
        <v>40021</v>
      </c>
      <c r="O325" s="10">
        <v>80000</v>
      </c>
      <c r="P325" s="10">
        <v>85000</v>
      </c>
      <c r="Q325" s="268">
        <v>85000</v>
      </c>
      <c r="R325" s="10">
        <v>85000</v>
      </c>
      <c r="S325" s="76">
        <f t="shared" si="411"/>
        <v>83750</v>
      </c>
      <c r="T325" s="24">
        <f t="shared" si="412"/>
        <v>43729</v>
      </c>
      <c r="U325" s="281">
        <f t="shared" si="413"/>
        <v>1.0926513580370305</v>
      </c>
      <c r="V325" s="462">
        <f t="shared" si="414"/>
        <v>83750</v>
      </c>
      <c r="W325" s="410"/>
      <c r="X325" s="42"/>
      <c r="Y325" s="42"/>
      <c r="Z325" s="472"/>
      <c r="AA325" s="76"/>
      <c r="AB325" s="24"/>
      <c r="AC325" s="25"/>
      <c r="AD325" s="309"/>
      <c r="AE325" s="462"/>
      <c r="AF325" s="408"/>
      <c r="AG325" s="293"/>
      <c r="AH325" s="293"/>
      <c r="AI325" s="293"/>
      <c r="AJ325" s="293"/>
      <c r="AK325" s="293"/>
      <c r="AL325" s="327"/>
      <c r="AM325" s="463"/>
      <c r="AN325" s="513"/>
      <c r="AO325" s="120"/>
      <c r="AP325" s="120"/>
      <c r="AQ325" s="120"/>
      <c r="AR325" s="120"/>
      <c r="AS325" s="120"/>
      <c r="AT325" s="120"/>
      <c r="AU325" s="422"/>
      <c r="AV325" s="508"/>
      <c r="AW325" s="513"/>
      <c r="AX325" s="74"/>
      <c r="AY325" s="74"/>
      <c r="AZ325" s="75"/>
      <c r="BA325" s="61"/>
      <c r="BB325" s="60"/>
      <c r="BC325" s="74"/>
      <c r="BD325" s="250"/>
      <c r="BE325" s="250"/>
      <c r="BF325" s="250"/>
      <c r="BG325" s="250"/>
      <c r="BH325" s="250"/>
      <c r="BI325" s="76"/>
      <c r="BJ325" s="24"/>
      <c r="BK325" s="25"/>
      <c r="BL325" s="259"/>
      <c r="BM325" s="537"/>
    </row>
    <row r="326" spans="1:65" ht="34.35" customHeight="1">
      <c r="A326" s="91"/>
      <c r="B326" s="358" t="s">
        <v>2517</v>
      </c>
      <c r="C326" s="50" t="s">
        <v>1570</v>
      </c>
      <c r="D326" s="264" t="s">
        <v>1549</v>
      </c>
      <c r="E326" s="393" t="s">
        <v>999</v>
      </c>
      <c r="F326" s="410"/>
      <c r="G326" s="10"/>
      <c r="H326" s="167"/>
      <c r="I326" s="10"/>
      <c r="J326" s="76"/>
      <c r="K326" s="24"/>
      <c r="L326" s="281"/>
      <c r="M326" s="431"/>
      <c r="N326" s="410">
        <v>98925</v>
      </c>
      <c r="O326" s="10">
        <v>77000</v>
      </c>
      <c r="P326" s="10">
        <v>82000</v>
      </c>
      <c r="Q326" s="268">
        <v>82000</v>
      </c>
      <c r="R326" s="10">
        <v>120000</v>
      </c>
      <c r="S326" s="76">
        <f t="shared" si="411"/>
        <v>90250</v>
      </c>
      <c r="T326" s="24">
        <f t="shared" si="412"/>
        <v>-8675</v>
      </c>
      <c r="U326" s="281">
        <f t="shared" si="413"/>
        <v>-8.7692696487237806E-2</v>
      </c>
      <c r="V326" s="462">
        <f t="shared" si="414"/>
        <v>90250</v>
      </c>
      <c r="W326" s="410"/>
      <c r="X326" s="42"/>
      <c r="Y326" s="42"/>
      <c r="Z326" s="472"/>
      <c r="AA326" s="76"/>
      <c r="AB326" s="24"/>
      <c r="AC326" s="25"/>
      <c r="AD326" s="309"/>
      <c r="AE326" s="462"/>
      <c r="AF326" s="408"/>
      <c r="AG326" s="293"/>
      <c r="AH326" s="293"/>
      <c r="AI326" s="293"/>
      <c r="AJ326" s="293"/>
      <c r="AK326" s="293"/>
      <c r="AL326" s="327"/>
      <c r="AM326" s="463"/>
      <c r="AN326" s="513"/>
      <c r="AO326" s="120"/>
      <c r="AP326" s="120"/>
      <c r="AQ326" s="120"/>
      <c r="AR326" s="120"/>
      <c r="AS326" s="120"/>
      <c r="AT326" s="120"/>
      <c r="AU326" s="422"/>
      <c r="AV326" s="508"/>
      <c r="AW326" s="513"/>
      <c r="AX326" s="74"/>
      <c r="AY326" s="74"/>
      <c r="AZ326" s="75"/>
      <c r="BA326" s="61"/>
      <c r="BB326" s="60"/>
      <c r="BC326" s="74"/>
      <c r="BD326" s="250"/>
      <c r="BE326" s="250"/>
      <c r="BF326" s="250"/>
      <c r="BG326" s="250"/>
      <c r="BH326" s="250"/>
      <c r="BI326" s="76"/>
      <c r="BJ326" s="24"/>
      <c r="BK326" s="25"/>
      <c r="BL326" s="259"/>
      <c r="BM326" s="537"/>
    </row>
    <row r="327" spans="1:65" ht="34.35" customHeight="1">
      <c r="A327" s="91"/>
      <c r="B327" s="358" t="s">
        <v>2518</v>
      </c>
      <c r="C327" s="50" t="s">
        <v>1571</v>
      </c>
      <c r="D327" s="264" t="s">
        <v>1550</v>
      </c>
      <c r="E327" s="393" t="s">
        <v>827</v>
      </c>
      <c r="F327" s="410"/>
      <c r="G327" s="10"/>
      <c r="H327" s="167"/>
      <c r="I327" s="10"/>
      <c r="J327" s="76"/>
      <c r="K327" s="24"/>
      <c r="L327" s="281"/>
      <c r="M327" s="431"/>
      <c r="N327" s="410">
        <v>7462</v>
      </c>
      <c r="O327" s="10">
        <v>8000</v>
      </c>
      <c r="P327" s="10">
        <v>12000</v>
      </c>
      <c r="Q327" s="268">
        <v>10000</v>
      </c>
      <c r="R327" s="10">
        <v>10000</v>
      </c>
      <c r="S327" s="76">
        <f t="shared" si="411"/>
        <v>10000</v>
      </c>
      <c r="T327" s="24">
        <f t="shared" si="412"/>
        <v>2538</v>
      </c>
      <c r="U327" s="281">
        <f t="shared" si="413"/>
        <v>0.34012329134280356</v>
      </c>
      <c r="V327" s="462">
        <f t="shared" si="414"/>
        <v>10000</v>
      </c>
      <c r="W327" s="410"/>
      <c r="X327" s="42"/>
      <c r="Y327" s="42"/>
      <c r="Z327" s="472"/>
      <c r="AA327" s="76"/>
      <c r="AB327" s="24"/>
      <c r="AC327" s="25"/>
      <c r="AD327" s="309"/>
      <c r="AE327" s="462"/>
      <c r="AF327" s="408"/>
      <c r="AG327" s="293"/>
      <c r="AH327" s="293"/>
      <c r="AI327" s="293"/>
      <c r="AJ327" s="293"/>
      <c r="AK327" s="293"/>
      <c r="AL327" s="327"/>
      <c r="AM327" s="463"/>
      <c r="AN327" s="513"/>
      <c r="AO327" s="120"/>
      <c r="AP327" s="120"/>
      <c r="AQ327" s="120"/>
      <c r="AR327" s="120"/>
      <c r="AS327" s="120"/>
      <c r="AT327" s="120"/>
      <c r="AU327" s="422"/>
      <c r="AV327" s="508"/>
      <c r="AW327" s="513"/>
      <c r="AX327" s="74"/>
      <c r="AY327" s="74"/>
      <c r="AZ327" s="75"/>
      <c r="BA327" s="61"/>
      <c r="BB327" s="60"/>
      <c r="BC327" s="74"/>
      <c r="BD327" s="250"/>
      <c r="BE327" s="250"/>
      <c r="BF327" s="250"/>
      <c r="BG327" s="250"/>
      <c r="BH327" s="250"/>
      <c r="BI327" s="76"/>
      <c r="BJ327" s="24"/>
      <c r="BK327" s="25"/>
      <c r="BL327" s="259"/>
      <c r="BM327" s="537"/>
    </row>
    <row r="328" spans="1:65" ht="34.35" customHeight="1">
      <c r="A328" s="91"/>
      <c r="B328" s="358" t="s">
        <v>2519</v>
      </c>
      <c r="C328" s="50" t="s">
        <v>1572</v>
      </c>
      <c r="D328" s="264" t="s">
        <v>1551</v>
      </c>
      <c r="E328" s="393" t="s">
        <v>999</v>
      </c>
      <c r="F328" s="410"/>
      <c r="G328" s="10"/>
      <c r="H328" s="167"/>
      <c r="I328" s="10"/>
      <c r="J328" s="76"/>
      <c r="K328" s="24"/>
      <c r="L328" s="281"/>
      <c r="M328" s="431"/>
      <c r="N328" s="410">
        <v>72620</v>
      </c>
      <c r="O328" s="10">
        <v>87500</v>
      </c>
      <c r="P328" s="10">
        <v>90000</v>
      </c>
      <c r="Q328" s="268">
        <v>90000</v>
      </c>
      <c r="R328" s="10">
        <v>100000</v>
      </c>
      <c r="S328" s="76">
        <f t="shared" si="411"/>
        <v>91875</v>
      </c>
      <c r="T328" s="24">
        <f t="shared" si="412"/>
        <v>19255</v>
      </c>
      <c r="U328" s="281">
        <f t="shared" si="413"/>
        <v>0.26514734232993664</v>
      </c>
      <c r="V328" s="462">
        <f t="shared" si="414"/>
        <v>91875</v>
      </c>
      <c r="W328" s="410"/>
      <c r="X328" s="42"/>
      <c r="Y328" s="42"/>
      <c r="Z328" s="472"/>
      <c r="AA328" s="76"/>
      <c r="AB328" s="24"/>
      <c r="AC328" s="25"/>
      <c r="AD328" s="309"/>
      <c r="AE328" s="462"/>
      <c r="AF328" s="408"/>
      <c r="AG328" s="293"/>
      <c r="AH328" s="293"/>
      <c r="AI328" s="293"/>
      <c r="AJ328" s="293"/>
      <c r="AK328" s="293"/>
      <c r="AL328" s="327"/>
      <c r="AM328" s="463"/>
      <c r="AN328" s="513"/>
      <c r="AO328" s="120"/>
      <c r="AP328" s="120"/>
      <c r="AQ328" s="120"/>
      <c r="AR328" s="120"/>
      <c r="AS328" s="120"/>
      <c r="AT328" s="120"/>
      <c r="AU328" s="422"/>
      <c r="AV328" s="508"/>
      <c r="AW328" s="513"/>
      <c r="AX328" s="74"/>
      <c r="AY328" s="74"/>
      <c r="AZ328" s="75"/>
      <c r="BA328" s="61"/>
      <c r="BB328" s="60"/>
      <c r="BC328" s="74"/>
      <c r="BD328" s="250"/>
      <c r="BE328" s="250"/>
      <c r="BF328" s="250"/>
      <c r="BG328" s="250"/>
      <c r="BH328" s="250"/>
      <c r="BI328" s="76"/>
      <c r="BJ328" s="24"/>
      <c r="BK328" s="25"/>
      <c r="BL328" s="259"/>
      <c r="BM328" s="537"/>
    </row>
    <row r="329" spans="1:65" ht="54" customHeight="1">
      <c r="A329" s="91"/>
      <c r="B329" s="358" t="s">
        <v>2520</v>
      </c>
      <c r="C329" s="50" t="s">
        <v>1573</v>
      </c>
      <c r="D329" s="264" t="s">
        <v>1552</v>
      </c>
      <c r="E329" s="393" t="s">
        <v>999</v>
      </c>
      <c r="F329" s="410"/>
      <c r="G329" s="10"/>
      <c r="H329" s="167"/>
      <c r="I329" s="10"/>
      <c r="J329" s="76"/>
      <c r="K329" s="24"/>
      <c r="L329" s="281"/>
      <c r="M329" s="431"/>
      <c r="N329" s="410">
        <v>587746</v>
      </c>
      <c r="O329" s="10">
        <v>330000</v>
      </c>
      <c r="P329" s="10">
        <v>350000</v>
      </c>
      <c r="Q329" s="268">
        <v>340000</v>
      </c>
      <c r="R329" s="10">
        <v>350000</v>
      </c>
      <c r="S329" s="76">
        <f t="shared" si="411"/>
        <v>342500</v>
      </c>
      <c r="T329" s="24">
        <f t="shared" si="412"/>
        <v>-245246</v>
      </c>
      <c r="U329" s="281">
        <f t="shared" si="413"/>
        <v>-0.41726528126095286</v>
      </c>
      <c r="V329" s="462">
        <f t="shared" si="414"/>
        <v>342500</v>
      </c>
      <c r="W329" s="410"/>
      <c r="X329" s="42"/>
      <c r="Y329" s="42"/>
      <c r="Z329" s="472"/>
      <c r="AA329" s="76"/>
      <c r="AB329" s="24"/>
      <c r="AC329" s="25"/>
      <c r="AD329" s="309"/>
      <c r="AE329" s="462"/>
      <c r="AF329" s="408"/>
      <c r="AG329" s="293"/>
      <c r="AH329" s="293"/>
      <c r="AI329" s="293"/>
      <c r="AJ329" s="293"/>
      <c r="AK329" s="293"/>
      <c r="AL329" s="327"/>
      <c r="AM329" s="463"/>
      <c r="AN329" s="513"/>
      <c r="AO329" s="120"/>
      <c r="AP329" s="120"/>
      <c r="AQ329" s="120"/>
      <c r="AR329" s="120"/>
      <c r="AS329" s="120"/>
      <c r="AT329" s="120"/>
      <c r="AU329" s="422"/>
      <c r="AV329" s="508"/>
      <c r="AW329" s="513"/>
      <c r="AX329" s="74"/>
      <c r="AY329" s="74"/>
      <c r="AZ329" s="75"/>
      <c r="BA329" s="61"/>
      <c r="BB329" s="60"/>
      <c r="BC329" s="74"/>
      <c r="BD329" s="250"/>
      <c r="BE329" s="250"/>
      <c r="BF329" s="250"/>
      <c r="BG329" s="250"/>
      <c r="BH329" s="250"/>
      <c r="BI329" s="76"/>
      <c r="BJ329" s="24"/>
      <c r="BK329" s="25"/>
      <c r="BL329" s="259"/>
      <c r="BM329" s="537"/>
    </row>
    <row r="330" spans="1:65" ht="34.35" customHeight="1">
      <c r="A330" s="91"/>
      <c r="B330" s="358" t="s">
        <v>2521</v>
      </c>
      <c r="C330" s="50" t="s">
        <v>1574</v>
      </c>
      <c r="D330" s="264" t="s">
        <v>1553</v>
      </c>
      <c r="E330" s="393" t="s">
        <v>827</v>
      </c>
      <c r="F330" s="410"/>
      <c r="G330" s="10"/>
      <c r="H330" s="167"/>
      <c r="I330" s="10"/>
      <c r="J330" s="76"/>
      <c r="K330" s="24"/>
      <c r="L330" s="281"/>
      <c r="M330" s="431"/>
      <c r="N330" s="410">
        <v>21093</v>
      </c>
      <c r="O330" s="10">
        <v>36000</v>
      </c>
      <c r="P330" s="10">
        <v>42000</v>
      </c>
      <c r="Q330" s="268">
        <v>40000</v>
      </c>
      <c r="R330" s="10">
        <v>45000</v>
      </c>
      <c r="S330" s="76">
        <f t="shared" si="411"/>
        <v>40750</v>
      </c>
      <c r="T330" s="24">
        <f t="shared" si="412"/>
        <v>19657</v>
      </c>
      <c r="U330" s="281">
        <f t="shared" si="413"/>
        <v>0.93192054236002464</v>
      </c>
      <c r="V330" s="462">
        <f t="shared" si="414"/>
        <v>40750</v>
      </c>
      <c r="W330" s="410"/>
      <c r="X330" s="42"/>
      <c r="Y330" s="42"/>
      <c r="Z330" s="472"/>
      <c r="AA330" s="76"/>
      <c r="AB330" s="24"/>
      <c r="AC330" s="25"/>
      <c r="AD330" s="309"/>
      <c r="AE330" s="462"/>
      <c r="AF330" s="408"/>
      <c r="AG330" s="293"/>
      <c r="AH330" s="293"/>
      <c r="AI330" s="293"/>
      <c r="AJ330" s="293"/>
      <c r="AK330" s="293"/>
      <c r="AL330" s="327"/>
      <c r="AM330" s="463"/>
      <c r="AN330" s="513"/>
      <c r="AO330" s="120"/>
      <c r="AP330" s="120"/>
      <c r="AQ330" s="120"/>
      <c r="AR330" s="120"/>
      <c r="AS330" s="120"/>
      <c r="AT330" s="120"/>
      <c r="AU330" s="422"/>
      <c r="AV330" s="508"/>
      <c r="AW330" s="513"/>
      <c r="AX330" s="74"/>
      <c r="AY330" s="74"/>
      <c r="AZ330" s="75"/>
      <c r="BA330" s="61"/>
      <c r="BB330" s="60"/>
      <c r="BC330" s="74"/>
      <c r="BD330" s="250"/>
      <c r="BE330" s="250"/>
      <c r="BF330" s="250"/>
      <c r="BG330" s="250"/>
      <c r="BH330" s="250"/>
      <c r="BI330" s="76"/>
      <c r="BJ330" s="24"/>
      <c r="BK330" s="25"/>
      <c r="BL330" s="259"/>
      <c r="BM330" s="537"/>
    </row>
    <row r="331" spans="1:65" ht="34.35" customHeight="1">
      <c r="A331" s="91"/>
      <c r="B331" s="358" t="s">
        <v>2522</v>
      </c>
      <c r="C331" s="50" t="s">
        <v>1575</v>
      </c>
      <c r="D331" s="264" t="s">
        <v>1554</v>
      </c>
      <c r="E331" s="393" t="s">
        <v>999</v>
      </c>
      <c r="F331" s="410"/>
      <c r="G331" s="10"/>
      <c r="H331" s="167"/>
      <c r="I331" s="10"/>
      <c r="J331" s="76"/>
      <c r="K331" s="24"/>
      <c r="L331" s="281"/>
      <c r="M331" s="431"/>
      <c r="N331" s="410">
        <v>35956</v>
      </c>
      <c r="O331" s="10">
        <v>43000</v>
      </c>
      <c r="P331" s="10">
        <v>45000</v>
      </c>
      <c r="Q331" s="268">
        <v>45000</v>
      </c>
      <c r="R331" s="10">
        <v>110000</v>
      </c>
      <c r="S331" s="76">
        <f t="shared" si="411"/>
        <v>60750</v>
      </c>
      <c r="T331" s="24">
        <f t="shared" si="412"/>
        <v>24794</v>
      </c>
      <c r="U331" s="281">
        <f t="shared" si="413"/>
        <v>0.68956502391812213</v>
      </c>
      <c r="V331" s="462">
        <f t="shared" si="414"/>
        <v>60750</v>
      </c>
      <c r="W331" s="410"/>
      <c r="X331" s="42"/>
      <c r="Y331" s="42"/>
      <c r="Z331" s="472"/>
      <c r="AA331" s="76"/>
      <c r="AB331" s="24"/>
      <c r="AC331" s="25"/>
      <c r="AD331" s="309"/>
      <c r="AE331" s="462"/>
      <c r="AF331" s="408"/>
      <c r="AG331" s="293"/>
      <c r="AH331" s="293"/>
      <c r="AI331" s="293"/>
      <c r="AJ331" s="293"/>
      <c r="AK331" s="293"/>
      <c r="AL331" s="327"/>
      <c r="AM331" s="463"/>
      <c r="AN331" s="513"/>
      <c r="AO331" s="120"/>
      <c r="AP331" s="120"/>
      <c r="AQ331" s="120"/>
      <c r="AR331" s="120"/>
      <c r="AS331" s="120"/>
      <c r="AT331" s="120"/>
      <c r="AU331" s="422"/>
      <c r="AV331" s="508"/>
      <c r="AW331" s="513"/>
      <c r="AX331" s="74"/>
      <c r="AY331" s="74"/>
      <c r="AZ331" s="75"/>
      <c r="BA331" s="61"/>
      <c r="BB331" s="60"/>
      <c r="BC331" s="74"/>
      <c r="BD331" s="250"/>
      <c r="BE331" s="250"/>
      <c r="BF331" s="250"/>
      <c r="BG331" s="250"/>
      <c r="BH331" s="250"/>
      <c r="BI331" s="76"/>
      <c r="BJ331" s="24"/>
      <c r="BK331" s="25"/>
      <c r="BL331" s="259"/>
      <c r="BM331" s="537"/>
    </row>
    <row r="332" spans="1:65" ht="34.35" customHeight="1">
      <c r="A332" s="91"/>
      <c r="B332" s="358" t="s">
        <v>2523</v>
      </c>
      <c r="C332" s="50" t="s">
        <v>1576</v>
      </c>
      <c r="D332" s="264" t="s">
        <v>1555</v>
      </c>
      <c r="E332" s="393" t="s">
        <v>1426</v>
      </c>
      <c r="F332" s="410"/>
      <c r="G332" s="10"/>
      <c r="H332" s="167"/>
      <c r="I332" s="10"/>
      <c r="J332" s="76"/>
      <c r="K332" s="24"/>
      <c r="L332" s="281"/>
      <c r="M332" s="431"/>
      <c r="N332" s="410">
        <v>980968</v>
      </c>
      <c r="O332" s="10">
        <v>150000</v>
      </c>
      <c r="P332" s="10">
        <v>165000</v>
      </c>
      <c r="Q332" s="268">
        <v>160000</v>
      </c>
      <c r="R332" s="10" t="s">
        <v>1421</v>
      </c>
      <c r="S332" s="76">
        <f t="shared" si="411"/>
        <v>158333.33333333334</v>
      </c>
      <c r="T332" s="24">
        <f t="shared" si="412"/>
        <v>-822634.66666666663</v>
      </c>
      <c r="U332" s="281">
        <f t="shared" si="413"/>
        <v>-0.83859480295653543</v>
      </c>
      <c r="V332" s="462">
        <f t="shared" si="414"/>
        <v>158333.33333333334</v>
      </c>
      <c r="W332" s="410"/>
      <c r="X332" s="42"/>
      <c r="Y332" s="42"/>
      <c r="Z332" s="472"/>
      <c r="AA332" s="76"/>
      <c r="AB332" s="24"/>
      <c r="AC332" s="25"/>
      <c r="AD332" s="309"/>
      <c r="AE332" s="462"/>
      <c r="AF332" s="408"/>
      <c r="AG332" s="293"/>
      <c r="AH332" s="293"/>
      <c r="AI332" s="293"/>
      <c r="AJ332" s="293"/>
      <c r="AK332" s="293"/>
      <c r="AL332" s="327"/>
      <c r="AM332" s="463"/>
      <c r="AN332" s="513"/>
      <c r="AO332" s="120"/>
      <c r="AP332" s="120"/>
      <c r="AQ332" s="120"/>
      <c r="AR332" s="120"/>
      <c r="AS332" s="120"/>
      <c r="AT332" s="120"/>
      <c r="AU332" s="422"/>
      <c r="AV332" s="508"/>
      <c r="AW332" s="513"/>
      <c r="AX332" s="74"/>
      <c r="AY332" s="74"/>
      <c r="AZ332" s="75"/>
      <c r="BA332" s="61"/>
      <c r="BB332" s="60"/>
      <c r="BC332" s="74"/>
      <c r="BD332" s="250"/>
      <c r="BE332" s="250"/>
      <c r="BF332" s="250"/>
      <c r="BG332" s="250"/>
      <c r="BH332" s="250"/>
      <c r="BI332" s="76"/>
      <c r="BJ332" s="24"/>
      <c r="BK332" s="25"/>
      <c r="BL332" s="259"/>
      <c r="BM332" s="537"/>
    </row>
    <row r="333" spans="1:65" ht="34.35" customHeight="1">
      <c r="A333" s="91"/>
      <c r="B333" s="358" t="s">
        <v>2524</v>
      </c>
      <c r="C333" s="50" t="s">
        <v>1577</v>
      </c>
      <c r="D333" s="264" t="s">
        <v>1556</v>
      </c>
      <c r="E333" s="393" t="s">
        <v>999</v>
      </c>
      <c r="F333" s="410"/>
      <c r="G333" s="10"/>
      <c r="H333" s="167"/>
      <c r="I333" s="10"/>
      <c r="J333" s="76"/>
      <c r="K333" s="24"/>
      <c r="L333" s="281"/>
      <c r="M333" s="431"/>
      <c r="N333" s="410">
        <v>93928</v>
      </c>
      <c r="O333" s="10">
        <v>150000</v>
      </c>
      <c r="P333" s="10">
        <v>165000</v>
      </c>
      <c r="Q333" s="268">
        <v>160000</v>
      </c>
      <c r="R333" s="10" t="s">
        <v>1421</v>
      </c>
      <c r="S333" s="76">
        <f t="shared" si="411"/>
        <v>158333.33333333334</v>
      </c>
      <c r="T333" s="24">
        <f t="shared" si="412"/>
        <v>64405.333333333343</v>
      </c>
      <c r="U333" s="281">
        <f t="shared" si="413"/>
        <v>0.68568832864889429</v>
      </c>
      <c r="V333" s="462">
        <f t="shared" si="414"/>
        <v>158333.33333333334</v>
      </c>
      <c r="W333" s="410"/>
      <c r="X333" s="42"/>
      <c r="Y333" s="42"/>
      <c r="Z333" s="472"/>
      <c r="AA333" s="76"/>
      <c r="AB333" s="24"/>
      <c r="AC333" s="25"/>
      <c r="AD333" s="309"/>
      <c r="AE333" s="462"/>
      <c r="AF333" s="408"/>
      <c r="AG333" s="293"/>
      <c r="AH333" s="293"/>
      <c r="AI333" s="293"/>
      <c r="AJ333" s="293"/>
      <c r="AK333" s="293"/>
      <c r="AL333" s="327"/>
      <c r="AM333" s="463"/>
      <c r="AN333" s="513"/>
      <c r="AO333" s="120"/>
      <c r="AP333" s="120"/>
      <c r="AQ333" s="120"/>
      <c r="AR333" s="120"/>
      <c r="AS333" s="120"/>
      <c r="AT333" s="120"/>
      <c r="AU333" s="422"/>
      <c r="AV333" s="508"/>
      <c r="AW333" s="513"/>
      <c r="AX333" s="74"/>
      <c r="AY333" s="74"/>
      <c r="AZ333" s="75"/>
      <c r="BA333" s="61"/>
      <c r="BB333" s="60"/>
      <c r="BC333" s="74"/>
      <c r="BD333" s="250"/>
      <c r="BE333" s="250"/>
      <c r="BF333" s="250"/>
      <c r="BG333" s="250"/>
      <c r="BH333" s="250"/>
      <c r="BI333" s="76"/>
      <c r="BJ333" s="24"/>
      <c r="BK333" s="25"/>
      <c r="BL333" s="259"/>
      <c r="BM333" s="537"/>
    </row>
    <row r="334" spans="1:65" ht="34.35" customHeight="1">
      <c r="A334" s="91" t="s">
        <v>23</v>
      </c>
      <c r="B334" s="358" t="s">
        <v>2525</v>
      </c>
      <c r="C334" s="252" t="s">
        <v>754</v>
      </c>
      <c r="D334" s="100" t="s">
        <v>811</v>
      </c>
      <c r="E334" s="91"/>
      <c r="F334" s="411"/>
      <c r="G334" s="173"/>
      <c r="H334" s="174"/>
      <c r="I334" s="173"/>
      <c r="J334" s="76"/>
      <c r="K334" s="24"/>
      <c r="L334" s="281"/>
      <c r="M334" s="431"/>
      <c r="N334" s="411"/>
      <c r="O334" s="173"/>
      <c r="P334" s="173"/>
      <c r="Q334" s="274"/>
      <c r="R334" s="266"/>
      <c r="S334" s="76"/>
      <c r="T334" s="24"/>
      <c r="U334" s="281"/>
      <c r="V334" s="462"/>
      <c r="W334" s="413"/>
      <c r="X334" s="47"/>
      <c r="Y334" s="47"/>
      <c r="Z334" s="47"/>
      <c r="AA334" s="47"/>
      <c r="AB334" s="47"/>
      <c r="AC334" s="47"/>
      <c r="AD334" s="91"/>
      <c r="AE334" s="467"/>
      <c r="AF334" s="501"/>
      <c r="AG334" s="324"/>
      <c r="AH334" s="324"/>
      <c r="AI334" s="323"/>
      <c r="AJ334" s="76"/>
      <c r="AK334" s="24"/>
      <c r="AL334" s="281"/>
      <c r="AM334" s="462"/>
      <c r="AN334" s="413"/>
      <c r="AO334" s="47"/>
      <c r="AP334" s="47"/>
      <c r="AQ334" s="47"/>
      <c r="AR334" s="47"/>
      <c r="AS334" s="47"/>
      <c r="AT334" s="47"/>
      <c r="AU334" s="91"/>
      <c r="AV334" s="467"/>
      <c r="AW334" s="413"/>
      <c r="AX334" s="47"/>
      <c r="AY334" s="47"/>
      <c r="AZ334" s="47"/>
      <c r="BA334" s="47"/>
      <c r="BB334" s="47"/>
      <c r="BC334" s="47"/>
      <c r="BD334" s="148"/>
      <c r="BE334" s="148"/>
      <c r="BF334" s="149"/>
      <c r="BG334" s="148"/>
      <c r="BH334" s="148"/>
      <c r="BI334" s="47"/>
      <c r="BJ334" s="47"/>
      <c r="BK334" s="47"/>
      <c r="BL334" s="414"/>
      <c r="BM334" s="538"/>
    </row>
    <row r="335" spans="1:65" ht="47.1" customHeight="1">
      <c r="A335" s="91" t="s">
        <v>23</v>
      </c>
      <c r="B335" s="358" t="s">
        <v>2526</v>
      </c>
      <c r="C335" s="50" t="s">
        <v>195</v>
      </c>
      <c r="D335" s="99" t="s">
        <v>535</v>
      </c>
      <c r="E335" s="391" t="s">
        <v>24</v>
      </c>
      <c r="F335" s="410">
        <v>237140</v>
      </c>
      <c r="G335" s="10">
        <v>781935</v>
      </c>
      <c r="H335" s="167">
        <v>1563870</v>
      </c>
      <c r="I335" s="10">
        <v>650556</v>
      </c>
      <c r="J335" s="76">
        <f t="shared" ref="J335:J360" si="419">AVERAGE(G335,I335)</f>
        <v>716245.5</v>
      </c>
      <c r="K335" s="24">
        <f t="shared" ref="K335:K360" si="420">J335-F335</f>
        <v>479105.5</v>
      </c>
      <c r="L335" s="281">
        <f t="shared" ref="L335:L360" si="421">+K335/F335</f>
        <v>2.0203487391414354</v>
      </c>
      <c r="M335" s="431">
        <f t="shared" ref="M335:M360" si="422">H335</f>
        <v>1563870</v>
      </c>
      <c r="N335" s="443"/>
      <c r="O335" s="250"/>
      <c r="P335" s="250"/>
      <c r="Q335" s="250"/>
      <c r="R335" s="250"/>
      <c r="S335" s="250"/>
      <c r="T335" s="250"/>
      <c r="U335" s="250"/>
      <c r="V335" s="443"/>
      <c r="W335" s="410">
        <v>265178</v>
      </c>
      <c r="X335" s="31">
        <v>344885</v>
      </c>
      <c r="Y335" s="31">
        <v>448350</v>
      </c>
      <c r="Z335" s="472">
        <v>301454.59999999998</v>
      </c>
      <c r="AA335" s="76">
        <f t="shared" ref="AA335:AA361" si="423">AVERAGE(X335,Y335,Z335)</f>
        <v>364896.53333333338</v>
      </c>
      <c r="AB335" s="24">
        <f t="shared" ref="AB335:AB361" si="424">AA335-W335</f>
        <v>99718.533333333384</v>
      </c>
      <c r="AC335" s="25">
        <f t="shared" ref="AC335:AC361" si="425">+AB335/W335</f>
        <v>0.37604376431428466</v>
      </c>
      <c r="AD335" s="309" t="str">
        <f t="shared" ref="AD335:AD361" si="426">+IF(AC335&lt;35%,AA335,"REVISAR PRECIO")</f>
        <v>REVISAR PRECIO</v>
      </c>
      <c r="AE335" s="462">
        <f t="shared" ref="AE335:AE361" si="427">AA335</f>
        <v>364896.53333333338</v>
      </c>
      <c r="AF335" s="410">
        <v>250040</v>
      </c>
      <c r="AG335" s="317">
        <v>780000</v>
      </c>
      <c r="AH335" s="45">
        <v>781935</v>
      </c>
      <c r="AI335" s="317">
        <v>600000</v>
      </c>
      <c r="AJ335" s="76">
        <f t="shared" ref="AJ335:AJ360" si="428">AVERAGE(AG335,AH335,AI335)</f>
        <v>720645</v>
      </c>
      <c r="AK335" s="24">
        <f t="shared" ref="AK335:AK360" si="429">AJ335-AF335</f>
        <v>470605</v>
      </c>
      <c r="AL335" s="281">
        <f t="shared" ref="AL335:AL360" si="430">+AK335/AF335</f>
        <v>1.8821188609822428</v>
      </c>
      <c r="AM335" s="462">
        <f t="shared" ref="AM335:AM360" si="431">AJ335</f>
        <v>720645</v>
      </c>
      <c r="AN335" s="513">
        <v>235773</v>
      </c>
      <c r="AO335" s="88">
        <v>870000</v>
      </c>
      <c r="AP335" s="116">
        <v>950000</v>
      </c>
      <c r="AQ335" s="74">
        <v>860128.5</v>
      </c>
      <c r="AR335" s="76">
        <f t="shared" ref="AR335:AR361" si="432">AVERAGE(AO335,AP335,AQ335)</f>
        <v>893376.16666666663</v>
      </c>
      <c r="AS335" s="24">
        <f t="shared" ref="AS335:AS361" si="433">AR335-AN335</f>
        <v>657603.16666666663</v>
      </c>
      <c r="AT335" s="25">
        <f t="shared" ref="AT335:AT361" si="434">+AS335/AN335</f>
        <v>2.7891368675237054</v>
      </c>
      <c r="AU335" s="309" t="str">
        <f t="shared" ref="AU335:AU361" si="435">+IF(AT335&lt;35%,AR335,"REVISAR PRECIO")</f>
        <v>REVISAR PRECIO</v>
      </c>
      <c r="AV335" s="462">
        <f t="shared" ref="AV335:AV361" si="436">AR335</f>
        <v>893376.16666666663</v>
      </c>
      <c r="AW335" s="551">
        <v>235773</v>
      </c>
      <c r="AX335" s="57">
        <v>899225.25</v>
      </c>
      <c r="AY335" s="57">
        <v>830000</v>
      </c>
      <c r="AZ335" s="56">
        <v>1036063.875</v>
      </c>
      <c r="BA335" s="58">
        <v>899225.24999999988</v>
      </c>
      <c r="BB335" s="60">
        <v>540000</v>
      </c>
      <c r="BC335" s="57">
        <v>1034109.0374999997</v>
      </c>
      <c r="BD335" s="79">
        <v>1036063.875</v>
      </c>
      <c r="BE335" s="79">
        <v>781935</v>
      </c>
      <c r="BF335" s="127">
        <v>938322</v>
      </c>
      <c r="BG335" s="128">
        <v>945000</v>
      </c>
      <c r="BH335" s="128">
        <v>800000</v>
      </c>
      <c r="BI335" s="29">
        <f t="shared" ref="BI335:BI361" si="437">AVERAGE(AX335,AY335,AZ335,BA335,BB335,BC335)</f>
        <v>873103.90208333323</v>
      </c>
      <c r="BJ335" s="24">
        <f t="shared" ref="BJ335:BJ361" si="438">BI335-AW335</f>
        <v>637330.90208333323</v>
      </c>
      <c r="BK335" s="25">
        <f t="shared" ref="BK335:BK361" si="439">+BJ335/AW335</f>
        <v>2.703154738173299</v>
      </c>
      <c r="BL335" s="308" t="str">
        <f t="shared" ref="BL335:BL361" si="440">+IF(BK335&lt;35%,BI335,"REVISAR PRECIO")</f>
        <v>REVISAR PRECIO</v>
      </c>
      <c r="BM335" s="533">
        <f t="shared" ref="BM335:BM361" si="441">BI335</f>
        <v>873103.90208333323</v>
      </c>
    </row>
    <row r="336" spans="1:65" ht="47.1" customHeight="1">
      <c r="A336" s="91" t="s">
        <v>23</v>
      </c>
      <c r="B336" s="358" t="s">
        <v>2527</v>
      </c>
      <c r="C336" s="50" t="s">
        <v>196</v>
      </c>
      <c r="D336" s="99" t="s">
        <v>536</v>
      </c>
      <c r="E336" s="391" t="s">
        <v>24</v>
      </c>
      <c r="F336" s="410">
        <v>260776</v>
      </c>
      <c r="G336" s="10">
        <v>809970</v>
      </c>
      <c r="H336" s="167">
        <v>1619940</v>
      </c>
      <c r="I336" s="10">
        <v>705000</v>
      </c>
      <c r="J336" s="76">
        <f t="shared" si="419"/>
        <v>757485</v>
      </c>
      <c r="K336" s="24">
        <f t="shared" si="420"/>
        <v>496709</v>
      </c>
      <c r="L336" s="281">
        <f t="shared" si="421"/>
        <v>1.9047343313801883</v>
      </c>
      <c r="M336" s="431">
        <f t="shared" si="422"/>
        <v>1619940</v>
      </c>
      <c r="N336" s="443"/>
      <c r="O336" s="250"/>
      <c r="P336" s="250"/>
      <c r="Q336" s="250"/>
      <c r="R336" s="250"/>
      <c r="S336" s="250"/>
      <c r="T336" s="250"/>
      <c r="U336" s="250"/>
      <c r="V336" s="443"/>
      <c r="W336" s="410">
        <v>294470</v>
      </c>
      <c r="X336" s="31">
        <v>382982</v>
      </c>
      <c r="Y336" s="31">
        <v>497876</v>
      </c>
      <c r="Z336" s="472">
        <v>334754.2</v>
      </c>
      <c r="AA336" s="76">
        <f t="shared" si="423"/>
        <v>405204.06666666665</v>
      </c>
      <c r="AB336" s="24">
        <f t="shared" si="424"/>
        <v>110734.06666666665</v>
      </c>
      <c r="AC336" s="25">
        <f t="shared" si="425"/>
        <v>0.37604532436807364</v>
      </c>
      <c r="AD336" s="309" t="str">
        <f t="shared" si="426"/>
        <v>REVISAR PRECIO</v>
      </c>
      <c r="AE336" s="462">
        <f t="shared" si="427"/>
        <v>405204.06666666665</v>
      </c>
      <c r="AF336" s="410">
        <v>353753</v>
      </c>
      <c r="AG336" s="317">
        <v>780000</v>
      </c>
      <c r="AH336" s="45">
        <v>809970</v>
      </c>
      <c r="AI336" s="317">
        <v>756000</v>
      </c>
      <c r="AJ336" s="76">
        <f t="shared" si="428"/>
        <v>781990</v>
      </c>
      <c r="AK336" s="24">
        <f t="shared" si="429"/>
        <v>428237</v>
      </c>
      <c r="AL336" s="281">
        <f t="shared" si="430"/>
        <v>1.2105536914174579</v>
      </c>
      <c r="AM336" s="462">
        <f t="shared" si="431"/>
        <v>781990</v>
      </c>
      <c r="AN336" s="513">
        <v>261820</v>
      </c>
      <c r="AO336" s="88">
        <v>900000</v>
      </c>
      <c r="AP336" s="116">
        <v>960000</v>
      </c>
      <c r="AQ336" s="74">
        <v>890967</v>
      </c>
      <c r="AR336" s="76">
        <f t="shared" si="432"/>
        <v>916989</v>
      </c>
      <c r="AS336" s="24">
        <f t="shared" si="433"/>
        <v>655169</v>
      </c>
      <c r="AT336" s="25">
        <f t="shared" si="434"/>
        <v>2.502364219692919</v>
      </c>
      <c r="AU336" s="309" t="str">
        <f t="shared" si="435"/>
        <v>REVISAR PRECIO</v>
      </c>
      <c r="AV336" s="462">
        <f t="shared" si="436"/>
        <v>916989</v>
      </c>
      <c r="AW336" s="551">
        <v>261820</v>
      </c>
      <c r="AX336" s="57">
        <v>931465.5</v>
      </c>
      <c r="AY336" s="57">
        <v>890000</v>
      </c>
      <c r="AZ336" s="56">
        <v>1073210.25</v>
      </c>
      <c r="BA336" s="58">
        <v>931465.49999999988</v>
      </c>
      <c r="BB336" s="60">
        <v>580000</v>
      </c>
      <c r="BC336" s="57">
        <v>1071185.3249999997</v>
      </c>
      <c r="BD336" s="79">
        <v>1073210.25</v>
      </c>
      <c r="BE336" s="79">
        <v>809970</v>
      </c>
      <c r="BF336" s="127">
        <v>971964</v>
      </c>
      <c r="BG336" s="128">
        <v>820000</v>
      </c>
      <c r="BH336" s="128">
        <v>810000</v>
      </c>
      <c r="BI336" s="29">
        <f t="shared" si="437"/>
        <v>912887.76249999984</v>
      </c>
      <c r="BJ336" s="24">
        <f t="shared" si="438"/>
        <v>651067.76249999984</v>
      </c>
      <c r="BK336" s="25">
        <f t="shared" si="439"/>
        <v>2.4866998796883348</v>
      </c>
      <c r="BL336" s="308" t="str">
        <f t="shared" si="440"/>
        <v>REVISAR PRECIO</v>
      </c>
      <c r="BM336" s="533">
        <f t="shared" si="441"/>
        <v>912887.76249999984</v>
      </c>
    </row>
    <row r="337" spans="1:65" ht="47.1" customHeight="1">
      <c r="A337" s="91" t="s">
        <v>23</v>
      </c>
      <c r="B337" s="358" t="s">
        <v>2528</v>
      </c>
      <c r="C337" s="50" t="s">
        <v>197</v>
      </c>
      <c r="D337" s="99" t="s">
        <v>537</v>
      </c>
      <c r="E337" s="391" t="s">
        <v>24</v>
      </c>
      <c r="F337" s="410">
        <v>278764</v>
      </c>
      <c r="G337" s="10">
        <v>815000</v>
      </c>
      <c r="H337" s="167">
        <v>1630000</v>
      </c>
      <c r="I337" s="10">
        <v>725650</v>
      </c>
      <c r="J337" s="76">
        <f t="shared" si="419"/>
        <v>770325</v>
      </c>
      <c r="K337" s="24">
        <f t="shared" si="420"/>
        <v>491561</v>
      </c>
      <c r="L337" s="281">
        <f t="shared" si="421"/>
        <v>1.7633589703118049</v>
      </c>
      <c r="M337" s="431">
        <f t="shared" si="422"/>
        <v>1630000</v>
      </c>
      <c r="N337" s="443"/>
      <c r="O337" s="250"/>
      <c r="P337" s="250"/>
      <c r="Q337" s="250"/>
      <c r="R337" s="250"/>
      <c r="S337" s="250"/>
      <c r="T337" s="250"/>
      <c r="U337" s="250"/>
      <c r="V337" s="443"/>
      <c r="W337" s="410">
        <v>316362</v>
      </c>
      <c r="X337" s="31">
        <v>411453</v>
      </c>
      <c r="Y337" s="31">
        <v>534889</v>
      </c>
      <c r="Z337" s="472">
        <v>359640.4</v>
      </c>
      <c r="AA337" s="76">
        <f t="shared" si="423"/>
        <v>435327.46666666662</v>
      </c>
      <c r="AB337" s="24">
        <f t="shared" si="424"/>
        <v>118965.46666666662</v>
      </c>
      <c r="AC337" s="25">
        <f t="shared" si="425"/>
        <v>0.37604221324516413</v>
      </c>
      <c r="AD337" s="309" t="str">
        <f t="shared" si="426"/>
        <v>REVISAR PRECIO</v>
      </c>
      <c r="AE337" s="462">
        <f t="shared" si="427"/>
        <v>435327.46666666662</v>
      </c>
      <c r="AF337" s="410">
        <v>281574</v>
      </c>
      <c r="AG337" s="317">
        <v>780000</v>
      </c>
      <c r="AH337" s="45">
        <v>815000</v>
      </c>
      <c r="AI337" s="317">
        <v>800000</v>
      </c>
      <c r="AJ337" s="76">
        <f t="shared" si="428"/>
        <v>798333.33333333337</v>
      </c>
      <c r="AK337" s="24">
        <f t="shared" si="429"/>
        <v>516759.33333333337</v>
      </c>
      <c r="AL337" s="281">
        <f t="shared" si="430"/>
        <v>1.8352523078598642</v>
      </c>
      <c r="AM337" s="462">
        <f t="shared" si="431"/>
        <v>798333.33333333337</v>
      </c>
      <c r="AN337" s="513">
        <v>276941</v>
      </c>
      <c r="AO337" s="88">
        <v>895000</v>
      </c>
      <c r="AP337" s="116">
        <v>945000</v>
      </c>
      <c r="AQ337" s="74">
        <v>896500</v>
      </c>
      <c r="AR337" s="76">
        <f t="shared" si="432"/>
        <v>912166.66666666663</v>
      </c>
      <c r="AS337" s="24">
        <f t="shared" si="433"/>
        <v>635225.66666666663</v>
      </c>
      <c r="AT337" s="25">
        <f t="shared" si="434"/>
        <v>2.2937220081774337</v>
      </c>
      <c r="AU337" s="309" t="str">
        <f t="shared" si="435"/>
        <v>REVISAR PRECIO</v>
      </c>
      <c r="AV337" s="462">
        <f t="shared" si="436"/>
        <v>912166.66666666663</v>
      </c>
      <c r="AW337" s="551">
        <v>276941</v>
      </c>
      <c r="AX337" s="57">
        <v>937250</v>
      </c>
      <c r="AY337" s="57">
        <v>915000</v>
      </c>
      <c r="AZ337" s="56">
        <v>1079875</v>
      </c>
      <c r="BA337" s="58">
        <v>937249.99999999988</v>
      </c>
      <c r="BB337" s="60">
        <v>620000</v>
      </c>
      <c r="BC337" s="57">
        <v>1077837.4999999998</v>
      </c>
      <c r="BD337" s="79">
        <v>1079875</v>
      </c>
      <c r="BE337" s="79">
        <v>815000</v>
      </c>
      <c r="BF337" s="127">
        <v>978000</v>
      </c>
      <c r="BG337" s="128">
        <v>860000</v>
      </c>
      <c r="BH337" s="128">
        <v>850000</v>
      </c>
      <c r="BI337" s="29">
        <f t="shared" si="437"/>
        <v>927868.75</v>
      </c>
      <c r="BJ337" s="24">
        <f t="shared" si="438"/>
        <v>650927.75</v>
      </c>
      <c r="BK337" s="25">
        <f t="shared" si="439"/>
        <v>2.3504203061301867</v>
      </c>
      <c r="BL337" s="308" t="str">
        <f t="shared" si="440"/>
        <v>REVISAR PRECIO</v>
      </c>
      <c r="BM337" s="533">
        <f t="shared" si="441"/>
        <v>927868.75</v>
      </c>
    </row>
    <row r="338" spans="1:65" ht="45" customHeight="1">
      <c r="A338" s="91" t="s">
        <v>23</v>
      </c>
      <c r="B338" s="358" t="s">
        <v>2529</v>
      </c>
      <c r="C338" s="50" t="s">
        <v>198</v>
      </c>
      <c r="D338" s="99" t="s">
        <v>538</v>
      </c>
      <c r="E338" s="391" t="s">
        <v>24</v>
      </c>
      <c r="F338" s="410">
        <v>302448</v>
      </c>
      <c r="G338" s="10">
        <v>822700</v>
      </c>
      <c r="H338" s="167">
        <v>1645400</v>
      </c>
      <c r="I338" s="10">
        <v>755250</v>
      </c>
      <c r="J338" s="76">
        <f t="shared" si="419"/>
        <v>788975</v>
      </c>
      <c r="K338" s="24">
        <f t="shared" si="420"/>
        <v>486527</v>
      </c>
      <c r="L338" s="281">
        <f t="shared" si="421"/>
        <v>1.6086302438766333</v>
      </c>
      <c r="M338" s="431">
        <f t="shared" si="422"/>
        <v>1645400</v>
      </c>
      <c r="N338" s="443"/>
      <c r="O338" s="250"/>
      <c r="P338" s="250"/>
      <c r="Q338" s="250"/>
      <c r="R338" s="250"/>
      <c r="S338" s="250"/>
      <c r="T338" s="250"/>
      <c r="U338" s="250"/>
      <c r="V338" s="443"/>
      <c r="W338" s="410">
        <v>345073</v>
      </c>
      <c r="X338" s="31">
        <v>448794</v>
      </c>
      <c r="Y338" s="31">
        <v>583432</v>
      </c>
      <c r="Z338" s="472">
        <v>392279.2</v>
      </c>
      <c r="AA338" s="76">
        <f t="shared" si="423"/>
        <v>474835.06666666665</v>
      </c>
      <c r="AB338" s="24">
        <f t="shared" si="424"/>
        <v>129762.06666666665</v>
      </c>
      <c r="AC338" s="25">
        <f t="shared" si="425"/>
        <v>0.37604236398288665</v>
      </c>
      <c r="AD338" s="309" t="str">
        <f t="shared" si="426"/>
        <v>REVISAR PRECIO</v>
      </c>
      <c r="AE338" s="462">
        <f t="shared" si="427"/>
        <v>474835.06666666665</v>
      </c>
      <c r="AF338" s="410">
        <v>377504</v>
      </c>
      <c r="AG338" s="317">
        <v>780000</v>
      </c>
      <c r="AH338" s="45">
        <v>822700</v>
      </c>
      <c r="AI338" s="317">
        <v>830000</v>
      </c>
      <c r="AJ338" s="76">
        <f t="shared" si="428"/>
        <v>810900</v>
      </c>
      <c r="AK338" s="24">
        <f t="shared" si="429"/>
        <v>433396</v>
      </c>
      <c r="AL338" s="281">
        <f t="shared" si="430"/>
        <v>1.1480567093328813</v>
      </c>
      <c r="AM338" s="462">
        <f t="shared" si="431"/>
        <v>810900</v>
      </c>
      <c r="AN338" s="513">
        <v>302076</v>
      </c>
      <c r="AO338" s="88">
        <v>900000</v>
      </c>
      <c r="AP338" s="116">
        <v>900000</v>
      </c>
      <c r="AQ338" s="74">
        <v>904970</v>
      </c>
      <c r="AR338" s="76">
        <f t="shared" si="432"/>
        <v>901656.66666666663</v>
      </c>
      <c r="AS338" s="24">
        <f t="shared" si="433"/>
        <v>599580.66666666663</v>
      </c>
      <c r="AT338" s="25">
        <f t="shared" si="434"/>
        <v>1.9848669429768224</v>
      </c>
      <c r="AU338" s="309" t="str">
        <f t="shared" si="435"/>
        <v>REVISAR PRECIO</v>
      </c>
      <c r="AV338" s="462">
        <f t="shared" si="436"/>
        <v>901656.66666666663</v>
      </c>
      <c r="AW338" s="551">
        <v>302076</v>
      </c>
      <c r="AX338" s="57">
        <v>946105</v>
      </c>
      <c r="AY338" s="57">
        <v>980000</v>
      </c>
      <c r="AZ338" s="56">
        <v>1090077.5</v>
      </c>
      <c r="BA338" s="58">
        <v>946104.99999999988</v>
      </c>
      <c r="BB338" s="60">
        <v>700000</v>
      </c>
      <c r="BC338" s="57">
        <v>1088020.7499999998</v>
      </c>
      <c r="BD338" s="79">
        <v>1090077.5</v>
      </c>
      <c r="BE338" s="79">
        <v>822700</v>
      </c>
      <c r="BF338" s="127">
        <v>987240</v>
      </c>
      <c r="BG338" s="128">
        <v>1010000</v>
      </c>
      <c r="BH338" s="128">
        <v>880000</v>
      </c>
      <c r="BI338" s="29">
        <f t="shared" si="437"/>
        <v>958384.70833333337</v>
      </c>
      <c r="BJ338" s="24">
        <f t="shared" si="438"/>
        <v>656308.70833333337</v>
      </c>
      <c r="BK338" s="25">
        <f t="shared" si="439"/>
        <v>2.1726608811469079</v>
      </c>
      <c r="BL338" s="308" t="str">
        <f t="shared" si="440"/>
        <v>REVISAR PRECIO</v>
      </c>
      <c r="BM338" s="533">
        <f t="shared" si="441"/>
        <v>958384.70833333337</v>
      </c>
    </row>
    <row r="339" spans="1:65" ht="45" customHeight="1">
      <c r="A339" s="91" t="s">
        <v>23</v>
      </c>
      <c r="B339" s="358" t="s">
        <v>2530</v>
      </c>
      <c r="C339" s="50" t="s">
        <v>199</v>
      </c>
      <c r="D339" s="99" t="s">
        <v>539</v>
      </c>
      <c r="E339" s="391" t="s">
        <v>24</v>
      </c>
      <c r="F339" s="410">
        <v>335614</v>
      </c>
      <c r="G339" s="10">
        <v>841400</v>
      </c>
      <c r="H339" s="167">
        <v>1682800</v>
      </c>
      <c r="I339" s="10">
        <v>768450</v>
      </c>
      <c r="J339" s="76">
        <f t="shared" si="419"/>
        <v>804925</v>
      </c>
      <c r="K339" s="24">
        <f t="shared" si="420"/>
        <v>469311</v>
      </c>
      <c r="L339" s="281">
        <f t="shared" si="421"/>
        <v>1.398365384042382</v>
      </c>
      <c r="M339" s="431">
        <f t="shared" si="422"/>
        <v>1682800</v>
      </c>
      <c r="N339" s="443"/>
      <c r="O339" s="250"/>
      <c r="P339" s="250"/>
      <c r="Q339" s="250"/>
      <c r="R339" s="250"/>
      <c r="S339" s="250"/>
      <c r="T339" s="250"/>
      <c r="U339" s="250"/>
      <c r="V339" s="443"/>
      <c r="W339" s="410">
        <v>385264</v>
      </c>
      <c r="X339" s="31">
        <v>501066</v>
      </c>
      <c r="Y339" s="31">
        <v>651386</v>
      </c>
      <c r="Z339" s="472">
        <v>437968.8</v>
      </c>
      <c r="AA339" s="76">
        <f t="shared" si="423"/>
        <v>530140.26666666672</v>
      </c>
      <c r="AB339" s="24">
        <f t="shared" si="424"/>
        <v>144876.26666666672</v>
      </c>
      <c r="AC339" s="25">
        <f t="shared" si="425"/>
        <v>0.37604413250827151</v>
      </c>
      <c r="AD339" s="309" t="str">
        <f t="shared" si="426"/>
        <v>REVISAR PRECIO</v>
      </c>
      <c r="AE339" s="462">
        <f t="shared" si="427"/>
        <v>530140.26666666672</v>
      </c>
      <c r="AF339" s="410">
        <v>313363</v>
      </c>
      <c r="AG339" s="317">
        <v>780000</v>
      </c>
      <c r="AH339" s="45">
        <v>841400</v>
      </c>
      <c r="AI339" s="317">
        <v>840000</v>
      </c>
      <c r="AJ339" s="76">
        <f t="shared" si="428"/>
        <v>820466.66666666663</v>
      </c>
      <c r="AK339" s="24">
        <f t="shared" si="429"/>
        <v>507103.66666666663</v>
      </c>
      <c r="AL339" s="281">
        <f t="shared" si="430"/>
        <v>1.6182627389534394</v>
      </c>
      <c r="AM339" s="462">
        <f t="shared" si="431"/>
        <v>820466.66666666663</v>
      </c>
      <c r="AN339" s="513">
        <v>337265</v>
      </c>
      <c r="AO339" s="88">
        <v>885000</v>
      </c>
      <c r="AP339" s="116">
        <v>935000</v>
      </c>
      <c r="AQ339" s="74">
        <v>925540</v>
      </c>
      <c r="AR339" s="76">
        <f t="shared" si="432"/>
        <v>915180</v>
      </c>
      <c r="AS339" s="24">
        <f t="shared" si="433"/>
        <v>577915</v>
      </c>
      <c r="AT339" s="25">
        <f t="shared" si="434"/>
        <v>1.7135338680266259</v>
      </c>
      <c r="AU339" s="309" t="str">
        <f t="shared" si="435"/>
        <v>REVISAR PRECIO</v>
      </c>
      <c r="AV339" s="462">
        <f t="shared" si="436"/>
        <v>915180</v>
      </c>
      <c r="AW339" s="551">
        <v>337265</v>
      </c>
      <c r="AX339" s="57">
        <v>967610</v>
      </c>
      <c r="AY339" s="57">
        <v>1150000</v>
      </c>
      <c r="AZ339" s="56">
        <v>1114855</v>
      </c>
      <c r="BA339" s="58">
        <v>967609.99999999988</v>
      </c>
      <c r="BB339" s="60">
        <v>780000</v>
      </c>
      <c r="BC339" s="57">
        <v>1112751.4999999998</v>
      </c>
      <c r="BD339" s="79">
        <v>1114855</v>
      </c>
      <c r="BE339" s="79">
        <v>841400</v>
      </c>
      <c r="BF339" s="127">
        <v>1009680</v>
      </c>
      <c r="BG339" s="128">
        <v>810000</v>
      </c>
      <c r="BH339" s="128">
        <v>900000</v>
      </c>
      <c r="BI339" s="29">
        <f t="shared" si="437"/>
        <v>1015471.0833333334</v>
      </c>
      <c r="BJ339" s="24">
        <f t="shared" si="438"/>
        <v>678206.08333333337</v>
      </c>
      <c r="BK339" s="25">
        <f t="shared" si="439"/>
        <v>2.0108996881779415</v>
      </c>
      <c r="BL339" s="308" t="str">
        <f t="shared" si="440"/>
        <v>REVISAR PRECIO</v>
      </c>
      <c r="BM339" s="533">
        <f t="shared" si="441"/>
        <v>1015471.0833333334</v>
      </c>
    </row>
    <row r="340" spans="1:65" ht="45" customHeight="1">
      <c r="A340" s="91" t="s">
        <v>23</v>
      </c>
      <c r="B340" s="358" t="s">
        <v>2531</v>
      </c>
      <c r="C340" s="50" t="s">
        <v>200</v>
      </c>
      <c r="D340" s="99" t="s">
        <v>540</v>
      </c>
      <c r="E340" s="391" t="s">
        <v>24</v>
      </c>
      <c r="F340" s="410">
        <v>269946</v>
      </c>
      <c r="G340" s="10">
        <v>806200</v>
      </c>
      <c r="H340" s="167">
        <v>1612400</v>
      </c>
      <c r="I340" s="10">
        <v>735500</v>
      </c>
      <c r="J340" s="76">
        <f t="shared" si="419"/>
        <v>770850</v>
      </c>
      <c r="K340" s="24">
        <f t="shared" si="420"/>
        <v>500904</v>
      </c>
      <c r="L340" s="281">
        <f t="shared" si="421"/>
        <v>1.8555711142228446</v>
      </c>
      <c r="M340" s="431">
        <f t="shared" si="422"/>
        <v>1612400</v>
      </c>
      <c r="N340" s="443"/>
      <c r="O340" s="250"/>
      <c r="P340" s="250"/>
      <c r="Q340" s="250"/>
      <c r="R340" s="250"/>
      <c r="S340" s="250"/>
      <c r="T340" s="250"/>
      <c r="U340" s="250"/>
      <c r="V340" s="443"/>
      <c r="W340" s="410">
        <v>300947</v>
      </c>
      <c r="X340" s="31">
        <v>391406</v>
      </c>
      <c r="Y340" s="31">
        <v>508827</v>
      </c>
      <c r="Z340" s="472">
        <v>342117.4</v>
      </c>
      <c r="AA340" s="76">
        <f t="shared" si="423"/>
        <v>414116.8</v>
      </c>
      <c r="AB340" s="24">
        <f t="shared" si="424"/>
        <v>113169.79999999999</v>
      </c>
      <c r="AC340" s="25">
        <f t="shared" si="425"/>
        <v>0.37604561600547604</v>
      </c>
      <c r="AD340" s="309" t="str">
        <f t="shared" si="426"/>
        <v>REVISAR PRECIO</v>
      </c>
      <c r="AE340" s="462">
        <f t="shared" si="427"/>
        <v>414116.8</v>
      </c>
      <c r="AF340" s="410">
        <v>289822</v>
      </c>
      <c r="AG340" s="317">
        <v>780000</v>
      </c>
      <c r="AH340" s="45">
        <v>806200</v>
      </c>
      <c r="AI340" s="317">
        <v>756000</v>
      </c>
      <c r="AJ340" s="76">
        <f t="shared" si="428"/>
        <v>780733.33333333337</v>
      </c>
      <c r="AK340" s="24">
        <f t="shared" si="429"/>
        <v>490911.33333333337</v>
      </c>
      <c r="AL340" s="281">
        <f t="shared" si="430"/>
        <v>1.6938373668435569</v>
      </c>
      <c r="AM340" s="462">
        <f t="shared" si="431"/>
        <v>780733.33333333337</v>
      </c>
      <c r="AN340" s="513">
        <v>263452</v>
      </c>
      <c r="AO340" s="88">
        <v>850000</v>
      </c>
      <c r="AP340" s="116">
        <v>875000</v>
      </c>
      <c r="AQ340" s="74">
        <v>886820</v>
      </c>
      <c r="AR340" s="76">
        <f t="shared" si="432"/>
        <v>870606.66666666663</v>
      </c>
      <c r="AS340" s="24">
        <f t="shared" si="433"/>
        <v>607154.66666666663</v>
      </c>
      <c r="AT340" s="25">
        <f t="shared" si="434"/>
        <v>2.3046120988516567</v>
      </c>
      <c r="AU340" s="309" t="str">
        <f t="shared" si="435"/>
        <v>REVISAR PRECIO</v>
      </c>
      <c r="AV340" s="462">
        <f t="shared" si="436"/>
        <v>870606.66666666663</v>
      </c>
      <c r="AW340" s="551">
        <v>263452</v>
      </c>
      <c r="AX340" s="57">
        <v>927130</v>
      </c>
      <c r="AY340" s="57">
        <v>900000</v>
      </c>
      <c r="AZ340" s="56">
        <v>1068215</v>
      </c>
      <c r="BA340" s="58">
        <v>927129.99999999988</v>
      </c>
      <c r="BB340" s="60">
        <v>650000</v>
      </c>
      <c r="BC340" s="57">
        <v>1066199.4999999998</v>
      </c>
      <c r="BD340" s="79">
        <v>1068215</v>
      </c>
      <c r="BE340" s="79">
        <v>806200</v>
      </c>
      <c r="BF340" s="127">
        <v>967440</v>
      </c>
      <c r="BG340" s="128">
        <v>948000</v>
      </c>
      <c r="BH340" s="128">
        <v>820000</v>
      </c>
      <c r="BI340" s="29">
        <f t="shared" si="437"/>
        <v>923112.41666666663</v>
      </c>
      <c r="BJ340" s="24">
        <f t="shared" si="438"/>
        <v>659660.41666666663</v>
      </c>
      <c r="BK340" s="25">
        <f t="shared" si="439"/>
        <v>2.5039112121626204</v>
      </c>
      <c r="BL340" s="308" t="str">
        <f t="shared" si="440"/>
        <v>REVISAR PRECIO</v>
      </c>
      <c r="BM340" s="533">
        <f t="shared" si="441"/>
        <v>923112.41666666663</v>
      </c>
    </row>
    <row r="341" spans="1:65" ht="45" customHeight="1">
      <c r="A341" s="91" t="s">
        <v>23</v>
      </c>
      <c r="B341" s="358" t="s">
        <v>2532</v>
      </c>
      <c r="C341" s="50" t="s">
        <v>201</v>
      </c>
      <c r="D341" s="99" t="s">
        <v>541</v>
      </c>
      <c r="E341" s="391" t="s">
        <v>24</v>
      </c>
      <c r="F341" s="410">
        <v>311931</v>
      </c>
      <c r="G341" s="10">
        <v>837100</v>
      </c>
      <c r="H341" s="167">
        <v>1674200</v>
      </c>
      <c r="I341" s="10">
        <v>795000</v>
      </c>
      <c r="J341" s="76">
        <f t="shared" si="419"/>
        <v>816050</v>
      </c>
      <c r="K341" s="24">
        <f t="shared" si="420"/>
        <v>504119</v>
      </c>
      <c r="L341" s="281">
        <f t="shared" si="421"/>
        <v>1.6161234375551004</v>
      </c>
      <c r="M341" s="431">
        <f t="shared" si="422"/>
        <v>1674200</v>
      </c>
      <c r="N341" s="443"/>
      <c r="O341" s="250"/>
      <c r="P341" s="250"/>
      <c r="Q341" s="250"/>
      <c r="R341" s="250"/>
      <c r="S341" s="250"/>
      <c r="T341" s="250"/>
      <c r="U341" s="250"/>
      <c r="V341" s="443"/>
      <c r="W341" s="410">
        <v>348405</v>
      </c>
      <c r="X341" s="31">
        <v>453128</v>
      </c>
      <c r="Y341" s="31">
        <v>589066</v>
      </c>
      <c r="Z341" s="472">
        <v>396067</v>
      </c>
      <c r="AA341" s="76">
        <f t="shared" si="423"/>
        <v>479420.33333333331</v>
      </c>
      <c r="AB341" s="24">
        <f t="shared" si="424"/>
        <v>131015.33333333331</v>
      </c>
      <c r="AC341" s="25">
        <f t="shared" si="425"/>
        <v>0.37604320642164524</v>
      </c>
      <c r="AD341" s="309" t="str">
        <f t="shared" si="426"/>
        <v>REVISAR PRECIO</v>
      </c>
      <c r="AE341" s="462">
        <f t="shared" si="427"/>
        <v>479420.33333333331</v>
      </c>
      <c r="AF341" s="410">
        <v>303937</v>
      </c>
      <c r="AG341" s="317">
        <v>780000</v>
      </c>
      <c r="AH341" s="45">
        <v>837100</v>
      </c>
      <c r="AI341" s="317">
        <v>830000</v>
      </c>
      <c r="AJ341" s="76">
        <f t="shared" si="428"/>
        <v>815700</v>
      </c>
      <c r="AK341" s="24">
        <f t="shared" si="429"/>
        <v>511763</v>
      </c>
      <c r="AL341" s="281">
        <f t="shared" si="430"/>
        <v>1.6837798622740896</v>
      </c>
      <c r="AM341" s="462">
        <f t="shared" si="431"/>
        <v>815700</v>
      </c>
      <c r="AN341" s="513">
        <v>305001</v>
      </c>
      <c r="AO341" s="88">
        <v>950000</v>
      </c>
      <c r="AP341" s="116">
        <v>980000</v>
      </c>
      <c r="AQ341" s="74">
        <v>920810</v>
      </c>
      <c r="AR341" s="76">
        <f t="shared" si="432"/>
        <v>950270</v>
      </c>
      <c r="AS341" s="24">
        <f t="shared" si="433"/>
        <v>645269</v>
      </c>
      <c r="AT341" s="25">
        <f t="shared" si="434"/>
        <v>2.1156291290848226</v>
      </c>
      <c r="AU341" s="309" t="str">
        <f t="shared" si="435"/>
        <v>REVISAR PRECIO</v>
      </c>
      <c r="AV341" s="462">
        <f t="shared" si="436"/>
        <v>950270</v>
      </c>
      <c r="AW341" s="551">
        <v>305001</v>
      </c>
      <c r="AX341" s="57">
        <v>962665</v>
      </c>
      <c r="AY341" s="57">
        <v>980000</v>
      </c>
      <c r="AZ341" s="56">
        <v>1109157.5</v>
      </c>
      <c r="BA341" s="58">
        <v>1000499.9999999999</v>
      </c>
      <c r="BB341" s="60">
        <v>800000</v>
      </c>
      <c r="BC341" s="57">
        <v>1150574.9999999998</v>
      </c>
      <c r="BD341" s="79">
        <v>1109157.5</v>
      </c>
      <c r="BE341" s="79">
        <v>837100</v>
      </c>
      <c r="BF341" s="127">
        <v>1004520</v>
      </c>
      <c r="BG341" s="128">
        <v>811000</v>
      </c>
      <c r="BH341" s="128">
        <v>850000</v>
      </c>
      <c r="BI341" s="29">
        <f t="shared" si="437"/>
        <v>1000482.9166666666</v>
      </c>
      <c r="BJ341" s="24">
        <f t="shared" si="438"/>
        <v>695481.91666666663</v>
      </c>
      <c r="BK341" s="25">
        <f t="shared" si="439"/>
        <v>2.2802611029690611</v>
      </c>
      <c r="BL341" s="308" t="str">
        <f t="shared" si="440"/>
        <v>REVISAR PRECIO</v>
      </c>
      <c r="BM341" s="533">
        <f t="shared" si="441"/>
        <v>1000482.9166666666</v>
      </c>
    </row>
    <row r="342" spans="1:65" ht="48" customHeight="1">
      <c r="A342" s="91" t="s">
        <v>23</v>
      </c>
      <c r="B342" s="358" t="s">
        <v>2533</v>
      </c>
      <c r="C342" s="50" t="s">
        <v>202</v>
      </c>
      <c r="D342" s="99" t="s">
        <v>542</v>
      </c>
      <c r="E342" s="391" t="s">
        <v>10</v>
      </c>
      <c r="F342" s="410">
        <v>28213</v>
      </c>
      <c r="G342" s="10">
        <v>51000</v>
      </c>
      <c r="H342" s="167">
        <v>153000</v>
      </c>
      <c r="I342" s="10">
        <v>39650</v>
      </c>
      <c r="J342" s="76">
        <f t="shared" si="419"/>
        <v>45325</v>
      </c>
      <c r="K342" s="24">
        <f t="shared" si="420"/>
        <v>17112</v>
      </c>
      <c r="L342" s="281">
        <f t="shared" si="421"/>
        <v>0.60652890511466351</v>
      </c>
      <c r="M342" s="431">
        <f t="shared" si="422"/>
        <v>153000</v>
      </c>
      <c r="N342" s="443"/>
      <c r="O342" s="250"/>
      <c r="P342" s="250"/>
      <c r="Q342" s="250"/>
      <c r="R342" s="250"/>
      <c r="S342" s="250"/>
      <c r="T342" s="250"/>
      <c r="U342" s="250"/>
      <c r="V342" s="443"/>
      <c r="W342" s="410">
        <v>44530</v>
      </c>
      <c r="X342" s="33">
        <v>57915</v>
      </c>
      <c r="Y342" s="31">
        <v>57915</v>
      </c>
      <c r="Z342" s="472">
        <v>50622</v>
      </c>
      <c r="AA342" s="76">
        <f t="shared" si="423"/>
        <v>55484</v>
      </c>
      <c r="AB342" s="24">
        <f t="shared" si="424"/>
        <v>10954</v>
      </c>
      <c r="AC342" s="25">
        <f t="shared" si="425"/>
        <v>0.24599146642712777</v>
      </c>
      <c r="AD342" s="309">
        <f t="shared" si="426"/>
        <v>55484</v>
      </c>
      <c r="AE342" s="462">
        <f t="shared" si="427"/>
        <v>55484</v>
      </c>
      <c r="AF342" s="410">
        <v>23313</v>
      </c>
      <c r="AG342" s="45">
        <v>65000</v>
      </c>
      <c r="AH342" s="45">
        <v>51000</v>
      </c>
      <c r="AI342" s="45">
        <v>48500</v>
      </c>
      <c r="AJ342" s="76">
        <f t="shared" si="428"/>
        <v>54833.333333333336</v>
      </c>
      <c r="AK342" s="24">
        <f t="shared" si="429"/>
        <v>31520.333333333336</v>
      </c>
      <c r="AL342" s="281">
        <f t="shared" si="430"/>
        <v>1.3520496432605558</v>
      </c>
      <c r="AM342" s="462">
        <f t="shared" si="431"/>
        <v>54833.333333333336</v>
      </c>
      <c r="AN342" s="513">
        <v>23427</v>
      </c>
      <c r="AO342" s="88">
        <v>55000</v>
      </c>
      <c r="AP342" s="116">
        <v>75000</v>
      </c>
      <c r="AQ342" s="74">
        <v>56100</v>
      </c>
      <c r="AR342" s="76">
        <f t="shared" si="432"/>
        <v>62033.333333333336</v>
      </c>
      <c r="AS342" s="24">
        <f t="shared" si="433"/>
        <v>38606.333333333336</v>
      </c>
      <c r="AT342" s="25">
        <f t="shared" si="434"/>
        <v>1.6479418334969622</v>
      </c>
      <c r="AU342" s="309" t="str">
        <f t="shared" si="435"/>
        <v>REVISAR PRECIO</v>
      </c>
      <c r="AV342" s="462">
        <f t="shared" si="436"/>
        <v>62033.333333333336</v>
      </c>
      <c r="AW342" s="551">
        <v>23427</v>
      </c>
      <c r="AX342" s="57">
        <v>58650</v>
      </c>
      <c r="AY342" s="57">
        <v>80000</v>
      </c>
      <c r="AZ342" s="56">
        <v>67575</v>
      </c>
      <c r="BA342" s="58">
        <v>58649.999999999993</v>
      </c>
      <c r="BB342" s="60">
        <v>35000</v>
      </c>
      <c r="BC342" s="57">
        <v>67447.499999999985</v>
      </c>
      <c r="BD342" s="79">
        <v>67575</v>
      </c>
      <c r="BE342" s="79">
        <v>51000</v>
      </c>
      <c r="BF342" s="127">
        <v>61200</v>
      </c>
      <c r="BG342" s="128">
        <v>65000</v>
      </c>
      <c r="BH342" s="128">
        <v>50000</v>
      </c>
      <c r="BI342" s="29">
        <f t="shared" si="437"/>
        <v>61220.416666666664</v>
      </c>
      <c r="BJ342" s="24">
        <f t="shared" si="438"/>
        <v>37793.416666666664</v>
      </c>
      <c r="BK342" s="25">
        <f t="shared" si="439"/>
        <v>1.6132418434569797</v>
      </c>
      <c r="BL342" s="308" t="str">
        <f t="shared" si="440"/>
        <v>REVISAR PRECIO</v>
      </c>
      <c r="BM342" s="533">
        <f t="shared" si="441"/>
        <v>61220.416666666664</v>
      </c>
    </row>
    <row r="343" spans="1:65" ht="41.45" customHeight="1">
      <c r="A343" s="91" t="s">
        <v>23</v>
      </c>
      <c r="B343" s="358" t="s">
        <v>2534</v>
      </c>
      <c r="C343" s="50" t="s">
        <v>203</v>
      </c>
      <c r="D343" s="99" t="s">
        <v>543</v>
      </c>
      <c r="E343" s="391" t="s">
        <v>10</v>
      </c>
      <c r="F343" s="410">
        <v>44862</v>
      </c>
      <c r="G343" s="10">
        <v>136000</v>
      </c>
      <c r="H343" s="167">
        <v>408000</v>
      </c>
      <c r="I343" s="10">
        <v>58650</v>
      </c>
      <c r="J343" s="76">
        <f t="shared" si="419"/>
        <v>97325</v>
      </c>
      <c r="K343" s="24">
        <f t="shared" si="420"/>
        <v>52463</v>
      </c>
      <c r="L343" s="281">
        <f t="shared" si="421"/>
        <v>1.1694306985867773</v>
      </c>
      <c r="M343" s="431">
        <f t="shared" si="422"/>
        <v>408000</v>
      </c>
      <c r="N343" s="410">
        <v>40637</v>
      </c>
      <c r="O343" s="10">
        <v>35000</v>
      </c>
      <c r="P343" s="10">
        <v>39000</v>
      </c>
      <c r="Q343" s="268">
        <v>39000</v>
      </c>
      <c r="R343" s="10">
        <v>45000</v>
      </c>
      <c r="S343" s="76">
        <f t="shared" ref="S343:S344" si="442">AVERAGE(O343,P343,Q343,R343)</f>
        <v>39500</v>
      </c>
      <c r="T343" s="24">
        <f t="shared" ref="T343:T344" si="443">S343-N343</f>
        <v>-1137</v>
      </c>
      <c r="U343" s="281">
        <f t="shared" ref="U343:U344" si="444">+T343/N343</f>
        <v>-2.7979427615227502E-2</v>
      </c>
      <c r="V343" s="462">
        <f t="shared" ref="V343:V344" si="445">S343</f>
        <v>39500</v>
      </c>
      <c r="W343" s="410">
        <v>69702</v>
      </c>
      <c r="X343" s="31">
        <v>90653</v>
      </c>
      <c r="Y343" s="31">
        <v>117848</v>
      </c>
      <c r="Z343" s="472">
        <v>79237</v>
      </c>
      <c r="AA343" s="76">
        <f t="shared" si="423"/>
        <v>95912.666666666672</v>
      </c>
      <c r="AB343" s="24">
        <f t="shared" si="424"/>
        <v>26210.666666666672</v>
      </c>
      <c r="AC343" s="25">
        <f t="shared" si="425"/>
        <v>0.37603894675427779</v>
      </c>
      <c r="AD343" s="309" t="str">
        <f t="shared" si="426"/>
        <v>REVISAR PRECIO</v>
      </c>
      <c r="AE343" s="462">
        <f t="shared" si="427"/>
        <v>95912.666666666672</v>
      </c>
      <c r="AF343" s="410">
        <v>37087</v>
      </c>
      <c r="AG343" s="45">
        <v>170000</v>
      </c>
      <c r="AH343" s="45">
        <v>136000</v>
      </c>
      <c r="AI343" s="45">
        <v>160000</v>
      </c>
      <c r="AJ343" s="76">
        <f t="shared" si="428"/>
        <v>155333.33333333334</v>
      </c>
      <c r="AK343" s="24">
        <f t="shared" si="429"/>
        <v>118246.33333333334</v>
      </c>
      <c r="AL343" s="281">
        <f t="shared" si="430"/>
        <v>3.1883499159633657</v>
      </c>
      <c r="AM343" s="462">
        <f t="shared" si="431"/>
        <v>155333.33333333334</v>
      </c>
      <c r="AN343" s="513">
        <v>37277</v>
      </c>
      <c r="AO343" s="88">
        <v>150000</v>
      </c>
      <c r="AP343" s="116">
        <v>150000</v>
      </c>
      <c r="AQ343" s="74">
        <v>149600</v>
      </c>
      <c r="AR343" s="76">
        <f t="shared" si="432"/>
        <v>149866.66666666666</v>
      </c>
      <c r="AS343" s="24">
        <f t="shared" si="433"/>
        <v>112589.66666666666</v>
      </c>
      <c r="AT343" s="25">
        <f t="shared" si="434"/>
        <v>3.0203521384946925</v>
      </c>
      <c r="AU343" s="309" t="str">
        <f t="shared" si="435"/>
        <v>REVISAR PRECIO</v>
      </c>
      <c r="AV343" s="462">
        <f t="shared" si="436"/>
        <v>149866.66666666666</v>
      </c>
      <c r="AW343" s="551">
        <v>37277</v>
      </c>
      <c r="AX343" s="57">
        <v>156400</v>
      </c>
      <c r="AY343" s="57">
        <v>140000</v>
      </c>
      <c r="AZ343" s="56">
        <v>180200</v>
      </c>
      <c r="BA343" s="58">
        <v>156400</v>
      </c>
      <c r="BB343" s="60">
        <v>49000</v>
      </c>
      <c r="BC343" s="57">
        <v>179860</v>
      </c>
      <c r="BD343" s="79">
        <v>180200</v>
      </c>
      <c r="BE343" s="79">
        <v>136000</v>
      </c>
      <c r="BF343" s="127">
        <v>163200</v>
      </c>
      <c r="BG343" s="128">
        <v>132500</v>
      </c>
      <c r="BH343" s="128">
        <v>140000</v>
      </c>
      <c r="BI343" s="29">
        <f t="shared" si="437"/>
        <v>143643.33333333334</v>
      </c>
      <c r="BJ343" s="24">
        <f t="shared" si="438"/>
        <v>106366.33333333334</v>
      </c>
      <c r="BK343" s="25">
        <f t="shared" si="439"/>
        <v>2.8534037968005297</v>
      </c>
      <c r="BL343" s="308" t="str">
        <f t="shared" si="440"/>
        <v>REVISAR PRECIO</v>
      </c>
      <c r="BM343" s="533">
        <f t="shared" si="441"/>
        <v>143643.33333333334</v>
      </c>
    </row>
    <row r="344" spans="1:65" ht="47.45" customHeight="1">
      <c r="A344" s="91" t="s">
        <v>23</v>
      </c>
      <c r="B344" s="358" t="s">
        <v>2535</v>
      </c>
      <c r="C344" s="50" t="s">
        <v>204</v>
      </c>
      <c r="D344" s="99" t="s">
        <v>544</v>
      </c>
      <c r="E344" s="391" t="s">
        <v>10</v>
      </c>
      <c r="F344" s="410">
        <v>46713</v>
      </c>
      <c r="G344" s="10">
        <v>218600</v>
      </c>
      <c r="H344" s="167">
        <v>655800</v>
      </c>
      <c r="I344" s="10">
        <v>205650</v>
      </c>
      <c r="J344" s="76">
        <f t="shared" si="419"/>
        <v>212125</v>
      </c>
      <c r="K344" s="24">
        <f t="shared" si="420"/>
        <v>165412</v>
      </c>
      <c r="L344" s="281">
        <f t="shared" si="421"/>
        <v>3.5410271230706654</v>
      </c>
      <c r="M344" s="431">
        <f t="shared" si="422"/>
        <v>655800</v>
      </c>
      <c r="N344" s="410">
        <v>34581</v>
      </c>
      <c r="O344" s="10">
        <v>65000</v>
      </c>
      <c r="P344" s="10">
        <v>68000</v>
      </c>
      <c r="Q344" s="268">
        <v>68000</v>
      </c>
      <c r="R344" s="10">
        <v>70000</v>
      </c>
      <c r="S344" s="76">
        <f t="shared" si="442"/>
        <v>67750</v>
      </c>
      <c r="T344" s="24">
        <f t="shared" si="443"/>
        <v>33169</v>
      </c>
      <c r="U344" s="281">
        <f t="shared" si="444"/>
        <v>0.95916832942945551</v>
      </c>
      <c r="V344" s="462">
        <f t="shared" si="445"/>
        <v>67750</v>
      </c>
      <c r="W344" s="410">
        <v>68757</v>
      </c>
      <c r="X344" s="31">
        <v>89424</v>
      </c>
      <c r="Y344" s="31">
        <v>116251</v>
      </c>
      <c r="Z344" s="472">
        <v>78163.199999999997</v>
      </c>
      <c r="AA344" s="76">
        <f t="shared" si="423"/>
        <v>94612.733333333337</v>
      </c>
      <c r="AB344" s="24">
        <f t="shared" si="424"/>
        <v>25855.733333333337</v>
      </c>
      <c r="AC344" s="25">
        <f t="shared" si="425"/>
        <v>0.37604510571044891</v>
      </c>
      <c r="AD344" s="309" t="str">
        <f t="shared" si="426"/>
        <v>REVISAR PRECIO</v>
      </c>
      <c r="AE344" s="462">
        <f t="shared" si="427"/>
        <v>94612.733333333337</v>
      </c>
      <c r="AF344" s="410">
        <v>38615</v>
      </c>
      <c r="AG344" s="45">
        <v>250000</v>
      </c>
      <c r="AH344" s="45">
        <v>218600</v>
      </c>
      <c r="AI344" s="45">
        <v>230000</v>
      </c>
      <c r="AJ344" s="76">
        <f t="shared" si="428"/>
        <v>232866.66666666666</v>
      </c>
      <c r="AK344" s="24">
        <f t="shared" si="429"/>
        <v>194251.66666666666</v>
      </c>
      <c r="AL344" s="281">
        <f t="shared" si="430"/>
        <v>5.0304717510466572</v>
      </c>
      <c r="AM344" s="462">
        <f t="shared" si="431"/>
        <v>232866.66666666666</v>
      </c>
      <c r="AN344" s="513">
        <v>38814</v>
      </c>
      <c r="AO344" s="88">
        <v>240000</v>
      </c>
      <c r="AP344" s="116">
        <v>240000</v>
      </c>
      <c r="AQ344" s="74">
        <v>240460</v>
      </c>
      <c r="AR344" s="76">
        <f t="shared" si="432"/>
        <v>240153.33333333334</v>
      </c>
      <c r="AS344" s="24">
        <f t="shared" si="433"/>
        <v>201339.33333333334</v>
      </c>
      <c r="AT344" s="25">
        <f t="shared" si="434"/>
        <v>5.1872863743322855</v>
      </c>
      <c r="AU344" s="309" t="str">
        <f t="shared" si="435"/>
        <v>REVISAR PRECIO</v>
      </c>
      <c r="AV344" s="462">
        <f t="shared" si="436"/>
        <v>240153.33333333334</v>
      </c>
      <c r="AW344" s="551">
        <v>38814</v>
      </c>
      <c r="AX344" s="57">
        <v>251390</v>
      </c>
      <c r="AY344" s="57">
        <v>420000</v>
      </c>
      <c r="AZ344" s="56">
        <v>289645</v>
      </c>
      <c r="BA344" s="58">
        <v>251390</v>
      </c>
      <c r="BB344" s="60">
        <v>90000</v>
      </c>
      <c r="BC344" s="57">
        <v>289098.49999999994</v>
      </c>
      <c r="BD344" s="79">
        <v>289645</v>
      </c>
      <c r="BE344" s="79">
        <v>218600</v>
      </c>
      <c r="BF344" s="127">
        <v>262320</v>
      </c>
      <c r="BG344" s="128">
        <v>250000</v>
      </c>
      <c r="BH344" s="128">
        <v>230000</v>
      </c>
      <c r="BI344" s="29">
        <f t="shared" si="437"/>
        <v>265253.91666666669</v>
      </c>
      <c r="BJ344" s="24">
        <f t="shared" si="438"/>
        <v>226439.91666666669</v>
      </c>
      <c r="BK344" s="25">
        <f t="shared" si="439"/>
        <v>5.8339752838322951</v>
      </c>
      <c r="BL344" s="308" t="str">
        <f t="shared" si="440"/>
        <v>REVISAR PRECIO</v>
      </c>
      <c r="BM344" s="533">
        <f t="shared" si="441"/>
        <v>265253.91666666669</v>
      </c>
    </row>
    <row r="345" spans="1:65" ht="45.6" customHeight="1">
      <c r="A345" s="91" t="s">
        <v>23</v>
      </c>
      <c r="B345" s="358" t="s">
        <v>2536</v>
      </c>
      <c r="C345" s="50" t="s">
        <v>205</v>
      </c>
      <c r="D345" s="99" t="s">
        <v>545</v>
      </c>
      <c r="E345" s="391" t="s">
        <v>13</v>
      </c>
      <c r="F345" s="410">
        <v>84588</v>
      </c>
      <c r="G345" s="10">
        <v>95000</v>
      </c>
      <c r="H345" s="167">
        <v>285000</v>
      </c>
      <c r="I345" s="10">
        <v>78680</v>
      </c>
      <c r="J345" s="76">
        <f t="shared" si="419"/>
        <v>86840</v>
      </c>
      <c r="K345" s="24">
        <f t="shared" si="420"/>
        <v>2252</v>
      </c>
      <c r="L345" s="281">
        <f t="shared" si="421"/>
        <v>2.6623161677779353E-2</v>
      </c>
      <c r="M345" s="431">
        <f t="shared" si="422"/>
        <v>285000</v>
      </c>
      <c r="N345" s="443"/>
      <c r="O345" s="250"/>
      <c r="P345" s="250"/>
      <c r="Q345" s="250"/>
      <c r="R345" s="250"/>
      <c r="S345" s="250"/>
      <c r="T345" s="250"/>
      <c r="U345" s="250"/>
      <c r="V345" s="443"/>
      <c r="W345" s="410">
        <v>146908</v>
      </c>
      <c r="X345" s="31">
        <v>191066</v>
      </c>
      <c r="Y345" s="31">
        <v>248385</v>
      </c>
      <c r="Z345" s="472">
        <v>167005.4</v>
      </c>
      <c r="AA345" s="76">
        <f t="shared" si="423"/>
        <v>202152.13333333333</v>
      </c>
      <c r="AB345" s="24">
        <f t="shared" si="424"/>
        <v>55244.133333333331</v>
      </c>
      <c r="AC345" s="25">
        <f t="shared" si="425"/>
        <v>0.37604577921783244</v>
      </c>
      <c r="AD345" s="309" t="str">
        <f t="shared" si="426"/>
        <v>REVISAR PRECIO</v>
      </c>
      <c r="AE345" s="462">
        <f t="shared" si="427"/>
        <v>202152.13333333333</v>
      </c>
      <c r="AF345" s="410">
        <v>82517</v>
      </c>
      <c r="AG345" s="45">
        <v>95000</v>
      </c>
      <c r="AH345" s="45">
        <v>95000</v>
      </c>
      <c r="AI345" s="45">
        <v>95000</v>
      </c>
      <c r="AJ345" s="76">
        <f t="shared" si="428"/>
        <v>95000</v>
      </c>
      <c r="AK345" s="24">
        <f t="shared" si="429"/>
        <v>12483</v>
      </c>
      <c r="AL345" s="281">
        <f t="shared" si="430"/>
        <v>0.15127791848952338</v>
      </c>
      <c r="AM345" s="462">
        <f t="shared" si="431"/>
        <v>95000</v>
      </c>
      <c r="AN345" s="513">
        <v>82926</v>
      </c>
      <c r="AO345" s="88">
        <v>100000</v>
      </c>
      <c r="AP345" s="116">
        <v>100000</v>
      </c>
      <c r="AQ345" s="74">
        <v>104500</v>
      </c>
      <c r="AR345" s="76">
        <f t="shared" si="432"/>
        <v>101500</v>
      </c>
      <c r="AS345" s="24">
        <f t="shared" si="433"/>
        <v>18574</v>
      </c>
      <c r="AT345" s="25">
        <f t="shared" si="434"/>
        <v>0.22398282806357475</v>
      </c>
      <c r="AU345" s="309">
        <f t="shared" si="435"/>
        <v>101500</v>
      </c>
      <c r="AV345" s="462">
        <f t="shared" si="436"/>
        <v>101500</v>
      </c>
      <c r="AW345" s="551">
        <v>82926</v>
      </c>
      <c r="AX345" s="57">
        <v>109250</v>
      </c>
      <c r="AY345" s="57">
        <v>160000</v>
      </c>
      <c r="AZ345" s="56">
        <v>125875</v>
      </c>
      <c r="BA345" s="58">
        <v>109249.99999999999</v>
      </c>
      <c r="BB345" s="60">
        <v>138000</v>
      </c>
      <c r="BC345" s="57">
        <v>125637.49999999997</v>
      </c>
      <c r="BD345" s="79">
        <v>125875</v>
      </c>
      <c r="BE345" s="79">
        <v>95000</v>
      </c>
      <c r="BF345" s="127">
        <v>114000</v>
      </c>
      <c r="BG345" s="128">
        <v>100000</v>
      </c>
      <c r="BH345" s="128">
        <v>100000</v>
      </c>
      <c r="BI345" s="29">
        <f t="shared" si="437"/>
        <v>128002.08333333333</v>
      </c>
      <c r="BJ345" s="24">
        <f t="shared" si="438"/>
        <v>45076.083333333328</v>
      </c>
      <c r="BK345" s="25">
        <f t="shared" si="439"/>
        <v>0.54356997001342555</v>
      </c>
      <c r="BL345" s="308" t="str">
        <f t="shared" si="440"/>
        <v>REVISAR PRECIO</v>
      </c>
      <c r="BM345" s="533">
        <f t="shared" si="441"/>
        <v>128002.08333333333</v>
      </c>
    </row>
    <row r="346" spans="1:65" ht="45.6" customHeight="1">
      <c r="A346" s="91" t="s">
        <v>23</v>
      </c>
      <c r="B346" s="358" t="s">
        <v>2537</v>
      </c>
      <c r="C346" s="50" t="s">
        <v>206</v>
      </c>
      <c r="D346" s="99" t="s">
        <v>546</v>
      </c>
      <c r="E346" s="391" t="s">
        <v>10</v>
      </c>
      <c r="F346" s="410">
        <v>195906</v>
      </c>
      <c r="G346" s="10">
        <v>45000</v>
      </c>
      <c r="H346" s="167">
        <v>135000</v>
      </c>
      <c r="I346" s="10">
        <v>45000</v>
      </c>
      <c r="J346" s="76">
        <f t="shared" si="419"/>
        <v>45000</v>
      </c>
      <c r="K346" s="24">
        <f t="shared" si="420"/>
        <v>-150906</v>
      </c>
      <c r="L346" s="281">
        <f t="shared" si="421"/>
        <v>-0.77029800006125382</v>
      </c>
      <c r="M346" s="431">
        <f t="shared" si="422"/>
        <v>135000</v>
      </c>
      <c r="N346" s="410">
        <v>171148</v>
      </c>
      <c r="O346" s="10"/>
      <c r="P346" s="10"/>
      <c r="Q346" s="268"/>
      <c r="R346" s="10">
        <v>800000</v>
      </c>
      <c r="S346" s="76">
        <f t="shared" ref="S346" si="446">AVERAGE(O346,P346,Q346,R346)</f>
        <v>800000</v>
      </c>
      <c r="T346" s="24">
        <f t="shared" ref="T346" si="447">S346-N346</f>
        <v>628852</v>
      </c>
      <c r="U346" s="281">
        <f t="shared" ref="U346" si="448">+T346/N346</f>
        <v>3.6743169654334262</v>
      </c>
      <c r="V346" s="462">
        <f t="shared" ref="V346" si="449">S346</f>
        <v>800000</v>
      </c>
      <c r="W346" s="410">
        <v>340236</v>
      </c>
      <c r="X346" s="31">
        <v>442503</v>
      </c>
      <c r="Y346" s="31">
        <v>575254</v>
      </c>
      <c r="Z346" s="472">
        <v>386780.4</v>
      </c>
      <c r="AA346" s="76">
        <f t="shared" si="423"/>
        <v>468179.1333333333</v>
      </c>
      <c r="AB346" s="24">
        <f t="shared" si="424"/>
        <v>127943.1333333333</v>
      </c>
      <c r="AC346" s="25">
        <f t="shared" si="425"/>
        <v>0.37604231572594699</v>
      </c>
      <c r="AD346" s="309" t="str">
        <f t="shared" si="426"/>
        <v>REVISAR PRECIO</v>
      </c>
      <c r="AE346" s="462">
        <f t="shared" si="427"/>
        <v>468179.1333333333</v>
      </c>
      <c r="AF346" s="410">
        <v>191110</v>
      </c>
      <c r="AG346" s="45"/>
      <c r="AH346" s="45">
        <v>45000</v>
      </c>
      <c r="AI346" s="45">
        <v>55000</v>
      </c>
      <c r="AJ346" s="76">
        <f t="shared" si="428"/>
        <v>50000</v>
      </c>
      <c r="AK346" s="24">
        <f t="shared" si="429"/>
        <v>-141110</v>
      </c>
      <c r="AL346" s="281">
        <f t="shared" si="430"/>
        <v>-0.73837057192192979</v>
      </c>
      <c r="AM346" s="462">
        <f t="shared" si="431"/>
        <v>50000</v>
      </c>
      <c r="AN346" s="513">
        <v>192060</v>
      </c>
      <c r="AO346" s="88">
        <v>50000</v>
      </c>
      <c r="AP346" s="116">
        <v>50000</v>
      </c>
      <c r="AQ346" s="74">
        <v>49500</v>
      </c>
      <c r="AR346" s="76">
        <f t="shared" si="432"/>
        <v>49833.333333333336</v>
      </c>
      <c r="AS346" s="24">
        <f t="shared" si="433"/>
        <v>-142226.66666666666</v>
      </c>
      <c r="AT346" s="25">
        <f t="shared" si="434"/>
        <v>-0.74053247249123533</v>
      </c>
      <c r="AU346" s="309">
        <f t="shared" si="435"/>
        <v>49833.333333333336</v>
      </c>
      <c r="AV346" s="462">
        <f t="shared" si="436"/>
        <v>49833.333333333336</v>
      </c>
      <c r="AW346" s="551">
        <v>192060</v>
      </c>
      <c r="AX346" s="57">
        <v>51750</v>
      </c>
      <c r="AY346" s="57">
        <v>70000</v>
      </c>
      <c r="AZ346" s="56">
        <v>59625</v>
      </c>
      <c r="BA346" s="58">
        <v>51749.999999999993</v>
      </c>
      <c r="BB346" s="60"/>
      <c r="BC346" s="57">
        <v>59512.499999999985</v>
      </c>
      <c r="BD346" s="79">
        <v>59625</v>
      </c>
      <c r="BE346" s="79">
        <v>45000</v>
      </c>
      <c r="BF346" s="127">
        <v>54000</v>
      </c>
      <c r="BG346" s="128">
        <v>54300</v>
      </c>
      <c r="BH346" s="128">
        <v>50000</v>
      </c>
      <c r="BI346" s="29">
        <f t="shared" si="437"/>
        <v>58527.5</v>
      </c>
      <c r="BJ346" s="24">
        <f t="shared" si="438"/>
        <v>-133532.5</v>
      </c>
      <c r="BK346" s="25">
        <f t="shared" si="439"/>
        <v>-0.69526450067687184</v>
      </c>
      <c r="BL346" s="308">
        <f t="shared" si="440"/>
        <v>58527.5</v>
      </c>
      <c r="BM346" s="533">
        <f t="shared" si="441"/>
        <v>58527.5</v>
      </c>
    </row>
    <row r="347" spans="1:65" ht="45.6" customHeight="1">
      <c r="A347" s="91" t="s">
        <v>23</v>
      </c>
      <c r="B347" s="358" t="s">
        <v>2538</v>
      </c>
      <c r="C347" s="50" t="s">
        <v>207</v>
      </c>
      <c r="D347" s="99" t="s">
        <v>547</v>
      </c>
      <c r="E347" s="391" t="s">
        <v>13</v>
      </c>
      <c r="F347" s="410">
        <v>263985</v>
      </c>
      <c r="G347" s="10">
        <v>296748</v>
      </c>
      <c r="H347" s="167">
        <v>890244</v>
      </c>
      <c r="I347" s="10">
        <v>295680</v>
      </c>
      <c r="J347" s="76">
        <f t="shared" si="419"/>
        <v>296214</v>
      </c>
      <c r="K347" s="24">
        <f t="shared" si="420"/>
        <v>32229</v>
      </c>
      <c r="L347" s="281">
        <f t="shared" si="421"/>
        <v>0.12208648218648786</v>
      </c>
      <c r="M347" s="431">
        <f t="shared" si="422"/>
        <v>890244</v>
      </c>
      <c r="N347" s="443"/>
      <c r="O347" s="250"/>
      <c r="P347" s="250"/>
      <c r="Q347" s="250"/>
      <c r="R347" s="250"/>
      <c r="S347" s="250"/>
      <c r="T347" s="250"/>
      <c r="U347" s="250"/>
      <c r="V347" s="443"/>
      <c r="W347" s="410">
        <v>455682</v>
      </c>
      <c r="X347" s="31">
        <v>592650</v>
      </c>
      <c r="Y347" s="31">
        <v>770445</v>
      </c>
      <c r="Z347" s="472">
        <v>518020</v>
      </c>
      <c r="AA347" s="76">
        <f t="shared" si="423"/>
        <v>627038.33333333337</v>
      </c>
      <c r="AB347" s="24">
        <f t="shared" si="424"/>
        <v>171356.33333333337</v>
      </c>
      <c r="AC347" s="25">
        <f t="shared" si="425"/>
        <v>0.37604367373153508</v>
      </c>
      <c r="AD347" s="309" t="str">
        <f t="shared" si="426"/>
        <v>REVISAR PRECIO</v>
      </c>
      <c r="AE347" s="462">
        <f t="shared" si="427"/>
        <v>627038.33333333337</v>
      </c>
      <c r="AF347" s="410">
        <v>252640</v>
      </c>
      <c r="AG347" s="45"/>
      <c r="AH347" s="45">
        <v>296748</v>
      </c>
      <c r="AI347" s="45">
        <v>293000</v>
      </c>
      <c r="AJ347" s="76">
        <f t="shared" si="428"/>
        <v>294874</v>
      </c>
      <c r="AK347" s="24">
        <f t="shared" si="429"/>
        <v>42234</v>
      </c>
      <c r="AL347" s="281">
        <f t="shared" si="430"/>
        <v>0.16717067764407853</v>
      </c>
      <c r="AM347" s="462">
        <f t="shared" si="431"/>
        <v>294874</v>
      </c>
      <c r="AN347" s="513">
        <v>265750</v>
      </c>
      <c r="AO347" s="88">
        <v>325000</v>
      </c>
      <c r="AP347" s="116">
        <v>325000</v>
      </c>
      <c r="AQ347" s="74">
        <v>326422.91000000003</v>
      </c>
      <c r="AR347" s="76">
        <f t="shared" si="432"/>
        <v>325474.30333333334</v>
      </c>
      <c r="AS347" s="24">
        <f t="shared" si="433"/>
        <v>59724.303333333344</v>
      </c>
      <c r="AT347" s="25">
        <f t="shared" si="434"/>
        <v>0.22473867670116027</v>
      </c>
      <c r="AU347" s="309">
        <f t="shared" si="435"/>
        <v>325474.30333333334</v>
      </c>
      <c r="AV347" s="462">
        <f t="shared" si="436"/>
        <v>325474.30333333334</v>
      </c>
      <c r="AW347" s="551">
        <v>265750</v>
      </c>
      <c r="AX347" s="57">
        <v>341260.31500000006</v>
      </c>
      <c r="AY347" s="57">
        <v>380000</v>
      </c>
      <c r="AZ347" s="56">
        <v>393191.23250000004</v>
      </c>
      <c r="BA347" s="58">
        <v>436999.99999999994</v>
      </c>
      <c r="BB347" s="60">
        <v>270000</v>
      </c>
      <c r="BC347" s="57">
        <v>502549.99999999988</v>
      </c>
      <c r="BD347" s="79">
        <v>393191.23250000004</v>
      </c>
      <c r="BE347" s="79">
        <f>269771*1.1</f>
        <v>296748.10000000003</v>
      </c>
      <c r="BF347" s="127">
        <v>356097.72000000003</v>
      </c>
      <c r="BG347" s="128">
        <v>330000</v>
      </c>
      <c r="BH347" s="128">
        <v>300000</v>
      </c>
      <c r="BI347" s="29">
        <f t="shared" si="437"/>
        <v>387333.59125</v>
      </c>
      <c r="BJ347" s="24">
        <f t="shared" si="438"/>
        <v>121583.59125</v>
      </c>
      <c r="BK347" s="25">
        <f t="shared" si="439"/>
        <v>0.45751116180620882</v>
      </c>
      <c r="BL347" s="308" t="str">
        <f t="shared" si="440"/>
        <v>REVISAR PRECIO</v>
      </c>
      <c r="BM347" s="533">
        <f t="shared" si="441"/>
        <v>387333.59125</v>
      </c>
    </row>
    <row r="348" spans="1:65" ht="44.45" customHeight="1">
      <c r="A348" s="91" t="s">
        <v>23</v>
      </c>
      <c r="B348" s="358" t="s">
        <v>2539</v>
      </c>
      <c r="C348" s="50" t="s">
        <v>208</v>
      </c>
      <c r="D348" s="102" t="s">
        <v>548</v>
      </c>
      <c r="E348" s="391" t="s">
        <v>13</v>
      </c>
      <c r="F348" s="410">
        <v>154955</v>
      </c>
      <c r="G348" s="10">
        <v>155800</v>
      </c>
      <c r="H348" s="167">
        <v>467400</v>
      </c>
      <c r="I348" s="10">
        <v>285000</v>
      </c>
      <c r="J348" s="76">
        <f t="shared" si="419"/>
        <v>220400</v>
      </c>
      <c r="K348" s="24">
        <f t="shared" si="420"/>
        <v>65445</v>
      </c>
      <c r="L348" s="281">
        <f t="shared" si="421"/>
        <v>0.42234842373592335</v>
      </c>
      <c r="M348" s="431">
        <f t="shared" si="422"/>
        <v>467400</v>
      </c>
      <c r="N348" s="443"/>
      <c r="O348" s="250"/>
      <c r="P348" s="250"/>
      <c r="Q348" s="250"/>
      <c r="R348" s="250"/>
      <c r="S348" s="250"/>
      <c r="T348" s="250"/>
      <c r="U348" s="250"/>
      <c r="V348" s="443"/>
      <c r="W348" s="410">
        <v>231370</v>
      </c>
      <c r="X348" s="31">
        <v>300915</v>
      </c>
      <c r="Y348" s="31">
        <v>391190</v>
      </c>
      <c r="Z348" s="472">
        <v>263022</v>
      </c>
      <c r="AA348" s="76">
        <f t="shared" si="423"/>
        <v>318375.66666666669</v>
      </c>
      <c r="AB348" s="24">
        <f t="shared" si="424"/>
        <v>87005.666666666686</v>
      </c>
      <c r="AC348" s="25">
        <f t="shared" si="425"/>
        <v>0.37604558355303924</v>
      </c>
      <c r="AD348" s="309" t="str">
        <f t="shared" si="426"/>
        <v>REVISAR PRECIO</v>
      </c>
      <c r="AE348" s="462">
        <f t="shared" si="427"/>
        <v>318375.66666666669</v>
      </c>
      <c r="AF348" s="410">
        <v>145206</v>
      </c>
      <c r="AG348" s="45"/>
      <c r="AH348" s="45">
        <v>155800</v>
      </c>
      <c r="AI348" s="45">
        <v>180000</v>
      </c>
      <c r="AJ348" s="76">
        <f t="shared" si="428"/>
        <v>167900</v>
      </c>
      <c r="AK348" s="24">
        <f t="shared" si="429"/>
        <v>22694</v>
      </c>
      <c r="AL348" s="281">
        <f t="shared" si="430"/>
        <v>0.15628830764568957</v>
      </c>
      <c r="AM348" s="462">
        <f t="shared" si="431"/>
        <v>167900</v>
      </c>
      <c r="AN348" s="513">
        <v>156729</v>
      </c>
      <c r="AO348" s="88">
        <v>163000</v>
      </c>
      <c r="AP348" s="116">
        <v>180000</v>
      </c>
      <c r="AQ348" s="74">
        <v>171380</v>
      </c>
      <c r="AR348" s="76">
        <f t="shared" si="432"/>
        <v>171460</v>
      </c>
      <c r="AS348" s="24">
        <f t="shared" si="433"/>
        <v>14731</v>
      </c>
      <c r="AT348" s="25">
        <f t="shared" si="434"/>
        <v>9.3990263448372663E-2</v>
      </c>
      <c r="AU348" s="309">
        <f t="shared" si="435"/>
        <v>171460</v>
      </c>
      <c r="AV348" s="462">
        <f t="shared" si="436"/>
        <v>171460</v>
      </c>
      <c r="AW348" s="551">
        <v>156729</v>
      </c>
      <c r="AX348" s="57">
        <v>179170</v>
      </c>
      <c r="AY348" s="57">
        <v>420000</v>
      </c>
      <c r="AZ348" s="56">
        <v>206435</v>
      </c>
      <c r="BA348" s="58">
        <v>310500</v>
      </c>
      <c r="BB348" s="60">
        <v>230000</v>
      </c>
      <c r="BC348" s="57">
        <v>357075</v>
      </c>
      <c r="BD348" s="79">
        <v>206435</v>
      </c>
      <c r="BE348" s="79">
        <v>155800</v>
      </c>
      <c r="BF348" s="127">
        <v>186960</v>
      </c>
      <c r="BG348" s="128">
        <v>165000</v>
      </c>
      <c r="BH348" s="128">
        <v>160000</v>
      </c>
      <c r="BI348" s="29">
        <f t="shared" si="437"/>
        <v>283863.33333333331</v>
      </c>
      <c r="BJ348" s="24">
        <f t="shared" si="438"/>
        <v>127134.33333333331</v>
      </c>
      <c r="BK348" s="25">
        <f t="shared" si="439"/>
        <v>0.81117300138030179</v>
      </c>
      <c r="BL348" s="308" t="str">
        <f t="shared" si="440"/>
        <v>REVISAR PRECIO</v>
      </c>
      <c r="BM348" s="533">
        <f t="shared" si="441"/>
        <v>283863.33333333331</v>
      </c>
    </row>
    <row r="349" spans="1:65" ht="44.45" customHeight="1">
      <c r="A349" s="91" t="s">
        <v>23</v>
      </c>
      <c r="B349" s="358" t="s">
        <v>2540</v>
      </c>
      <c r="C349" s="50" t="s">
        <v>209</v>
      </c>
      <c r="D349" s="99" t="s">
        <v>549</v>
      </c>
      <c r="E349" s="391" t="s">
        <v>13</v>
      </c>
      <c r="F349" s="410">
        <v>119824</v>
      </c>
      <c r="G349" s="10">
        <v>134310</v>
      </c>
      <c r="H349" s="167">
        <v>537240</v>
      </c>
      <c r="I349" s="10">
        <v>138500</v>
      </c>
      <c r="J349" s="76">
        <f t="shared" si="419"/>
        <v>136405</v>
      </c>
      <c r="K349" s="24">
        <f t="shared" si="420"/>
        <v>16581</v>
      </c>
      <c r="L349" s="281">
        <f t="shared" si="421"/>
        <v>0.13837795433302177</v>
      </c>
      <c r="M349" s="431">
        <f t="shared" si="422"/>
        <v>537240</v>
      </c>
      <c r="N349" s="410">
        <v>103885</v>
      </c>
      <c r="O349" s="10">
        <v>184000</v>
      </c>
      <c r="P349" s="10">
        <v>190000</v>
      </c>
      <c r="Q349" s="268">
        <v>190000</v>
      </c>
      <c r="R349" s="10">
        <v>250000</v>
      </c>
      <c r="S349" s="76">
        <f t="shared" ref="S349:S355" si="450">AVERAGE(O349,P349,Q349,R349)</f>
        <v>203500</v>
      </c>
      <c r="T349" s="24">
        <f t="shared" ref="T349:T355" si="451">S349-N349</f>
        <v>99615</v>
      </c>
      <c r="U349" s="281">
        <f t="shared" ref="U349:U355" si="452">+T349/N349</f>
        <v>0.95889685710160277</v>
      </c>
      <c r="V349" s="462">
        <f t="shared" ref="V349:V355" si="453">S349</f>
        <v>203500</v>
      </c>
      <c r="W349" s="410">
        <v>176138</v>
      </c>
      <c r="X349" s="31">
        <v>229082</v>
      </c>
      <c r="Y349" s="31">
        <v>297806</v>
      </c>
      <c r="Z349" s="472">
        <v>200234.2</v>
      </c>
      <c r="AA349" s="76">
        <f t="shared" si="423"/>
        <v>242374.06666666665</v>
      </c>
      <c r="AB349" s="24">
        <f t="shared" si="424"/>
        <v>66236.066666666651</v>
      </c>
      <c r="AC349" s="25">
        <f t="shared" si="425"/>
        <v>0.3760464332890498</v>
      </c>
      <c r="AD349" s="309" t="str">
        <f t="shared" si="426"/>
        <v>REVISAR PRECIO</v>
      </c>
      <c r="AE349" s="462">
        <f t="shared" si="427"/>
        <v>242374.06666666665</v>
      </c>
      <c r="AF349" s="410">
        <v>116405</v>
      </c>
      <c r="AG349" s="45"/>
      <c r="AH349" s="45">
        <v>134310</v>
      </c>
      <c r="AI349" s="45">
        <v>150000</v>
      </c>
      <c r="AJ349" s="76">
        <f t="shared" si="428"/>
        <v>142155</v>
      </c>
      <c r="AK349" s="24">
        <f t="shared" si="429"/>
        <v>25750</v>
      </c>
      <c r="AL349" s="281">
        <f t="shared" si="430"/>
        <v>0.22121042910527899</v>
      </c>
      <c r="AM349" s="462">
        <f t="shared" si="431"/>
        <v>142155</v>
      </c>
      <c r="AN349" s="513">
        <v>119320</v>
      </c>
      <c r="AO349" s="88">
        <v>141000</v>
      </c>
      <c r="AP349" s="116">
        <v>157000</v>
      </c>
      <c r="AQ349" s="74">
        <v>147741</v>
      </c>
      <c r="AR349" s="76">
        <f t="shared" si="432"/>
        <v>148580.33333333334</v>
      </c>
      <c r="AS349" s="24">
        <f t="shared" si="433"/>
        <v>29260.333333333343</v>
      </c>
      <c r="AT349" s="25">
        <f t="shared" si="434"/>
        <v>0.24522572354453021</v>
      </c>
      <c r="AU349" s="309">
        <f t="shared" si="435"/>
        <v>148580.33333333334</v>
      </c>
      <c r="AV349" s="462">
        <f t="shared" si="436"/>
        <v>148580.33333333334</v>
      </c>
      <c r="AW349" s="551">
        <v>119320</v>
      </c>
      <c r="AX349" s="57">
        <v>154456.5</v>
      </c>
      <c r="AY349" s="57">
        <v>270000</v>
      </c>
      <c r="AZ349" s="56">
        <v>177960.75</v>
      </c>
      <c r="BA349" s="58">
        <v>188599.99999999997</v>
      </c>
      <c r="BB349" s="60">
        <v>255000</v>
      </c>
      <c r="BC349" s="57">
        <v>216889.99999999994</v>
      </c>
      <c r="BD349" s="79">
        <v>177960.75</v>
      </c>
      <c r="BE349" s="79">
        <f>122100*1.1</f>
        <v>134310</v>
      </c>
      <c r="BF349" s="127">
        <v>161172</v>
      </c>
      <c r="BG349" s="128">
        <v>150000</v>
      </c>
      <c r="BH349" s="128">
        <v>150000</v>
      </c>
      <c r="BI349" s="29">
        <f t="shared" si="437"/>
        <v>210484.54166666666</v>
      </c>
      <c r="BJ349" s="24">
        <f t="shared" si="438"/>
        <v>91164.541666666657</v>
      </c>
      <c r="BK349" s="25">
        <f t="shared" si="439"/>
        <v>0.76403404011621401</v>
      </c>
      <c r="BL349" s="308" t="str">
        <f t="shared" si="440"/>
        <v>REVISAR PRECIO</v>
      </c>
      <c r="BM349" s="533">
        <f t="shared" si="441"/>
        <v>210484.54166666666</v>
      </c>
    </row>
    <row r="350" spans="1:65" ht="44.45" customHeight="1">
      <c r="A350" s="91" t="s">
        <v>23</v>
      </c>
      <c r="B350" s="358" t="s">
        <v>2541</v>
      </c>
      <c r="C350" s="50" t="s">
        <v>210</v>
      </c>
      <c r="D350" s="99" t="s">
        <v>550</v>
      </c>
      <c r="E350" s="391" t="s">
        <v>13</v>
      </c>
      <c r="F350" s="410">
        <v>130854</v>
      </c>
      <c r="G350" s="10">
        <v>141488</v>
      </c>
      <c r="H350" s="167">
        <v>565952</v>
      </c>
      <c r="I350" s="10">
        <v>141000</v>
      </c>
      <c r="J350" s="76">
        <f t="shared" si="419"/>
        <v>141244</v>
      </c>
      <c r="K350" s="24">
        <f t="shared" si="420"/>
        <v>10390</v>
      </c>
      <c r="L350" s="281">
        <f t="shared" si="421"/>
        <v>7.9401470340990724E-2</v>
      </c>
      <c r="M350" s="431">
        <f t="shared" si="422"/>
        <v>565952</v>
      </c>
      <c r="N350" s="410">
        <v>112931</v>
      </c>
      <c r="O350" s="10">
        <v>265000</v>
      </c>
      <c r="P350" s="10">
        <v>270000</v>
      </c>
      <c r="Q350" s="268">
        <v>270000</v>
      </c>
      <c r="R350" s="10">
        <v>280000</v>
      </c>
      <c r="S350" s="76">
        <f t="shared" si="450"/>
        <v>271250</v>
      </c>
      <c r="T350" s="24">
        <f t="shared" si="451"/>
        <v>158319</v>
      </c>
      <c r="U350" s="281">
        <f t="shared" si="452"/>
        <v>1.4019091303539328</v>
      </c>
      <c r="V350" s="462">
        <f t="shared" si="453"/>
        <v>271250</v>
      </c>
      <c r="W350" s="410">
        <v>193161</v>
      </c>
      <c r="X350" s="31">
        <v>251222</v>
      </c>
      <c r="Y350" s="31">
        <v>326588</v>
      </c>
      <c r="Z350" s="472">
        <v>219586.2</v>
      </c>
      <c r="AA350" s="76">
        <f t="shared" si="423"/>
        <v>265798.73333333334</v>
      </c>
      <c r="AB350" s="24">
        <f t="shared" si="424"/>
        <v>72637.733333333337</v>
      </c>
      <c r="AC350" s="25">
        <f t="shared" si="425"/>
        <v>0.37604761485669125</v>
      </c>
      <c r="AD350" s="309" t="str">
        <f t="shared" si="426"/>
        <v>REVISAR PRECIO</v>
      </c>
      <c r="AE350" s="462">
        <f t="shared" si="427"/>
        <v>265798.73333333334</v>
      </c>
      <c r="AF350" s="410">
        <v>126477</v>
      </c>
      <c r="AG350" s="45"/>
      <c r="AH350" s="45">
        <v>141488</v>
      </c>
      <c r="AI350" s="45">
        <v>155000</v>
      </c>
      <c r="AJ350" s="76">
        <f t="shared" si="428"/>
        <v>148244</v>
      </c>
      <c r="AK350" s="24">
        <f t="shared" si="429"/>
        <v>21767</v>
      </c>
      <c r="AL350" s="281">
        <f t="shared" si="430"/>
        <v>0.17210243759734972</v>
      </c>
      <c r="AM350" s="462">
        <f t="shared" si="431"/>
        <v>148244</v>
      </c>
      <c r="AN350" s="513">
        <v>130843</v>
      </c>
      <c r="AO350" s="88">
        <v>150000</v>
      </c>
      <c r="AP350" s="116">
        <v>150000</v>
      </c>
      <c r="AQ350" s="74">
        <v>155636.25</v>
      </c>
      <c r="AR350" s="76">
        <f t="shared" si="432"/>
        <v>151878.75</v>
      </c>
      <c r="AS350" s="24">
        <f t="shared" si="433"/>
        <v>21035.75</v>
      </c>
      <c r="AT350" s="25">
        <f t="shared" si="434"/>
        <v>0.16077092393173498</v>
      </c>
      <c r="AU350" s="309">
        <f t="shared" si="435"/>
        <v>151878.75</v>
      </c>
      <c r="AV350" s="462">
        <f t="shared" si="436"/>
        <v>151878.75</v>
      </c>
      <c r="AW350" s="551">
        <v>130843</v>
      </c>
      <c r="AX350" s="57">
        <v>162710.625</v>
      </c>
      <c r="AY350" s="57">
        <v>320000</v>
      </c>
      <c r="AZ350" s="56">
        <v>187470.9375</v>
      </c>
      <c r="BA350" s="58">
        <v>285000</v>
      </c>
      <c r="BB350" s="60">
        <v>278000</v>
      </c>
      <c r="BC350" s="57">
        <v>232759.99999999994</v>
      </c>
      <c r="BD350" s="79">
        <v>187470.9375</v>
      </c>
      <c r="BE350" s="79">
        <f>128625*1.1</f>
        <v>141487.5</v>
      </c>
      <c r="BF350" s="127">
        <v>169785</v>
      </c>
      <c r="BG350" s="128">
        <v>140000</v>
      </c>
      <c r="BH350" s="128">
        <v>145000</v>
      </c>
      <c r="BI350" s="29">
        <f t="shared" si="437"/>
        <v>244323.59375</v>
      </c>
      <c r="BJ350" s="24">
        <f t="shared" si="438"/>
        <v>113480.59375</v>
      </c>
      <c r="BK350" s="25">
        <f t="shared" si="439"/>
        <v>0.86730351451739873</v>
      </c>
      <c r="BL350" s="308" t="str">
        <f t="shared" si="440"/>
        <v>REVISAR PRECIO</v>
      </c>
      <c r="BM350" s="533">
        <f t="shared" si="441"/>
        <v>244323.59375</v>
      </c>
    </row>
    <row r="351" spans="1:65" ht="44.45" customHeight="1">
      <c r="A351" s="91" t="s">
        <v>23</v>
      </c>
      <c r="B351" s="358" t="s">
        <v>2542</v>
      </c>
      <c r="C351" s="50" t="s">
        <v>211</v>
      </c>
      <c r="D351" s="99" t="s">
        <v>551</v>
      </c>
      <c r="E351" s="391" t="s">
        <v>13</v>
      </c>
      <c r="F351" s="410">
        <v>139264</v>
      </c>
      <c r="G351" s="10">
        <v>162837</v>
      </c>
      <c r="H351" s="167">
        <v>651348</v>
      </c>
      <c r="I351" s="10">
        <v>163520</v>
      </c>
      <c r="J351" s="76">
        <f t="shared" si="419"/>
        <v>163178.5</v>
      </c>
      <c r="K351" s="24">
        <f t="shared" si="420"/>
        <v>23914.5</v>
      </c>
      <c r="L351" s="281">
        <f t="shared" si="421"/>
        <v>0.17172061695772059</v>
      </c>
      <c r="M351" s="431">
        <f t="shared" si="422"/>
        <v>651348</v>
      </c>
      <c r="N351" s="410">
        <v>119196</v>
      </c>
      <c r="O351" s="10">
        <v>225000</v>
      </c>
      <c r="P351" s="10">
        <v>230000</v>
      </c>
      <c r="Q351" s="268">
        <v>230000</v>
      </c>
      <c r="R351" s="10">
        <v>300000</v>
      </c>
      <c r="S351" s="76">
        <f t="shared" si="450"/>
        <v>246250</v>
      </c>
      <c r="T351" s="24">
        <f t="shared" si="451"/>
        <v>127054</v>
      </c>
      <c r="U351" s="281">
        <f t="shared" si="452"/>
        <v>1.0659250310413102</v>
      </c>
      <c r="V351" s="462">
        <f t="shared" si="453"/>
        <v>246250</v>
      </c>
      <c r="W351" s="410">
        <v>206687</v>
      </c>
      <c r="X351" s="31">
        <v>268812</v>
      </c>
      <c r="Y351" s="31">
        <v>268812</v>
      </c>
      <c r="Z351" s="472">
        <v>234961.6</v>
      </c>
      <c r="AA351" s="76">
        <f t="shared" si="423"/>
        <v>257528.53333333333</v>
      </c>
      <c r="AB351" s="24">
        <f t="shared" si="424"/>
        <v>50841.533333333326</v>
      </c>
      <c r="AC351" s="25">
        <f t="shared" si="425"/>
        <v>0.24598321778018611</v>
      </c>
      <c r="AD351" s="309">
        <f t="shared" si="426"/>
        <v>257528.53333333333</v>
      </c>
      <c r="AE351" s="462">
        <f t="shared" si="427"/>
        <v>257528.53333333333</v>
      </c>
      <c r="AF351" s="410">
        <v>133416</v>
      </c>
      <c r="AG351" s="45"/>
      <c r="AH351" s="45">
        <v>162837</v>
      </c>
      <c r="AI351" s="45">
        <v>160000</v>
      </c>
      <c r="AJ351" s="76">
        <f t="shared" si="428"/>
        <v>161418.5</v>
      </c>
      <c r="AK351" s="24">
        <f t="shared" si="429"/>
        <v>28002.5</v>
      </c>
      <c r="AL351" s="281">
        <f t="shared" si="430"/>
        <v>0.20988861905618517</v>
      </c>
      <c r="AM351" s="462">
        <f t="shared" si="431"/>
        <v>161418.5</v>
      </c>
      <c r="AN351" s="513">
        <v>140003</v>
      </c>
      <c r="AO351" s="88">
        <v>170000</v>
      </c>
      <c r="AP351" s="116">
        <v>170000</v>
      </c>
      <c r="AQ351" s="74">
        <v>179120.20499999999</v>
      </c>
      <c r="AR351" s="76">
        <f t="shared" si="432"/>
        <v>173040.06833333333</v>
      </c>
      <c r="AS351" s="24">
        <f t="shared" si="433"/>
        <v>33037.068333333329</v>
      </c>
      <c r="AT351" s="25">
        <f t="shared" si="434"/>
        <v>0.23597400293803225</v>
      </c>
      <c r="AU351" s="309">
        <f t="shared" si="435"/>
        <v>173040.06833333333</v>
      </c>
      <c r="AV351" s="462">
        <f t="shared" si="436"/>
        <v>173040.06833333333</v>
      </c>
      <c r="AW351" s="551">
        <v>140003</v>
      </c>
      <c r="AX351" s="57">
        <v>187262.03249999997</v>
      </c>
      <c r="AY351" s="57">
        <v>370000</v>
      </c>
      <c r="AZ351" s="56">
        <v>215758.42874999999</v>
      </c>
      <c r="BA351" s="58">
        <v>225000</v>
      </c>
      <c r="BB351" s="60">
        <v>290000</v>
      </c>
      <c r="BC351" s="57">
        <v>257887.49999999994</v>
      </c>
      <c r="BD351" s="79">
        <v>215758.42874999999</v>
      </c>
      <c r="BE351" s="79">
        <f>141597*1.15</f>
        <v>162836.54999999999</v>
      </c>
      <c r="BF351" s="127">
        <v>195403.86</v>
      </c>
      <c r="BG351" s="128">
        <v>170000</v>
      </c>
      <c r="BH351" s="128">
        <v>165000</v>
      </c>
      <c r="BI351" s="29">
        <f t="shared" si="437"/>
        <v>257651.326875</v>
      </c>
      <c r="BJ351" s="24">
        <f t="shared" si="438"/>
        <v>117648.326875</v>
      </c>
      <c r="BK351" s="25">
        <f t="shared" si="439"/>
        <v>0.8403271849531796</v>
      </c>
      <c r="BL351" s="308" t="str">
        <f t="shared" si="440"/>
        <v>REVISAR PRECIO</v>
      </c>
      <c r="BM351" s="533">
        <f t="shared" si="441"/>
        <v>257651.326875</v>
      </c>
    </row>
    <row r="352" spans="1:65" ht="44.45" customHeight="1">
      <c r="A352" s="91" t="s">
        <v>23</v>
      </c>
      <c r="B352" s="358" t="s">
        <v>2543</v>
      </c>
      <c r="C352" s="50" t="s">
        <v>212</v>
      </c>
      <c r="D352" s="99" t="s">
        <v>552</v>
      </c>
      <c r="E352" s="391" t="s">
        <v>13</v>
      </c>
      <c r="F352" s="410">
        <v>138628</v>
      </c>
      <c r="G352" s="10">
        <v>160653</v>
      </c>
      <c r="H352" s="167">
        <v>642612</v>
      </c>
      <c r="I352" s="10">
        <v>163520</v>
      </c>
      <c r="J352" s="76">
        <f t="shared" si="419"/>
        <v>162086.5</v>
      </c>
      <c r="K352" s="24">
        <f t="shared" si="420"/>
        <v>23458.5</v>
      </c>
      <c r="L352" s="281">
        <f t="shared" si="421"/>
        <v>0.16921906108434082</v>
      </c>
      <c r="M352" s="431">
        <f t="shared" si="422"/>
        <v>642612</v>
      </c>
      <c r="N352" s="410">
        <v>119547</v>
      </c>
      <c r="O352" s="10">
        <v>305000</v>
      </c>
      <c r="P352" s="10">
        <v>315000</v>
      </c>
      <c r="Q352" s="268">
        <v>310000</v>
      </c>
      <c r="R352" s="10">
        <v>380000</v>
      </c>
      <c r="S352" s="76">
        <f t="shared" si="450"/>
        <v>327500</v>
      </c>
      <c r="T352" s="24">
        <f t="shared" si="451"/>
        <v>207953</v>
      </c>
      <c r="U352" s="281">
        <f t="shared" si="452"/>
        <v>1.7395083105389513</v>
      </c>
      <c r="V352" s="462">
        <f t="shared" si="453"/>
        <v>327500</v>
      </c>
      <c r="W352" s="410">
        <v>205379</v>
      </c>
      <c r="X352" s="31">
        <v>267111</v>
      </c>
      <c r="Y352" s="31">
        <v>347244</v>
      </c>
      <c r="Z352" s="472">
        <v>233474.8</v>
      </c>
      <c r="AA352" s="76">
        <f t="shared" si="423"/>
        <v>282609.93333333335</v>
      </c>
      <c r="AB352" s="24">
        <f t="shared" si="424"/>
        <v>77230.933333333349</v>
      </c>
      <c r="AC352" s="25">
        <f t="shared" si="425"/>
        <v>0.37604104282002226</v>
      </c>
      <c r="AD352" s="309" t="str">
        <f t="shared" si="426"/>
        <v>REVISAR PRECIO</v>
      </c>
      <c r="AE352" s="462">
        <f t="shared" si="427"/>
        <v>282609.93333333335</v>
      </c>
      <c r="AF352" s="410">
        <v>133264</v>
      </c>
      <c r="AG352" s="45"/>
      <c r="AH352" s="45">
        <v>160653</v>
      </c>
      <c r="AI352" s="45">
        <v>160000</v>
      </c>
      <c r="AJ352" s="76">
        <f t="shared" si="428"/>
        <v>160326.5</v>
      </c>
      <c r="AK352" s="24">
        <f t="shared" si="429"/>
        <v>27062.5</v>
      </c>
      <c r="AL352" s="281">
        <f t="shared" si="430"/>
        <v>0.20307434866130389</v>
      </c>
      <c r="AM352" s="462">
        <f t="shared" si="431"/>
        <v>160326.5</v>
      </c>
      <c r="AN352" s="513">
        <v>139120</v>
      </c>
      <c r="AO352" s="88">
        <v>168500</v>
      </c>
      <c r="AP352" s="116">
        <v>180000</v>
      </c>
      <c r="AQ352" s="74">
        <v>176718.80599999998</v>
      </c>
      <c r="AR352" s="76">
        <f t="shared" si="432"/>
        <v>175072.93533333333</v>
      </c>
      <c r="AS352" s="24">
        <f t="shared" si="433"/>
        <v>35952.935333333327</v>
      </c>
      <c r="AT352" s="25">
        <f t="shared" si="434"/>
        <v>0.25843110504121136</v>
      </c>
      <c r="AU352" s="309">
        <f t="shared" si="435"/>
        <v>175072.93533333333</v>
      </c>
      <c r="AV352" s="462">
        <f t="shared" si="436"/>
        <v>175072.93533333333</v>
      </c>
      <c r="AW352" s="551">
        <v>139120</v>
      </c>
      <c r="AX352" s="57">
        <v>184751.47899999999</v>
      </c>
      <c r="AY352" s="57">
        <v>370000</v>
      </c>
      <c r="AZ352" s="56">
        <v>212865.8345</v>
      </c>
      <c r="BA352" s="58">
        <v>305000</v>
      </c>
      <c r="BB352" s="60">
        <v>290000</v>
      </c>
      <c r="BC352" s="57">
        <v>271905.99999999994</v>
      </c>
      <c r="BD352" s="79">
        <v>212865.8345</v>
      </c>
      <c r="BE352" s="79">
        <f>136147*1.18</f>
        <v>160653.46</v>
      </c>
      <c r="BF352" s="127">
        <v>192784.152</v>
      </c>
      <c r="BG352" s="128">
        <v>200000</v>
      </c>
      <c r="BH352" s="128">
        <v>210000</v>
      </c>
      <c r="BI352" s="29">
        <f t="shared" si="437"/>
        <v>272420.55225000001</v>
      </c>
      <c r="BJ352" s="24">
        <f t="shared" si="438"/>
        <v>133300.55225000001</v>
      </c>
      <c r="BK352" s="25">
        <f t="shared" si="439"/>
        <v>0.95816958201552627</v>
      </c>
      <c r="BL352" s="308" t="str">
        <f t="shared" si="440"/>
        <v>REVISAR PRECIO</v>
      </c>
      <c r="BM352" s="533">
        <f t="shared" si="441"/>
        <v>272420.55225000001</v>
      </c>
    </row>
    <row r="353" spans="1:65" ht="44.45" customHeight="1">
      <c r="A353" s="91" t="s">
        <v>23</v>
      </c>
      <c r="B353" s="358" t="s">
        <v>2544</v>
      </c>
      <c r="C353" s="50" t="s">
        <v>213</v>
      </c>
      <c r="D353" s="99" t="s">
        <v>553</v>
      </c>
      <c r="E353" s="391" t="s">
        <v>25</v>
      </c>
      <c r="F353" s="410">
        <v>24643</v>
      </c>
      <c r="G353" s="10">
        <v>29635</v>
      </c>
      <c r="H353" s="167">
        <v>118540</v>
      </c>
      <c r="I353" s="10">
        <v>45600</v>
      </c>
      <c r="J353" s="76">
        <f t="shared" si="419"/>
        <v>37617.5</v>
      </c>
      <c r="K353" s="24">
        <f t="shared" si="420"/>
        <v>12974.5</v>
      </c>
      <c r="L353" s="281">
        <f t="shared" si="421"/>
        <v>0.52649839711074142</v>
      </c>
      <c r="M353" s="431">
        <f t="shared" si="422"/>
        <v>118540</v>
      </c>
      <c r="N353" s="410">
        <v>21187</v>
      </c>
      <c r="O353" s="10">
        <v>22500</v>
      </c>
      <c r="P353" s="10">
        <v>25000</v>
      </c>
      <c r="Q353" s="268">
        <v>25000</v>
      </c>
      <c r="R353" s="10">
        <v>40000</v>
      </c>
      <c r="S353" s="76">
        <f t="shared" si="450"/>
        <v>28125</v>
      </c>
      <c r="T353" s="24">
        <f t="shared" si="451"/>
        <v>6938</v>
      </c>
      <c r="U353" s="281">
        <f t="shared" si="452"/>
        <v>0.32746495492518995</v>
      </c>
      <c r="V353" s="462">
        <f t="shared" si="453"/>
        <v>28125</v>
      </c>
      <c r="W353" s="410">
        <v>37212</v>
      </c>
      <c r="X353" s="31">
        <v>48398</v>
      </c>
      <c r="Y353" s="31">
        <v>62917</v>
      </c>
      <c r="Z353" s="472">
        <v>42303</v>
      </c>
      <c r="AA353" s="76">
        <f t="shared" si="423"/>
        <v>51206</v>
      </c>
      <c r="AB353" s="24">
        <f t="shared" si="424"/>
        <v>13994</v>
      </c>
      <c r="AC353" s="25">
        <f t="shared" si="425"/>
        <v>0.37606148554229818</v>
      </c>
      <c r="AD353" s="309" t="str">
        <f t="shared" si="426"/>
        <v>REVISAR PRECIO</v>
      </c>
      <c r="AE353" s="462">
        <f t="shared" si="427"/>
        <v>51206</v>
      </c>
      <c r="AF353" s="410">
        <v>23475</v>
      </c>
      <c r="AG353" s="45">
        <v>40000</v>
      </c>
      <c r="AH353" s="45">
        <v>29635</v>
      </c>
      <c r="AI353" s="45">
        <v>40000</v>
      </c>
      <c r="AJ353" s="76">
        <f t="shared" si="428"/>
        <v>36545</v>
      </c>
      <c r="AK353" s="24">
        <f t="shared" si="429"/>
        <v>13070</v>
      </c>
      <c r="AL353" s="281">
        <f t="shared" si="430"/>
        <v>0.55676251331203408</v>
      </c>
      <c r="AM353" s="462">
        <f t="shared" si="431"/>
        <v>36545</v>
      </c>
      <c r="AN353" s="513">
        <v>25202</v>
      </c>
      <c r="AO353" s="88">
        <v>31000</v>
      </c>
      <c r="AP353" s="116">
        <v>31000</v>
      </c>
      <c r="AQ353" s="74">
        <v>32598.61</v>
      </c>
      <c r="AR353" s="76">
        <f t="shared" si="432"/>
        <v>31532.87</v>
      </c>
      <c r="AS353" s="24">
        <f t="shared" si="433"/>
        <v>6330.869999999999</v>
      </c>
      <c r="AT353" s="25">
        <f t="shared" si="434"/>
        <v>0.25120506309023088</v>
      </c>
      <c r="AU353" s="309">
        <f t="shared" si="435"/>
        <v>31532.87</v>
      </c>
      <c r="AV353" s="462">
        <f t="shared" si="436"/>
        <v>31532.87</v>
      </c>
      <c r="AW353" s="551">
        <v>25202</v>
      </c>
      <c r="AX353" s="57">
        <v>34080.365000000005</v>
      </c>
      <c r="AY353" s="57">
        <v>40000</v>
      </c>
      <c r="AZ353" s="56">
        <v>39266.5075</v>
      </c>
      <c r="BA353" s="58">
        <v>35880</v>
      </c>
      <c r="BB353" s="60">
        <v>78000</v>
      </c>
      <c r="BC353" s="57">
        <v>41262</v>
      </c>
      <c r="BD353" s="79">
        <v>39266.5075</v>
      </c>
      <c r="BE353" s="79">
        <f>26941*1.1</f>
        <v>29635.100000000002</v>
      </c>
      <c r="BF353" s="127">
        <v>35562.120000000003</v>
      </c>
      <c r="BG353" s="128">
        <v>26000</v>
      </c>
      <c r="BH353" s="128">
        <v>30000</v>
      </c>
      <c r="BI353" s="29">
        <f t="shared" si="437"/>
        <v>44748.145416666666</v>
      </c>
      <c r="BJ353" s="24">
        <f t="shared" si="438"/>
        <v>19546.145416666666</v>
      </c>
      <c r="BK353" s="25">
        <f t="shared" si="439"/>
        <v>0.77557913723778538</v>
      </c>
      <c r="BL353" s="308" t="str">
        <f t="shared" si="440"/>
        <v>REVISAR PRECIO</v>
      </c>
      <c r="BM353" s="533">
        <f t="shared" si="441"/>
        <v>44748.145416666666</v>
      </c>
    </row>
    <row r="354" spans="1:65" ht="44.45" customHeight="1">
      <c r="A354" s="91" t="s">
        <v>23</v>
      </c>
      <c r="B354" s="358" t="s">
        <v>2545</v>
      </c>
      <c r="C354" s="50" t="s">
        <v>214</v>
      </c>
      <c r="D354" s="99" t="s">
        <v>554</v>
      </c>
      <c r="E354" s="391" t="s">
        <v>25</v>
      </c>
      <c r="F354" s="410">
        <v>42280</v>
      </c>
      <c r="G354" s="10">
        <v>50954</v>
      </c>
      <c r="H354" s="167">
        <v>203816</v>
      </c>
      <c r="I354" s="10">
        <v>52550</v>
      </c>
      <c r="J354" s="76">
        <f t="shared" si="419"/>
        <v>51752</v>
      </c>
      <c r="K354" s="24">
        <f t="shared" si="420"/>
        <v>9472</v>
      </c>
      <c r="L354" s="281">
        <f t="shared" si="421"/>
        <v>0.22403027436140019</v>
      </c>
      <c r="M354" s="431">
        <f t="shared" si="422"/>
        <v>203816</v>
      </c>
      <c r="N354" s="410">
        <v>37058</v>
      </c>
      <c r="O354" s="10">
        <v>32500</v>
      </c>
      <c r="P354" s="10">
        <v>35000</v>
      </c>
      <c r="Q354" s="268">
        <v>35000</v>
      </c>
      <c r="R354" s="10">
        <v>40000</v>
      </c>
      <c r="S354" s="76">
        <f t="shared" si="450"/>
        <v>35625</v>
      </c>
      <c r="T354" s="24">
        <f t="shared" si="451"/>
        <v>-1433</v>
      </c>
      <c r="U354" s="281">
        <f t="shared" si="452"/>
        <v>-3.8669113281882453E-2</v>
      </c>
      <c r="V354" s="462">
        <f t="shared" si="453"/>
        <v>35625</v>
      </c>
      <c r="W354" s="410">
        <v>63245</v>
      </c>
      <c r="X354" s="31">
        <v>82256</v>
      </c>
      <c r="Y354" s="31">
        <v>106932</v>
      </c>
      <c r="Z354" s="472">
        <v>71897.399999999994</v>
      </c>
      <c r="AA354" s="76">
        <f t="shared" si="423"/>
        <v>87028.46666666666</v>
      </c>
      <c r="AB354" s="24">
        <f t="shared" si="424"/>
        <v>23783.46666666666</v>
      </c>
      <c r="AC354" s="25">
        <f t="shared" si="425"/>
        <v>0.37605291590903089</v>
      </c>
      <c r="AD354" s="309" t="str">
        <f t="shared" si="426"/>
        <v>REVISAR PRECIO</v>
      </c>
      <c r="AE354" s="462">
        <f t="shared" si="427"/>
        <v>87028.46666666666</v>
      </c>
      <c r="AF354" s="410">
        <v>41102</v>
      </c>
      <c r="AG354" s="45">
        <v>60000</v>
      </c>
      <c r="AH354" s="45">
        <v>50954</v>
      </c>
      <c r="AI354" s="45">
        <v>50000</v>
      </c>
      <c r="AJ354" s="76">
        <f t="shared" si="428"/>
        <v>53651.333333333336</v>
      </c>
      <c r="AK354" s="24">
        <f t="shared" si="429"/>
        <v>12549.333333333336</v>
      </c>
      <c r="AL354" s="281">
        <f t="shared" si="430"/>
        <v>0.30532171994874546</v>
      </c>
      <c r="AM354" s="462">
        <f t="shared" si="431"/>
        <v>53651.333333333336</v>
      </c>
      <c r="AN354" s="513">
        <v>42839</v>
      </c>
      <c r="AO354" s="88">
        <v>53500</v>
      </c>
      <c r="AP354" s="116">
        <v>65000</v>
      </c>
      <c r="AQ354" s="74">
        <v>56049.62</v>
      </c>
      <c r="AR354" s="76">
        <f t="shared" si="432"/>
        <v>58183.206666666665</v>
      </c>
      <c r="AS354" s="24">
        <f t="shared" si="433"/>
        <v>15344.206666666665</v>
      </c>
      <c r="AT354" s="25">
        <f t="shared" si="434"/>
        <v>0.35818311974291334</v>
      </c>
      <c r="AU354" s="309" t="str">
        <f t="shared" si="435"/>
        <v>REVISAR PRECIO</v>
      </c>
      <c r="AV354" s="462">
        <f t="shared" si="436"/>
        <v>58183.206666666665</v>
      </c>
      <c r="AW354" s="551">
        <v>42839</v>
      </c>
      <c r="AX354" s="57">
        <v>58597.33</v>
      </c>
      <c r="AY354" s="57">
        <v>48000</v>
      </c>
      <c r="AZ354" s="56">
        <v>67514.315000000002</v>
      </c>
      <c r="BA354" s="58">
        <v>63939.999999999993</v>
      </c>
      <c r="BB354" s="60">
        <v>92000</v>
      </c>
      <c r="BC354" s="57">
        <v>73530.999999999985</v>
      </c>
      <c r="BD354" s="79">
        <v>67514.315000000002</v>
      </c>
      <c r="BE354" s="79">
        <f>46322*1.1</f>
        <v>50954.200000000004</v>
      </c>
      <c r="BF354" s="127">
        <v>61145.040000000008</v>
      </c>
      <c r="BG354" s="128">
        <v>52000</v>
      </c>
      <c r="BH354" s="128">
        <v>55000</v>
      </c>
      <c r="BI354" s="29">
        <f t="shared" si="437"/>
        <v>67263.77416666667</v>
      </c>
      <c r="BJ354" s="24">
        <f t="shared" si="438"/>
        <v>24424.77416666667</v>
      </c>
      <c r="BK354" s="25">
        <f t="shared" si="439"/>
        <v>0.57015276189142294</v>
      </c>
      <c r="BL354" s="308" t="str">
        <f t="shared" si="440"/>
        <v>REVISAR PRECIO</v>
      </c>
      <c r="BM354" s="533">
        <f t="shared" si="441"/>
        <v>67263.77416666667</v>
      </c>
    </row>
    <row r="355" spans="1:65" ht="53.45" customHeight="1">
      <c r="A355" s="91" t="s">
        <v>23</v>
      </c>
      <c r="B355" s="358" t="s">
        <v>2546</v>
      </c>
      <c r="C355" s="50" t="s">
        <v>215</v>
      </c>
      <c r="D355" s="99" t="s">
        <v>555</v>
      </c>
      <c r="E355" s="391" t="s">
        <v>10</v>
      </c>
      <c r="F355" s="410">
        <v>135932</v>
      </c>
      <c r="G355" s="10">
        <v>58272</v>
      </c>
      <c r="H355" s="167">
        <v>233088</v>
      </c>
      <c r="I355" s="10"/>
      <c r="J355" s="76">
        <f t="shared" si="419"/>
        <v>58272</v>
      </c>
      <c r="K355" s="24">
        <f t="shared" si="420"/>
        <v>-77660</v>
      </c>
      <c r="L355" s="281">
        <f t="shared" si="421"/>
        <v>-0.5713150692993556</v>
      </c>
      <c r="M355" s="431">
        <f t="shared" si="422"/>
        <v>233088</v>
      </c>
      <c r="N355" s="410">
        <v>118750</v>
      </c>
      <c r="O355" s="10">
        <v>18000</v>
      </c>
      <c r="P355" s="10">
        <v>21000</v>
      </c>
      <c r="Q355" s="268">
        <v>21000</v>
      </c>
      <c r="R355" s="10">
        <v>20000</v>
      </c>
      <c r="S355" s="76">
        <f t="shared" si="450"/>
        <v>20000</v>
      </c>
      <c r="T355" s="24">
        <f t="shared" si="451"/>
        <v>-98750</v>
      </c>
      <c r="U355" s="281">
        <f t="shared" si="452"/>
        <v>-0.83157894736842108</v>
      </c>
      <c r="V355" s="462">
        <f t="shared" si="453"/>
        <v>20000</v>
      </c>
      <c r="W355" s="410">
        <v>196732</v>
      </c>
      <c r="X355" s="31">
        <v>255866</v>
      </c>
      <c r="Y355" s="31">
        <v>332625</v>
      </c>
      <c r="Z355" s="472">
        <v>223645.4</v>
      </c>
      <c r="AA355" s="76">
        <f t="shared" si="423"/>
        <v>270712.13333333336</v>
      </c>
      <c r="AB355" s="24">
        <f t="shared" si="424"/>
        <v>73980.13333333336</v>
      </c>
      <c r="AC355" s="25">
        <f t="shared" si="425"/>
        <v>0.37604524598607936</v>
      </c>
      <c r="AD355" s="309" t="str">
        <f t="shared" si="426"/>
        <v>REVISAR PRECIO</v>
      </c>
      <c r="AE355" s="462">
        <f t="shared" si="427"/>
        <v>270712.13333333336</v>
      </c>
      <c r="AF355" s="410">
        <v>132599</v>
      </c>
      <c r="AG355" s="45">
        <v>50000</v>
      </c>
      <c r="AH355" s="45">
        <v>58272</v>
      </c>
      <c r="AI355" s="45">
        <v>55000</v>
      </c>
      <c r="AJ355" s="76">
        <f t="shared" si="428"/>
        <v>54424</v>
      </c>
      <c r="AK355" s="24">
        <f t="shared" si="429"/>
        <v>-78175</v>
      </c>
      <c r="AL355" s="281">
        <f t="shared" si="430"/>
        <v>-0.58955949894041437</v>
      </c>
      <c r="AM355" s="462">
        <f t="shared" si="431"/>
        <v>54424</v>
      </c>
      <c r="AN355" s="513">
        <v>133264</v>
      </c>
      <c r="AO355" s="88">
        <v>61000</v>
      </c>
      <c r="AP355" s="116">
        <v>61000</v>
      </c>
      <c r="AQ355" s="74">
        <v>64098.814999999995</v>
      </c>
      <c r="AR355" s="76">
        <f t="shared" si="432"/>
        <v>62032.938333333332</v>
      </c>
      <c r="AS355" s="24">
        <f t="shared" si="433"/>
        <v>-71231.061666666676</v>
      </c>
      <c r="AT355" s="25">
        <f t="shared" si="434"/>
        <v>-0.53451090817224967</v>
      </c>
      <c r="AU355" s="309">
        <f t="shared" si="435"/>
        <v>62032.938333333332</v>
      </c>
      <c r="AV355" s="462">
        <f t="shared" si="436"/>
        <v>62032.938333333332</v>
      </c>
      <c r="AW355" s="551">
        <v>133264</v>
      </c>
      <c r="AX355" s="57">
        <v>67012.397499999992</v>
      </c>
      <c r="AY355" s="57">
        <v>60000</v>
      </c>
      <c r="AZ355" s="56">
        <v>77209.936249999999</v>
      </c>
      <c r="BA355" s="58">
        <v>67012.397499999992</v>
      </c>
      <c r="BB355" s="60">
        <v>45000</v>
      </c>
      <c r="BC355" s="57">
        <v>77064.257124999989</v>
      </c>
      <c r="BD355" s="79">
        <v>77209.936249999999</v>
      </c>
      <c r="BE355" s="79">
        <f>50671*1.15</f>
        <v>58271.649999999994</v>
      </c>
      <c r="BF355" s="127">
        <v>69925.98</v>
      </c>
      <c r="BG355" s="128">
        <v>68900</v>
      </c>
      <c r="BH355" s="128">
        <v>65000</v>
      </c>
      <c r="BI355" s="29">
        <f t="shared" si="437"/>
        <v>65549.831395833331</v>
      </c>
      <c r="BJ355" s="24">
        <f t="shared" si="438"/>
        <v>-67714.168604166669</v>
      </c>
      <c r="BK355" s="25">
        <f t="shared" si="439"/>
        <v>-0.50812048718458602</v>
      </c>
      <c r="BL355" s="308">
        <f t="shared" si="440"/>
        <v>65549.831395833331</v>
      </c>
      <c r="BM355" s="533">
        <f t="shared" si="441"/>
        <v>65549.831395833331</v>
      </c>
    </row>
    <row r="356" spans="1:65" ht="53.45" customHeight="1">
      <c r="A356" s="91" t="s">
        <v>23</v>
      </c>
      <c r="B356" s="358" t="s">
        <v>2547</v>
      </c>
      <c r="C356" s="50" t="s">
        <v>216</v>
      </c>
      <c r="D356" s="99" t="s">
        <v>556</v>
      </c>
      <c r="E356" s="391" t="s">
        <v>13</v>
      </c>
      <c r="F356" s="410">
        <v>89913</v>
      </c>
      <c r="G356" s="10">
        <v>97693</v>
      </c>
      <c r="H356" s="167">
        <v>488465</v>
      </c>
      <c r="I356" s="10">
        <v>96666</v>
      </c>
      <c r="J356" s="76">
        <f t="shared" si="419"/>
        <v>97179.5</v>
      </c>
      <c r="K356" s="24">
        <f t="shared" si="420"/>
        <v>7266.5</v>
      </c>
      <c r="L356" s="281">
        <f t="shared" si="421"/>
        <v>8.0817012000489366E-2</v>
      </c>
      <c r="M356" s="431">
        <f t="shared" si="422"/>
        <v>488465</v>
      </c>
      <c r="N356" s="443"/>
      <c r="O356" s="250"/>
      <c r="P356" s="250"/>
      <c r="Q356" s="250"/>
      <c r="R356" s="250"/>
      <c r="S356" s="250"/>
      <c r="T356" s="250"/>
      <c r="U356" s="250"/>
      <c r="V356" s="443"/>
      <c r="W356" s="410">
        <v>133456</v>
      </c>
      <c r="X356" s="31">
        <v>173570</v>
      </c>
      <c r="Y356" s="31">
        <v>225640</v>
      </c>
      <c r="Z356" s="472">
        <v>151712.6</v>
      </c>
      <c r="AA356" s="76">
        <f t="shared" si="423"/>
        <v>183640.86666666667</v>
      </c>
      <c r="AB356" s="24">
        <f t="shared" si="424"/>
        <v>50184.866666666669</v>
      </c>
      <c r="AC356" s="25">
        <f t="shared" si="425"/>
        <v>0.37604054270071535</v>
      </c>
      <c r="AD356" s="309" t="str">
        <f t="shared" si="426"/>
        <v>REVISAR PRECIO</v>
      </c>
      <c r="AE356" s="462">
        <f t="shared" si="427"/>
        <v>183640.86666666667</v>
      </c>
      <c r="AF356" s="499">
        <v>84549</v>
      </c>
      <c r="AG356" s="317">
        <v>120000</v>
      </c>
      <c r="AH356" s="317">
        <v>97693</v>
      </c>
      <c r="AI356" s="45">
        <v>98000</v>
      </c>
      <c r="AJ356" s="76">
        <f t="shared" si="428"/>
        <v>105231</v>
      </c>
      <c r="AK356" s="24">
        <f t="shared" si="429"/>
        <v>20682</v>
      </c>
      <c r="AL356" s="281">
        <f t="shared" si="430"/>
        <v>0.24461554838022923</v>
      </c>
      <c r="AM356" s="462">
        <f t="shared" si="431"/>
        <v>105231</v>
      </c>
      <c r="AN356" s="513">
        <v>90405</v>
      </c>
      <c r="AO356" s="88">
        <v>102500</v>
      </c>
      <c r="AP356" s="116">
        <v>105000</v>
      </c>
      <c r="AQ356" s="74">
        <v>107462.52000000002</v>
      </c>
      <c r="AR356" s="76">
        <f t="shared" si="432"/>
        <v>104987.50666666667</v>
      </c>
      <c r="AS356" s="24">
        <f t="shared" si="433"/>
        <v>14582.506666666668</v>
      </c>
      <c r="AT356" s="25">
        <f t="shared" si="434"/>
        <v>0.16130199288387442</v>
      </c>
      <c r="AU356" s="309">
        <f t="shared" si="435"/>
        <v>104987.50666666667</v>
      </c>
      <c r="AV356" s="462">
        <f t="shared" si="436"/>
        <v>104987.50666666667</v>
      </c>
      <c r="AW356" s="551">
        <v>90405</v>
      </c>
      <c r="AX356" s="57">
        <v>112347.18000000001</v>
      </c>
      <c r="AY356" s="57">
        <v>130000</v>
      </c>
      <c r="AZ356" s="56">
        <v>129443.49</v>
      </c>
      <c r="BA356" s="58">
        <v>15500</v>
      </c>
      <c r="BB356" s="60">
        <v>95000</v>
      </c>
      <c r="BC356" s="57">
        <v>154732.5</v>
      </c>
      <c r="BD356" s="79">
        <v>129443.49</v>
      </c>
      <c r="BE356" s="79">
        <f>88812*1.1</f>
        <v>97693.200000000012</v>
      </c>
      <c r="BF356" s="127">
        <v>117231.84000000001</v>
      </c>
      <c r="BG356" s="128">
        <v>91900</v>
      </c>
      <c r="BH356" s="128">
        <v>100000</v>
      </c>
      <c r="BI356" s="29">
        <f t="shared" si="437"/>
        <v>106170.52833333332</v>
      </c>
      <c r="BJ356" s="24">
        <f t="shared" si="438"/>
        <v>15765.528333333321</v>
      </c>
      <c r="BK356" s="25">
        <f t="shared" si="439"/>
        <v>0.17438779197315768</v>
      </c>
      <c r="BL356" s="308">
        <f t="shared" si="440"/>
        <v>106170.52833333332</v>
      </c>
      <c r="BM356" s="533">
        <f t="shared" si="441"/>
        <v>106170.52833333332</v>
      </c>
    </row>
    <row r="357" spans="1:65" ht="53.45" customHeight="1">
      <c r="A357" s="91" t="s">
        <v>23</v>
      </c>
      <c r="B357" s="358" t="s">
        <v>2548</v>
      </c>
      <c r="C357" s="50" t="s">
        <v>217</v>
      </c>
      <c r="D357" s="99" t="s">
        <v>557</v>
      </c>
      <c r="E357" s="391" t="s">
        <v>10</v>
      </c>
      <c r="F357" s="410">
        <v>128044</v>
      </c>
      <c r="G357" s="10">
        <v>148754</v>
      </c>
      <c r="H357" s="167">
        <v>743770</v>
      </c>
      <c r="I357" s="10">
        <v>145622</v>
      </c>
      <c r="J357" s="76">
        <f t="shared" si="419"/>
        <v>147188</v>
      </c>
      <c r="K357" s="24">
        <f t="shared" si="420"/>
        <v>19144</v>
      </c>
      <c r="L357" s="281">
        <f t="shared" si="421"/>
        <v>0.14951110555746464</v>
      </c>
      <c r="M357" s="431">
        <f t="shared" si="422"/>
        <v>743770</v>
      </c>
      <c r="N357" s="443"/>
      <c r="O357" s="250"/>
      <c r="P357" s="250"/>
      <c r="Q357" s="250"/>
      <c r="R357" s="250"/>
      <c r="S357" s="250"/>
      <c r="T357" s="250"/>
      <c r="U357" s="250"/>
      <c r="V357" s="443"/>
      <c r="W357" s="410">
        <v>186425</v>
      </c>
      <c r="X357" s="31">
        <v>242460</v>
      </c>
      <c r="Y357" s="31">
        <v>315198</v>
      </c>
      <c r="Z357" s="472">
        <v>211928</v>
      </c>
      <c r="AA357" s="76">
        <f t="shared" si="423"/>
        <v>256528.66666666666</v>
      </c>
      <c r="AB357" s="24">
        <f t="shared" si="424"/>
        <v>70103.666666666657</v>
      </c>
      <c r="AC357" s="25">
        <f t="shared" si="425"/>
        <v>0.37604219748781897</v>
      </c>
      <c r="AD357" s="309" t="str">
        <f t="shared" si="426"/>
        <v>REVISAR PRECIO</v>
      </c>
      <c r="AE357" s="462">
        <f t="shared" si="427"/>
        <v>256528.66666666666</v>
      </c>
      <c r="AF357" s="410">
        <v>122680</v>
      </c>
      <c r="AG357" s="45">
        <v>160000</v>
      </c>
      <c r="AH357" s="45">
        <v>148754</v>
      </c>
      <c r="AI357" s="45">
        <v>160000</v>
      </c>
      <c r="AJ357" s="76">
        <f t="shared" si="428"/>
        <v>156251.33333333334</v>
      </c>
      <c r="AK357" s="24">
        <f t="shared" si="429"/>
        <v>33571.333333333343</v>
      </c>
      <c r="AL357" s="281">
        <f t="shared" si="430"/>
        <v>0.2736496033039888</v>
      </c>
      <c r="AM357" s="462">
        <f t="shared" si="431"/>
        <v>156251.33333333334</v>
      </c>
      <c r="AN357" s="513">
        <v>126278</v>
      </c>
      <c r="AO357" s="88">
        <v>156200</v>
      </c>
      <c r="AP357" s="116">
        <v>176000</v>
      </c>
      <c r="AQ357" s="74">
        <v>163629.01499999998</v>
      </c>
      <c r="AR357" s="76">
        <f t="shared" si="432"/>
        <v>165276.33833333335</v>
      </c>
      <c r="AS357" s="24">
        <f t="shared" si="433"/>
        <v>38998.338333333348</v>
      </c>
      <c r="AT357" s="25">
        <f t="shared" si="434"/>
        <v>0.30882923655215755</v>
      </c>
      <c r="AU357" s="309">
        <f t="shared" si="435"/>
        <v>165276.33833333335</v>
      </c>
      <c r="AV357" s="462">
        <f t="shared" si="436"/>
        <v>165276.33833333335</v>
      </c>
      <c r="AW357" s="551">
        <v>126278</v>
      </c>
      <c r="AX357" s="57">
        <v>171066.69749999998</v>
      </c>
      <c r="AY357" s="57">
        <v>170000</v>
      </c>
      <c r="AZ357" s="56">
        <v>197098.58624999999</v>
      </c>
      <c r="BA357" s="58">
        <v>171066.69749999998</v>
      </c>
      <c r="BB357" s="60">
        <v>320000</v>
      </c>
      <c r="BC357" s="57">
        <v>196726.70212499995</v>
      </c>
      <c r="BD357" s="79">
        <v>197098.58624999999</v>
      </c>
      <c r="BE357" s="79">
        <f>129351*1.15</f>
        <v>148753.65</v>
      </c>
      <c r="BF357" s="127">
        <v>178504.38</v>
      </c>
      <c r="BG357" s="128">
        <v>169900</v>
      </c>
      <c r="BH357" s="128">
        <v>150000</v>
      </c>
      <c r="BI357" s="29">
        <f t="shared" si="437"/>
        <v>204326.44722916666</v>
      </c>
      <c r="BJ357" s="24">
        <f t="shared" si="438"/>
        <v>78048.447229166661</v>
      </c>
      <c r="BK357" s="25">
        <f t="shared" si="439"/>
        <v>0.61806844604100997</v>
      </c>
      <c r="BL357" s="308" t="str">
        <f t="shared" si="440"/>
        <v>REVISAR PRECIO</v>
      </c>
      <c r="BM357" s="533">
        <f t="shared" si="441"/>
        <v>204326.44722916666</v>
      </c>
    </row>
    <row r="358" spans="1:65" ht="42" customHeight="1">
      <c r="A358" s="91" t="s">
        <v>23</v>
      </c>
      <c r="B358" s="358" t="s">
        <v>2549</v>
      </c>
      <c r="C358" s="50" t="s">
        <v>218</v>
      </c>
      <c r="D358" s="99" t="s">
        <v>558</v>
      </c>
      <c r="E358" s="391" t="s">
        <v>10</v>
      </c>
      <c r="F358" s="410">
        <v>188397</v>
      </c>
      <c r="G358" s="10">
        <v>240043</v>
      </c>
      <c r="H358" s="167">
        <v>1200215</v>
      </c>
      <c r="I358" s="10">
        <v>232500</v>
      </c>
      <c r="J358" s="76">
        <f t="shared" si="419"/>
        <v>236271.5</v>
      </c>
      <c r="K358" s="24">
        <f t="shared" si="420"/>
        <v>47874.5</v>
      </c>
      <c r="L358" s="281">
        <f t="shared" si="421"/>
        <v>0.25411498059947873</v>
      </c>
      <c r="M358" s="431">
        <f t="shared" si="422"/>
        <v>1200215</v>
      </c>
      <c r="N358" s="443"/>
      <c r="O358" s="250"/>
      <c r="P358" s="250"/>
      <c r="Q358" s="250"/>
      <c r="R358" s="250"/>
      <c r="S358" s="250"/>
      <c r="T358" s="250"/>
      <c r="U358" s="250"/>
      <c r="V358" s="443"/>
      <c r="W358" s="410">
        <v>308909</v>
      </c>
      <c r="X358" s="31">
        <v>401760</v>
      </c>
      <c r="Y358" s="31">
        <v>522288</v>
      </c>
      <c r="Z358" s="472">
        <v>351168</v>
      </c>
      <c r="AA358" s="76">
        <f t="shared" si="423"/>
        <v>425072</v>
      </c>
      <c r="AB358" s="24">
        <f t="shared" si="424"/>
        <v>116163</v>
      </c>
      <c r="AC358" s="25">
        <f t="shared" si="425"/>
        <v>0.37604278282601022</v>
      </c>
      <c r="AD358" s="309" t="str">
        <f t="shared" si="426"/>
        <v>REVISAR PRECIO</v>
      </c>
      <c r="AE358" s="462">
        <f t="shared" si="427"/>
        <v>425072</v>
      </c>
      <c r="AF358" s="410">
        <v>181381</v>
      </c>
      <c r="AG358" s="45">
        <v>320000</v>
      </c>
      <c r="AH358" s="45">
        <v>240043</v>
      </c>
      <c r="AI358" s="45">
        <v>260000</v>
      </c>
      <c r="AJ358" s="76">
        <f t="shared" si="428"/>
        <v>273347.66666666669</v>
      </c>
      <c r="AK358" s="24">
        <f t="shared" si="429"/>
        <v>91966.666666666686</v>
      </c>
      <c r="AL358" s="281">
        <f t="shared" si="430"/>
        <v>0.50703583433031396</v>
      </c>
      <c r="AM358" s="462">
        <f t="shared" si="431"/>
        <v>273347.66666666669</v>
      </c>
      <c r="AN358" s="513">
        <v>191385</v>
      </c>
      <c r="AO358" s="88">
        <v>253000</v>
      </c>
      <c r="AP358" s="116">
        <v>253000</v>
      </c>
      <c r="AQ358" s="74">
        <v>264047.41000000003</v>
      </c>
      <c r="AR358" s="76">
        <f t="shared" si="432"/>
        <v>256682.47</v>
      </c>
      <c r="AS358" s="24">
        <f t="shared" si="433"/>
        <v>65297.47</v>
      </c>
      <c r="AT358" s="25">
        <f t="shared" si="434"/>
        <v>0.34118384408391461</v>
      </c>
      <c r="AU358" s="309">
        <f t="shared" si="435"/>
        <v>256682.47</v>
      </c>
      <c r="AV358" s="462">
        <f t="shared" si="436"/>
        <v>256682.47</v>
      </c>
      <c r="AW358" s="551">
        <v>191385</v>
      </c>
      <c r="AX358" s="57">
        <v>276049.565</v>
      </c>
      <c r="AY358" s="57">
        <v>270000</v>
      </c>
      <c r="AZ358" s="56">
        <v>318057.10749999998</v>
      </c>
      <c r="BA358" s="58">
        <v>276000</v>
      </c>
      <c r="BB358" s="60">
        <v>360000</v>
      </c>
      <c r="BC358" s="57">
        <v>317456.99974999996</v>
      </c>
      <c r="BD358" s="79">
        <v>318057.10749999998</v>
      </c>
      <c r="BE358" s="79">
        <f>218221*1.1</f>
        <v>240043.1</v>
      </c>
      <c r="BF358" s="127">
        <v>288051.72000000003</v>
      </c>
      <c r="BG358" s="128">
        <v>262000</v>
      </c>
      <c r="BH358" s="128">
        <v>250000</v>
      </c>
      <c r="BI358" s="29">
        <f t="shared" si="437"/>
        <v>302927.27870833332</v>
      </c>
      <c r="BJ358" s="24">
        <f t="shared" si="438"/>
        <v>111542.27870833332</v>
      </c>
      <c r="BK358" s="25">
        <f t="shared" si="439"/>
        <v>0.5828162014177356</v>
      </c>
      <c r="BL358" s="308" t="str">
        <f t="shared" si="440"/>
        <v>REVISAR PRECIO</v>
      </c>
      <c r="BM358" s="533">
        <f t="shared" si="441"/>
        <v>302927.27870833332</v>
      </c>
    </row>
    <row r="359" spans="1:65" ht="42" customHeight="1">
      <c r="A359" s="91" t="s">
        <v>23</v>
      </c>
      <c r="B359" s="358" t="s">
        <v>2550</v>
      </c>
      <c r="C359" s="50" t="s">
        <v>219</v>
      </c>
      <c r="D359" s="99" t="s">
        <v>559</v>
      </c>
      <c r="E359" s="391" t="s">
        <v>13</v>
      </c>
      <c r="F359" s="410">
        <v>31392</v>
      </c>
      <c r="G359" s="10">
        <v>35000</v>
      </c>
      <c r="H359" s="167">
        <v>175000</v>
      </c>
      <c r="I359" s="10">
        <v>15550</v>
      </c>
      <c r="J359" s="76">
        <f t="shared" si="419"/>
        <v>25275</v>
      </c>
      <c r="K359" s="24">
        <f t="shared" si="420"/>
        <v>-6117</v>
      </c>
      <c r="L359" s="281">
        <f t="shared" si="421"/>
        <v>-0.1948585626911315</v>
      </c>
      <c r="M359" s="431">
        <f t="shared" si="422"/>
        <v>175000</v>
      </c>
      <c r="N359" s="410">
        <v>27424</v>
      </c>
      <c r="O359" s="10">
        <v>150000</v>
      </c>
      <c r="P359" s="10">
        <v>160000</v>
      </c>
      <c r="Q359" s="268">
        <v>155000</v>
      </c>
      <c r="R359" s="10">
        <v>180000</v>
      </c>
      <c r="S359" s="76">
        <f t="shared" ref="S359:S360" si="454">AVERAGE(O359,P359,Q359,R359)</f>
        <v>161250</v>
      </c>
      <c r="T359" s="24">
        <f t="shared" ref="T359:T360" si="455">S359-N359</f>
        <v>133826</v>
      </c>
      <c r="U359" s="281">
        <f t="shared" ref="U359:U360" si="456">+T359/N359</f>
        <v>4.8798862310385065</v>
      </c>
      <c r="V359" s="462">
        <f t="shared" ref="V359:V360" si="457">S359</f>
        <v>161250</v>
      </c>
      <c r="W359" s="410">
        <v>45444</v>
      </c>
      <c r="X359" s="31">
        <v>59103</v>
      </c>
      <c r="Y359" s="31">
        <v>76834</v>
      </c>
      <c r="Z359" s="472">
        <v>51660.4</v>
      </c>
      <c r="AA359" s="76">
        <f t="shared" si="423"/>
        <v>62532.466666666667</v>
      </c>
      <c r="AB359" s="24">
        <f t="shared" si="424"/>
        <v>17088.466666666667</v>
      </c>
      <c r="AC359" s="25">
        <f t="shared" si="425"/>
        <v>0.37603350644016081</v>
      </c>
      <c r="AD359" s="309" t="str">
        <f t="shared" si="426"/>
        <v>REVISAR PRECIO</v>
      </c>
      <c r="AE359" s="462">
        <f t="shared" si="427"/>
        <v>62532.466666666667</v>
      </c>
      <c r="AF359" s="410">
        <v>30622</v>
      </c>
      <c r="AG359" s="45"/>
      <c r="AH359" s="45">
        <v>35000</v>
      </c>
      <c r="AI359" s="45">
        <v>40000</v>
      </c>
      <c r="AJ359" s="76">
        <f t="shared" si="428"/>
        <v>37500</v>
      </c>
      <c r="AK359" s="24">
        <f t="shared" si="429"/>
        <v>6878</v>
      </c>
      <c r="AL359" s="281">
        <f t="shared" si="430"/>
        <v>0.22460975769054928</v>
      </c>
      <c r="AM359" s="462">
        <f t="shared" si="431"/>
        <v>37500</v>
      </c>
      <c r="AN359" s="513">
        <v>30784</v>
      </c>
      <c r="AO359" s="88">
        <v>40000</v>
      </c>
      <c r="AP359" s="116">
        <v>40000</v>
      </c>
      <c r="AQ359" s="74">
        <v>38500</v>
      </c>
      <c r="AR359" s="76">
        <f t="shared" si="432"/>
        <v>39500</v>
      </c>
      <c r="AS359" s="24">
        <f t="shared" si="433"/>
        <v>8716</v>
      </c>
      <c r="AT359" s="25">
        <f t="shared" si="434"/>
        <v>0.28313409563409564</v>
      </c>
      <c r="AU359" s="309">
        <f t="shared" si="435"/>
        <v>39500</v>
      </c>
      <c r="AV359" s="462">
        <f t="shared" si="436"/>
        <v>39500</v>
      </c>
      <c r="AW359" s="551">
        <v>30784</v>
      </c>
      <c r="AX359" s="57">
        <v>40250</v>
      </c>
      <c r="AY359" s="57">
        <v>45000</v>
      </c>
      <c r="AZ359" s="56">
        <v>46375</v>
      </c>
      <c r="BA359" s="58">
        <v>150000</v>
      </c>
      <c r="BB359" s="60">
        <v>35000</v>
      </c>
      <c r="BC359" s="57">
        <v>46287.5</v>
      </c>
      <c r="BD359" s="79">
        <v>46375</v>
      </c>
      <c r="BE359" s="79">
        <v>35000</v>
      </c>
      <c r="BF359" s="127">
        <v>42000</v>
      </c>
      <c r="BG359" s="128">
        <v>42400</v>
      </c>
      <c r="BH359" s="128">
        <v>40000</v>
      </c>
      <c r="BI359" s="29">
        <f t="shared" si="437"/>
        <v>60485.416666666664</v>
      </c>
      <c r="BJ359" s="24">
        <f t="shared" si="438"/>
        <v>29701.416666666664</v>
      </c>
      <c r="BK359" s="25">
        <f t="shared" si="439"/>
        <v>0.9648329218641718</v>
      </c>
      <c r="BL359" s="308" t="str">
        <f t="shared" si="440"/>
        <v>REVISAR PRECIO</v>
      </c>
      <c r="BM359" s="533">
        <f t="shared" si="441"/>
        <v>60485.416666666664</v>
      </c>
    </row>
    <row r="360" spans="1:65" ht="42" customHeight="1">
      <c r="A360" s="91" t="s">
        <v>23</v>
      </c>
      <c r="B360" s="358" t="s">
        <v>2551</v>
      </c>
      <c r="C360" s="50" t="s">
        <v>220</v>
      </c>
      <c r="D360" s="99" t="s">
        <v>560</v>
      </c>
      <c r="E360" s="391" t="s">
        <v>10</v>
      </c>
      <c r="F360" s="410">
        <v>26000</v>
      </c>
      <c r="G360" s="10">
        <v>45000</v>
      </c>
      <c r="H360" s="167">
        <v>225000</v>
      </c>
      <c r="I360" s="10">
        <v>45000</v>
      </c>
      <c r="J360" s="76">
        <f t="shared" si="419"/>
        <v>45000</v>
      </c>
      <c r="K360" s="24">
        <f t="shared" si="420"/>
        <v>19000</v>
      </c>
      <c r="L360" s="281">
        <f t="shared" si="421"/>
        <v>0.73076923076923073</v>
      </c>
      <c r="M360" s="431">
        <f t="shared" si="422"/>
        <v>225000</v>
      </c>
      <c r="N360" s="410">
        <v>23219</v>
      </c>
      <c r="O360" s="10">
        <v>95000</v>
      </c>
      <c r="P360" s="10">
        <v>105000</v>
      </c>
      <c r="Q360" s="268">
        <v>100000</v>
      </c>
      <c r="R360" s="10">
        <v>150000</v>
      </c>
      <c r="S360" s="76">
        <f t="shared" si="454"/>
        <v>112500</v>
      </c>
      <c r="T360" s="24">
        <f t="shared" si="455"/>
        <v>89281</v>
      </c>
      <c r="U360" s="281">
        <f t="shared" si="456"/>
        <v>3.8451699039579657</v>
      </c>
      <c r="V360" s="462">
        <f t="shared" si="457"/>
        <v>112500</v>
      </c>
      <c r="W360" s="410">
        <v>49388</v>
      </c>
      <c r="X360" s="42">
        <v>64233</v>
      </c>
      <c r="Y360" s="31">
        <v>64233</v>
      </c>
      <c r="Z360" s="472">
        <v>56144.4</v>
      </c>
      <c r="AA360" s="76">
        <f t="shared" si="423"/>
        <v>61536.799999999996</v>
      </c>
      <c r="AB360" s="24">
        <f t="shared" si="424"/>
        <v>12148.799999999996</v>
      </c>
      <c r="AC360" s="25">
        <f t="shared" si="425"/>
        <v>0.24598687940390371</v>
      </c>
      <c r="AD360" s="309">
        <f t="shared" si="426"/>
        <v>61536.799999999996</v>
      </c>
      <c r="AE360" s="462">
        <f t="shared" si="427"/>
        <v>61536.799999999996</v>
      </c>
      <c r="AF360" s="410">
        <v>25231</v>
      </c>
      <c r="AG360" s="45">
        <v>50000</v>
      </c>
      <c r="AH360" s="45">
        <v>45000</v>
      </c>
      <c r="AI360" s="45">
        <v>45000</v>
      </c>
      <c r="AJ360" s="76">
        <f t="shared" si="428"/>
        <v>46666.666666666664</v>
      </c>
      <c r="AK360" s="24">
        <f t="shared" si="429"/>
        <v>21435.666666666664</v>
      </c>
      <c r="AL360" s="281">
        <f t="shared" si="430"/>
        <v>0.84957657907600426</v>
      </c>
      <c r="AM360" s="462">
        <f t="shared" si="431"/>
        <v>46666.666666666664</v>
      </c>
      <c r="AN360" s="513">
        <v>24623</v>
      </c>
      <c r="AO360" s="88">
        <v>50000</v>
      </c>
      <c r="AP360" s="116">
        <v>50000</v>
      </c>
      <c r="AQ360" s="74">
        <v>49500</v>
      </c>
      <c r="AR360" s="76">
        <f t="shared" si="432"/>
        <v>49833.333333333336</v>
      </c>
      <c r="AS360" s="24">
        <f t="shared" si="433"/>
        <v>25210.333333333336</v>
      </c>
      <c r="AT360" s="25">
        <f t="shared" si="434"/>
        <v>1.0238530371333037</v>
      </c>
      <c r="AU360" s="309" t="str">
        <f t="shared" si="435"/>
        <v>REVISAR PRECIO</v>
      </c>
      <c r="AV360" s="462">
        <f t="shared" si="436"/>
        <v>49833.333333333336</v>
      </c>
      <c r="AW360" s="551">
        <v>24623</v>
      </c>
      <c r="AX360" s="57">
        <v>51750</v>
      </c>
      <c r="AY360" s="57">
        <v>55000</v>
      </c>
      <c r="AZ360" s="56">
        <v>59625</v>
      </c>
      <c r="BA360" s="58">
        <v>95000</v>
      </c>
      <c r="BB360" s="60">
        <v>78000</v>
      </c>
      <c r="BC360" s="57">
        <v>59512.499999999985</v>
      </c>
      <c r="BD360" s="79">
        <v>59625</v>
      </c>
      <c r="BE360" s="79">
        <v>45000</v>
      </c>
      <c r="BF360" s="127">
        <v>54000</v>
      </c>
      <c r="BG360" s="128">
        <v>50000</v>
      </c>
      <c r="BH360" s="128">
        <v>45000</v>
      </c>
      <c r="BI360" s="29">
        <f t="shared" si="437"/>
        <v>66481.25</v>
      </c>
      <c r="BJ360" s="24">
        <f t="shared" si="438"/>
        <v>41858.25</v>
      </c>
      <c r="BK360" s="25">
        <f t="shared" si="439"/>
        <v>1.6999654794298014</v>
      </c>
      <c r="BL360" s="308" t="str">
        <f t="shared" si="440"/>
        <v>REVISAR PRECIO</v>
      </c>
      <c r="BM360" s="533">
        <f t="shared" si="441"/>
        <v>66481.25</v>
      </c>
    </row>
    <row r="361" spans="1:65" ht="21" customHeight="1">
      <c r="A361" s="91" t="s">
        <v>23</v>
      </c>
      <c r="B361" s="358" t="s">
        <v>2552</v>
      </c>
      <c r="C361" s="50" t="s">
        <v>221</v>
      </c>
      <c r="D361" s="99" t="s">
        <v>561</v>
      </c>
      <c r="E361" s="391" t="s">
        <v>741</v>
      </c>
      <c r="F361" s="408"/>
      <c r="G361" s="293"/>
      <c r="H361" s="293"/>
      <c r="I361" s="293"/>
      <c r="J361" s="293"/>
      <c r="K361" s="293"/>
      <c r="L361" s="327"/>
      <c r="M361" s="432"/>
      <c r="N361" s="443"/>
      <c r="O361" s="250"/>
      <c r="P361" s="250"/>
      <c r="Q361" s="250"/>
      <c r="R361" s="250"/>
      <c r="S361" s="250"/>
      <c r="T361" s="250"/>
      <c r="U361" s="250"/>
      <c r="V361" s="443"/>
      <c r="W361" s="410">
        <v>508620</v>
      </c>
      <c r="X361" s="33">
        <v>661500</v>
      </c>
      <c r="Y361" s="39">
        <v>859950</v>
      </c>
      <c r="Z361" s="472">
        <v>578200</v>
      </c>
      <c r="AA361" s="76">
        <f t="shared" si="423"/>
        <v>699883.33333333337</v>
      </c>
      <c r="AB361" s="24">
        <f t="shared" si="424"/>
        <v>191263.33333333337</v>
      </c>
      <c r="AC361" s="25">
        <f t="shared" si="425"/>
        <v>0.37604367373153508</v>
      </c>
      <c r="AD361" s="309" t="str">
        <f t="shared" si="426"/>
        <v>REVISAR PRECIO</v>
      </c>
      <c r="AE361" s="462">
        <f t="shared" si="427"/>
        <v>699883.33333333337</v>
      </c>
      <c r="AF361" s="408"/>
      <c r="AG361" s="293"/>
      <c r="AH361" s="293"/>
      <c r="AI361" s="293"/>
      <c r="AJ361" s="293"/>
      <c r="AK361" s="293"/>
      <c r="AL361" s="327"/>
      <c r="AM361" s="463"/>
      <c r="AN361" s="513">
        <v>332234</v>
      </c>
      <c r="AO361" s="88">
        <v>185000</v>
      </c>
      <c r="AP361" s="116">
        <v>185000</v>
      </c>
      <c r="AQ361" s="74">
        <v>192500</v>
      </c>
      <c r="AR361" s="76">
        <f t="shared" si="432"/>
        <v>187500</v>
      </c>
      <c r="AS361" s="24">
        <f t="shared" si="433"/>
        <v>-144734</v>
      </c>
      <c r="AT361" s="25">
        <f t="shared" si="434"/>
        <v>-0.43563873655315227</v>
      </c>
      <c r="AU361" s="309">
        <f t="shared" si="435"/>
        <v>187500</v>
      </c>
      <c r="AV361" s="462">
        <f t="shared" si="436"/>
        <v>187500</v>
      </c>
      <c r="AW361" s="551">
        <v>332234</v>
      </c>
      <c r="AX361" s="57">
        <v>201250</v>
      </c>
      <c r="AY361" s="57">
        <v>330000</v>
      </c>
      <c r="AZ361" s="56">
        <v>231875</v>
      </c>
      <c r="BA361" s="58">
        <v>287500</v>
      </c>
      <c r="BB361" s="60"/>
      <c r="BC361" s="57">
        <v>330625</v>
      </c>
      <c r="BD361" s="79">
        <v>231875</v>
      </c>
      <c r="BE361" s="79">
        <v>175000</v>
      </c>
      <c r="BF361" s="127">
        <v>210000</v>
      </c>
      <c r="BG361" s="128">
        <v>162000</v>
      </c>
      <c r="BH361" s="128">
        <v>180000</v>
      </c>
      <c r="BI361" s="29">
        <f t="shared" si="437"/>
        <v>276250</v>
      </c>
      <c r="BJ361" s="24">
        <f t="shared" si="438"/>
        <v>-55984</v>
      </c>
      <c r="BK361" s="25">
        <f t="shared" si="439"/>
        <v>-0.16850773852164438</v>
      </c>
      <c r="BL361" s="308">
        <f t="shared" si="440"/>
        <v>276250</v>
      </c>
      <c r="BM361" s="533">
        <f t="shared" si="441"/>
        <v>276250</v>
      </c>
    </row>
    <row r="362" spans="1:65" ht="60.95" customHeight="1">
      <c r="A362" s="91"/>
      <c r="B362" s="358" t="s">
        <v>2553</v>
      </c>
      <c r="C362" s="50" t="s">
        <v>957</v>
      </c>
      <c r="D362" s="177" t="s">
        <v>953</v>
      </c>
      <c r="E362" s="385" t="s">
        <v>10</v>
      </c>
      <c r="F362" s="410">
        <v>73462</v>
      </c>
      <c r="G362" s="10"/>
      <c r="H362" s="167">
        <v>450000</v>
      </c>
      <c r="I362" s="10">
        <v>145600</v>
      </c>
      <c r="J362" s="76">
        <f t="shared" ref="J362:J365" si="458">AVERAGE(G362,I362)</f>
        <v>145600</v>
      </c>
      <c r="K362" s="24">
        <f t="shared" ref="K362:K365" si="459">J362-F362</f>
        <v>72138</v>
      </c>
      <c r="L362" s="281">
        <f t="shared" ref="L362:L365" si="460">+K362/F362</f>
        <v>0.98197707658381206</v>
      </c>
      <c r="M362" s="431">
        <f t="shared" ref="M362:M365" si="461">H362</f>
        <v>450000</v>
      </c>
      <c r="N362" s="443"/>
      <c r="O362" s="250"/>
      <c r="P362" s="250"/>
      <c r="Q362" s="250"/>
      <c r="R362" s="250"/>
      <c r="S362" s="250"/>
      <c r="T362" s="250"/>
      <c r="U362" s="250"/>
      <c r="V362" s="443"/>
      <c r="W362" s="410"/>
      <c r="X362" s="33"/>
      <c r="Y362" s="39"/>
      <c r="Z362" s="472"/>
      <c r="AA362" s="76"/>
      <c r="AB362" s="24"/>
      <c r="AC362" s="25"/>
      <c r="AD362" s="309"/>
      <c r="AE362" s="462"/>
      <c r="AF362" s="408"/>
      <c r="AG362" s="293"/>
      <c r="AH362" s="293"/>
      <c r="AI362" s="293"/>
      <c r="AJ362" s="293"/>
      <c r="AK362" s="293"/>
      <c r="AL362" s="327"/>
      <c r="AM362" s="463"/>
      <c r="AN362" s="513"/>
      <c r="AO362" s="88"/>
      <c r="AP362" s="116"/>
      <c r="AQ362" s="74"/>
      <c r="AR362" s="76"/>
      <c r="AS362" s="24"/>
      <c r="AT362" s="25"/>
      <c r="AU362" s="309"/>
      <c r="AV362" s="462"/>
      <c r="AW362" s="552"/>
      <c r="AX362" s="191"/>
      <c r="AY362" s="191"/>
      <c r="AZ362" s="192"/>
      <c r="BA362" s="193"/>
      <c r="BB362" s="60"/>
      <c r="BC362" s="191"/>
      <c r="BD362" s="79"/>
      <c r="BE362" s="79"/>
      <c r="BF362" s="127"/>
      <c r="BG362" s="128"/>
      <c r="BH362" s="128"/>
      <c r="BI362" s="29"/>
      <c r="BJ362" s="24"/>
      <c r="BK362" s="25"/>
      <c r="BL362" s="308"/>
      <c r="BM362" s="539"/>
    </row>
    <row r="363" spans="1:65" ht="63.95" customHeight="1">
      <c r="A363" s="91"/>
      <c r="B363" s="358" t="s">
        <v>2554</v>
      </c>
      <c r="C363" s="50" t="s">
        <v>958</v>
      </c>
      <c r="D363" s="177" t="s">
        <v>954</v>
      </c>
      <c r="E363" s="385" t="s">
        <v>10</v>
      </c>
      <c r="F363" s="410">
        <v>105642</v>
      </c>
      <c r="G363" s="10">
        <v>65155.21</v>
      </c>
      <c r="H363" s="167">
        <v>195465.63</v>
      </c>
      <c r="I363" s="10">
        <v>6500</v>
      </c>
      <c r="J363" s="76">
        <f t="shared" si="458"/>
        <v>35827.604999999996</v>
      </c>
      <c r="K363" s="24">
        <f t="shared" si="459"/>
        <v>-69814.395000000004</v>
      </c>
      <c r="L363" s="281">
        <f t="shared" si="460"/>
        <v>-0.66085832339410466</v>
      </c>
      <c r="M363" s="431">
        <f t="shared" si="461"/>
        <v>195465.63</v>
      </c>
      <c r="N363" s="443"/>
      <c r="O363" s="250"/>
      <c r="P363" s="250"/>
      <c r="Q363" s="250"/>
      <c r="R363" s="250"/>
      <c r="S363" s="250"/>
      <c r="T363" s="250"/>
      <c r="U363" s="250"/>
      <c r="V363" s="443"/>
      <c r="W363" s="410"/>
      <c r="X363" s="33"/>
      <c r="Y363" s="39"/>
      <c r="Z363" s="472"/>
      <c r="AA363" s="76"/>
      <c r="AB363" s="24"/>
      <c r="AC363" s="25"/>
      <c r="AD363" s="309"/>
      <c r="AE363" s="462"/>
      <c r="AF363" s="408"/>
      <c r="AG363" s="293"/>
      <c r="AH363" s="293"/>
      <c r="AI363" s="293"/>
      <c r="AJ363" s="293"/>
      <c r="AK363" s="293"/>
      <c r="AL363" s="327"/>
      <c r="AM363" s="463"/>
      <c r="AN363" s="513"/>
      <c r="AO363" s="88"/>
      <c r="AP363" s="116"/>
      <c r="AQ363" s="74"/>
      <c r="AR363" s="76"/>
      <c r="AS363" s="24"/>
      <c r="AT363" s="25"/>
      <c r="AU363" s="309"/>
      <c r="AV363" s="462"/>
      <c r="AW363" s="552"/>
      <c r="AX363" s="191"/>
      <c r="AY363" s="191"/>
      <c r="AZ363" s="192"/>
      <c r="BA363" s="193"/>
      <c r="BB363" s="60"/>
      <c r="BC363" s="191"/>
      <c r="BD363" s="79"/>
      <c r="BE363" s="79"/>
      <c r="BF363" s="127"/>
      <c r="BG363" s="128"/>
      <c r="BH363" s="128"/>
      <c r="BI363" s="29"/>
      <c r="BJ363" s="24"/>
      <c r="BK363" s="25"/>
      <c r="BL363" s="308"/>
      <c r="BM363" s="539"/>
    </row>
    <row r="364" spans="1:65" ht="48.95" customHeight="1">
      <c r="A364" s="91"/>
      <c r="B364" s="358" t="s">
        <v>2555</v>
      </c>
      <c r="C364" s="50" t="s">
        <v>959</v>
      </c>
      <c r="D364" s="177" t="s">
        <v>955</v>
      </c>
      <c r="E364" s="385" t="s">
        <v>10</v>
      </c>
      <c r="F364" s="410">
        <v>103174</v>
      </c>
      <c r="G364" s="10"/>
      <c r="H364" s="167">
        <v>450000</v>
      </c>
      <c r="I364" s="10">
        <v>155000</v>
      </c>
      <c r="J364" s="76">
        <f t="shared" si="458"/>
        <v>155000</v>
      </c>
      <c r="K364" s="24">
        <f t="shared" si="459"/>
        <v>51826</v>
      </c>
      <c r="L364" s="281">
        <f t="shared" si="460"/>
        <v>0.50231647508093125</v>
      </c>
      <c r="M364" s="431">
        <f t="shared" si="461"/>
        <v>450000</v>
      </c>
      <c r="N364" s="443"/>
      <c r="O364" s="250"/>
      <c r="P364" s="250"/>
      <c r="Q364" s="250"/>
      <c r="R364" s="250"/>
      <c r="S364" s="250"/>
      <c r="T364" s="250"/>
      <c r="U364" s="250"/>
      <c r="V364" s="443"/>
      <c r="W364" s="410"/>
      <c r="X364" s="33"/>
      <c r="Y364" s="39"/>
      <c r="Z364" s="472"/>
      <c r="AA364" s="76"/>
      <c r="AB364" s="24"/>
      <c r="AC364" s="25"/>
      <c r="AD364" s="309"/>
      <c r="AE364" s="462"/>
      <c r="AF364" s="408"/>
      <c r="AG364" s="293"/>
      <c r="AH364" s="293"/>
      <c r="AI364" s="293"/>
      <c r="AJ364" s="293"/>
      <c r="AK364" s="293"/>
      <c r="AL364" s="327"/>
      <c r="AM364" s="463"/>
      <c r="AN364" s="513"/>
      <c r="AO364" s="88"/>
      <c r="AP364" s="116"/>
      <c r="AQ364" s="74"/>
      <c r="AR364" s="76"/>
      <c r="AS364" s="24"/>
      <c r="AT364" s="25"/>
      <c r="AU364" s="309"/>
      <c r="AV364" s="462"/>
      <c r="AW364" s="552"/>
      <c r="AX364" s="191"/>
      <c r="AY364" s="191"/>
      <c r="AZ364" s="192"/>
      <c r="BA364" s="193"/>
      <c r="BB364" s="60"/>
      <c r="BC364" s="191"/>
      <c r="BD364" s="79"/>
      <c r="BE364" s="79"/>
      <c r="BF364" s="127"/>
      <c r="BG364" s="128"/>
      <c r="BH364" s="128"/>
      <c r="BI364" s="29"/>
      <c r="BJ364" s="24"/>
      <c r="BK364" s="25"/>
      <c r="BL364" s="308"/>
      <c r="BM364" s="539"/>
    </row>
    <row r="365" spans="1:65" ht="51" customHeight="1">
      <c r="A365" s="91"/>
      <c r="B365" s="358" t="s">
        <v>2556</v>
      </c>
      <c r="C365" s="50" t="s">
        <v>960</v>
      </c>
      <c r="D365" s="177" t="s">
        <v>956</v>
      </c>
      <c r="E365" s="385" t="s">
        <v>14</v>
      </c>
      <c r="F365" s="410">
        <v>321404</v>
      </c>
      <c r="G365" s="10"/>
      <c r="H365" s="167">
        <v>45000</v>
      </c>
      <c r="I365" s="10">
        <v>245600</v>
      </c>
      <c r="J365" s="76">
        <f t="shared" si="458"/>
        <v>245600</v>
      </c>
      <c r="K365" s="24">
        <f t="shared" si="459"/>
        <v>-75804</v>
      </c>
      <c r="L365" s="281">
        <f t="shared" si="460"/>
        <v>-0.23585269629500566</v>
      </c>
      <c r="M365" s="431">
        <f t="shared" si="461"/>
        <v>45000</v>
      </c>
      <c r="N365" s="443"/>
      <c r="O365" s="250"/>
      <c r="P365" s="250"/>
      <c r="Q365" s="250"/>
      <c r="R365" s="250"/>
      <c r="S365" s="250"/>
      <c r="T365" s="250"/>
      <c r="U365" s="250"/>
      <c r="V365" s="443"/>
      <c r="W365" s="410"/>
      <c r="X365" s="33"/>
      <c r="Y365" s="39"/>
      <c r="Z365" s="472"/>
      <c r="AA365" s="76"/>
      <c r="AB365" s="24"/>
      <c r="AC365" s="25"/>
      <c r="AD365" s="309"/>
      <c r="AE365" s="462"/>
      <c r="AF365" s="408"/>
      <c r="AG365" s="293"/>
      <c r="AH365" s="293"/>
      <c r="AI365" s="293"/>
      <c r="AJ365" s="293"/>
      <c r="AK365" s="293"/>
      <c r="AL365" s="327"/>
      <c r="AM365" s="463"/>
      <c r="AN365" s="513"/>
      <c r="AO365" s="88"/>
      <c r="AP365" s="116"/>
      <c r="AQ365" s="74"/>
      <c r="AR365" s="76"/>
      <c r="AS365" s="24"/>
      <c r="AT365" s="25"/>
      <c r="AU365" s="309"/>
      <c r="AV365" s="462"/>
      <c r="AW365" s="552"/>
      <c r="AX365" s="191"/>
      <c r="AY365" s="191"/>
      <c r="AZ365" s="192"/>
      <c r="BA365" s="193"/>
      <c r="BB365" s="60"/>
      <c r="BC365" s="191"/>
      <c r="BD365" s="79"/>
      <c r="BE365" s="79"/>
      <c r="BF365" s="127"/>
      <c r="BG365" s="128"/>
      <c r="BH365" s="128"/>
      <c r="BI365" s="29"/>
      <c r="BJ365" s="24"/>
      <c r="BK365" s="25"/>
      <c r="BL365" s="308"/>
      <c r="BM365" s="539"/>
    </row>
    <row r="366" spans="1:65" ht="51" customHeight="1">
      <c r="A366" s="91"/>
      <c r="B366" s="358" t="s">
        <v>2557</v>
      </c>
      <c r="C366" s="50" t="s">
        <v>1610</v>
      </c>
      <c r="D366" s="264" t="s">
        <v>1578</v>
      </c>
      <c r="E366" s="393" t="s">
        <v>1579</v>
      </c>
      <c r="F366" s="410"/>
      <c r="G366" s="10"/>
      <c r="H366" s="167"/>
      <c r="I366" s="10"/>
      <c r="J366" s="76"/>
      <c r="K366" s="24"/>
      <c r="L366" s="281"/>
      <c r="M366" s="431"/>
      <c r="N366" s="410">
        <v>129524</v>
      </c>
      <c r="O366" s="10">
        <v>550000</v>
      </c>
      <c r="P366" s="10">
        <v>610000</v>
      </c>
      <c r="Q366" s="268">
        <v>580000</v>
      </c>
      <c r="R366" s="10">
        <v>750000</v>
      </c>
      <c r="S366" s="76">
        <f t="shared" ref="S366:S381" si="462">AVERAGE(O366,P366,Q366,R366)</f>
        <v>622500</v>
      </c>
      <c r="T366" s="24">
        <f t="shared" ref="T366:T381" si="463">S366-N366</f>
        <v>492976</v>
      </c>
      <c r="U366" s="281">
        <f t="shared" ref="U366:U381" si="464">+T366/N366</f>
        <v>3.8060591087366049</v>
      </c>
      <c r="V366" s="462">
        <f t="shared" ref="V366:V381" si="465">S366</f>
        <v>622500</v>
      </c>
      <c r="W366" s="410"/>
      <c r="X366" s="33"/>
      <c r="Y366" s="39"/>
      <c r="Z366" s="472"/>
      <c r="AA366" s="76"/>
      <c r="AB366" s="24"/>
      <c r="AC366" s="25"/>
      <c r="AD366" s="309"/>
      <c r="AE366" s="462"/>
      <c r="AF366" s="408"/>
      <c r="AG366" s="293"/>
      <c r="AH366" s="293"/>
      <c r="AI366" s="293"/>
      <c r="AJ366" s="293"/>
      <c r="AK366" s="293"/>
      <c r="AL366" s="327"/>
      <c r="AM366" s="463"/>
      <c r="AN366" s="513"/>
      <c r="AO366" s="88"/>
      <c r="AP366" s="116"/>
      <c r="AQ366" s="74"/>
      <c r="AR366" s="76"/>
      <c r="AS366" s="24"/>
      <c r="AT366" s="25"/>
      <c r="AU366" s="309"/>
      <c r="AV366" s="462"/>
      <c r="AW366" s="552"/>
      <c r="AX366" s="191"/>
      <c r="AY366" s="191"/>
      <c r="AZ366" s="192"/>
      <c r="BA366" s="193"/>
      <c r="BB366" s="60"/>
      <c r="BC366" s="191"/>
      <c r="BD366" s="79"/>
      <c r="BE366" s="79"/>
      <c r="BF366" s="127"/>
      <c r="BG366" s="128"/>
      <c r="BH366" s="128"/>
      <c r="BI366" s="29"/>
      <c r="BJ366" s="24"/>
      <c r="BK366" s="25"/>
      <c r="BL366" s="308"/>
      <c r="BM366" s="539"/>
    </row>
    <row r="367" spans="1:65" ht="51" customHeight="1">
      <c r="A367" s="91"/>
      <c r="B367" s="358" t="s">
        <v>2558</v>
      </c>
      <c r="C367" s="50" t="s">
        <v>1611</v>
      </c>
      <c r="D367" s="264" t="s">
        <v>1580</v>
      </c>
      <c r="E367" s="393" t="s">
        <v>1579</v>
      </c>
      <c r="F367" s="410"/>
      <c r="G367" s="10"/>
      <c r="H367" s="167"/>
      <c r="I367" s="10"/>
      <c r="J367" s="76"/>
      <c r="K367" s="24"/>
      <c r="L367" s="281"/>
      <c r="M367" s="431"/>
      <c r="N367" s="410">
        <v>285919</v>
      </c>
      <c r="O367" s="10">
        <v>580000</v>
      </c>
      <c r="P367" s="10">
        <v>630000</v>
      </c>
      <c r="Q367" s="268">
        <v>600000</v>
      </c>
      <c r="R367" s="10">
        <v>750000</v>
      </c>
      <c r="S367" s="76">
        <f t="shared" si="462"/>
        <v>640000</v>
      </c>
      <c r="T367" s="24">
        <f t="shared" si="463"/>
        <v>354081</v>
      </c>
      <c r="U367" s="281">
        <f t="shared" si="464"/>
        <v>1.238396189130488</v>
      </c>
      <c r="V367" s="462">
        <f t="shared" si="465"/>
        <v>640000</v>
      </c>
      <c r="W367" s="410"/>
      <c r="X367" s="33"/>
      <c r="Y367" s="39"/>
      <c r="Z367" s="472"/>
      <c r="AA367" s="76"/>
      <c r="AB367" s="24"/>
      <c r="AC367" s="25"/>
      <c r="AD367" s="309"/>
      <c r="AE367" s="462"/>
      <c r="AF367" s="408"/>
      <c r="AG367" s="293"/>
      <c r="AH367" s="293"/>
      <c r="AI367" s="293"/>
      <c r="AJ367" s="293"/>
      <c r="AK367" s="293"/>
      <c r="AL367" s="327"/>
      <c r="AM367" s="463"/>
      <c r="AN367" s="513"/>
      <c r="AO367" s="88"/>
      <c r="AP367" s="116"/>
      <c r="AQ367" s="74"/>
      <c r="AR367" s="76"/>
      <c r="AS367" s="24"/>
      <c r="AT367" s="25"/>
      <c r="AU367" s="309"/>
      <c r="AV367" s="462"/>
      <c r="AW367" s="552"/>
      <c r="AX367" s="191"/>
      <c r="AY367" s="191"/>
      <c r="AZ367" s="192"/>
      <c r="BA367" s="193"/>
      <c r="BB367" s="60"/>
      <c r="BC367" s="191"/>
      <c r="BD367" s="79"/>
      <c r="BE367" s="79"/>
      <c r="BF367" s="127"/>
      <c r="BG367" s="128"/>
      <c r="BH367" s="128"/>
      <c r="BI367" s="29"/>
      <c r="BJ367" s="24"/>
      <c r="BK367" s="25"/>
      <c r="BL367" s="308"/>
      <c r="BM367" s="539"/>
    </row>
    <row r="368" spans="1:65" ht="51" customHeight="1">
      <c r="A368" s="91"/>
      <c r="B368" s="358" t="s">
        <v>2559</v>
      </c>
      <c r="C368" s="50" t="s">
        <v>1612</v>
      </c>
      <c r="D368" s="264" t="s">
        <v>1581</v>
      </c>
      <c r="E368" s="393" t="s">
        <v>1579</v>
      </c>
      <c r="F368" s="410"/>
      <c r="G368" s="10"/>
      <c r="H368" s="167"/>
      <c r="I368" s="10"/>
      <c r="J368" s="76"/>
      <c r="K368" s="24"/>
      <c r="L368" s="281"/>
      <c r="M368" s="431"/>
      <c r="N368" s="410">
        <v>148604</v>
      </c>
      <c r="O368" s="10">
        <v>620000</v>
      </c>
      <c r="P368" s="10">
        <v>650000</v>
      </c>
      <c r="Q368" s="268">
        <v>630000</v>
      </c>
      <c r="R368" s="10">
        <v>780000</v>
      </c>
      <c r="S368" s="76">
        <f t="shared" si="462"/>
        <v>670000</v>
      </c>
      <c r="T368" s="24">
        <f t="shared" si="463"/>
        <v>521396</v>
      </c>
      <c r="U368" s="281">
        <f t="shared" si="464"/>
        <v>3.5086269548598961</v>
      </c>
      <c r="V368" s="462">
        <f t="shared" si="465"/>
        <v>670000</v>
      </c>
      <c r="W368" s="410"/>
      <c r="X368" s="33"/>
      <c r="Y368" s="39"/>
      <c r="Z368" s="472"/>
      <c r="AA368" s="76"/>
      <c r="AB368" s="24"/>
      <c r="AC368" s="25"/>
      <c r="AD368" s="309"/>
      <c r="AE368" s="462"/>
      <c r="AF368" s="408"/>
      <c r="AG368" s="293"/>
      <c r="AH368" s="293"/>
      <c r="AI368" s="293"/>
      <c r="AJ368" s="293"/>
      <c r="AK368" s="293"/>
      <c r="AL368" s="327"/>
      <c r="AM368" s="463"/>
      <c r="AN368" s="513"/>
      <c r="AO368" s="88"/>
      <c r="AP368" s="116"/>
      <c r="AQ368" s="74"/>
      <c r="AR368" s="76"/>
      <c r="AS368" s="24"/>
      <c r="AT368" s="25"/>
      <c r="AU368" s="309"/>
      <c r="AV368" s="462"/>
      <c r="AW368" s="552"/>
      <c r="AX368" s="191"/>
      <c r="AY368" s="191"/>
      <c r="AZ368" s="192"/>
      <c r="BA368" s="193"/>
      <c r="BB368" s="60"/>
      <c r="BC368" s="191"/>
      <c r="BD368" s="79"/>
      <c r="BE368" s="79"/>
      <c r="BF368" s="127"/>
      <c r="BG368" s="128"/>
      <c r="BH368" s="128"/>
      <c r="BI368" s="29"/>
      <c r="BJ368" s="24"/>
      <c r="BK368" s="25"/>
      <c r="BL368" s="308"/>
      <c r="BM368" s="539"/>
    </row>
    <row r="369" spans="1:65" ht="51" customHeight="1">
      <c r="A369" s="91"/>
      <c r="B369" s="358" t="s">
        <v>2560</v>
      </c>
      <c r="C369" s="50" t="s">
        <v>1613</v>
      </c>
      <c r="D369" s="264" t="s">
        <v>1582</v>
      </c>
      <c r="E369" s="393" t="s">
        <v>1579</v>
      </c>
      <c r="F369" s="410"/>
      <c r="G369" s="10"/>
      <c r="H369" s="167"/>
      <c r="I369" s="10"/>
      <c r="J369" s="76"/>
      <c r="K369" s="24"/>
      <c r="L369" s="281"/>
      <c r="M369" s="431"/>
      <c r="N369" s="410">
        <v>308276</v>
      </c>
      <c r="O369" s="10">
        <v>680000</v>
      </c>
      <c r="P369" s="10">
        <v>710000</v>
      </c>
      <c r="Q369" s="268">
        <v>700000</v>
      </c>
      <c r="R369" s="10">
        <v>800000</v>
      </c>
      <c r="S369" s="76">
        <f t="shared" si="462"/>
        <v>722500</v>
      </c>
      <c r="T369" s="24">
        <f t="shared" si="463"/>
        <v>414224</v>
      </c>
      <c r="U369" s="281">
        <f t="shared" si="464"/>
        <v>1.3436790408594896</v>
      </c>
      <c r="V369" s="462">
        <f t="shared" si="465"/>
        <v>722500</v>
      </c>
      <c r="W369" s="410"/>
      <c r="X369" s="33"/>
      <c r="Y369" s="39"/>
      <c r="Z369" s="472"/>
      <c r="AA369" s="76"/>
      <c r="AB369" s="24"/>
      <c r="AC369" s="25"/>
      <c r="AD369" s="309"/>
      <c r="AE369" s="462"/>
      <c r="AF369" s="408"/>
      <c r="AG369" s="293"/>
      <c r="AH369" s="293"/>
      <c r="AI369" s="293"/>
      <c r="AJ369" s="293"/>
      <c r="AK369" s="293"/>
      <c r="AL369" s="327"/>
      <c r="AM369" s="463"/>
      <c r="AN369" s="513"/>
      <c r="AO369" s="88"/>
      <c r="AP369" s="116"/>
      <c r="AQ369" s="74"/>
      <c r="AR369" s="76"/>
      <c r="AS369" s="24"/>
      <c r="AT369" s="25"/>
      <c r="AU369" s="309"/>
      <c r="AV369" s="462"/>
      <c r="AW369" s="552"/>
      <c r="AX369" s="191"/>
      <c r="AY369" s="191"/>
      <c r="AZ369" s="192"/>
      <c r="BA369" s="193"/>
      <c r="BB369" s="60"/>
      <c r="BC369" s="191"/>
      <c r="BD369" s="79"/>
      <c r="BE369" s="79"/>
      <c r="BF369" s="127"/>
      <c r="BG369" s="128"/>
      <c r="BH369" s="128"/>
      <c r="BI369" s="29"/>
      <c r="BJ369" s="24"/>
      <c r="BK369" s="25"/>
      <c r="BL369" s="308"/>
      <c r="BM369" s="539"/>
    </row>
    <row r="370" spans="1:65" ht="51" customHeight="1">
      <c r="A370" s="91"/>
      <c r="B370" s="358" t="s">
        <v>2561</v>
      </c>
      <c r="C370" s="50" t="s">
        <v>1614</v>
      </c>
      <c r="D370" s="264" t="s">
        <v>1583</v>
      </c>
      <c r="E370" s="393" t="s">
        <v>1579</v>
      </c>
      <c r="F370" s="410"/>
      <c r="G370" s="10"/>
      <c r="H370" s="167"/>
      <c r="I370" s="10"/>
      <c r="J370" s="76"/>
      <c r="K370" s="24"/>
      <c r="L370" s="281"/>
      <c r="M370" s="431"/>
      <c r="N370" s="410">
        <v>315414</v>
      </c>
      <c r="O370" s="10">
        <v>730000</v>
      </c>
      <c r="P370" s="10">
        <v>750000</v>
      </c>
      <c r="Q370" s="268">
        <v>750000</v>
      </c>
      <c r="R370" s="10">
        <v>850000</v>
      </c>
      <c r="S370" s="76">
        <f t="shared" si="462"/>
        <v>770000</v>
      </c>
      <c r="T370" s="24">
        <f t="shared" si="463"/>
        <v>454586</v>
      </c>
      <c r="U370" s="281">
        <f t="shared" si="464"/>
        <v>1.4412359628932134</v>
      </c>
      <c r="V370" s="462">
        <f t="shared" si="465"/>
        <v>770000</v>
      </c>
      <c r="W370" s="410"/>
      <c r="X370" s="33"/>
      <c r="Y370" s="39"/>
      <c r="Z370" s="472"/>
      <c r="AA370" s="76"/>
      <c r="AB370" s="24"/>
      <c r="AC370" s="25"/>
      <c r="AD370" s="309"/>
      <c r="AE370" s="462"/>
      <c r="AF370" s="408"/>
      <c r="AG370" s="293"/>
      <c r="AH370" s="293"/>
      <c r="AI370" s="293"/>
      <c r="AJ370" s="293"/>
      <c r="AK370" s="293"/>
      <c r="AL370" s="327"/>
      <c r="AM370" s="463"/>
      <c r="AN370" s="513"/>
      <c r="AO370" s="88"/>
      <c r="AP370" s="116"/>
      <c r="AQ370" s="74"/>
      <c r="AR370" s="76"/>
      <c r="AS370" s="24"/>
      <c r="AT370" s="25"/>
      <c r="AU370" s="309"/>
      <c r="AV370" s="462"/>
      <c r="AW370" s="552"/>
      <c r="AX370" s="191"/>
      <c r="AY370" s="191"/>
      <c r="AZ370" s="192"/>
      <c r="BA370" s="193"/>
      <c r="BB370" s="60"/>
      <c r="BC370" s="191"/>
      <c r="BD370" s="79"/>
      <c r="BE370" s="79"/>
      <c r="BF370" s="127"/>
      <c r="BG370" s="128"/>
      <c r="BH370" s="128"/>
      <c r="BI370" s="29"/>
      <c r="BJ370" s="24"/>
      <c r="BK370" s="25"/>
      <c r="BL370" s="308"/>
      <c r="BM370" s="539"/>
    </row>
    <row r="371" spans="1:65" ht="51" customHeight="1">
      <c r="A371" s="91"/>
      <c r="B371" s="358" t="s">
        <v>2562</v>
      </c>
      <c r="C371" s="50" t="s">
        <v>1615</v>
      </c>
      <c r="D371" s="264" t="s">
        <v>1584</v>
      </c>
      <c r="E371" s="393" t="s">
        <v>1579</v>
      </c>
      <c r="F371" s="410"/>
      <c r="G371" s="10"/>
      <c r="H371" s="167"/>
      <c r="I371" s="10"/>
      <c r="J371" s="76"/>
      <c r="K371" s="24"/>
      <c r="L371" s="281"/>
      <c r="M371" s="431"/>
      <c r="N371" s="410">
        <v>158201</v>
      </c>
      <c r="O371" s="10">
        <v>580000</v>
      </c>
      <c r="P371" s="10">
        <v>610000</v>
      </c>
      <c r="Q371" s="268">
        <v>600000</v>
      </c>
      <c r="R371" s="10">
        <v>750000</v>
      </c>
      <c r="S371" s="76">
        <f t="shared" si="462"/>
        <v>635000</v>
      </c>
      <c r="T371" s="24">
        <f t="shared" si="463"/>
        <v>476799</v>
      </c>
      <c r="U371" s="281">
        <f t="shared" si="464"/>
        <v>3.0138810753408638</v>
      </c>
      <c r="V371" s="462">
        <f t="shared" si="465"/>
        <v>635000</v>
      </c>
      <c r="W371" s="410"/>
      <c r="X371" s="33"/>
      <c r="Y371" s="39"/>
      <c r="Z371" s="472"/>
      <c r="AA371" s="76"/>
      <c r="AB371" s="24"/>
      <c r="AC371" s="25"/>
      <c r="AD371" s="309"/>
      <c r="AE371" s="462"/>
      <c r="AF371" s="408"/>
      <c r="AG371" s="293"/>
      <c r="AH371" s="293"/>
      <c r="AI371" s="293"/>
      <c r="AJ371" s="293"/>
      <c r="AK371" s="293"/>
      <c r="AL371" s="327"/>
      <c r="AM371" s="463"/>
      <c r="AN371" s="513"/>
      <c r="AO371" s="88"/>
      <c r="AP371" s="116"/>
      <c r="AQ371" s="74"/>
      <c r="AR371" s="76"/>
      <c r="AS371" s="24"/>
      <c r="AT371" s="25"/>
      <c r="AU371" s="309"/>
      <c r="AV371" s="462"/>
      <c r="AW371" s="552"/>
      <c r="AX371" s="191"/>
      <c r="AY371" s="191"/>
      <c r="AZ371" s="192"/>
      <c r="BA371" s="193"/>
      <c r="BB371" s="60"/>
      <c r="BC371" s="191"/>
      <c r="BD371" s="79"/>
      <c r="BE371" s="79"/>
      <c r="BF371" s="127"/>
      <c r="BG371" s="128"/>
      <c r="BH371" s="128"/>
      <c r="BI371" s="29"/>
      <c r="BJ371" s="24"/>
      <c r="BK371" s="25"/>
      <c r="BL371" s="308"/>
      <c r="BM371" s="539"/>
    </row>
    <row r="372" spans="1:65" ht="51" customHeight="1">
      <c r="A372" s="91"/>
      <c r="B372" s="358" t="s">
        <v>2563</v>
      </c>
      <c r="C372" s="50" t="s">
        <v>1616</v>
      </c>
      <c r="D372" s="264" t="s">
        <v>1585</v>
      </c>
      <c r="E372" s="393" t="s">
        <v>1579</v>
      </c>
      <c r="F372" s="410"/>
      <c r="G372" s="10"/>
      <c r="H372" s="167"/>
      <c r="I372" s="10"/>
      <c r="J372" s="76"/>
      <c r="K372" s="24"/>
      <c r="L372" s="281"/>
      <c r="M372" s="431"/>
      <c r="N372" s="410">
        <v>308276</v>
      </c>
      <c r="O372" s="10">
        <v>680000</v>
      </c>
      <c r="P372" s="10">
        <v>710000</v>
      </c>
      <c r="Q372" s="268">
        <v>700000</v>
      </c>
      <c r="R372" s="10">
        <v>800000</v>
      </c>
      <c r="S372" s="76">
        <f t="shared" si="462"/>
        <v>722500</v>
      </c>
      <c r="T372" s="24">
        <f t="shared" si="463"/>
        <v>414224</v>
      </c>
      <c r="U372" s="281">
        <f t="shared" si="464"/>
        <v>1.3436790408594896</v>
      </c>
      <c r="V372" s="462">
        <f t="shared" si="465"/>
        <v>722500</v>
      </c>
      <c r="W372" s="410"/>
      <c r="X372" s="33"/>
      <c r="Y372" s="39"/>
      <c r="Z372" s="472"/>
      <c r="AA372" s="76"/>
      <c r="AB372" s="24"/>
      <c r="AC372" s="25"/>
      <c r="AD372" s="309"/>
      <c r="AE372" s="462"/>
      <c r="AF372" s="408"/>
      <c r="AG372" s="293"/>
      <c r="AH372" s="293"/>
      <c r="AI372" s="293"/>
      <c r="AJ372" s="293"/>
      <c r="AK372" s="293"/>
      <c r="AL372" s="327"/>
      <c r="AM372" s="463"/>
      <c r="AN372" s="513"/>
      <c r="AO372" s="88"/>
      <c r="AP372" s="116"/>
      <c r="AQ372" s="74"/>
      <c r="AR372" s="76"/>
      <c r="AS372" s="24"/>
      <c r="AT372" s="25"/>
      <c r="AU372" s="309"/>
      <c r="AV372" s="462"/>
      <c r="AW372" s="552"/>
      <c r="AX372" s="191"/>
      <c r="AY372" s="191"/>
      <c r="AZ372" s="192"/>
      <c r="BA372" s="193"/>
      <c r="BB372" s="60"/>
      <c r="BC372" s="191"/>
      <c r="BD372" s="79"/>
      <c r="BE372" s="79"/>
      <c r="BF372" s="127"/>
      <c r="BG372" s="128"/>
      <c r="BH372" s="128"/>
      <c r="BI372" s="29"/>
      <c r="BJ372" s="24"/>
      <c r="BK372" s="25"/>
      <c r="BL372" s="308"/>
      <c r="BM372" s="539"/>
    </row>
    <row r="373" spans="1:65" ht="69.95" customHeight="1">
      <c r="A373" s="91"/>
      <c r="B373" s="358" t="s">
        <v>2564</v>
      </c>
      <c r="C373" s="50" t="s">
        <v>1617</v>
      </c>
      <c r="D373" s="264" t="s">
        <v>1586</v>
      </c>
      <c r="E373" s="394" t="s">
        <v>1399</v>
      </c>
      <c r="F373" s="410"/>
      <c r="G373" s="10"/>
      <c r="H373" s="167"/>
      <c r="I373" s="10"/>
      <c r="J373" s="76"/>
      <c r="K373" s="24"/>
      <c r="L373" s="281"/>
      <c r="M373" s="431"/>
      <c r="N373" s="410">
        <v>73898</v>
      </c>
      <c r="O373" s="10">
        <v>55000</v>
      </c>
      <c r="P373" s="10">
        <v>65000</v>
      </c>
      <c r="Q373" s="268">
        <v>60000</v>
      </c>
      <c r="R373" s="10">
        <v>70000</v>
      </c>
      <c r="S373" s="76">
        <f t="shared" si="462"/>
        <v>62500</v>
      </c>
      <c r="T373" s="24">
        <f t="shared" si="463"/>
        <v>-11398</v>
      </c>
      <c r="U373" s="281">
        <f t="shared" si="464"/>
        <v>-0.15423962759479282</v>
      </c>
      <c r="V373" s="462">
        <f t="shared" si="465"/>
        <v>62500</v>
      </c>
      <c r="W373" s="410"/>
      <c r="X373" s="33"/>
      <c r="Y373" s="39"/>
      <c r="Z373" s="472"/>
      <c r="AA373" s="76"/>
      <c r="AB373" s="24"/>
      <c r="AC373" s="25"/>
      <c r="AD373" s="309"/>
      <c r="AE373" s="462"/>
      <c r="AF373" s="408"/>
      <c r="AG373" s="293"/>
      <c r="AH373" s="293"/>
      <c r="AI373" s="293"/>
      <c r="AJ373" s="293"/>
      <c r="AK373" s="293"/>
      <c r="AL373" s="327"/>
      <c r="AM373" s="463"/>
      <c r="AN373" s="513"/>
      <c r="AO373" s="88"/>
      <c r="AP373" s="116"/>
      <c r="AQ373" s="74"/>
      <c r="AR373" s="76"/>
      <c r="AS373" s="24"/>
      <c r="AT373" s="25"/>
      <c r="AU373" s="309"/>
      <c r="AV373" s="462"/>
      <c r="AW373" s="552"/>
      <c r="AX373" s="191"/>
      <c r="AY373" s="191"/>
      <c r="AZ373" s="192"/>
      <c r="BA373" s="193"/>
      <c r="BB373" s="60"/>
      <c r="BC373" s="191"/>
      <c r="BD373" s="79"/>
      <c r="BE373" s="79"/>
      <c r="BF373" s="127"/>
      <c r="BG373" s="128"/>
      <c r="BH373" s="128"/>
      <c r="BI373" s="29"/>
      <c r="BJ373" s="24"/>
      <c r="BK373" s="25"/>
      <c r="BL373" s="308"/>
      <c r="BM373" s="539"/>
    </row>
    <row r="374" spans="1:65" ht="51" customHeight="1">
      <c r="A374" s="91"/>
      <c r="B374" s="358" t="s">
        <v>2565</v>
      </c>
      <c r="C374" s="50" t="s">
        <v>1618</v>
      </c>
      <c r="D374" s="264" t="s">
        <v>1587</v>
      </c>
      <c r="E374" s="394" t="s">
        <v>1399</v>
      </c>
      <c r="F374" s="410"/>
      <c r="G374" s="10"/>
      <c r="H374" s="167"/>
      <c r="I374" s="10"/>
      <c r="J374" s="76"/>
      <c r="K374" s="24"/>
      <c r="L374" s="281"/>
      <c r="M374" s="431"/>
      <c r="N374" s="410">
        <v>226745</v>
      </c>
      <c r="O374" s="10"/>
      <c r="P374" s="10"/>
      <c r="Q374" s="268"/>
      <c r="R374" s="10">
        <v>380000</v>
      </c>
      <c r="S374" s="76">
        <f t="shared" si="462"/>
        <v>380000</v>
      </c>
      <c r="T374" s="24">
        <f t="shared" si="463"/>
        <v>153255</v>
      </c>
      <c r="U374" s="281">
        <f t="shared" si="464"/>
        <v>0.67589141987695434</v>
      </c>
      <c r="V374" s="462">
        <f t="shared" si="465"/>
        <v>380000</v>
      </c>
      <c r="W374" s="410"/>
      <c r="X374" s="33"/>
      <c r="Y374" s="39"/>
      <c r="Z374" s="472"/>
      <c r="AA374" s="76"/>
      <c r="AB374" s="24"/>
      <c r="AC374" s="25"/>
      <c r="AD374" s="309"/>
      <c r="AE374" s="462"/>
      <c r="AF374" s="408"/>
      <c r="AG374" s="293"/>
      <c r="AH374" s="293"/>
      <c r="AI374" s="293"/>
      <c r="AJ374" s="293"/>
      <c r="AK374" s="293"/>
      <c r="AL374" s="327"/>
      <c r="AM374" s="463"/>
      <c r="AN374" s="513"/>
      <c r="AO374" s="88"/>
      <c r="AP374" s="116"/>
      <c r="AQ374" s="74"/>
      <c r="AR374" s="76"/>
      <c r="AS374" s="24"/>
      <c r="AT374" s="25"/>
      <c r="AU374" s="309"/>
      <c r="AV374" s="462"/>
      <c r="AW374" s="552"/>
      <c r="AX374" s="191"/>
      <c r="AY374" s="191"/>
      <c r="AZ374" s="192"/>
      <c r="BA374" s="193"/>
      <c r="BB374" s="60"/>
      <c r="BC374" s="191"/>
      <c r="BD374" s="79"/>
      <c r="BE374" s="79"/>
      <c r="BF374" s="127"/>
      <c r="BG374" s="128"/>
      <c r="BH374" s="128"/>
      <c r="BI374" s="29"/>
      <c r="BJ374" s="24"/>
      <c r="BK374" s="25"/>
      <c r="BL374" s="308"/>
      <c r="BM374" s="539"/>
    </row>
    <row r="375" spans="1:65" ht="51" customHeight="1">
      <c r="A375" s="91"/>
      <c r="B375" s="358" t="s">
        <v>2566</v>
      </c>
      <c r="C375" s="50" t="s">
        <v>1619</v>
      </c>
      <c r="D375" s="264" t="s">
        <v>1588</v>
      </c>
      <c r="E375" s="394" t="s">
        <v>1399</v>
      </c>
      <c r="F375" s="410"/>
      <c r="G375" s="10"/>
      <c r="H375" s="167"/>
      <c r="I375" s="10"/>
      <c r="J375" s="76"/>
      <c r="K375" s="24"/>
      <c r="L375" s="281"/>
      <c r="M375" s="431"/>
      <c r="N375" s="410">
        <v>129809</v>
      </c>
      <c r="O375" s="10"/>
      <c r="P375" s="10"/>
      <c r="Q375" s="268"/>
      <c r="R375" s="10">
        <v>350000</v>
      </c>
      <c r="S375" s="76">
        <f t="shared" si="462"/>
        <v>350000</v>
      </c>
      <c r="T375" s="24">
        <f t="shared" si="463"/>
        <v>220191</v>
      </c>
      <c r="U375" s="281">
        <f t="shared" si="464"/>
        <v>1.6962691338813178</v>
      </c>
      <c r="V375" s="462">
        <f t="shared" si="465"/>
        <v>350000</v>
      </c>
      <c r="W375" s="410"/>
      <c r="X375" s="33"/>
      <c r="Y375" s="39"/>
      <c r="Z375" s="472"/>
      <c r="AA375" s="76"/>
      <c r="AB375" s="24"/>
      <c r="AC375" s="25"/>
      <c r="AD375" s="309"/>
      <c r="AE375" s="462"/>
      <c r="AF375" s="408"/>
      <c r="AG375" s="293"/>
      <c r="AH375" s="293"/>
      <c r="AI375" s="293"/>
      <c r="AJ375" s="293"/>
      <c r="AK375" s="293"/>
      <c r="AL375" s="327"/>
      <c r="AM375" s="463"/>
      <c r="AN375" s="513"/>
      <c r="AO375" s="88"/>
      <c r="AP375" s="116"/>
      <c r="AQ375" s="74"/>
      <c r="AR375" s="76"/>
      <c r="AS375" s="24"/>
      <c r="AT375" s="25"/>
      <c r="AU375" s="309"/>
      <c r="AV375" s="462"/>
      <c r="AW375" s="552"/>
      <c r="AX375" s="191"/>
      <c r="AY375" s="191"/>
      <c r="AZ375" s="192"/>
      <c r="BA375" s="193"/>
      <c r="BB375" s="60"/>
      <c r="BC375" s="191"/>
      <c r="BD375" s="79"/>
      <c r="BE375" s="79"/>
      <c r="BF375" s="127"/>
      <c r="BG375" s="128"/>
      <c r="BH375" s="128"/>
      <c r="BI375" s="29"/>
      <c r="BJ375" s="24"/>
      <c r="BK375" s="25"/>
      <c r="BL375" s="308"/>
      <c r="BM375" s="539"/>
    </row>
    <row r="376" spans="1:65" ht="51" customHeight="1">
      <c r="A376" s="91"/>
      <c r="B376" s="358" t="s">
        <v>2567</v>
      </c>
      <c r="C376" s="50" t="s">
        <v>1620</v>
      </c>
      <c r="D376" s="264" t="s">
        <v>1589</v>
      </c>
      <c r="E376" s="394" t="s">
        <v>1399</v>
      </c>
      <c r="F376" s="410"/>
      <c r="G376" s="10"/>
      <c r="H376" s="167"/>
      <c r="I376" s="10"/>
      <c r="J376" s="76"/>
      <c r="K376" s="24"/>
      <c r="L376" s="281"/>
      <c r="M376" s="431"/>
      <c r="N376" s="410">
        <v>75209</v>
      </c>
      <c r="O376" s="10">
        <v>155000</v>
      </c>
      <c r="P376" s="10">
        <v>155000</v>
      </c>
      <c r="Q376" s="268">
        <v>155000</v>
      </c>
      <c r="R376" s="10">
        <v>380000</v>
      </c>
      <c r="S376" s="76">
        <f t="shared" si="462"/>
        <v>211250</v>
      </c>
      <c r="T376" s="24">
        <f t="shared" si="463"/>
        <v>136041</v>
      </c>
      <c r="U376" s="281">
        <f t="shared" si="464"/>
        <v>1.8088393676288741</v>
      </c>
      <c r="V376" s="462">
        <f t="shared" si="465"/>
        <v>211250</v>
      </c>
      <c r="W376" s="410"/>
      <c r="X376" s="33"/>
      <c r="Y376" s="39"/>
      <c r="Z376" s="472"/>
      <c r="AA376" s="76"/>
      <c r="AB376" s="24"/>
      <c r="AC376" s="25"/>
      <c r="AD376" s="309"/>
      <c r="AE376" s="462"/>
      <c r="AF376" s="408"/>
      <c r="AG376" s="293"/>
      <c r="AH376" s="293"/>
      <c r="AI376" s="293"/>
      <c r="AJ376" s="293"/>
      <c r="AK376" s="293"/>
      <c r="AL376" s="327"/>
      <c r="AM376" s="463"/>
      <c r="AN376" s="513"/>
      <c r="AO376" s="88"/>
      <c r="AP376" s="116"/>
      <c r="AQ376" s="74"/>
      <c r="AR376" s="76"/>
      <c r="AS376" s="24"/>
      <c r="AT376" s="25"/>
      <c r="AU376" s="309"/>
      <c r="AV376" s="462"/>
      <c r="AW376" s="552"/>
      <c r="AX376" s="191"/>
      <c r="AY376" s="191"/>
      <c r="AZ376" s="192"/>
      <c r="BA376" s="193"/>
      <c r="BB376" s="60"/>
      <c r="BC376" s="191"/>
      <c r="BD376" s="79"/>
      <c r="BE376" s="79"/>
      <c r="BF376" s="127"/>
      <c r="BG376" s="128"/>
      <c r="BH376" s="128"/>
      <c r="BI376" s="29"/>
      <c r="BJ376" s="24"/>
      <c r="BK376" s="25"/>
      <c r="BL376" s="308"/>
      <c r="BM376" s="539"/>
    </row>
    <row r="377" spans="1:65" ht="51" customHeight="1">
      <c r="A377" s="91"/>
      <c r="B377" s="358" t="s">
        <v>2568</v>
      </c>
      <c r="C377" s="50" t="s">
        <v>1621</v>
      </c>
      <c r="D377" s="264" t="s">
        <v>1590</v>
      </c>
      <c r="E377" s="393" t="s">
        <v>827</v>
      </c>
      <c r="F377" s="410"/>
      <c r="G377" s="10"/>
      <c r="H377" s="167"/>
      <c r="I377" s="10"/>
      <c r="J377" s="76"/>
      <c r="K377" s="24"/>
      <c r="L377" s="281"/>
      <c r="M377" s="431"/>
      <c r="N377" s="410">
        <v>109675</v>
      </c>
      <c r="O377" s="10"/>
      <c r="P377" s="10"/>
      <c r="Q377" s="268"/>
      <c r="R377" s="10">
        <v>850000</v>
      </c>
      <c r="S377" s="76">
        <f t="shared" si="462"/>
        <v>850000</v>
      </c>
      <c r="T377" s="24">
        <f t="shared" si="463"/>
        <v>740325</v>
      </c>
      <c r="U377" s="281">
        <f t="shared" si="464"/>
        <v>6.7501709596535218</v>
      </c>
      <c r="V377" s="462">
        <f t="shared" si="465"/>
        <v>850000</v>
      </c>
      <c r="W377" s="410"/>
      <c r="X377" s="33"/>
      <c r="Y377" s="39"/>
      <c r="Z377" s="472"/>
      <c r="AA377" s="76"/>
      <c r="AB377" s="24"/>
      <c r="AC377" s="25"/>
      <c r="AD377" s="309"/>
      <c r="AE377" s="462"/>
      <c r="AF377" s="408"/>
      <c r="AG377" s="293"/>
      <c r="AH377" s="293"/>
      <c r="AI377" s="293"/>
      <c r="AJ377" s="293"/>
      <c r="AK377" s="293"/>
      <c r="AL377" s="327"/>
      <c r="AM377" s="463"/>
      <c r="AN377" s="513"/>
      <c r="AO377" s="88"/>
      <c r="AP377" s="116"/>
      <c r="AQ377" s="74"/>
      <c r="AR377" s="76"/>
      <c r="AS377" s="24"/>
      <c r="AT377" s="25"/>
      <c r="AU377" s="309"/>
      <c r="AV377" s="462"/>
      <c r="AW377" s="552"/>
      <c r="AX377" s="191"/>
      <c r="AY377" s="191"/>
      <c r="AZ377" s="192"/>
      <c r="BA377" s="193"/>
      <c r="BB377" s="60"/>
      <c r="BC377" s="191"/>
      <c r="BD377" s="79"/>
      <c r="BE377" s="79"/>
      <c r="BF377" s="127"/>
      <c r="BG377" s="128"/>
      <c r="BH377" s="128"/>
      <c r="BI377" s="29"/>
      <c r="BJ377" s="24"/>
      <c r="BK377" s="25"/>
      <c r="BL377" s="308"/>
      <c r="BM377" s="539"/>
    </row>
    <row r="378" spans="1:65" ht="51" customHeight="1">
      <c r="A378" s="91"/>
      <c r="B378" s="358" t="s">
        <v>2569</v>
      </c>
      <c r="C378" s="50" t="s">
        <v>1622</v>
      </c>
      <c r="D378" s="264" t="s">
        <v>1591</v>
      </c>
      <c r="E378" s="393" t="s">
        <v>827</v>
      </c>
      <c r="F378" s="410"/>
      <c r="G378" s="10"/>
      <c r="H378" s="167"/>
      <c r="I378" s="10"/>
      <c r="J378" s="76"/>
      <c r="K378" s="24"/>
      <c r="L378" s="281"/>
      <c r="M378" s="431"/>
      <c r="N378" s="410">
        <v>162538</v>
      </c>
      <c r="O378" s="10">
        <v>114000</v>
      </c>
      <c r="P378" s="10">
        <v>119000</v>
      </c>
      <c r="Q378" s="268">
        <v>119000</v>
      </c>
      <c r="R378" s="10">
        <v>200000</v>
      </c>
      <c r="S378" s="76">
        <f t="shared" si="462"/>
        <v>138000</v>
      </c>
      <c r="T378" s="24">
        <f t="shared" si="463"/>
        <v>-24538</v>
      </c>
      <c r="U378" s="281">
        <f t="shared" si="464"/>
        <v>-0.15096777368984485</v>
      </c>
      <c r="V378" s="462">
        <f t="shared" si="465"/>
        <v>138000</v>
      </c>
      <c r="W378" s="410"/>
      <c r="X378" s="33"/>
      <c r="Y378" s="39"/>
      <c r="Z378" s="472"/>
      <c r="AA378" s="76"/>
      <c r="AB378" s="24"/>
      <c r="AC378" s="25"/>
      <c r="AD378" s="309"/>
      <c r="AE378" s="462"/>
      <c r="AF378" s="408"/>
      <c r="AG378" s="293"/>
      <c r="AH378" s="293"/>
      <c r="AI378" s="293"/>
      <c r="AJ378" s="293"/>
      <c r="AK378" s="293"/>
      <c r="AL378" s="327"/>
      <c r="AM378" s="463"/>
      <c r="AN378" s="513"/>
      <c r="AO378" s="88"/>
      <c r="AP378" s="116"/>
      <c r="AQ378" s="74"/>
      <c r="AR378" s="76"/>
      <c r="AS378" s="24"/>
      <c r="AT378" s="25"/>
      <c r="AU378" s="309"/>
      <c r="AV378" s="462"/>
      <c r="AW378" s="552"/>
      <c r="AX378" s="191"/>
      <c r="AY378" s="191"/>
      <c r="AZ378" s="192"/>
      <c r="BA378" s="193"/>
      <c r="BB378" s="60"/>
      <c r="BC378" s="191"/>
      <c r="BD378" s="79"/>
      <c r="BE378" s="79"/>
      <c r="BF378" s="127"/>
      <c r="BG378" s="128"/>
      <c r="BH378" s="128"/>
      <c r="BI378" s="29"/>
      <c r="BJ378" s="24"/>
      <c r="BK378" s="25"/>
      <c r="BL378" s="308"/>
      <c r="BM378" s="539"/>
    </row>
    <row r="379" spans="1:65">
      <c r="A379" s="91"/>
      <c r="B379" s="358" t="s">
        <v>2570</v>
      </c>
      <c r="C379" s="50" t="s">
        <v>1623</v>
      </c>
      <c r="D379" s="264" t="s">
        <v>1592</v>
      </c>
      <c r="E379" s="393" t="s">
        <v>1430</v>
      </c>
      <c r="F379" s="410"/>
      <c r="G379" s="10"/>
      <c r="H379" s="167"/>
      <c r="I379" s="10"/>
      <c r="J379" s="76"/>
      <c r="K379" s="24"/>
      <c r="L379" s="281"/>
      <c r="M379" s="431"/>
      <c r="N379" s="410">
        <v>187286</v>
      </c>
      <c r="O379" s="10">
        <v>550000</v>
      </c>
      <c r="P379" s="10">
        <v>580000</v>
      </c>
      <c r="Q379" s="268">
        <v>560000</v>
      </c>
      <c r="R379" s="10">
        <v>700000</v>
      </c>
      <c r="S379" s="76">
        <f t="shared" si="462"/>
        <v>597500</v>
      </c>
      <c r="T379" s="24">
        <f t="shared" si="463"/>
        <v>410214</v>
      </c>
      <c r="U379" s="281">
        <f t="shared" si="464"/>
        <v>2.1903078713838728</v>
      </c>
      <c r="V379" s="462">
        <f t="shared" si="465"/>
        <v>597500</v>
      </c>
      <c r="W379" s="410"/>
      <c r="X379" s="33"/>
      <c r="Y379" s="39"/>
      <c r="Z379" s="472"/>
      <c r="AA379" s="76"/>
      <c r="AB379" s="24"/>
      <c r="AC379" s="25"/>
      <c r="AD379" s="309"/>
      <c r="AE379" s="462"/>
      <c r="AF379" s="408"/>
      <c r="AG379" s="293"/>
      <c r="AH379" s="293"/>
      <c r="AI379" s="293"/>
      <c r="AJ379" s="293"/>
      <c r="AK379" s="293"/>
      <c r="AL379" s="327"/>
      <c r="AM379" s="463"/>
      <c r="AN379" s="513"/>
      <c r="AO379" s="88"/>
      <c r="AP379" s="116"/>
      <c r="AQ379" s="74"/>
      <c r="AR379" s="76"/>
      <c r="AS379" s="24"/>
      <c r="AT379" s="25"/>
      <c r="AU379" s="309"/>
      <c r="AV379" s="462"/>
      <c r="AW379" s="552"/>
      <c r="AX379" s="191"/>
      <c r="AY379" s="191"/>
      <c r="AZ379" s="192"/>
      <c r="BA379" s="193"/>
      <c r="BB379" s="60"/>
      <c r="BC379" s="191"/>
      <c r="BD379" s="79"/>
      <c r="BE379" s="79"/>
      <c r="BF379" s="127"/>
      <c r="BG379" s="128"/>
      <c r="BH379" s="128"/>
      <c r="BI379" s="29"/>
      <c r="BJ379" s="24"/>
      <c r="BK379" s="25"/>
      <c r="BL379" s="308"/>
      <c r="BM379" s="539"/>
    </row>
    <row r="380" spans="1:65">
      <c r="A380" s="91"/>
      <c r="B380" s="358" t="s">
        <v>2571</v>
      </c>
      <c r="C380" s="50" t="s">
        <v>1624</v>
      </c>
      <c r="D380" s="264" t="s">
        <v>1593</v>
      </c>
      <c r="E380" s="393" t="s">
        <v>827</v>
      </c>
      <c r="F380" s="410"/>
      <c r="G380" s="10"/>
      <c r="H380" s="167"/>
      <c r="I380" s="10"/>
      <c r="J380" s="76"/>
      <c r="K380" s="24"/>
      <c r="L380" s="281"/>
      <c r="M380" s="431"/>
      <c r="N380" s="410">
        <v>128907</v>
      </c>
      <c r="O380" s="10"/>
      <c r="P380" s="10"/>
      <c r="Q380" s="268"/>
      <c r="R380" s="10">
        <v>580000</v>
      </c>
      <c r="S380" s="76">
        <f t="shared" si="462"/>
        <v>580000</v>
      </c>
      <c r="T380" s="24">
        <f t="shared" si="463"/>
        <v>451093</v>
      </c>
      <c r="U380" s="281">
        <f t="shared" si="464"/>
        <v>3.4993677612542378</v>
      </c>
      <c r="V380" s="462">
        <f t="shared" si="465"/>
        <v>580000</v>
      </c>
      <c r="W380" s="410"/>
      <c r="X380" s="33"/>
      <c r="Y380" s="39"/>
      <c r="Z380" s="472"/>
      <c r="AA380" s="76"/>
      <c r="AB380" s="24"/>
      <c r="AC380" s="25"/>
      <c r="AD380" s="309"/>
      <c r="AE380" s="462"/>
      <c r="AF380" s="408"/>
      <c r="AG380" s="293"/>
      <c r="AH380" s="293"/>
      <c r="AI380" s="293"/>
      <c r="AJ380" s="293"/>
      <c r="AK380" s="293"/>
      <c r="AL380" s="327"/>
      <c r="AM380" s="463"/>
      <c r="AN380" s="513"/>
      <c r="AO380" s="88"/>
      <c r="AP380" s="116"/>
      <c r="AQ380" s="74"/>
      <c r="AR380" s="76"/>
      <c r="AS380" s="24"/>
      <c r="AT380" s="25"/>
      <c r="AU380" s="309"/>
      <c r="AV380" s="462"/>
      <c r="AW380" s="552"/>
      <c r="AX380" s="191"/>
      <c r="AY380" s="191"/>
      <c r="AZ380" s="192"/>
      <c r="BA380" s="193"/>
      <c r="BB380" s="60"/>
      <c r="BC380" s="191"/>
      <c r="BD380" s="79"/>
      <c r="BE380" s="79"/>
      <c r="BF380" s="127"/>
      <c r="BG380" s="128"/>
      <c r="BH380" s="128"/>
      <c r="BI380" s="29"/>
      <c r="BJ380" s="24"/>
      <c r="BK380" s="25"/>
      <c r="BL380" s="308"/>
      <c r="BM380" s="539"/>
    </row>
    <row r="381" spans="1:65" ht="51" customHeight="1">
      <c r="A381" s="91"/>
      <c r="B381" s="358" t="s">
        <v>2572</v>
      </c>
      <c r="C381" s="50" t="s">
        <v>1625</v>
      </c>
      <c r="D381" s="264" t="s">
        <v>1594</v>
      </c>
      <c r="E381" s="393" t="s">
        <v>1457</v>
      </c>
      <c r="F381" s="410"/>
      <c r="G381" s="10"/>
      <c r="H381" s="167"/>
      <c r="I381" s="10"/>
      <c r="J381" s="76"/>
      <c r="K381" s="24"/>
      <c r="L381" s="281"/>
      <c r="M381" s="431"/>
      <c r="N381" s="410">
        <v>192592</v>
      </c>
      <c r="O381" s="10">
        <v>122500</v>
      </c>
      <c r="P381" s="10">
        <v>130000</v>
      </c>
      <c r="Q381" s="268">
        <v>125000</v>
      </c>
      <c r="R381" s="10">
        <v>200000</v>
      </c>
      <c r="S381" s="76">
        <f t="shared" si="462"/>
        <v>144375</v>
      </c>
      <c r="T381" s="24">
        <f t="shared" si="463"/>
        <v>-48217</v>
      </c>
      <c r="U381" s="281">
        <f t="shared" si="464"/>
        <v>-0.25035827033313951</v>
      </c>
      <c r="V381" s="462">
        <f t="shared" si="465"/>
        <v>144375</v>
      </c>
      <c r="W381" s="410"/>
      <c r="X381" s="33"/>
      <c r="Y381" s="39"/>
      <c r="Z381" s="472"/>
      <c r="AA381" s="76"/>
      <c r="AB381" s="24"/>
      <c r="AC381" s="25"/>
      <c r="AD381" s="309"/>
      <c r="AE381" s="462"/>
      <c r="AF381" s="408"/>
      <c r="AG381" s="293"/>
      <c r="AH381" s="293"/>
      <c r="AI381" s="293"/>
      <c r="AJ381" s="293"/>
      <c r="AK381" s="293"/>
      <c r="AL381" s="327"/>
      <c r="AM381" s="463"/>
      <c r="AN381" s="513"/>
      <c r="AO381" s="88"/>
      <c r="AP381" s="116"/>
      <c r="AQ381" s="74"/>
      <c r="AR381" s="76"/>
      <c r="AS381" s="24"/>
      <c r="AT381" s="25"/>
      <c r="AU381" s="309"/>
      <c r="AV381" s="462"/>
      <c r="AW381" s="552"/>
      <c r="AX381" s="191"/>
      <c r="AY381" s="191"/>
      <c r="AZ381" s="192"/>
      <c r="BA381" s="193"/>
      <c r="BB381" s="60"/>
      <c r="BC381" s="191"/>
      <c r="BD381" s="79"/>
      <c r="BE381" s="79"/>
      <c r="BF381" s="127"/>
      <c r="BG381" s="128"/>
      <c r="BH381" s="128"/>
      <c r="BI381" s="29"/>
      <c r="BJ381" s="24"/>
      <c r="BK381" s="25"/>
      <c r="BL381" s="308"/>
      <c r="BM381" s="539"/>
    </row>
    <row r="382" spans="1:65" ht="27" customHeight="1">
      <c r="A382" s="91"/>
      <c r="B382" s="358" t="s">
        <v>2573</v>
      </c>
      <c r="C382" s="50" t="s">
        <v>1626</v>
      </c>
      <c r="D382" s="264" t="s">
        <v>1595</v>
      </c>
      <c r="E382" s="393" t="s">
        <v>1396</v>
      </c>
      <c r="F382" s="410"/>
      <c r="G382" s="10"/>
      <c r="H382" s="167"/>
      <c r="I382" s="10"/>
      <c r="J382" s="76"/>
      <c r="K382" s="24"/>
      <c r="L382" s="281"/>
      <c r="M382" s="431"/>
      <c r="N382" s="410">
        <v>269043</v>
      </c>
      <c r="O382" s="10"/>
      <c r="P382" s="10"/>
      <c r="Q382" s="268"/>
      <c r="R382" s="10" t="s">
        <v>1421</v>
      </c>
      <c r="S382" s="76"/>
      <c r="T382" s="24"/>
      <c r="U382" s="281"/>
      <c r="V382" s="464" t="s">
        <v>807</v>
      </c>
      <c r="W382" s="410"/>
      <c r="X382" s="33"/>
      <c r="Y382" s="39"/>
      <c r="Z382" s="472"/>
      <c r="AA382" s="76"/>
      <c r="AB382" s="24"/>
      <c r="AC382" s="25"/>
      <c r="AD382" s="309"/>
      <c r="AE382" s="462"/>
      <c r="AF382" s="408"/>
      <c r="AG382" s="293"/>
      <c r="AH382" s="293"/>
      <c r="AI382" s="293"/>
      <c r="AJ382" s="293"/>
      <c r="AK382" s="293"/>
      <c r="AL382" s="327"/>
      <c r="AM382" s="463"/>
      <c r="AN382" s="513"/>
      <c r="AO382" s="88"/>
      <c r="AP382" s="116"/>
      <c r="AQ382" s="74"/>
      <c r="AR382" s="76"/>
      <c r="AS382" s="24"/>
      <c r="AT382" s="25"/>
      <c r="AU382" s="309"/>
      <c r="AV382" s="462"/>
      <c r="AW382" s="552"/>
      <c r="AX382" s="191"/>
      <c r="AY382" s="191"/>
      <c r="AZ382" s="192"/>
      <c r="BA382" s="193"/>
      <c r="BB382" s="60"/>
      <c r="BC382" s="191"/>
      <c r="BD382" s="79"/>
      <c r="BE382" s="79"/>
      <c r="BF382" s="127"/>
      <c r="BG382" s="128"/>
      <c r="BH382" s="128"/>
      <c r="BI382" s="29"/>
      <c r="BJ382" s="24"/>
      <c r="BK382" s="25"/>
      <c r="BL382" s="308"/>
      <c r="BM382" s="539"/>
    </row>
    <row r="383" spans="1:65" ht="51" customHeight="1">
      <c r="A383" s="91"/>
      <c r="B383" s="358" t="s">
        <v>2574</v>
      </c>
      <c r="C383" s="50" t="s">
        <v>1627</v>
      </c>
      <c r="D383" s="264" t="s">
        <v>1596</v>
      </c>
      <c r="E383" s="393" t="s">
        <v>827</v>
      </c>
      <c r="F383" s="410"/>
      <c r="G383" s="10"/>
      <c r="H383" s="167"/>
      <c r="I383" s="10"/>
      <c r="J383" s="76"/>
      <c r="K383" s="24"/>
      <c r="L383" s="281"/>
      <c r="M383" s="431"/>
      <c r="N383" s="410">
        <v>20883</v>
      </c>
      <c r="O383" s="10">
        <v>25000</v>
      </c>
      <c r="P383" s="10">
        <v>29000</v>
      </c>
      <c r="Q383" s="268">
        <v>29000</v>
      </c>
      <c r="R383" s="10">
        <v>55000</v>
      </c>
      <c r="S383" s="76">
        <f t="shared" ref="S383:S390" si="466">AVERAGE(O383,P383,Q383,R383)</f>
        <v>34500</v>
      </c>
      <c r="T383" s="24">
        <f t="shared" ref="T383:T390" si="467">S383-N383</f>
        <v>13617</v>
      </c>
      <c r="U383" s="281">
        <f t="shared" ref="U383:U390" si="468">+T383/N383</f>
        <v>0.65206148541876163</v>
      </c>
      <c r="V383" s="462">
        <f t="shared" ref="V383:V390" si="469">S383</f>
        <v>34500</v>
      </c>
      <c r="W383" s="410"/>
      <c r="X383" s="33"/>
      <c r="Y383" s="39"/>
      <c r="Z383" s="472"/>
      <c r="AA383" s="76"/>
      <c r="AB383" s="24"/>
      <c r="AC383" s="25"/>
      <c r="AD383" s="309"/>
      <c r="AE383" s="462"/>
      <c r="AF383" s="408"/>
      <c r="AG383" s="293"/>
      <c r="AH383" s="293"/>
      <c r="AI383" s="293"/>
      <c r="AJ383" s="293"/>
      <c r="AK383" s="293"/>
      <c r="AL383" s="327"/>
      <c r="AM383" s="463"/>
      <c r="AN383" s="513"/>
      <c r="AO383" s="88"/>
      <c r="AP383" s="116"/>
      <c r="AQ383" s="74"/>
      <c r="AR383" s="76"/>
      <c r="AS383" s="24"/>
      <c r="AT383" s="25"/>
      <c r="AU383" s="309"/>
      <c r="AV383" s="462"/>
      <c r="AW383" s="552"/>
      <c r="AX383" s="191"/>
      <c r="AY383" s="191"/>
      <c r="AZ383" s="192"/>
      <c r="BA383" s="193"/>
      <c r="BB383" s="60"/>
      <c r="BC383" s="191"/>
      <c r="BD383" s="79"/>
      <c r="BE383" s="79"/>
      <c r="BF383" s="127"/>
      <c r="BG383" s="128"/>
      <c r="BH383" s="128"/>
      <c r="BI383" s="29"/>
      <c r="BJ383" s="24"/>
      <c r="BK383" s="25"/>
      <c r="BL383" s="308"/>
      <c r="BM383" s="539"/>
    </row>
    <row r="384" spans="1:65" ht="51" customHeight="1">
      <c r="A384" s="91"/>
      <c r="B384" s="358" t="s">
        <v>2575</v>
      </c>
      <c r="C384" s="50" t="s">
        <v>1628</v>
      </c>
      <c r="D384" s="264" t="s">
        <v>1597</v>
      </c>
      <c r="E384" s="393" t="s">
        <v>827</v>
      </c>
      <c r="F384" s="410"/>
      <c r="G384" s="10"/>
      <c r="H384" s="167"/>
      <c r="I384" s="10"/>
      <c r="J384" s="76"/>
      <c r="K384" s="24"/>
      <c r="L384" s="281"/>
      <c r="M384" s="431"/>
      <c r="N384" s="410">
        <v>50718</v>
      </c>
      <c r="O384" s="10"/>
      <c r="P384" s="10"/>
      <c r="Q384" s="268"/>
      <c r="R384" s="10">
        <v>80000</v>
      </c>
      <c r="S384" s="76">
        <f t="shared" si="466"/>
        <v>80000</v>
      </c>
      <c r="T384" s="24">
        <f t="shared" si="467"/>
        <v>29282</v>
      </c>
      <c r="U384" s="281">
        <f t="shared" si="468"/>
        <v>0.57734926456090541</v>
      </c>
      <c r="V384" s="462">
        <f t="shared" si="469"/>
        <v>80000</v>
      </c>
      <c r="W384" s="410"/>
      <c r="X384" s="33"/>
      <c r="Y384" s="39"/>
      <c r="Z384" s="472"/>
      <c r="AA384" s="76"/>
      <c r="AB384" s="24"/>
      <c r="AC384" s="25"/>
      <c r="AD384" s="309"/>
      <c r="AE384" s="462"/>
      <c r="AF384" s="408"/>
      <c r="AG384" s="293"/>
      <c r="AH384" s="293"/>
      <c r="AI384" s="293"/>
      <c r="AJ384" s="293"/>
      <c r="AK384" s="293"/>
      <c r="AL384" s="327"/>
      <c r="AM384" s="463"/>
      <c r="AN384" s="513"/>
      <c r="AO384" s="88"/>
      <c r="AP384" s="116"/>
      <c r="AQ384" s="74"/>
      <c r="AR384" s="76"/>
      <c r="AS384" s="24"/>
      <c r="AT384" s="25"/>
      <c r="AU384" s="309"/>
      <c r="AV384" s="462"/>
      <c r="AW384" s="552"/>
      <c r="AX384" s="191"/>
      <c r="AY384" s="191"/>
      <c r="AZ384" s="192"/>
      <c r="BA384" s="193"/>
      <c r="BB384" s="60"/>
      <c r="BC384" s="191"/>
      <c r="BD384" s="79"/>
      <c r="BE384" s="79"/>
      <c r="BF384" s="127"/>
      <c r="BG384" s="128"/>
      <c r="BH384" s="128"/>
      <c r="BI384" s="29"/>
      <c r="BJ384" s="24"/>
      <c r="BK384" s="25"/>
      <c r="BL384" s="308"/>
      <c r="BM384" s="539"/>
    </row>
    <row r="385" spans="1:65" ht="42" customHeight="1">
      <c r="A385" s="91"/>
      <c r="B385" s="358" t="s">
        <v>2576</v>
      </c>
      <c r="C385" s="50" t="s">
        <v>1629</v>
      </c>
      <c r="D385" s="264" t="s">
        <v>1598</v>
      </c>
      <c r="E385" s="393" t="s">
        <v>827</v>
      </c>
      <c r="F385" s="410"/>
      <c r="G385" s="10"/>
      <c r="H385" s="167"/>
      <c r="I385" s="10"/>
      <c r="J385" s="76"/>
      <c r="K385" s="24"/>
      <c r="L385" s="281"/>
      <c r="M385" s="431"/>
      <c r="N385" s="410">
        <v>77221</v>
      </c>
      <c r="O385" s="10">
        <v>38800</v>
      </c>
      <c r="P385" s="10">
        <v>45000</v>
      </c>
      <c r="Q385" s="268">
        <v>40000</v>
      </c>
      <c r="R385" s="10">
        <v>40000</v>
      </c>
      <c r="S385" s="76">
        <f t="shared" si="466"/>
        <v>40950</v>
      </c>
      <c r="T385" s="24">
        <f t="shared" si="467"/>
        <v>-36271</v>
      </c>
      <c r="U385" s="281">
        <f t="shared" si="468"/>
        <v>-0.46970383703914736</v>
      </c>
      <c r="V385" s="462">
        <f t="shared" si="469"/>
        <v>40950</v>
      </c>
      <c r="W385" s="410"/>
      <c r="X385" s="33"/>
      <c r="Y385" s="39"/>
      <c r="Z385" s="472"/>
      <c r="AA385" s="76"/>
      <c r="AB385" s="24"/>
      <c r="AC385" s="25"/>
      <c r="AD385" s="309"/>
      <c r="AE385" s="462"/>
      <c r="AF385" s="408"/>
      <c r="AG385" s="293"/>
      <c r="AH385" s="293"/>
      <c r="AI385" s="293"/>
      <c r="AJ385" s="293"/>
      <c r="AK385" s="293"/>
      <c r="AL385" s="327"/>
      <c r="AM385" s="463"/>
      <c r="AN385" s="513"/>
      <c r="AO385" s="88"/>
      <c r="AP385" s="116"/>
      <c r="AQ385" s="74"/>
      <c r="AR385" s="76"/>
      <c r="AS385" s="24"/>
      <c r="AT385" s="25"/>
      <c r="AU385" s="309"/>
      <c r="AV385" s="462"/>
      <c r="AW385" s="552"/>
      <c r="AX385" s="191"/>
      <c r="AY385" s="191"/>
      <c r="AZ385" s="192"/>
      <c r="BA385" s="193"/>
      <c r="BB385" s="60"/>
      <c r="BC385" s="191"/>
      <c r="BD385" s="79"/>
      <c r="BE385" s="79"/>
      <c r="BF385" s="127"/>
      <c r="BG385" s="128"/>
      <c r="BH385" s="128"/>
      <c r="BI385" s="29"/>
      <c r="BJ385" s="24"/>
      <c r="BK385" s="25"/>
      <c r="BL385" s="308"/>
      <c r="BM385" s="539"/>
    </row>
    <row r="386" spans="1:65" ht="45" customHeight="1">
      <c r="A386" s="91"/>
      <c r="B386" s="358" t="s">
        <v>2577</v>
      </c>
      <c r="C386" s="50" t="s">
        <v>1630</v>
      </c>
      <c r="D386" s="264" t="s">
        <v>1599</v>
      </c>
      <c r="E386" s="393" t="s">
        <v>827</v>
      </c>
      <c r="F386" s="410"/>
      <c r="G386" s="10"/>
      <c r="H386" s="167"/>
      <c r="I386" s="10"/>
      <c r="J386" s="76"/>
      <c r="K386" s="24"/>
      <c r="L386" s="281"/>
      <c r="M386" s="431"/>
      <c r="N386" s="410">
        <v>71193</v>
      </c>
      <c r="O386" s="10">
        <v>36800</v>
      </c>
      <c r="P386" s="10">
        <v>46000</v>
      </c>
      <c r="Q386" s="268">
        <v>40000</v>
      </c>
      <c r="R386" s="10">
        <v>40000</v>
      </c>
      <c r="S386" s="76">
        <f t="shared" si="466"/>
        <v>40700</v>
      </c>
      <c r="T386" s="24">
        <f t="shared" si="467"/>
        <v>-30493</v>
      </c>
      <c r="U386" s="281">
        <f t="shared" si="468"/>
        <v>-0.42831458148975321</v>
      </c>
      <c r="V386" s="462">
        <f t="shared" si="469"/>
        <v>40700</v>
      </c>
      <c r="W386" s="410"/>
      <c r="X386" s="33"/>
      <c r="Y386" s="39"/>
      <c r="Z386" s="472"/>
      <c r="AA386" s="76"/>
      <c r="AB386" s="24"/>
      <c r="AC386" s="25"/>
      <c r="AD386" s="309"/>
      <c r="AE386" s="462"/>
      <c r="AF386" s="408"/>
      <c r="AG386" s="293"/>
      <c r="AH386" s="293"/>
      <c r="AI386" s="293"/>
      <c r="AJ386" s="293"/>
      <c r="AK386" s="293"/>
      <c r="AL386" s="327"/>
      <c r="AM386" s="463"/>
      <c r="AN386" s="513"/>
      <c r="AO386" s="88"/>
      <c r="AP386" s="116"/>
      <c r="AQ386" s="74"/>
      <c r="AR386" s="76"/>
      <c r="AS386" s="24"/>
      <c r="AT386" s="25"/>
      <c r="AU386" s="309"/>
      <c r="AV386" s="462"/>
      <c r="AW386" s="552"/>
      <c r="AX386" s="191"/>
      <c r="AY386" s="191"/>
      <c r="AZ386" s="192"/>
      <c r="BA386" s="193"/>
      <c r="BB386" s="60"/>
      <c r="BC386" s="191"/>
      <c r="BD386" s="79"/>
      <c r="BE386" s="79"/>
      <c r="BF386" s="127"/>
      <c r="BG386" s="128"/>
      <c r="BH386" s="128"/>
      <c r="BI386" s="29"/>
      <c r="BJ386" s="24"/>
      <c r="BK386" s="25"/>
      <c r="BL386" s="308"/>
      <c r="BM386" s="539"/>
    </row>
    <row r="387" spans="1:65" ht="30">
      <c r="A387" s="91"/>
      <c r="B387" s="358" t="s">
        <v>2578</v>
      </c>
      <c r="C387" s="50" t="s">
        <v>1631</v>
      </c>
      <c r="D387" s="264" t="s">
        <v>1600</v>
      </c>
      <c r="E387" s="394" t="s">
        <v>1399</v>
      </c>
      <c r="F387" s="410"/>
      <c r="G387" s="10"/>
      <c r="H387" s="167"/>
      <c r="I387" s="10"/>
      <c r="J387" s="76"/>
      <c r="K387" s="24"/>
      <c r="L387" s="281"/>
      <c r="M387" s="431"/>
      <c r="N387" s="410">
        <v>69674</v>
      </c>
      <c r="O387" s="10">
        <v>45000</v>
      </c>
      <c r="P387" s="10">
        <v>48000</v>
      </c>
      <c r="Q387" s="268">
        <v>48000</v>
      </c>
      <c r="R387" s="10">
        <v>50000</v>
      </c>
      <c r="S387" s="76">
        <f t="shared" si="466"/>
        <v>47750</v>
      </c>
      <c r="T387" s="24">
        <f t="shared" si="467"/>
        <v>-21924</v>
      </c>
      <c r="U387" s="281">
        <f t="shared" si="468"/>
        <v>-0.31466544191520512</v>
      </c>
      <c r="V387" s="462">
        <f t="shared" si="469"/>
        <v>47750</v>
      </c>
      <c r="W387" s="410"/>
      <c r="X387" s="33"/>
      <c r="Y387" s="39"/>
      <c r="Z387" s="472"/>
      <c r="AA387" s="76"/>
      <c r="AB387" s="24"/>
      <c r="AC387" s="25"/>
      <c r="AD387" s="309"/>
      <c r="AE387" s="462"/>
      <c r="AF387" s="408"/>
      <c r="AG387" s="293"/>
      <c r="AH387" s="293"/>
      <c r="AI387" s="293"/>
      <c r="AJ387" s="293"/>
      <c r="AK387" s="293"/>
      <c r="AL387" s="327"/>
      <c r="AM387" s="463"/>
      <c r="AN387" s="513"/>
      <c r="AO387" s="88"/>
      <c r="AP387" s="116"/>
      <c r="AQ387" s="74"/>
      <c r="AR387" s="76"/>
      <c r="AS387" s="24"/>
      <c r="AT387" s="25"/>
      <c r="AU387" s="309"/>
      <c r="AV387" s="462"/>
      <c r="AW387" s="552"/>
      <c r="AX387" s="191"/>
      <c r="AY387" s="191"/>
      <c r="AZ387" s="192"/>
      <c r="BA387" s="193"/>
      <c r="BB387" s="60"/>
      <c r="BC387" s="191"/>
      <c r="BD387" s="79"/>
      <c r="BE387" s="79"/>
      <c r="BF387" s="127"/>
      <c r="BG387" s="128"/>
      <c r="BH387" s="128"/>
      <c r="BI387" s="29"/>
      <c r="BJ387" s="24"/>
      <c r="BK387" s="25"/>
      <c r="BL387" s="308"/>
      <c r="BM387" s="539"/>
    </row>
    <row r="388" spans="1:65">
      <c r="A388" s="91"/>
      <c r="B388" s="358" t="s">
        <v>2579</v>
      </c>
      <c r="C388" s="50" t="s">
        <v>1632</v>
      </c>
      <c r="D388" s="264" t="s">
        <v>1601</v>
      </c>
      <c r="E388" s="393" t="s">
        <v>999</v>
      </c>
      <c r="F388" s="410"/>
      <c r="G388" s="10"/>
      <c r="H388" s="167"/>
      <c r="I388" s="10"/>
      <c r="J388" s="76"/>
      <c r="K388" s="24"/>
      <c r="L388" s="281"/>
      <c r="M388" s="431"/>
      <c r="N388" s="410">
        <v>88829</v>
      </c>
      <c r="O388" s="10"/>
      <c r="P388" s="10"/>
      <c r="Q388" s="268"/>
      <c r="R388" s="10">
        <v>40000</v>
      </c>
      <c r="S388" s="76">
        <f t="shared" si="466"/>
        <v>40000</v>
      </c>
      <c r="T388" s="24">
        <f t="shared" si="467"/>
        <v>-48829</v>
      </c>
      <c r="U388" s="281">
        <f t="shared" si="468"/>
        <v>-0.54969660808970044</v>
      </c>
      <c r="V388" s="462">
        <f t="shared" si="469"/>
        <v>40000</v>
      </c>
      <c r="W388" s="410"/>
      <c r="X388" s="33"/>
      <c r="Y388" s="39"/>
      <c r="Z388" s="472"/>
      <c r="AA388" s="76"/>
      <c r="AB388" s="24"/>
      <c r="AC388" s="25"/>
      <c r="AD388" s="309"/>
      <c r="AE388" s="462"/>
      <c r="AF388" s="408"/>
      <c r="AG388" s="293"/>
      <c r="AH388" s="293"/>
      <c r="AI388" s="293"/>
      <c r="AJ388" s="293"/>
      <c r="AK388" s="293"/>
      <c r="AL388" s="327"/>
      <c r="AM388" s="463"/>
      <c r="AN388" s="513"/>
      <c r="AO388" s="88"/>
      <c r="AP388" s="116"/>
      <c r="AQ388" s="74"/>
      <c r="AR388" s="76"/>
      <c r="AS388" s="24"/>
      <c r="AT388" s="25"/>
      <c r="AU388" s="309"/>
      <c r="AV388" s="462"/>
      <c r="AW388" s="552"/>
      <c r="AX388" s="191"/>
      <c r="AY388" s="191"/>
      <c r="AZ388" s="192"/>
      <c r="BA388" s="193"/>
      <c r="BB388" s="60"/>
      <c r="BC388" s="191"/>
      <c r="BD388" s="79"/>
      <c r="BE388" s="79"/>
      <c r="BF388" s="127"/>
      <c r="BG388" s="128"/>
      <c r="BH388" s="128"/>
      <c r="BI388" s="29"/>
      <c r="BJ388" s="24"/>
      <c r="BK388" s="25"/>
      <c r="BL388" s="308"/>
      <c r="BM388" s="539"/>
    </row>
    <row r="389" spans="1:65">
      <c r="A389" s="91"/>
      <c r="B389" s="358" t="s">
        <v>2580</v>
      </c>
      <c r="C389" s="50" t="s">
        <v>1633</v>
      </c>
      <c r="D389" s="264" t="s">
        <v>1602</v>
      </c>
      <c r="E389" s="393" t="s">
        <v>1430</v>
      </c>
      <c r="F389" s="410"/>
      <c r="G389" s="10"/>
      <c r="H389" s="167"/>
      <c r="I389" s="10"/>
      <c r="J389" s="76"/>
      <c r="K389" s="24"/>
      <c r="L389" s="281"/>
      <c r="M389" s="431"/>
      <c r="N389" s="410">
        <v>494627</v>
      </c>
      <c r="O389" s="10">
        <v>550000</v>
      </c>
      <c r="P389" s="10"/>
      <c r="Q389" s="268">
        <v>580000</v>
      </c>
      <c r="R389" s="10">
        <v>700000</v>
      </c>
      <c r="S389" s="76">
        <f t="shared" si="466"/>
        <v>610000</v>
      </c>
      <c r="T389" s="24">
        <f t="shared" si="467"/>
        <v>115373</v>
      </c>
      <c r="U389" s="281">
        <f t="shared" si="468"/>
        <v>0.23325253170570956</v>
      </c>
      <c r="V389" s="462">
        <f t="shared" si="469"/>
        <v>610000</v>
      </c>
      <c r="W389" s="410"/>
      <c r="X389" s="33"/>
      <c r="Y389" s="39"/>
      <c r="Z389" s="472"/>
      <c r="AA389" s="76"/>
      <c r="AB389" s="24"/>
      <c r="AC389" s="25"/>
      <c r="AD389" s="309"/>
      <c r="AE389" s="462"/>
      <c r="AF389" s="408"/>
      <c r="AG389" s="293"/>
      <c r="AH389" s="293"/>
      <c r="AI389" s="293"/>
      <c r="AJ389" s="293"/>
      <c r="AK389" s="293"/>
      <c r="AL389" s="327"/>
      <c r="AM389" s="463"/>
      <c r="AN389" s="513"/>
      <c r="AO389" s="88"/>
      <c r="AP389" s="116"/>
      <c r="AQ389" s="74"/>
      <c r="AR389" s="76"/>
      <c r="AS389" s="24"/>
      <c r="AT389" s="25"/>
      <c r="AU389" s="309"/>
      <c r="AV389" s="462"/>
      <c r="AW389" s="552"/>
      <c r="AX389" s="191"/>
      <c r="AY389" s="191"/>
      <c r="AZ389" s="192"/>
      <c r="BA389" s="193"/>
      <c r="BB389" s="60"/>
      <c r="BC389" s="191"/>
      <c r="BD389" s="79"/>
      <c r="BE389" s="79"/>
      <c r="BF389" s="127"/>
      <c r="BG389" s="128"/>
      <c r="BH389" s="128"/>
      <c r="BI389" s="29"/>
      <c r="BJ389" s="24"/>
      <c r="BK389" s="25"/>
      <c r="BL389" s="308"/>
      <c r="BM389" s="539"/>
    </row>
    <row r="390" spans="1:65">
      <c r="A390" s="91"/>
      <c r="B390" s="358" t="s">
        <v>2581</v>
      </c>
      <c r="C390" s="50" t="s">
        <v>1634</v>
      </c>
      <c r="D390" s="264" t="s">
        <v>1603</v>
      </c>
      <c r="E390" s="393" t="s">
        <v>1466</v>
      </c>
      <c r="F390" s="410"/>
      <c r="G390" s="10"/>
      <c r="H390" s="167"/>
      <c r="I390" s="10"/>
      <c r="J390" s="76"/>
      <c r="K390" s="24"/>
      <c r="L390" s="281"/>
      <c r="M390" s="431"/>
      <c r="N390" s="410">
        <v>92154</v>
      </c>
      <c r="O390" s="10"/>
      <c r="P390" s="10"/>
      <c r="Q390" s="268"/>
      <c r="R390" s="10">
        <v>55000</v>
      </c>
      <c r="S390" s="76">
        <f t="shared" si="466"/>
        <v>55000</v>
      </c>
      <c r="T390" s="24">
        <f t="shared" si="467"/>
        <v>-37154</v>
      </c>
      <c r="U390" s="281">
        <f t="shared" si="468"/>
        <v>-0.40317294962779693</v>
      </c>
      <c r="V390" s="462">
        <f t="shared" si="469"/>
        <v>55000</v>
      </c>
      <c r="W390" s="410"/>
      <c r="X390" s="33"/>
      <c r="Y390" s="39"/>
      <c r="Z390" s="472"/>
      <c r="AA390" s="76"/>
      <c r="AB390" s="24"/>
      <c r="AC390" s="25"/>
      <c r="AD390" s="309"/>
      <c r="AE390" s="462"/>
      <c r="AF390" s="408"/>
      <c r="AG390" s="293"/>
      <c r="AH390" s="293"/>
      <c r="AI390" s="293"/>
      <c r="AJ390" s="293"/>
      <c r="AK390" s="293"/>
      <c r="AL390" s="327"/>
      <c r="AM390" s="463"/>
      <c r="AN390" s="513"/>
      <c r="AO390" s="88"/>
      <c r="AP390" s="116"/>
      <c r="AQ390" s="74"/>
      <c r="AR390" s="76"/>
      <c r="AS390" s="24"/>
      <c r="AT390" s="25"/>
      <c r="AU390" s="309"/>
      <c r="AV390" s="462"/>
      <c r="AW390" s="552"/>
      <c r="AX390" s="191"/>
      <c r="AY390" s="191"/>
      <c r="AZ390" s="192"/>
      <c r="BA390" s="193"/>
      <c r="BB390" s="60"/>
      <c r="BC390" s="191"/>
      <c r="BD390" s="79"/>
      <c r="BE390" s="79"/>
      <c r="BF390" s="127"/>
      <c r="BG390" s="128"/>
      <c r="BH390" s="128"/>
      <c r="BI390" s="29"/>
      <c r="BJ390" s="24"/>
      <c r="BK390" s="25"/>
      <c r="BL390" s="308"/>
      <c r="BM390" s="539"/>
    </row>
    <row r="391" spans="1:65" ht="51" customHeight="1">
      <c r="A391" s="91"/>
      <c r="B391" s="358" t="s">
        <v>2582</v>
      </c>
      <c r="C391" s="50" t="s">
        <v>1635</v>
      </c>
      <c r="D391" s="264" t="s">
        <v>1604</v>
      </c>
      <c r="E391" s="393" t="s">
        <v>827</v>
      </c>
      <c r="F391" s="410"/>
      <c r="G391" s="10"/>
      <c r="H391" s="167"/>
      <c r="I391" s="10"/>
      <c r="J391" s="76"/>
      <c r="K391" s="24"/>
      <c r="L391" s="281"/>
      <c r="M391" s="431"/>
      <c r="N391" s="410">
        <v>66027</v>
      </c>
      <c r="O391" s="10"/>
      <c r="P391" s="10"/>
      <c r="Q391" s="268"/>
      <c r="R391" s="10" t="s">
        <v>1421</v>
      </c>
      <c r="S391" s="76"/>
      <c r="T391" s="24"/>
      <c r="U391" s="281"/>
      <c r="V391" s="464" t="s">
        <v>807</v>
      </c>
      <c r="W391" s="410"/>
      <c r="X391" s="33"/>
      <c r="Y391" s="39"/>
      <c r="Z391" s="472"/>
      <c r="AA391" s="76"/>
      <c r="AB391" s="24"/>
      <c r="AC391" s="25"/>
      <c r="AD391" s="309"/>
      <c r="AE391" s="462"/>
      <c r="AF391" s="408"/>
      <c r="AG391" s="293"/>
      <c r="AH391" s="293"/>
      <c r="AI391" s="293"/>
      <c r="AJ391" s="293"/>
      <c r="AK391" s="293"/>
      <c r="AL391" s="327"/>
      <c r="AM391" s="463"/>
      <c r="AN391" s="513"/>
      <c r="AO391" s="88"/>
      <c r="AP391" s="116"/>
      <c r="AQ391" s="74"/>
      <c r="AR391" s="76"/>
      <c r="AS391" s="24"/>
      <c r="AT391" s="25"/>
      <c r="AU391" s="309"/>
      <c r="AV391" s="462"/>
      <c r="AW391" s="552"/>
      <c r="AX391" s="191"/>
      <c r="AY391" s="191"/>
      <c r="AZ391" s="192"/>
      <c r="BA391" s="193"/>
      <c r="BB391" s="60"/>
      <c r="BC391" s="191"/>
      <c r="BD391" s="79"/>
      <c r="BE391" s="79"/>
      <c r="BF391" s="127"/>
      <c r="BG391" s="128"/>
      <c r="BH391" s="128"/>
      <c r="BI391" s="29"/>
      <c r="BJ391" s="24"/>
      <c r="BK391" s="25"/>
      <c r="BL391" s="308"/>
      <c r="BM391" s="539"/>
    </row>
    <row r="392" spans="1:65" ht="51" customHeight="1">
      <c r="A392" s="91"/>
      <c r="B392" s="358" t="s">
        <v>2583</v>
      </c>
      <c r="C392" s="50" t="s">
        <v>1636</v>
      </c>
      <c r="D392" s="264" t="s">
        <v>1605</v>
      </c>
      <c r="E392" s="393" t="s">
        <v>999</v>
      </c>
      <c r="F392" s="410"/>
      <c r="G392" s="10"/>
      <c r="H392" s="167"/>
      <c r="I392" s="10"/>
      <c r="J392" s="76"/>
      <c r="K392" s="24"/>
      <c r="L392" s="281"/>
      <c r="M392" s="431"/>
      <c r="N392" s="410">
        <v>132856</v>
      </c>
      <c r="O392" s="10">
        <v>95000</v>
      </c>
      <c r="P392" s="10">
        <v>105500</v>
      </c>
      <c r="Q392" s="268">
        <v>100500</v>
      </c>
      <c r="R392" s="10">
        <v>100000</v>
      </c>
      <c r="S392" s="76">
        <f t="shared" ref="S392:S395" si="470">AVERAGE(O392,P392,Q392,R392)</f>
        <v>100250</v>
      </c>
      <c r="T392" s="24">
        <f t="shared" ref="T392:T395" si="471">S392-N392</f>
        <v>-32606</v>
      </c>
      <c r="U392" s="281">
        <f t="shared" ref="U392:U395" si="472">+T392/N392</f>
        <v>-0.24542361654723913</v>
      </c>
      <c r="V392" s="462">
        <f t="shared" ref="V392:V395" si="473">S392</f>
        <v>100250</v>
      </c>
      <c r="W392" s="410"/>
      <c r="X392" s="33"/>
      <c r="Y392" s="39"/>
      <c r="Z392" s="472"/>
      <c r="AA392" s="76"/>
      <c r="AB392" s="24"/>
      <c r="AC392" s="25"/>
      <c r="AD392" s="309"/>
      <c r="AE392" s="462"/>
      <c r="AF392" s="408"/>
      <c r="AG392" s="293"/>
      <c r="AH392" s="293"/>
      <c r="AI392" s="293"/>
      <c r="AJ392" s="293"/>
      <c r="AK392" s="293"/>
      <c r="AL392" s="327"/>
      <c r="AM392" s="463"/>
      <c r="AN392" s="513"/>
      <c r="AO392" s="88"/>
      <c r="AP392" s="116"/>
      <c r="AQ392" s="74"/>
      <c r="AR392" s="76"/>
      <c r="AS392" s="24"/>
      <c r="AT392" s="25"/>
      <c r="AU392" s="309"/>
      <c r="AV392" s="462"/>
      <c r="AW392" s="552"/>
      <c r="AX392" s="191"/>
      <c r="AY392" s="191"/>
      <c r="AZ392" s="192"/>
      <c r="BA392" s="193"/>
      <c r="BB392" s="60"/>
      <c r="BC392" s="191"/>
      <c r="BD392" s="79"/>
      <c r="BE392" s="79"/>
      <c r="BF392" s="127"/>
      <c r="BG392" s="128"/>
      <c r="BH392" s="128"/>
      <c r="BI392" s="29"/>
      <c r="BJ392" s="24"/>
      <c r="BK392" s="25"/>
      <c r="BL392" s="308"/>
      <c r="BM392" s="539"/>
    </row>
    <row r="393" spans="1:65">
      <c r="A393" s="91"/>
      <c r="B393" s="358" t="s">
        <v>2584</v>
      </c>
      <c r="C393" s="50" t="s">
        <v>1637</v>
      </c>
      <c r="D393" s="264" t="s">
        <v>1606</v>
      </c>
      <c r="E393" s="393" t="s">
        <v>1430</v>
      </c>
      <c r="F393" s="410"/>
      <c r="G393" s="10"/>
      <c r="H393" s="167"/>
      <c r="I393" s="10"/>
      <c r="J393" s="76"/>
      <c r="K393" s="24"/>
      <c r="L393" s="281"/>
      <c r="M393" s="431"/>
      <c r="N393" s="410">
        <v>858249</v>
      </c>
      <c r="O393" s="10" t="s">
        <v>1609</v>
      </c>
      <c r="P393" s="10"/>
      <c r="Q393" s="268"/>
      <c r="R393" s="10">
        <v>700000</v>
      </c>
      <c r="S393" s="76">
        <f t="shared" si="470"/>
        <v>700000</v>
      </c>
      <c r="T393" s="24">
        <f t="shared" si="471"/>
        <v>-158249</v>
      </c>
      <c r="U393" s="281">
        <f t="shared" si="472"/>
        <v>-0.18438588335086903</v>
      </c>
      <c r="V393" s="462">
        <f t="shared" si="473"/>
        <v>700000</v>
      </c>
      <c r="W393" s="410"/>
      <c r="X393" s="33"/>
      <c r="Y393" s="39"/>
      <c r="Z393" s="472"/>
      <c r="AA393" s="76"/>
      <c r="AB393" s="24"/>
      <c r="AC393" s="25"/>
      <c r="AD393" s="309"/>
      <c r="AE393" s="462"/>
      <c r="AF393" s="408"/>
      <c r="AG393" s="293"/>
      <c r="AH393" s="293"/>
      <c r="AI393" s="293"/>
      <c r="AJ393" s="293"/>
      <c r="AK393" s="293"/>
      <c r="AL393" s="327"/>
      <c r="AM393" s="463"/>
      <c r="AN393" s="513"/>
      <c r="AO393" s="88"/>
      <c r="AP393" s="116"/>
      <c r="AQ393" s="74"/>
      <c r="AR393" s="76"/>
      <c r="AS393" s="24"/>
      <c r="AT393" s="25"/>
      <c r="AU393" s="309"/>
      <c r="AV393" s="462"/>
      <c r="AW393" s="552"/>
      <c r="AX393" s="191"/>
      <c r="AY393" s="191"/>
      <c r="AZ393" s="192"/>
      <c r="BA393" s="193"/>
      <c r="BB393" s="60"/>
      <c r="BC393" s="191"/>
      <c r="BD393" s="79"/>
      <c r="BE393" s="79"/>
      <c r="BF393" s="127"/>
      <c r="BG393" s="128"/>
      <c r="BH393" s="128"/>
      <c r="BI393" s="29"/>
      <c r="BJ393" s="24"/>
      <c r="BK393" s="25"/>
      <c r="BL393" s="308"/>
      <c r="BM393" s="539"/>
    </row>
    <row r="394" spans="1:65">
      <c r="A394" s="91"/>
      <c r="B394" s="358" t="s">
        <v>2585</v>
      </c>
      <c r="C394" s="50" t="s">
        <v>1638</v>
      </c>
      <c r="D394" s="264" t="s">
        <v>1607</v>
      </c>
      <c r="E394" s="393" t="s">
        <v>1430</v>
      </c>
      <c r="F394" s="410"/>
      <c r="G394" s="10"/>
      <c r="H394" s="167"/>
      <c r="I394" s="10"/>
      <c r="J394" s="76"/>
      <c r="K394" s="24"/>
      <c r="L394" s="281"/>
      <c r="M394" s="431"/>
      <c r="N394" s="410">
        <v>1041858</v>
      </c>
      <c r="O394" s="10"/>
      <c r="P394" s="10"/>
      <c r="Q394" s="268"/>
      <c r="R394" s="10">
        <v>700000</v>
      </c>
      <c r="S394" s="76">
        <f t="shared" si="470"/>
        <v>700000</v>
      </c>
      <c r="T394" s="24">
        <f t="shared" si="471"/>
        <v>-341858</v>
      </c>
      <c r="U394" s="281">
        <f t="shared" si="472"/>
        <v>-0.32812341029199754</v>
      </c>
      <c r="V394" s="462">
        <f t="shared" si="473"/>
        <v>700000</v>
      </c>
      <c r="W394" s="410"/>
      <c r="X394" s="33"/>
      <c r="Y394" s="39"/>
      <c r="Z394" s="472"/>
      <c r="AA394" s="76"/>
      <c r="AB394" s="24"/>
      <c r="AC394" s="25"/>
      <c r="AD394" s="309"/>
      <c r="AE394" s="462"/>
      <c r="AF394" s="408"/>
      <c r="AG394" s="293"/>
      <c r="AH394" s="293"/>
      <c r="AI394" s="293"/>
      <c r="AJ394" s="293"/>
      <c r="AK394" s="293"/>
      <c r="AL394" s="327"/>
      <c r="AM394" s="463"/>
      <c r="AN394" s="513"/>
      <c r="AO394" s="88"/>
      <c r="AP394" s="116"/>
      <c r="AQ394" s="74"/>
      <c r="AR394" s="76"/>
      <c r="AS394" s="24"/>
      <c r="AT394" s="25"/>
      <c r="AU394" s="309"/>
      <c r="AV394" s="462"/>
      <c r="AW394" s="552"/>
      <c r="AX394" s="191"/>
      <c r="AY394" s="191"/>
      <c r="AZ394" s="192"/>
      <c r="BA394" s="193"/>
      <c r="BB394" s="60"/>
      <c r="BC394" s="191"/>
      <c r="BD394" s="79"/>
      <c r="BE394" s="79"/>
      <c r="BF394" s="127"/>
      <c r="BG394" s="128"/>
      <c r="BH394" s="128"/>
      <c r="BI394" s="29"/>
      <c r="BJ394" s="24"/>
      <c r="BK394" s="25"/>
      <c r="BL394" s="308"/>
      <c r="BM394" s="539"/>
    </row>
    <row r="395" spans="1:65">
      <c r="A395" s="91"/>
      <c r="B395" s="358" t="s">
        <v>2586</v>
      </c>
      <c r="C395" s="50" t="s">
        <v>1639</v>
      </c>
      <c r="D395" s="264" t="s">
        <v>1608</v>
      </c>
      <c r="E395" s="393" t="s">
        <v>1430</v>
      </c>
      <c r="F395" s="410"/>
      <c r="G395" s="10"/>
      <c r="H395" s="167"/>
      <c r="I395" s="10"/>
      <c r="J395" s="76"/>
      <c r="K395" s="24"/>
      <c r="L395" s="281"/>
      <c r="M395" s="431"/>
      <c r="N395" s="410">
        <v>973884</v>
      </c>
      <c r="O395" s="10">
        <v>550000</v>
      </c>
      <c r="P395" s="10">
        <v>610000</v>
      </c>
      <c r="Q395" s="268">
        <v>590000</v>
      </c>
      <c r="R395" s="10">
        <v>700000</v>
      </c>
      <c r="S395" s="76">
        <f t="shared" si="470"/>
        <v>612500</v>
      </c>
      <c r="T395" s="24">
        <f t="shared" si="471"/>
        <v>-361384</v>
      </c>
      <c r="U395" s="281">
        <f t="shared" si="472"/>
        <v>-0.37107499455787341</v>
      </c>
      <c r="V395" s="462">
        <f t="shared" si="473"/>
        <v>612500</v>
      </c>
      <c r="W395" s="410"/>
      <c r="X395" s="33"/>
      <c r="Y395" s="39"/>
      <c r="Z395" s="472"/>
      <c r="AA395" s="76"/>
      <c r="AB395" s="24"/>
      <c r="AC395" s="25"/>
      <c r="AD395" s="309"/>
      <c r="AE395" s="462"/>
      <c r="AF395" s="408"/>
      <c r="AG395" s="293"/>
      <c r="AH395" s="293"/>
      <c r="AI395" s="293"/>
      <c r="AJ395" s="293"/>
      <c r="AK395" s="293"/>
      <c r="AL395" s="327"/>
      <c r="AM395" s="463"/>
      <c r="AN395" s="513"/>
      <c r="AO395" s="88"/>
      <c r="AP395" s="116"/>
      <c r="AQ395" s="74"/>
      <c r="AR395" s="76"/>
      <c r="AS395" s="24"/>
      <c r="AT395" s="25"/>
      <c r="AU395" s="309"/>
      <c r="AV395" s="462"/>
      <c r="AW395" s="552"/>
      <c r="AX395" s="191"/>
      <c r="AY395" s="191"/>
      <c r="AZ395" s="192"/>
      <c r="BA395" s="193"/>
      <c r="BB395" s="60"/>
      <c r="BC395" s="191"/>
      <c r="BD395" s="79"/>
      <c r="BE395" s="79"/>
      <c r="BF395" s="127"/>
      <c r="BG395" s="128"/>
      <c r="BH395" s="128"/>
      <c r="BI395" s="29"/>
      <c r="BJ395" s="24"/>
      <c r="BK395" s="25"/>
      <c r="BL395" s="308"/>
      <c r="BM395" s="539"/>
    </row>
    <row r="396" spans="1:65" ht="32.450000000000003" customHeight="1">
      <c r="A396" s="91" t="s">
        <v>26</v>
      </c>
      <c r="B396" s="358" t="s">
        <v>2587</v>
      </c>
      <c r="C396" s="252" t="s">
        <v>755</v>
      </c>
      <c r="D396" s="100" t="s">
        <v>26</v>
      </c>
      <c r="E396" s="91"/>
      <c r="F396" s="411"/>
      <c r="G396" s="173"/>
      <c r="H396" s="174"/>
      <c r="I396" s="173"/>
      <c r="J396" s="76"/>
      <c r="K396" s="24"/>
      <c r="L396" s="281"/>
      <c r="M396" s="431"/>
      <c r="N396" s="411"/>
      <c r="O396" s="173"/>
      <c r="P396" s="173"/>
      <c r="Q396" s="274"/>
      <c r="R396" s="266"/>
      <c r="S396" s="76"/>
      <c r="T396" s="24"/>
      <c r="U396" s="281"/>
      <c r="V396" s="462"/>
      <c r="W396" s="413"/>
      <c r="X396" s="47"/>
      <c r="Y396" s="47"/>
      <c r="Z396" s="47"/>
      <c r="AA396" s="47"/>
      <c r="AB396" s="47"/>
      <c r="AC396" s="47"/>
      <c r="AD396" s="91"/>
      <c r="AE396" s="467"/>
      <c r="AF396" s="501"/>
      <c r="AG396" s="324"/>
      <c r="AH396" s="324"/>
      <c r="AI396" s="323"/>
      <c r="AJ396" s="76"/>
      <c r="AK396" s="24"/>
      <c r="AL396" s="281"/>
      <c r="AM396" s="462"/>
      <c r="AN396" s="413"/>
      <c r="AO396" s="47"/>
      <c r="AP396" s="47"/>
      <c r="AQ396" s="47"/>
      <c r="AR396" s="47"/>
      <c r="AS396" s="47"/>
      <c r="AT396" s="47"/>
      <c r="AU396" s="91"/>
      <c r="AV396" s="467"/>
      <c r="AW396" s="413"/>
      <c r="AX396" s="47"/>
      <c r="AY396" s="47"/>
      <c r="AZ396" s="47"/>
      <c r="BA396" s="47"/>
      <c r="BB396" s="47"/>
      <c r="BC396" s="47"/>
      <c r="BD396" s="148"/>
      <c r="BE396" s="148"/>
      <c r="BF396" s="149"/>
      <c r="BG396" s="148"/>
      <c r="BH396" s="148"/>
      <c r="BI396" s="47"/>
      <c r="BJ396" s="47"/>
      <c r="BK396" s="47"/>
      <c r="BL396" s="414"/>
      <c r="BM396" s="540"/>
    </row>
    <row r="397" spans="1:65" ht="72.95" customHeight="1">
      <c r="A397" s="91" t="s">
        <v>26</v>
      </c>
      <c r="B397" s="358" t="s">
        <v>2588</v>
      </c>
      <c r="C397" s="51" t="s">
        <v>222</v>
      </c>
      <c r="D397" s="99" t="s">
        <v>562</v>
      </c>
      <c r="E397" s="391" t="s">
        <v>13</v>
      </c>
      <c r="F397" s="410">
        <v>40505</v>
      </c>
      <c r="G397" s="10">
        <v>61358.63</v>
      </c>
      <c r="H397" s="167">
        <v>245434.52</v>
      </c>
      <c r="I397" s="10">
        <v>59700</v>
      </c>
      <c r="J397" s="76">
        <f t="shared" ref="J397:J398" si="474">AVERAGE(G397,I397)</f>
        <v>60529.315000000002</v>
      </c>
      <c r="K397" s="24">
        <f t="shared" ref="K397:K398" si="475">J397-F397</f>
        <v>20024.315000000002</v>
      </c>
      <c r="L397" s="281">
        <f t="shared" ref="L397:L398" si="476">+K397/F397</f>
        <v>0.49436649796321447</v>
      </c>
      <c r="M397" s="431">
        <f t="shared" ref="M397:M398" si="477">H397</f>
        <v>245434.52</v>
      </c>
      <c r="N397" s="443"/>
      <c r="O397" s="250"/>
      <c r="P397" s="250"/>
      <c r="Q397" s="250"/>
      <c r="R397" s="250"/>
      <c r="S397" s="250"/>
      <c r="T397" s="250"/>
      <c r="U397" s="250"/>
      <c r="V397" s="443"/>
      <c r="W397" s="410">
        <v>83704</v>
      </c>
      <c r="X397" s="42">
        <v>108864</v>
      </c>
      <c r="Y397" s="43">
        <v>141523</v>
      </c>
      <c r="Z397" s="472">
        <v>95155.199999999997</v>
      </c>
      <c r="AA397" s="76">
        <f t="shared" ref="AA397:AA400" si="478">AVERAGE(X397,Y397,Z397)</f>
        <v>115180.73333333334</v>
      </c>
      <c r="AB397" s="24">
        <f t="shared" ref="AB397:AB400" si="479">AA397-W397</f>
        <v>31476.733333333337</v>
      </c>
      <c r="AC397" s="25">
        <f t="shared" ref="AC397:AC400" si="480">+AB397/W397</f>
        <v>0.37604813788269781</v>
      </c>
      <c r="AD397" s="309" t="str">
        <f t="shared" ref="AD397:AD400" si="481">+IF(AC397&lt;35%,AA397,"REVISAR PRECIO")</f>
        <v>REVISAR PRECIO</v>
      </c>
      <c r="AE397" s="462">
        <f t="shared" ref="AE397:AE400" si="482">AA397</f>
        <v>115180.73333333334</v>
      </c>
      <c r="AF397" s="410">
        <v>40504</v>
      </c>
      <c r="AG397" s="45"/>
      <c r="AH397" s="45">
        <v>47787</v>
      </c>
      <c r="AI397" s="45">
        <v>50000</v>
      </c>
      <c r="AJ397" s="76">
        <f t="shared" ref="AJ397:AJ399" si="483">AVERAGE(AG397,AH397,AI397)</f>
        <v>48893.5</v>
      </c>
      <c r="AK397" s="24">
        <f t="shared" ref="AK397:AK399" si="484">AJ397-AF397</f>
        <v>8389.5</v>
      </c>
      <c r="AL397" s="281">
        <f t="shared" ref="AL397:AL399" si="485">+AK397/AF397</f>
        <v>0.2071276910922378</v>
      </c>
      <c r="AM397" s="462">
        <f t="shared" ref="AM397:AM399" si="486">AJ397</f>
        <v>48893.5</v>
      </c>
      <c r="AN397" s="513">
        <v>79413</v>
      </c>
      <c r="AO397" s="88">
        <v>69700</v>
      </c>
      <c r="AP397" s="116">
        <v>77000</v>
      </c>
      <c r="AQ397" s="74">
        <v>52070.590000000004</v>
      </c>
      <c r="AR397" s="76">
        <f t="shared" ref="AR397:AR400" si="487">AVERAGE(AO397,AP397,AQ397)</f>
        <v>66256.863333333327</v>
      </c>
      <c r="AS397" s="24">
        <f>AR397-AN397</f>
        <v>-13156.136666666673</v>
      </c>
      <c r="AT397" s="25">
        <f>+AS397/AN397</f>
        <v>-0.16566729208903672</v>
      </c>
      <c r="AU397" s="309">
        <f t="shared" ref="AU397:AU399" si="488">+IF(AT397&lt;35%,AR397,"REVISAR PRECIO")</f>
        <v>66256.863333333327</v>
      </c>
      <c r="AV397" s="462">
        <f t="shared" ref="AV397:AV400" si="489">AR397</f>
        <v>66256.863333333327</v>
      </c>
      <c r="AW397" s="513">
        <v>79413</v>
      </c>
      <c r="AX397" s="74">
        <v>54437.434999999998</v>
      </c>
      <c r="AY397" s="74">
        <v>95000</v>
      </c>
      <c r="AZ397" s="75">
        <v>62721.392500000002</v>
      </c>
      <c r="BA397" s="61">
        <v>64399.999999999993</v>
      </c>
      <c r="BB397" s="60">
        <v>180000</v>
      </c>
      <c r="BC397" s="74">
        <v>74059.999999999985</v>
      </c>
      <c r="BD397" s="79">
        <v>62721.392500000002</v>
      </c>
      <c r="BE397" s="79">
        <f>36413*1.3</f>
        <v>47336.9</v>
      </c>
      <c r="BF397" s="127">
        <v>56804.28</v>
      </c>
      <c r="BG397" s="128">
        <v>55000</v>
      </c>
      <c r="BH397" s="128">
        <v>50000</v>
      </c>
      <c r="BI397" s="76">
        <f>AVERAGE(AX397,AY397,AZ397,BA397,BB397,BC397)</f>
        <v>88436.471250000002</v>
      </c>
      <c r="BJ397" s="24">
        <f>BI397-AW397</f>
        <v>9023.4712500000023</v>
      </c>
      <c r="BK397" s="25">
        <f>+BJ397/AW397</f>
        <v>0.11362712968909375</v>
      </c>
      <c r="BL397" s="259">
        <f t="shared" ref="BL397:BL400" si="490">+IF(BK397&lt;35%,BI397,"REVISAR PRECIO")</f>
        <v>88436.471250000002</v>
      </c>
      <c r="BM397" s="533">
        <f t="shared" ref="BM397:BM400" si="491">BI397</f>
        <v>88436.471250000002</v>
      </c>
    </row>
    <row r="398" spans="1:65" ht="74.099999999999994" customHeight="1">
      <c r="A398" s="91" t="s">
        <v>26</v>
      </c>
      <c r="B398" s="358" t="s">
        <v>2589</v>
      </c>
      <c r="C398" s="51" t="s">
        <v>223</v>
      </c>
      <c r="D398" s="99" t="s">
        <v>563</v>
      </c>
      <c r="E398" s="391" t="s">
        <v>13</v>
      </c>
      <c r="F398" s="410">
        <v>54231</v>
      </c>
      <c r="G398" s="10">
        <v>63859.63</v>
      </c>
      <c r="H398" s="167">
        <v>383157.77999999997</v>
      </c>
      <c r="I398" s="10">
        <v>86700</v>
      </c>
      <c r="J398" s="76">
        <f t="shared" si="474"/>
        <v>75279.815000000002</v>
      </c>
      <c r="K398" s="24">
        <f t="shared" si="475"/>
        <v>21048.815000000002</v>
      </c>
      <c r="L398" s="281">
        <f t="shared" si="476"/>
        <v>0.38813252567719575</v>
      </c>
      <c r="M398" s="431">
        <f t="shared" si="477"/>
        <v>383157.77999999997</v>
      </c>
      <c r="N398" s="443"/>
      <c r="O398" s="250"/>
      <c r="P398" s="250"/>
      <c r="Q398" s="250"/>
      <c r="R398" s="250"/>
      <c r="S398" s="250"/>
      <c r="T398" s="250"/>
      <c r="U398" s="250"/>
      <c r="V398" s="443"/>
      <c r="W398" s="410">
        <v>141064</v>
      </c>
      <c r="X398" s="31">
        <v>183465</v>
      </c>
      <c r="Y398" s="31">
        <v>238505</v>
      </c>
      <c r="Z398" s="472">
        <v>160362</v>
      </c>
      <c r="AA398" s="76">
        <f t="shared" si="478"/>
        <v>194110.66666666666</v>
      </c>
      <c r="AB398" s="24">
        <f t="shared" si="479"/>
        <v>53046.666666666657</v>
      </c>
      <c r="AC398" s="25">
        <f t="shared" si="480"/>
        <v>0.3760468061778105</v>
      </c>
      <c r="AD398" s="309" t="str">
        <f t="shared" si="481"/>
        <v>REVISAR PRECIO</v>
      </c>
      <c r="AE398" s="462">
        <f t="shared" si="482"/>
        <v>194110.66666666666</v>
      </c>
      <c r="AF398" s="410">
        <v>54230</v>
      </c>
      <c r="AG398" s="45"/>
      <c r="AH398" s="45">
        <v>63987</v>
      </c>
      <c r="AI398" s="45">
        <v>105000</v>
      </c>
      <c r="AJ398" s="76">
        <f t="shared" si="483"/>
        <v>84493.5</v>
      </c>
      <c r="AK398" s="24">
        <f t="shared" si="484"/>
        <v>30263.5</v>
      </c>
      <c r="AL398" s="281">
        <f t="shared" si="485"/>
        <v>0.5580582703300756</v>
      </c>
      <c r="AM398" s="462">
        <f t="shared" si="486"/>
        <v>84493.5</v>
      </c>
      <c r="AN398" s="513">
        <v>64862</v>
      </c>
      <c r="AO398" s="88">
        <v>134200</v>
      </c>
      <c r="AP398" s="116">
        <v>137000</v>
      </c>
      <c r="AQ398" s="74">
        <v>109175</v>
      </c>
      <c r="AR398" s="76">
        <f t="shared" si="487"/>
        <v>126791.66666666667</v>
      </c>
      <c r="AS398" s="24">
        <f>AR398-AN398</f>
        <v>61929.666666666672</v>
      </c>
      <c r="AT398" s="25">
        <f>+AS398/AN398</f>
        <v>0.95479119772234389</v>
      </c>
      <c r="AU398" s="309" t="str">
        <f t="shared" si="488"/>
        <v>REVISAR PRECIO</v>
      </c>
      <c r="AV398" s="462">
        <f t="shared" si="489"/>
        <v>126791.66666666667</v>
      </c>
      <c r="AW398" s="513">
        <v>64862</v>
      </c>
      <c r="AX398" s="74">
        <v>114137.5</v>
      </c>
      <c r="AY398" s="74">
        <v>180000</v>
      </c>
      <c r="AZ398" s="75">
        <v>131506.25</v>
      </c>
      <c r="BA398" s="61">
        <v>138000</v>
      </c>
      <c r="BB398" s="60">
        <v>140000</v>
      </c>
      <c r="BC398" s="74">
        <v>158700</v>
      </c>
      <c r="BD398" s="79">
        <v>131506.25</v>
      </c>
      <c r="BE398" s="79">
        <f>79400*1.25</f>
        <v>99250</v>
      </c>
      <c r="BF398" s="127">
        <v>119100</v>
      </c>
      <c r="BG398" s="128">
        <v>119000</v>
      </c>
      <c r="BH398" s="128">
        <v>100000</v>
      </c>
      <c r="BI398" s="76">
        <f>AVERAGE(AX398,AY398,AZ398,BA398,BB398,BC398)</f>
        <v>143723.95833333334</v>
      </c>
      <c r="BJ398" s="24">
        <f>BI398-AW398</f>
        <v>78861.958333333343</v>
      </c>
      <c r="BK398" s="25">
        <f>+BJ398/AW398</f>
        <v>1.2158422240037825</v>
      </c>
      <c r="BL398" s="259" t="str">
        <f t="shared" si="490"/>
        <v>REVISAR PRECIO</v>
      </c>
      <c r="BM398" s="533">
        <f t="shared" si="491"/>
        <v>143723.95833333334</v>
      </c>
    </row>
    <row r="399" spans="1:65" ht="36" customHeight="1">
      <c r="A399" s="91" t="s">
        <v>26</v>
      </c>
      <c r="B399" s="358" t="s">
        <v>2590</v>
      </c>
      <c r="C399" s="51" t="s">
        <v>224</v>
      </c>
      <c r="D399" s="99" t="s">
        <v>564</v>
      </c>
      <c r="E399" s="391" t="s">
        <v>13</v>
      </c>
      <c r="F399" s="408"/>
      <c r="G399" s="293"/>
      <c r="H399" s="293"/>
      <c r="I399" s="293"/>
      <c r="J399" s="293"/>
      <c r="K399" s="293"/>
      <c r="L399" s="327"/>
      <c r="M399" s="432"/>
      <c r="N399" s="443"/>
      <c r="O399" s="250"/>
      <c r="P399" s="250"/>
      <c r="Q399" s="250"/>
      <c r="R399" s="250"/>
      <c r="S399" s="250"/>
      <c r="T399" s="250"/>
      <c r="U399" s="250"/>
      <c r="V399" s="443"/>
      <c r="W399" s="410">
        <v>87701</v>
      </c>
      <c r="X399" s="31">
        <v>114062</v>
      </c>
      <c r="Y399" s="31">
        <v>148280</v>
      </c>
      <c r="Z399" s="472">
        <v>99698.2</v>
      </c>
      <c r="AA399" s="76">
        <f t="shared" si="478"/>
        <v>120680.06666666667</v>
      </c>
      <c r="AB399" s="24">
        <f t="shared" si="479"/>
        <v>32979.066666666666</v>
      </c>
      <c r="AC399" s="25">
        <f t="shared" si="480"/>
        <v>0.37603980190267688</v>
      </c>
      <c r="AD399" s="309" t="str">
        <f t="shared" si="481"/>
        <v>REVISAR PRECIO</v>
      </c>
      <c r="AE399" s="462">
        <f t="shared" si="482"/>
        <v>120680.06666666667</v>
      </c>
      <c r="AF399" s="410">
        <v>37904</v>
      </c>
      <c r="AG399" s="45"/>
      <c r="AH399" s="45">
        <v>53000</v>
      </c>
      <c r="AI399" s="45">
        <v>60000</v>
      </c>
      <c r="AJ399" s="76">
        <f t="shared" si="483"/>
        <v>56500</v>
      </c>
      <c r="AK399" s="24">
        <f t="shared" si="484"/>
        <v>18596</v>
      </c>
      <c r="AL399" s="281">
        <f t="shared" si="485"/>
        <v>0.49060785141409879</v>
      </c>
      <c r="AM399" s="462">
        <f t="shared" si="486"/>
        <v>56500</v>
      </c>
      <c r="AN399" s="513">
        <v>38093</v>
      </c>
      <c r="AO399" s="88">
        <v>68000</v>
      </c>
      <c r="AP399" s="116">
        <v>68000</v>
      </c>
      <c r="AQ399" s="74">
        <v>60500</v>
      </c>
      <c r="AR399" s="76">
        <f t="shared" si="487"/>
        <v>65500</v>
      </c>
      <c r="AS399" s="24">
        <f>AR399-AN399</f>
        <v>27407</v>
      </c>
      <c r="AT399" s="25">
        <f>+AS399/AN399</f>
        <v>0.71947601921612891</v>
      </c>
      <c r="AU399" s="309" t="str">
        <f t="shared" si="488"/>
        <v>REVISAR PRECIO</v>
      </c>
      <c r="AV399" s="462">
        <f t="shared" si="489"/>
        <v>65500</v>
      </c>
      <c r="AW399" s="513">
        <v>38093</v>
      </c>
      <c r="AX399" s="74">
        <v>63250</v>
      </c>
      <c r="AY399" s="74">
        <v>75000</v>
      </c>
      <c r="AZ399" s="75">
        <v>72875</v>
      </c>
      <c r="BA399" s="61">
        <v>86250</v>
      </c>
      <c r="BB399" s="60">
        <v>60000</v>
      </c>
      <c r="BC399" s="74">
        <v>99187.499999999985</v>
      </c>
      <c r="BD399" s="79">
        <v>72875</v>
      </c>
      <c r="BE399" s="79">
        <v>55000</v>
      </c>
      <c r="BF399" s="127">
        <v>66000</v>
      </c>
      <c r="BG399" s="128">
        <v>57000</v>
      </c>
      <c r="BH399" s="128">
        <v>60000</v>
      </c>
      <c r="BI399" s="76">
        <f>AVERAGE(AX399,AY399,AZ399,BA399,BB399,BC399)</f>
        <v>76093.75</v>
      </c>
      <c r="BJ399" s="24">
        <f>BI399-AW399</f>
        <v>38000.75</v>
      </c>
      <c r="BK399" s="25">
        <f>+BJ399/AW399</f>
        <v>0.99757829522484442</v>
      </c>
      <c r="BL399" s="259" t="str">
        <f t="shared" si="490"/>
        <v>REVISAR PRECIO</v>
      </c>
      <c r="BM399" s="533">
        <f t="shared" si="491"/>
        <v>76093.75</v>
      </c>
    </row>
    <row r="400" spans="1:65" ht="23.45" customHeight="1">
      <c r="A400" s="91" t="s">
        <v>26</v>
      </c>
      <c r="B400" s="358" t="s">
        <v>2591</v>
      </c>
      <c r="C400" s="51" t="s">
        <v>225</v>
      </c>
      <c r="D400" s="99" t="s">
        <v>565</v>
      </c>
      <c r="E400" s="391" t="s">
        <v>11</v>
      </c>
      <c r="F400" s="408"/>
      <c r="G400" s="293"/>
      <c r="H400" s="293"/>
      <c r="I400" s="293"/>
      <c r="J400" s="293"/>
      <c r="K400" s="293"/>
      <c r="L400" s="327"/>
      <c r="M400" s="432"/>
      <c r="N400" s="443"/>
      <c r="O400" s="250"/>
      <c r="P400" s="250"/>
      <c r="Q400" s="250"/>
      <c r="R400" s="250"/>
      <c r="S400" s="250"/>
      <c r="T400" s="250"/>
      <c r="U400" s="250"/>
      <c r="V400" s="443"/>
      <c r="W400" s="410">
        <v>94084</v>
      </c>
      <c r="X400" s="33">
        <v>122364</v>
      </c>
      <c r="Y400" s="31">
        <v>159073</v>
      </c>
      <c r="Z400" s="472">
        <v>106955.2</v>
      </c>
      <c r="AA400" s="76">
        <f t="shared" si="478"/>
        <v>129464.06666666667</v>
      </c>
      <c r="AB400" s="24">
        <f t="shared" si="479"/>
        <v>35380.066666666666</v>
      </c>
      <c r="AC400" s="25">
        <f t="shared" si="480"/>
        <v>0.37604764536655189</v>
      </c>
      <c r="AD400" s="309" t="str">
        <f t="shared" si="481"/>
        <v>REVISAR PRECIO</v>
      </c>
      <c r="AE400" s="462">
        <f t="shared" si="482"/>
        <v>129464.06666666667</v>
      </c>
      <c r="AF400" s="408"/>
      <c r="AG400" s="293"/>
      <c r="AH400" s="293"/>
      <c r="AI400" s="293"/>
      <c r="AJ400" s="293"/>
      <c r="AK400" s="293"/>
      <c r="AL400" s="327"/>
      <c r="AM400" s="463"/>
      <c r="AN400" s="513"/>
      <c r="AO400" s="88">
        <v>60000</v>
      </c>
      <c r="AP400" s="116">
        <v>60000</v>
      </c>
      <c r="AQ400" s="74">
        <v>48070</v>
      </c>
      <c r="AR400" s="76">
        <f t="shared" si="487"/>
        <v>56023.333333333336</v>
      </c>
      <c r="AS400" s="24">
        <f>AR400-AN400</f>
        <v>56023.333333333336</v>
      </c>
      <c r="AT400" s="25"/>
      <c r="AU400" s="309"/>
      <c r="AV400" s="462">
        <f t="shared" si="489"/>
        <v>56023.333333333336</v>
      </c>
      <c r="AW400" s="513"/>
      <c r="AX400" s="74">
        <v>50255</v>
      </c>
      <c r="AY400" s="74">
        <v>65000</v>
      </c>
      <c r="AZ400" s="75">
        <v>57902.5</v>
      </c>
      <c r="BA400" s="61">
        <v>55199.999999999993</v>
      </c>
      <c r="BB400" s="60"/>
      <c r="BC400" s="74">
        <v>63479.999999999985</v>
      </c>
      <c r="BD400" s="79">
        <v>57902.5</v>
      </c>
      <c r="BE400" s="79">
        <v>43700</v>
      </c>
      <c r="BF400" s="127">
        <v>52440</v>
      </c>
      <c r="BG400" s="128">
        <v>42900</v>
      </c>
      <c r="BH400" s="128">
        <v>45000</v>
      </c>
      <c r="BI400" s="76">
        <f>AVERAGE(AX400,AY400,AZ400,BA400,BB400,BC400)</f>
        <v>58367.5</v>
      </c>
      <c r="BJ400" s="24">
        <f>BI400-AW400</f>
        <v>58367.5</v>
      </c>
      <c r="BK400" s="25"/>
      <c r="BL400" s="259">
        <f t="shared" si="490"/>
        <v>58367.5</v>
      </c>
      <c r="BM400" s="533">
        <f t="shared" si="491"/>
        <v>58367.5</v>
      </c>
    </row>
    <row r="401" spans="1:65" ht="68.099999999999994" customHeight="1">
      <c r="A401" s="91"/>
      <c r="B401" s="358" t="s">
        <v>2592</v>
      </c>
      <c r="C401" s="51" t="s">
        <v>1640</v>
      </c>
      <c r="D401" s="177" t="s">
        <v>961</v>
      </c>
      <c r="E401" s="385" t="s">
        <v>13</v>
      </c>
      <c r="F401" s="410">
        <v>79415</v>
      </c>
      <c r="G401" s="10">
        <v>99250</v>
      </c>
      <c r="H401" s="167">
        <v>198500</v>
      </c>
      <c r="I401" s="10">
        <v>86700</v>
      </c>
      <c r="J401" s="76">
        <f t="shared" ref="J401:J404" si="492">AVERAGE(G401,I401)</f>
        <v>92975</v>
      </c>
      <c r="K401" s="24">
        <f t="shared" ref="K401:K404" si="493">J401-F401</f>
        <v>13560</v>
      </c>
      <c r="L401" s="281">
        <f t="shared" ref="L401:L404" si="494">+K401/F401</f>
        <v>0.17074859913114651</v>
      </c>
      <c r="M401" s="431">
        <f t="shared" ref="M401:M404" si="495">H401</f>
        <v>198500</v>
      </c>
      <c r="N401" s="410">
        <v>71478</v>
      </c>
      <c r="O401" s="10">
        <v>1150000</v>
      </c>
      <c r="P401" s="10"/>
      <c r="Q401" s="268">
        <v>1200000</v>
      </c>
      <c r="R401" s="10">
        <v>1200000</v>
      </c>
      <c r="S401" s="76">
        <f t="shared" ref="S401:S402" si="496">AVERAGE(O401,P401,Q401,R401)</f>
        <v>1183333.3333333333</v>
      </c>
      <c r="T401" s="24">
        <f t="shared" ref="T401:T402" si="497">S401-N401</f>
        <v>1111855.3333333333</v>
      </c>
      <c r="U401" s="281">
        <f t="shared" ref="U401:U402" si="498">+T401/N401</f>
        <v>15.555210461027634</v>
      </c>
      <c r="V401" s="462">
        <f t="shared" ref="V401:V402" si="499">S401</f>
        <v>1183333.3333333333</v>
      </c>
      <c r="W401" s="410"/>
      <c r="X401" s="33"/>
      <c r="Y401" s="31"/>
      <c r="Z401" s="472"/>
      <c r="AA401" s="76"/>
      <c r="AB401" s="24"/>
      <c r="AC401" s="25"/>
      <c r="AD401" s="309"/>
      <c r="AE401" s="462"/>
      <c r="AF401" s="410">
        <v>79413</v>
      </c>
      <c r="AG401" s="45"/>
      <c r="AH401" s="45">
        <v>93700</v>
      </c>
      <c r="AI401" s="45">
        <v>75000</v>
      </c>
      <c r="AJ401" s="76">
        <f t="shared" ref="AJ401:AJ411" si="500">AVERAGE(AG401,AH401,AI401)</f>
        <v>84350</v>
      </c>
      <c r="AK401" s="24">
        <f t="shared" ref="AK401:AK411" si="501">AJ401-AF401</f>
        <v>4937</v>
      </c>
      <c r="AL401" s="281">
        <f t="shared" ref="AL401:AL411" si="502">+AK401/AF401</f>
        <v>6.2168662561545338E-2</v>
      </c>
      <c r="AM401" s="462">
        <f t="shared" ref="AM401:AM411" si="503">AJ401</f>
        <v>84350</v>
      </c>
      <c r="AN401" s="513"/>
      <c r="AO401" s="88"/>
      <c r="AP401" s="116"/>
      <c r="AQ401" s="74"/>
      <c r="AR401" s="76"/>
      <c r="AS401" s="24"/>
      <c r="AT401" s="25"/>
      <c r="AU401" s="309"/>
      <c r="AV401" s="462"/>
      <c r="AW401" s="513"/>
      <c r="AX401" s="74"/>
      <c r="AY401" s="74"/>
      <c r="AZ401" s="75"/>
      <c r="BA401" s="61"/>
      <c r="BB401" s="60"/>
      <c r="BC401" s="74"/>
      <c r="BD401" s="79"/>
      <c r="BE401" s="79"/>
      <c r="BF401" s="127"/>
      <c r="BG401" s="128"/>
      <c r="BH401" s="128"/>
      <c r="BI401" s="76"/>
      <c r="BJ401" s="24"/>
      <c r="BK401" s="25"/>
      <c r="BL401" s="259"/>
      <c r="BM401" s="533"/>
    </row>
    <row r="402" spans="1:65" ht="72.95" customHeight="1">
      <c r="A402" s="91"/>
      <c r="B402" s="358" t="s">
        <v>2593</v>
      </c>
      <c r="C402" s="51" t="s">
        <v>1641</v>
      </c>
      <c r="D402" s="177" t="s">
        <v>962</v>
      </c>
      <c r="E402" s="385" t="s">
        <v>13</v>
      </c>
      <c r="F402" s="410">
        <v>64862</v>
      </c>
      <c r="G402" s="10">
        <v>99250</v>
      </c>
      <c r="H402" s="167">
        <v>397000</v>
      </c>
      <c r="I402" s="10">
        <v>86700</v>
      </c>
      <c r="J402" s="76">
        <f t="shared" si="492"/>
        <v>92975</v>
      </c>
      <c r="K402" s="24">
        <f t="shared" si="493"/>
        <v>28113</v>
      </c>
      <c r="L402" s="281">
        <f t="shared" si="494"/>
        <v>0.43342789306527707</v>
      </c>
      <c r="M402" s="431">
        <f t="shared" si="495"/>
        <v>397000</v>
      </c>
      <c r="N402" s="410">
        <v>58378</v>
      </c>
      <c r="O402" s="10">
        <v>1150000</v>
      </c>
      <c r="P402" s="10"/>
      <c r="Q402" s="268">
        <v>1200000</v>
      </c>
      <c r="R402" s="10">
        <v>1200000</v>
      </c>
      <c r="S402" s="76">
        <f t="shared" si="496"/>
        <v>1183333.3333333333</v>
      </c>
      <c r="T402" s="24">
        <f t="shared" si="497"/>
        <v>1124955.3333333333</v>
      </c>
      <c r="U402" s="281">
        <f t="shared" si="498"/>
        <v>19.270193109276324</v>
      </c>
      <c r="V402" s="462">
        <f t="shared" si="499"/>
        <v>1183333.3333333333</v>
      </c>
      <c r="W402" s="410"/>
      <c r="X402" s="33"/>
      <c r="Y402" s="31"/>
      <c r="Z402" s="472"/>
      <c r="AA402" s="76"/>
      <c r="AB402" s="24"/>
      <c r="AC402" s="25"/>
      <c r="AD402" s="309"/>
      <c r="AE402" s="462"/>
      <c r="AF402" s="410">
        <v>64862</v>
      </c>
      <c r="AG402" s="45"/>
      <c r="AH402" s="45">
        <v>76526</v>
      </c>
      <c r="AI402" s="45">
        <v>78000</v>
      </c>
      <c r="AJ402" s="76">
        <f t="shared" si="500"/>
        <v>77263</v>
      </c>
      <c r="AK402" s="24">
        <f t="shared" si="501"/>
        <v>12401</v>
      </c>
      <c r="AL402" s="281">
        <f t="shared" si="502"/>
        <v>0.19119052758163485</v>
      </c>
      <c r="AM402" s="462">
        <f t="shared" si="503"/>
        <v>77263</v>
      </c>
      <c r="AN402" s="513"/>
      <c r="AO402" s="88"/>
      <c r="AP402" s="116"/>
      <c r="AQ402" s="74"/>
      <c r="AR402" s="76"/>
      <c r="AS402" s="24"/>
      <c r="AT402" s="25"/>
      <c r="AU402" s="309"/>
      <c r="AV402" s="462"/>
      <c r="AW402" s="513"/>
      <c r="AX402" s="74"/>
      <c r="AY402" s="74"/>
      <c r="AZ402" s="75"/>
      <c r="BA402" s="61"/>
      <c r="BB402" s="60"/>
      <c r="BC402" s="74"/>
      <c r="BD402" s="79"/>
      <c r="BE402" s="79"/>
      <c r="BF402" s="127"/>
      <c r="BG402" s="128"/>
      <c r="BH402" s="128"/>
      <c r="BI402" s="76"/>
      <c r="BJ402" s="24"/>
      <c r="BK402" s="25"/>
      <c r="BL402" s="259"/>
      <c r="BM402" s="533"/>
    </row>
    <row r="403" spans="1:65" ht="77.099999999999994" customHeight="1">
      <c r="A403" s="91"/>
      <c r="B403" s="358" t="s">
        <v>2594</v>
      </c>
      <c r="C403" s="51" t="s">
        <v>1642</v>
      </c>
      <c r="D403" s="177" t="s">
        <v>963</v>
      </c>
      <c r="E403" s="385" t="s">
        <v>13</v>
      </c>
      <c r="F403" s="410">
        <v>98760</v>
      </c>
      <c r="G403" s="10">
        <v>85032.73</v>
      </c>
      <c r="H403" s="167">
        <v>510196.38</v>
      </c>
      <c r="I403" s="10">
        <v>84300</v>
      </c>
      <c r="J403" s="76">
        <f t="shared" si="492"/>
        <v>84666.364999999991</v>
      </c>
      <c r="K403" s="24">
        <f t="shared" si="493"/>
        <v>-14093.635000000009</v>
      </c>
      <c r="L403" s="281">
        <f t="shared" si="494"/>
        <v>-0.14270590319967608</v>
      </c>
      <c r="M403" s="431">
        <f t="shared" si="495"/>
        <v>510196.38</v>
      </c>
      <c r="N403" s="410">
        <v>88886</v>
      </c>
      <c r="O403" s="10"/>
      <c r="P403" s="10"/>
      <c r="Q403" s="268"/>
      <c r="R403" s="10" t="s">
        <v>1421</v>
      </c>
      <c r="S403" s="76"/>
      <c r="T403" s="24"/>
      <c r="U403" s="281"/>
      <c r="V403" s="464" t="s">
        <v>807</v>
      </c>
      <c r="W403" s="410"/>
      <c r="X403" s="33"/>
      <c r="Y403" s="31"/>
      <c r="Z403" s="472"/>
      <c r="AA403" s="76"/>
      <c r="AB403" s="24"/>
      <c r="AC403" s="25"/>
      <c r="AD403" s="309"/>
      <c r="AE403" s="462"/>
      <c r="AF403" s="410">
        <v>98759</v>
      </c>
      <c r="AG403" s="45"/>
      <c r="AH403" s="45">
        <v>116523</v>
      </c>
      <c r="AI403" s="45">
        <v>60000</v>
      </c>
      <c r="AJ403" s="76">
        <f t="shared" si="500"/>
        <v>88261.5</v>
      </c>
      <c r="AK403" s="24">
        <f t="shared" si="501"/>
        <v>-10497.5</v>
      </c>
      <c r="AL403" s="281">
        <f t="shared" si="502"/>
        <v>-0.10629410990390749</v>
      </c>
      <c r="AM403" s="462">
        <f t="shared" si="503"/>
        <v>88261.5</v>
      </c>
      <c r="AN403" s="513"/>
      <c r="AO403" s="88"/>
      <c r="AP403" s="116"/>
      <c r="AQ403" s="74"/>
      <c r="AR403" s="76"/>
      <c r="AS403" s="24"/>
      <c r="AT403" s="25"/>
      <c r="AU403" s="309"/>
      <c r="AV403" s="462"/>
      <c r="AW403" s="513"/>
      <c r="AX403" s="74"/>
      <c r="AY403" s="74"/>
      <c r="AZ403" s="75"/>
      <c r="BA403" s="61"/>
      <c r="BB403" s="60"/>
      <c r="BC403" s="74"/>
      <c r="BD403" s="79"/>
      <c r="BE403" s="79"/>
      <c r="BF403" s="127"/>
      <c r="BG403" s="128"/>
      <c r="BH403" s="128"/>
      <c r="BI403" s="76"/>
      <c r="BJ403" s="24"/>
      <c r="BK403" s="25"/>
      <c r="BL403" s="259"/>
      <c r="BM403" s="533"/>
    </row>
    <row r="404" spans="1:65" ht="63.95" customHeight="1">
      <c r="A404" s="91"/>
      <c r="B404" s="358" t="s">
        <v>2595</v>
      </c>
      <c r="C404" s="51" t="s">
        <v>1643</v>
      </c>
      <c r="D404" s="177" t="s">
        <v>964</v>
      </c>
      <c r="E404" s="385" t="s">
        <v>13</v>
      </c>
      <c r="F404" s="410">
        <v>107085</v>
      </c>
      <c r="G404" s="10">
        <v>85032.72</v>
      </c>
      <c r="H404" s="167">
        <v>680261.76</v>
      </c>
      <c r="I404" s="10">
        <v>90700</v>
      </c>
      <c r="J404" s="76">
        <f t="shared" si="492"/>
        <v>87866.36</v>
      </c>
      <c r="K404" s="24">
        <f t="shared" si="493"/>
        <v>-19218.64</v>
      </c>
      <c r="L404" s="281">
        <f t="shared" si="494"/>
        <v>-0.17947088761264415</v>
      </c>
      <c r="M404" s="431">
        <f t="shared" si="495"/>
        <v>680261.76</v>
      </c>
      <c r="N404" s="410">
        <v>96376</v>
      </c>
      <c r="O404" s="10"/>
      <c r="P404" s="10"/>
      <c r="Q404" s="268"/>
      <c r="R404" s="10">
        <v>1000000</v>
      </c>
      <c r="S404" s="76">
        <f t="shared" ref="S404:S406" si="504">AVERAGE(O404,P404,Q404,R404)</f>
        <v>1000000</v>
      </c>
      <c r="T404" s="24">
        <f t="shared" ref="T404:T406" si="505">S404-N404</f>
        <v>903624</v>
      </c>
      <c r="U404" s="281">
        <f t="shared" ref="U404:U406" si="506">+T404/N404</f>
        <v>9.3760272266954434</v>
      </c>
      <c r="V404" s="462">
        <f t="shared" ref="V404:V406" si="507">S404</f>
        <v>1000000</v>
      </c>
      <c r="W404" s="410"/>
      <c r="X404" s="33"/>
      <c r="Y404" s="31"/>
      <c r="Z404" s="472"/>
      <c r="AA404" s="76"/>
      <c r="AB404" s="24"/>
      <c r="AC404" s="25"/>
      <c r="AD404" s="309"/>
      <c r="AE404" s="462"/>
      <c r="AF404" s="410">
        <v>107084</v>
      </c>
      <c r="AG404" s="45"/>
      <c r="AH404" s="45">
        <v>126352</v>
      </c>
      <c r="AI404" s="45">
        <v>60000</v>
      </c>
      <c r="AJ404" s="76">
        <f t="shared" si="500"/>
        <v>93176</v>
      </c>
      <c r="AK404" s="24">
        <f t="shared" si="501"/>
        <v>-13908</v>
      </c>
      <c r="AL404" s="281">
        <f t="shared" si="502"/>
        <v>-0.12987934705464868</v>
      </c>
      <c r="AM404" s="462">
        <f t="shared" si="503"/>
        <v>93176</v>
      </c>
      <c r="AN404" s="513"/>
      <c r="AO404" s="88"/>
      <c r="AP404" s="116"/>
      <c r="AQ404" s="74"/>
      <c r="AR404" s="76"/>
      <c r="AS404" s="24"/>
      <c r="AT404" s="25"/>
      <c r="AU404" s="309"/>
      <c r="AV404" s="462"/>
      <c r="AW404" s="513"/>
      <c r="AX404" s="74"/>
      <c r="AY404" s="74"/>
      <c r="AZ404" s="75"/>
      <c r="BA404" s="61"/>
      <c r="BB404" s="60"/>
      <c r="BC404" s="74"/>
      <c r="BD404" s="79"/>
      <c r="BE404" s="79"/>
      <c r="BF404" s="127"/>
      <c r="BG404" s="128"/>
      <c r="BH404" s="128"/>
      <c r="BI404" s="76"/>
      <c r="BJ404" s="24"/>
      <c r="BK404" s="25"/>
      <c r="BL404" s="259"/>
      <c r="BM404" s="533"/>
    </row>
    <row r="405" spans="1:65" ht="65.099999999999994" customHeight="1">
      <c r="A405" s="91"/>
      <c r="B405" s="358" t="s">
        <v>2596</v>
      </c>
      <c r="C405" s="51" t="s">
        <v>1644</v>
      </c>
      <c r="D405" s="177" t="s">
        <v>965</v>
      </c>
      <c r="E405" s="385" t="s">
        <v>13</v>
      </c>
      <c r="F405" s="410">
        <v>41245</v>
      </c>
      <c r="G405" s="10"/>
      <c r="H405" s="167"/>
      <c r="I405" s="10"/>
      <c r="J405" s="76"/>
      <c r="K405" s="24"/>
      <c r="L405" s="281"/>
      <c r="M405" s="431" t="s">
        <v>894</v>
      </c>
      <c r="N405" s="410">
        <v>37115</v>
      </c>
      <c r="O405" s="10"/>
      <c r="P405" s="10"/>
      <c r="Q405" s="268"/>
      <c r="R405" s="10">
        <v>1150000</v>
      </c>
      <c r="S405" s="76">
        <f t="shared" si="504"/>
        <v>1150000</v>
      </c>
      <c r="T405" s="24">
        <f t="shared" si="505"/>
        <v>1112885</v>
      </c>
      <c r="U405" s="281">
        <f t="shared" si="506"/>
        <v>29.984777044321703</v>
      </c>
      <c r="V405" s="462">
        <f t="shared" si="507"/>
        <v>1150000</v>
      </c>
      <c r="W405" s="410"/>
      <c r="X405" s="33"/>
      <c r="Y405" s="31"/>
      <c r="Z405" s="472"/>
      <c r="AA405" s="76"/>
      <c r="AB405" s="24"/>
      <c r="AC405" s="25"/>
      <c r="AD405" s="309"/>
      <c r="AE405" s="462"/>
      <c r="AF405" s="410">
        <v>41245</v>
      </c>
      <c r="AG405" s="45"/>
      <c r="AH405" s="45">
        <v>48658</v>
      </c>
      <c r="AI405" s="45">
        <v>60000</v>
      </c>
      <c r="AJ405" s="76">
        <f t="shared" si="500"/>
        <v>54329</v>
      </c>
      <c r="AK405" s="24">
        <f t="shared" si="501"/>
        <v>13084</v>
      </c>
      <c r="AL405" s="281">
        <f t="shared" si="502"/>
        <v>0.31722633046429871</v>
      </c>
      <c r="AM405" s="462">
        <f t="shared" si="503"/>
        <v>54329</v>
      </c>
      <c r="AN405" s="513"/>
      <c r="AO405" s="88"/>
      <c r="AP405" s="116"/>
      <c r="AQ405" s="74"/>
      <c r="AR405" s="76"/>
      <c r="AS405" s="24"/>
      <c r="AT405" s="25"/>
      <c r="AU405" s="309"/>
      <c r="AV405" s="462"/>
      <c r="AW405" s="513"/>
      <c r="AX405" s="74"/>
      <c r="AY405" s="74"/>
      <c r="AZ405" s="75"/>
      <c r="BA405" s="61"/>
      <c r="BB405" s="60"/>
      <c r="BC405" s="74"/>
      <c r="BD405" s="79"/>
      <c r="BE405" s="79"/>
      <c r="BF405" s="127"/>
      <c r="BG405" s="128"/>
      <c r="BH405" s="128"/>
      <c r="BI405" s="76"/>
      <c r="BJ405" s="24"/>
      <c r="BK405" s="25"/>
      <c r="BL405" s="259"/>
      <c r="BM405" s="533"/>
    </row>
    <row r="406" spans="1:65" ht="75.95" customHeight="1">
      <c r="A406" s="91"/>
      <c r="B406" s="358" t="s">
        <v>2597</v>
      </c>
      <c r="C406" s="51" t="s">
        <v>1645</v>
      </c>
      <c r="D406" s="177" t="s">
        <v>966</v>
      </c>
      <c r="E406" s="385" t="s">
        <v>13</v>
      </c>
      <c r="F406" s="410">
        <v>62717</v>
      </c>
      <c r="G406" s="10"/>
      <c r="H406" s="167">
        <v>75000</v>
      </c>
      <c r="I406" s="10">
        <v>125400</v>
      </c>
      <c r="J406" s="76">
        <f t="shared" ref="J406:J412" si="508">AVERAGE(G406,I406)</f>
        <v>125400</v>
      </c>
      <c r="K406" s="24">
        <f t="shared" ref="K406:K412" si="509">J406-F406</f>
        <v>62683</v>
      </c>
      <c r="L406" s="281">
        <f t="shared" ref="L406:L412" si="510">+K406/F406</f>
        <v>0.99945788223288745</v>
      </c>
      <c r="M406" s="431">
        <f t="shared" ref="M406:M412" si="511">H406</f>
        <v>75000</v>
      </c>
      <c r="N406" s="410">
        <v>56442</v>
      </c>
      <c r="O406" s="10">
        <v>950000</v>
      </c>
      <c r="P406" s="10"/>
      <c r="Q406" s="268">
        <v>1020000</v>
      </c>
      <c r="R406" s="10">
        <v>1150000</v>
      </c>
      <c r="S406" s="76">
        <f t="shared" si="504"/>
        <v>1040000</v>
      </c>
      <c r="T406" s="24">
        <f t="shared" si="505"/>
        <v>983558</v>
      </c>
      <c r="U406" s="281">
        <f t="shared" si="506"/>
        <v>17.425994826547605</v>
      </c>
      <c r="V406" s="462">
        <f t="shared" si="507"/>
        <v>1040000</v>
      </c>
      <c r="W406" s="410"/>
      <c r="X406" s="33"/>
      <c r="Y406" s="31"/>
      <c r="Z406" s="472"/>
      <c r="AA406" s="76"/>
      <c r="AB406" s="24"/>
      <c r="AC406" s="25"/>
      <c r="AD406" s="309"/>
      <c r="AE406" s="462"/>
      <c r="AF406" s="410">
        <v>62717</v>
      </c>
      <c r="AG406" s="45"/>
      <c r="AH406" s="45">
        <v>73995</v>
      </c>
      <c r="AI406" s="45">
        <v>105000</v>
      </c>
      <c r="AJ406" s="76">
        <f t="shared" si="500"/>
        <v>89497.5</v>
      </c>
      <c r="AK406" s="24">
        <f t="shared" si="501"/>
        <v>26780.5</v>
      </c>
      <c r="AL406" s="281">
        <f t="shared" si="502"/>
        <v>0.42700543712231132</v>
      </c>
      <c r="AM406" s="462">
        <f t="shared" si="503"/>
        <v>89497.5</v>
      </c>
      <c r="AN406" s="513"/>
      <c r="AO406" s="88"/>
      <c r="AP406" s="116"/>
      <c r="AQ406" s="74"/>
      <c r="AR406" s="76"/>
      <c r="AS406" s="24"/>
      <c r="AT406" s="25"/>
      <c r="AU406" s="309"/>
      <c r="AV406" s="462"/>
      <c r="AW406" s="513"/>
      <c r="AX406" s="74"/>
      <c r="AY406" s="74"/>
      <c r="AZ406" s="75"/>
      <c r="BA406" s="61"/>
      <c r="BB406" s="60"/>
      <c r="BC406" s="74"/>
      <c r="BD406" s="79"/>
      <c r="BE406" s="79"/>
      <c r="BF406" s="127"/>
      <c r="BG406" s="128"/>
      <c r="BH406" s="128"/>
      <c r="BI406" s="76"/>
      <c r="BJ406" s="24"/>
      <c r="BK406" s="25"/>
      <c r="BL406" s="259"/>
      <c r="BM406" s="533"/>
    </row>
    <row r="407" spans="1:65" ht="72.95" customHeight="1">
      <c r="A407" s="91"/>
      <c r="B407" s="358" t="s">
        <v>2598</v>
      </c>
      <c r="C407" s="51" t="s">
        <v>1646</v>
      </c>
      <c r="D407" s="177" t="s">
        <v>967</v>
      </c>
      <c r="E407" s="385" t="s">
        <v>13</v>
      </c>
      <c r="F407" s="410">
        <v>110758</v>
      </c>
      <c r="G407" s="10"/>
      <c r="H407" s="167">
        <v>68000</v>
      </c>
      <c r="I407" s="10">
        <v>187600</v>
      </c>
      <c r="J407" s="76">
        <f t="shared" si="508"/>
        <v>187600</v>
      </c>
      <c r="K407" s="24">
        <f t="shared" si="509"/>
        <v>76842</v>
      </c>
      <c r="L407" s="281">
        <f t="shared" si="510"/>
        <v>0.69378284187146755</v>
      </c>
      <c r="M407" s="431">
        <f t="shared" si="511"/>
        <v>68000</v>
      </c>
      <c r="N407" s="410">
        <v>99679</v>
      </c>
      <c r="O407" s="10"/>
      <c r="P407" s="10"/>
      <c r="Q407" s="268"/>
      <c r="R407" s="10" t="s">
        <v>1421</v>
      </c>
      <c r="S407" s="76"/>
      <c r="T407" s="24"/>
      <c r="U407" s="281"/>
      <c r="V407" s="464" t="s">
        <v>807</v>
      </c>
      <c r="W407" s="410"/>
      <c r="X407" s="33"/>
      <c r="Y407" s="31"/>
      <c r="Z407" s="472"/>
      <c r="AA407" s="76"/>
      <c r="AB407" s="24"/>
      <c r="AC407" s="25"/>
      <c r="AD407" s="309"/>
      <c r="AE407" s="462"/>
      <c r="AF407" s="410">
        <v>110757</v>
      </c>
      <c r="AG407" s="45"/>
      <c r="AH407" s="45">
        <v>130679</v>
      </c>
      <c r="AI407" s="45">
        <v>100000</v>
      </c>
      <c r="AJ407" s="76">
        <f t="shared" si="500"/>
        <v>115339.5</v>
      </c>
      <c r="AK407" s="24">
        <f t="shared" si="501"/>
        <v>4582.5</v>
      </c>
      <c r="AL407" s="281">
        <f t="shared" si="502"/>
        <v>4.1374360085592782E-2</v>
      </c>
      <c r="AM407" s="462">
        <f t="shared" si="503"/>
        <v>115339.5</v>
      </c>
      <c r="AN407" s="513"/>
      <c r="AO407" s="88"/>
      <c r="AP407" s="116"/>
      <c r="AQ407" s="74"/>
      <c r="AR407" s="76"/>
      <c r="AS407" s="24"/>
      <c r="AT407" s="25"/>
      <c r="AU407" s="309"/>
      <c r="AV407" s="462"/>
      <c r="AW407" s="513"/>
      <c r="AX407" s="74"/>
      <c r="AY407" s="74"/>
      <c r="AZ407" s="75"/>
      <c r="BA407" s="61"/>
      <c r="BB407" s="60"/>
      <c r="BC407" s="74"/>
      <c r="BD407" s="79"/>
      <c r="BE407" s="79"/>
      <c r="BF407" s="127"/>
      <c r="BG407" s="128"/>
      <c r="BH407" s="128"/>
      <c r="BI407" s="76"/>
      <c r="BJ407" s="24"/>
      <c r="BK407" s="25"/>
      <c r="BL407" s="259"/>
      <c r="BM407" s="533"/>
    </row>
    <row r="408" spans="1:65" ht="66.95" customHeight="1">
      <c r="A408" s="91"/>
      <c r="B408" s="358" t="s">
        <v>2599</v>
      </c>
      <c r="C408" s="51" t="s">
        <v>1647</v>
      </c>
      <c r="D408" s="177" t="s">
        <v>968</v>
      </c>
      <c r="E408" s="385" t="s">
        <v>13</v>
      </c>
      <c r="F408" s="410">
        <v>118902</v>
      </c>
      <c r="G408" s="10"/>
      <c r="H408" s="167">
        <v>70000</v>
      </c>
      <c r="I408" s="10">
        <v>176000</v>
      </c>
      <c r="J408" s="76">
        <f t="shared" si="508"/>
        <v>176000</v>
      </c>
      <c r="K408" s="24">
        <f t="shared" si="509"/>
        <v>57098</v>
      </c>
      <c r="L408" s="281">
        <f t="shared" si="510"/>
        <v>0.48021059359808921</v>
      </c>
      <c r="M408" s="431">
        <f t="shared" si="511"/>
        <v>70000</v>
      </c>
      <c r="N408" s="410">
        <v>107008</v>
      </c>
      <c r="O408" s="10"/>
      <c r="P408" s="10"/>
      <c r="Q408" s="268"/>
      <c r="R408" s="10" t="s">
        <v>1421</v>
      </c>
      <c r="S408" s="76"/>
      <c r="T408" s="24"/>
      <c r="U408" s="281"/>
      <c r="V408" s="464" t="s">
        <v>807</v>
      </c>
      <c r="W408" s="410"/>
      <c r="X408" s="33"/>
      <c r="Y408" s="31"/>
      <c r="Z408" s="472"/>
      <c r="AA408" s="76"/>
      <c r="AB408" s="24"/>
      <c r="AC408" s="25"/>
      <c r="AD408" s="309"/>
      <c r="AE408" s="462"/>
      <c r="AF408" s="410">
        <v>139244</v>
      </c>
      <c r="AG408" s="45"/>
      <c r="AH408" s="45">
        <v>140289</v>
      </c>
      <c r="AI408" s="45">
        <v>100000</v>
      </c>
      <c r="AJ408" s="76">
        <f t="shared" si="500"/>
        <v>120144.5</v>
      </c>
      <c r="AK408" s="24">
        <f t="shared" si="501"/>
        <v>-19099.5</v>
      </c>
      <c r="AL408" s="281">
        <f t="shared" si="502"/>
        <v>-0.13716569475165896</v>
      </c>
      <c r="AM408" s="462">
        <f t="shared" si="503"/>
        <v>120144.5</v>
      </c>
      <c r="AN408" s="513"/>
      <c r="AO408" s="88"/>
      <c r="AP408" s="116"/>
      <c r="AQ408" s="74"/>
      <c r="AR408" s="76"/>
      <c r="AS408" s="24"/>
      <c r="AT408" s="25"/>
      <c r="AU408" s="309"/>
      <c r="AV408" s="462"/>
      <c r="AW408" s="513"/>
      <c r="AX408" s="74"/>
      <c r="AY408" s="74"/>
      <c r="AZ408" s="75"/>
      <c r="BA408" s="61"/>
      <c r="BB408" s="60"/>
      <c r="BC408" s="74"/>
      <c r="BD408" s="79"/>
      <c r="BE408" s="79"/>
      <c r="BF408" s="127"/>
      <c r="BG408" s="128"/>
      <c r="BH408" s="128"/>
      <c r="BI408" s="76"/>
      <c r="BJ408" s="24"/>
      <c r="BK408" s="25"/>
      <c r="BL408" s="259"/>
      <c r="BM408" s="533"/>
    </row>
    <row r="409" spans="1:65" ht="62.1" customHeight="1">
      <c r="A409" s="91"/>
      <c r="B409" s="358" t="s">
        <v>2600</v>
      </c>
      <c r="C409" s="51" t="s">
        <v>1648</v>
      </c>
      <c r="D409" s="177" t="s">
        <v>969</v>
      </c>
      <c r="E409" s="385" t="s">
        <v>13</v>
      </c>
      <c r="F409" s="410">
        <v>42973</v>
      </c>
      <c r="G409" s="10"/>
      <c r="H409" s="167">
        <v>67000</v>
      </c>
      <c r="I409" s="10">
        <v>167000</v>
      </c>
      <c r="J409" s="76">
        <f t="shared" si="508"/>
        <v>167000</v>
      </c>
      <c r="K409" s="24">
        <f t="shared" si="509"/>
        <v>124027</v>
      </c>
      <c r="L409" s="281">
        <f t="shared" si="510"/>
        <v>2.8861610778861144</v>
      </c>
      <c r="M409" s="431">
        <f t="shared" si="511"/>
        <v>67000</v>
      </c>
      <c r="N409" s="410">
        <v>38682</v>
      </c>
      <c r="O409" s="10">
        <v>800000</v>
      </c>
      <c r="P409" s="10"/>
      <c r="Q409" s="268">
        <v>845000</v>
      </c>
      <c r="R409" s="10">
        <v>1000000</v>
      </c>
      <c r="S409" s="76">
        <f t="shared" ref="S409:S411" si="512">AVERAGE(O409,P409,Q409,R409)</f>
        <v>881666.66666666663</v>
      </c>
      <c r="T409" s="24">
        <f t="shared" ref="T409:T411" si="513">S409-N409</f>
        <v>842984.66666666663</v>
      </c>
      <c r="U409" s="281">
        <f t="shared" ref="U409:U411" si="514">+T409/N409</f>
        <v>21.79268565913517</v>
      </c>
      <c r="V409" s="462">
        <f t="shared" ref="V409:V411" si="515">S409</f>
        <v>881666.66666666663</v>
      </c>
      <c r="W409" s="410"/>
      <c r="X409" s="33"/>
      <c r="Y409" s="31"/>
      <c r="Z409" s="472"/>
      <c r="AA409" s="76"/>
      <c r="AB409" s="24"/>
      <c r="AC409" s="25"/>
      <c r="AD409" s="309"/>
      <c r="AE409" s="462"/>
      <c r="AF409" s="410">
        <v>54060</v>
      </c>
      <c r="AG409" s="45"/>
      <c r="AH409" s="45">
        <v>50706</v>
      </c>
      <c r="AI409" s="45">
        <v>95000</v>
      </c>
      <c r="AJ409" s="76">
        <f t="shared" si="500"/>
        <v>72853</v>
      </c>
      <c r="AK409" s="24">
        <f t="shared" si="501"/>
        <v>18793</v>
      </c>
      <c r="AL409" s="281">
        <f t="shared" si="502"/>
        <v>0.34763226045135037</v>
      </c>
      <c r="AM409" s="462">
        <f t="shared" si="503"/>
        <v>72853</v>
      </c>
      <c r="AN409" s="513"/>
      <c r="AO409" s="88"/>
      <c r="AP409" s="116"/>
      <c r="AQ409" s="74"/>
      <c r="AR409" s="76"/>
      <c r="AS409" s="24"/>
      <c r="AT409" s="25"/>
      <c r="AU409" s="309"/>
      <c r="AV409" s="462"/>
      <c r="AW409" s="513"/>
      <c r="AX409" s="74"/>
      <c r="AY409" s="74"/>
      <c r="AZ409" s="75"/>
      <c r="BA409" s="61"/>
      <c r="BB409" s="60"/>
      <c r="BC409" s="74"/>
      <c r="BD409" s="79"/>
      <c r="BE409" s="79"/>
      <c r="BF409" s="127"/>
      <c r="BG409" s="128"/>
      <c r="BH409" s="128"/>
      <c r="BI409" s="76"/>
      <c r="BJ409" s="24"/>
      <c r="BK409" s="25"/>
      <c r="BL409" s="259"/>
      <c r="BM409" s="533"/>
    </row>
    <row r="410" spans="1:65" ht="63.95" customHeight="1">
      <c r="A410" s="91"/>
      <c r="B410" s="358" t="s">
        <v>2601</v>
      </c>
      <c r="C410" s="51" t="s">
        <v>1649</v>
      </c>
      <c r="D410" s="177" t="s">
        <v>970</v>
      </c>
      <c r="E410" s="385" t="s">
        <v>13</v>
      </c>
      <c r="F410" s="410">
        <v>30814</v>
      </c>
      <c r="G410" s="10"/>
      <c r="H410" s="167">
        <v>72000</v>
      </c>
      <c r="I410" s="10">
        <v>178000</v>
      </c>
      <c r="J410" s="76">
        <f t="shared" si="508"/>
        <v>178000</v>
      </c>
      <c r="K410" s="24">
        <f t="shared" si="509"/>
        <v>147186</v>
      </c>
      <c r="L410" s="281">
        <f t="shared" si="510"/>
        <v>4.7765950541961448</v>
      </c>
      <c r="M410" s="431">
        <f t="shared" si="511"/>
        <v>72000</v>
      </c>
      <c r="N410" s="410">
        <v>27727</v>
      </c>
      <c r="O410" s="10"/>
      <c r="P410" s="10"/>
      <c r="Q410" s="268"/>
      <c r="R410" s="10">
        <v>1150000</v>
      </c>
      <c r="S410" s="76">
        <f t="shared" si="512"/>
        <v>1150000</v>
      </c>
      <c r="T410" s="24">
        <f t="shared" si="513"/>
        <v>1122273</v>
      </c>
      <c r="U410" s="281">
        <f t="shared" si="514"/>
        <v>40.475817794929128</v>
      </c>
      <c r="V410" s="462">
        <f t="shared" si="515"/>
        <v>1150000</v>
      </c>
      <c r="W410" s="410"/>
      <c r="X410" s="33"/>
      <c r="Y410" s="31"/>
      <c r="Z410" s="472"/>
      <c r="AA410" s="76"/>
      <c r="AB410" s="24"/>
      <c r="AC410" s="25"/>
      <c r="AD410" s="309"/>
      <c r="AE410" s="462"/>
      <c r="AF410" s="410">
        <v>30812</v>
      </c>
      <c r="AG410" s="45"/>
      <c r="AH410" s="45">
        <v>36352</v>
      </c>
      <c r="AI410" s="45">
        <v>98000</v>
      </c>
      <c r="AJ410" s="76">
        <f t="shared" si="500"/>
        <v>67176</v>
      </c>
      <c r="AK410" s="24">
        <f t="shared" si="501"/>
        <v>36364</v>
      </c>
      <c r="AL410" s="281">
        <f t="shared" si="502"/>
        <v>1.1801895365442037</v>
      </c>
      <c r="AM410" s="462">
        <f t="shared" si="503"/>
        <v>67176</v>
      </c>
      <c r="AN410" s="513"/>
      <c r="AO410" s="88"/>
      <c r="AP410" s="116"/>
      <c r="AQ410" s="74"/>
      <c r="AR410" s="76"/>
      <c r="AS410" s="24"/>
      <c r="AT410" s="25"/>
      <c r="AU410" s="309"/>
      <c r="AV410" s="462"/>
      <c r="AW410" s="513"/>
      <c r="AX410" s="74"/>
      <c r="AY410" s="74"/>
      <c r="AZ410" s="75"/>
      <c r="BA410" s="61"/>
      <c r="BB410" s="60"/>
      <c r="BC410" s="74"/>
      <c r="BD410" s="79"/>
      <c r="BE410" s="79"/>
      <c r="BF410" s="127"/>
      <c r="BG410" s="128"/>
      <c r="BH410" s="128"/>
      <c r="BI410" s="76"/>
      <c r="BJ410" s="24"/>
      <c r="BK410" s="25"/>
      <c r="BL410" s="259"/>
      <c r="BM410" s="533"/>
    </row>
    <row r="411" spans="1:65" ht="63.95" customHeight="1">
      <c r="A411" s="91"/>
      <c r="B411" s="358" t="s">
        <v>2602</v>
      </c>
      <c r="C411" s="51" t="s">
        <v>1650</v>
      </c>
      <c r="D411" s="177" t="s">
        <v>971</v>
      </c>
      <c r="E411" s="385" t="s">
        <v>13</v>
      </c>
      <c r="F411" s="410">
        <v>120469</v>
      </c>
      <c r="G411" s="10"/>
      <c r="H411" s="167">
        <v>71000</v>
      </c>
      <c r="I411" s="10">
        <v>178000</v>
      </c>
      <c r="J411" s="76">
        <f t="shared" si="508"/>
        <v>178000</v>
      </c>
      <c r="K411" s="24">
        <f t="shared" si="509"/>
        <v>57531</v>
      </c>
      <c r="L411" s="281">
        <f t="shared" si="510"/>
        <v>0.47755854203156001</v>
      </c>
      <c r="M411" s="431">
        <f t="shared" si="511"/>
        <v>71000</v>
      </c>
      <c r="N411" s="410">
        <v>108422</v>
      </c>
      <c r="O411" s="10"/>
      <c r="P411" s="10"/>
      <c r="Q411" s="268"/>
      <c r="R411" s="10">
        <v>1150000</v>
      </c>
      <c r="S411" s="76">
        <f t="shared" si="512"/>
        <v>1150000</v>
      </c>
      <c r="T411" s="24">
        <f t="shared" si="513"/>
        <v>1041578</v>
      </c>
      <c r="U411" s="281">
        <f t="shared" si="514"/>
        <v>9.6067034365719142</v>
      </c>
      <c r="V411" s="462">
        <f t="shared" si="515"/>
        <v>1150000</v>
      </c>
      <c r="W411" s="410"/>
      <c r="X411" s="33"/>
      <c r="Y411" s="31"/>
      <c r="Z411" s="472"/>
      <c r="AA411" s="76"/>
      <c r="AB411" s="24"/>
      <c r="AC411" s="25"/>
      <c r="AD411" s="309"/>
      <c r="AE411" s="462"/>
      <c r="AF411" s="410">
        <v>152505</v>
      </c>
      <c r="AG411" s="45"/>
      <c r="AH411" s="45">
        <v>142134</v>
      </c>
      <c r="AI411" s="45">
        <v>120000</v>
      </c>
      <c r="AJ411" s="76">
        <f t="shared" si="500"/>
        <v>131067</v>
      </c>
      <c r="AK411" s="24">
        <f t="shared" si="501"/>
        <v>-21438</v>
      </c>
      <c r="AL411" s="281">
        <f t="shared" si="502"/>
        <v>-0.14057244024786072</v>
      </c>
      <c r="AM411" s="462">
        <f t="shared" si="503"/>
        <v>131067</v>
      </c>
      <c r="AN411" s="513"/>
      <c r="AO411" s="88"/>
      <c r="AP411" s="116"/>
      <c r="AQ411" s="74"/>
      <c r="AR411" s="76"/>
      <c r="AS411" s="24"/>
      <c r="AT411" s="25"/>
      <c r="AU411" s="309"/>
      <c r="AV411" s="462"/>
      <c r="AW411" s="513"/>
      <c r="AX411" s="74"/>
      <c r="AY411" s="74"/>
      <c r="AZ411" s="75"/>
      <c r="BA411" s="61"/>
      <c r="BB411" s="60"/>
      <c r="BC411" s="74"/>
      <c r="BD411" s="79"/>
      <c r="BE411" s="79"/>
      <c r="BF411" s="127"/>
      <c r="BG411" s="128"/>
      <c r="BH411" s="128"/>
      <c r="BI411" s="76"/>
      <c r="BJ411" s="24"/>
      <c r="BK411" s="25"/>
      <c r="BL411" s="259"/>
      <c r="BM411" s="533"/>
    </row>
    <row r="412" spans="1:65" ht="50.1" customHeight="1">
      <c r="A412" s="91"/>
      <c r="B412" s="358" t="s">
        <v>2603</v>
      </c>
      <c r="C412" s="51" t="s">
        <v>1651</v>
      </c>
      <c r="D412" s="177" t="s">
        <v>972</v>
      </c>
      <c r="E412" s="385" t="s">
        <v>13</v>
      </c>
      <c r="F412" s="410">
        <v>37344</v>
      </c>
      <c r="G412" s="10"/>
      <c r="H412" s="167">
        <v>70000</v>
      </c>
      <c r="I412" s="10">
        <v>54000</v>
      </c>
      <c r="J412" s="76">
        <f t="shared" si="508"/>
        <v>54000</v>
      </c>
      <c r="K412" s="24">
        <f t="shared" si="509"/>
        <v>16656</v>
      </c>
      <c r="L412" s="281">
        <f t="shared" si="510"/>
        <v>0.44601542416452444</v>
      </c>
      <c r="M412" s="431">
        <f t="shared" si="511"/>
        <v>70000</v>
      </c>
      <c r="N412" s="443"/>
      <c r="O412" s="250"/>
      <c r="P412" s="250"/>
      <c r="Q412" s="250"/>
      <c r="R412" s="250"/>
      <c r="S412" s="250"/>
      <c r="T412" s="250"/>
      <c r="U412" s="250"/>
      <c r="V412" s="443"/>
      <c r="W412" s="410"/>
      <c r="X412" s="33"/>
      <c r="Y412" s="31"/>
      <c r="Z412" s="472"/>
      <c r="AA412" s="76"/>
      <c r="AB412" s="24"/>
      <c r="AC412" s="25"/>
      <c r="AD412" s="309"/>
      <c r="AE412" s="462"/>
      <c r="AF412" s="408"/>
      <c r="AG412" s="293"/>
      <c r="AH412" s="293"/>
      <c r="AI412" s="293"/>
      <c r="AJ412" s="293"/>
      <c r="AK412" s="293"/>
      <c r="AL412" s="327"/>
      <c r="AM412" s="463"/>
      <c r="AN412" s="513"/>
      <c r="AO412" s="88"/>
      <c r="AP412" s="116"/>
      <c r="AQ412" s="74"/>
      <c r="AR412" s="76"/>
      <c r="AS412" s="24"/>
      <c r="AT412" s="25"/>
      <c r="AU412" s="309"/>
      <c r="AV412" s="462"/>
      <c r="AW412" s="513"/>
      <c r="AX412" s="74"/>
      <c r="AY412" s="74"/>
      <c r="AZ412" s="75"/>
      <c r="BA412" s="61"/>
      <c r="BB412" s="60"/>
      <c r="BC412" s="74"/>
      <c r="BD412" s="79"/>
      <c r="BE412" s="79"/>
      <c r="BF412" s="127"/>
      <c r="BG412" s="128"/>
      <c r="BH412" s="128"/>
      <c r="BI412" s="76"/>
      <c r="BJ412" s="24"/>
      <c r="BK412" s="25"/>
      <c r="BL412" s="259"/>
      <c r="BM412" s="533"/>
    </row>
    <row r="413" spans="1:65" ht="50.1" customHeight="1">
      <c r="A413" s="91"/>
      <c r="B413" s="358" t="s">
        <v>2604</v>
      </c>
      <c r="C413" s="51" t="s">
        <v>1658</v>
      </c>
      <c r="D413" s="264" t="s">
        <v>1652</v>
      </c>
      <c r="E413" s="394" t="s">
        <v>1399</v>
      </c>
      <c r="F413" s="410"/>
      <c r="G413" s="10"/>
      <c r="H413" s="167"/>
      <c r="I413" s="10"/>
      <c r="J413" s="76"/>
      <c r="K413" s="24"/>
      <c r="L413" s="281"/>
      <c r="M413" s="431"/>
      <c r="N413" s="410">
        <v>36451</v>
      </c>
      <c r="O413" s="10">
        <v>1350000</v>
      </c>
      <c r="P413" s="10"/>
      <c r="Q413" s="268">
        <v>1400000</v>
      </c>
      <c r="R413" s="10">
        <v>1400000</v>
      </c>
      <c r="S413" s="76">
        <f t="shared" ref="S413:S414" si="516">AVERAGE(O413,P413,Q413,R413)</f>
        <v>1383333.3333333333</v>
      </c>
      <c r="T413" s="24">
        <f t="shared" ref="T413:T414" si="517">S413-N413</f>
        <v>1346882.3333333333</v>
      </c>
      <c r="U413" s="281">
        <f t="shared" ref="U413:U418" si="518">+T413/N413</f>
        <v>36.950490612969006</v>
      </c>
      <c r="V413" s="462">
        <f t="shared" ref="V413:V414" si="519">S413</f>
        <v>1383333.3333333333</v>
      </c>
      <c r="W413" s="410"/>
      <c r="X413" s="33"/>
      <c r="Y413" s="31"/>
      <c r="Z413" s="472"/>
      <c r="AA413" s="76"/>
      <c r="AB413" s="24"/>
      <c r="AC413" s="25"/>
      <c r="AD413" s="309"/>
      <c r="AE413" s="462"/>
      <c r="AF413" s="408"/>
      <c r="AG413" s="293"/>
      <c r="AH413" s="293"/>
      <c r="AI413" s="293"/>
      <c r="AJ413" s="293"/>
      <c r="AK413" s="293"/>
      <c r="AL413" s="327"/>
      <c r="AM413" s="463"/>
      <c r="AN413" s="513"/>
      <c r="AO413" s="88"/>
      <c r="AP413" s="116"/>
      <c r="AQ413" s="74"/>
      <c r="AR413" s="76"/>
      <c r="AS413" s="24"/>
      <c r="AT413" s="25"/>
      <c r="AU413" s="309"/>
      <c r="AV413" s="462"/>
      <c r="AW413" s="513"/>
      <c r="AX413" s="74"/>
      <c r="AY413" s="74"/>
      <c r="AZ413" s="75"/>
      <c r="BA413" s="61"/>
      <c r="BB413" s="60"/>
      <c r="BC413" s="74"/>
      <c r="BD413" s="79"/>
      <c r="BE413" s="79"/>
      <c r="BF413" s="127"/>
      <c r="BG413" s="128"/>
      <c r="BH413" s="128"/>
      <c r="BI413" s="76"/>
      <c r="BJ413" s="24"/>
      <c r="BK413" s="25"/>
      <c r="BL413" s="259"/>
      <c r="BM413" s="533"/>
    </row>
    <row r="414" spans="1:65" ht="69" customHeight="1">
      <c r="A414" s="91"/>
      <c r="B414" s="358" t="s">
        <v>2605</v>
      </c>
      <c r="C414" s="51" t="s">
        <v>1659</v>
      </c>
      <c r="D414" s="264" t="s">
        <v>1653</v>
      </c>
      <c r="E414" s="394" t="s">
        <v>1399</v>
      </c>
      <c r="F414" s="410"/>
      <c r="G414" s="10"/>
      <c r="H414" s="167"/>
      <c r="I414" s="10"/>
      <c r="J414" s="76"/>
      <c r="K414" s="24"/>
      <c r="L414" s="281"/>
      <c r="M414" s="431"/>
      <c r="N414" s="410">
        <v>48810</v>
      </c>
      <c r="O414" s="10">
        <v>950000</v>
      </c>
      <c r="P414" s="10"/>
      <c r="Q414" s="268">
        <v>1020000</v>
      </c>
      <c r="R414" s="10">
        <v>1150000</v>
      </c>
      <c r="S414" s="76">
        <f t="shared" si="516"/>
        <v>1040000</v>
      </c>
      <c r="T414" s="24">
        <f t="shared" si="517"/>
        <v>991190</v>
      </c>
      <c r="U414" s="281">
        <f t="shared" si="518"/>
        <v>20.307109198934644</v>
      </c>
      <c r="V414" s="462">
        <f t="shared" si="519"/>
        <v>1040000</v>
      </c>
      <c r="W414" s="410"/>
      <c r="X414" s="33"/>
      <c r="Y414" s="31"/>
      <c r="Z414" s="472"/>
      <c r="AA414" s="76"/>
      <c r="AB414" s="24"/>
      <c r="AC414" s="25"/>
      <c r="AD414" s="309"/>
      <c r="AE414" s="462"/>
      <c r="AF414" s="408"/>
      <c r="AG414" s="293"/>
      <c r="AH414" s="293"/>
      <c r="AI414" s="293"/>
      <c r="AJ414" s="293"/>
      <c r="AK414" s="293"/>
      <c r="AL414" s="327"/>
      <c r="AM414" s="463"/>
      <c r="AN414" s="513"/>
      <c r="AO414" s="88"/>
      <c r="AP414" s="116"/>
      <c r="AQ414" s="74"/>
      <c r="AR414" s="76"/>
      <c r="AS414" s="24"/>
      <c r="AT414" s="25"/>
      <c r="AU414" s="309"/>
      <c r="AV414" s="462"/>
      <c r="AW414" s="513"/>
      <c r="AX414" s="74"/>
      <c r="AY414" s="74"/>
      <c r="AZ414" s="75"/>
      <c r="BA414" s="61"/>
      <c r="BB414" s="60"/>
      <c r="BC414" s="74"/>
      <c r="BD414" s="79"/>
      <c r="BE414" s="79"/>
      <c r="BF414" s="127"/>
      <c r="BG414" s="128"/>
      <c r="BH414" s="128"/>
      <c r="BI414" s="76"/>
      <c r="BJ414" s="24"/>
      <c r="BK414" s="25"/>
      <c r="BL414" s="259"/>
      <c r="BM414" s="533"/>
    </row>
    <row r="415" spans="1:65" ht="44.1" customHeight="1">
      <c r="A415" s="91"/>
      <c r="B415" s="358" t="s">
        <v>2606</v>
      </c>
      <c r="C415" s="51" t="s">
        <v>1660</v>
      </c>
      <c r="D415" s="264" t="s">
        <v>1654</v>
      </c>
      <c r="E415" s="394" t="s">
        <v>1399</v>
      </c>
      <c r="F415" s="410"/>
      <c r="G415" s="10"/>
      <c r="H415" s="167"/>
      <c r="I415" s="10"/>
      <c r="J415" s="76"/>
      <c r="K415" s="24"/>
      <c r="L415" s="281"/>
      <c r="M415" s="431"/>
      <c r="N415" s="410">
        <v>33945</v>
      </c>
      <c r="O415" s="10"/>
      <c r="P415" s="10"/>
      <c r="Q415" s="268"/>
      <c r="R415" s="10"/>
      <c r="S415" s="76"/>
      <c r="T415" s="24"/>
      <c r="U415" s="281">
        <f t="shared" si="518"/>
        <v>0</v>
      </c>
      <c r="V415" s="462" t="s">
        <v>894</v>
      </c>
      <c r="W415" s="410"/>
      <c r="X415" s="33"/>
      <c r="Y415" s="31"/>
      <c r="Z415" s="472"/>
      <c r="AA415" s="76"/>
      <c r="AB415" s="24"/>
      <c r="AC415" s="25"/>
      <c r="AD415" s="309"/>
      <c r="AE415" s="462"/>
      <c r="AF415" s="408"/>
      <c r="AG415" s="293"/>
      <c r="AH415" s="293"/>
      <c r="AI415" s="293"/>
      <c r="AJ415" s="293"/>
      <c r="AK415" s="293"/>
      <c r="AL415" s="327"/>
      <c r="AM415" s="463"/>
      <c r="AN415" s="513"/>
      <c r="AO415" s="88"/>
      <c r="AP415" s="116"/>
      <c r="AQ415" s="74"/>
      <c r="AR415" s="76"/>
      <c r="AS415" s="24"/>
      <c r="AT415" s="25"/>
      <c r="AU415" s="309"/>
      <c r="AV415" s="462"/>
      <c r="AW415" s="513"/>
      <c r="AX415" s="74"/>
      <c r="AY415" s="74"/>
      <c r="AZ415" s="75"/>
      <c r="BA415" s="61"/>
      <c r="BB415" s="60"/>
      <c r="BC415" s="74"/>
      <c r="BD415" s="79"/>
      <c r="BE415" s="79"/>
      <c r="BF415" s="127"/>
      <c r="BG415" s="128"/>
      <c r="BH415" s="128"/>
      <c r="BI415" s="76"/>
      <c r="BJ415" s="24"/>
      <c r="BK415" s="25"/>
      <c r="BL415" s="259"/>
      <c r="BM415" s="533"/>
    </row>
    <row r="416" spans="1:65" ht="39.950000000000003" customHeight="1">
      <c r="A416" s="91"/>
      <c r="B416" s="358" t="s">
        <v>2607</v>
      </c>
      <c r="C416" s="51" t="s">
        <v>1661</v>
      </c>
      <c r="D416" s="264" t="s">
        <v>1655</v>
      </c>
      <c r="E416" s="393" t="s">
        <v>1457</v>
      </c>
      <c r="F416" s="410"/>
      <c r="G416" s="10"/>
      <c r="H416" s="167"/>
      <c r="I416" s="10"/>
      <c r="J416" s="76"/>
      <c r="K416" s="24"/>
      <c r="L416" s="281"/>
      <c r="M416" s="431"/>
      <c r="N416" s="410">
        <v>15463</v>
      </c>
      <c r="O416" s="10"/>
      <c r="P416" s="10"/>
      <c r="Q416" s="268"/>
      <c r="R416" s="10">
        <v>30000</v>
      </c>
      <c r="S416" s="76">
        <f t="shared" ref="S416:S418" si="520">AVERAGE(O416,P416,Q416,R416)</f>
        <v>30000</v>
      </c>
      <c r="T416" s="24">
        <f t="shared" ref="T416:T418" si="521">S416-N416</f>
        <v>14537</v>
      </c>
      <c r="U416" s="281">
        <f t="shared" si="518"/>
        <v>0.94011511349673416</v>
      </c>
      <c r="V416" s="462">
        <f t="shared" ref="V416:V418" si="522">S416</f>
        <v>30000</v>
      </c>
      <c r="W416" s="410"/>
      <c r="X416" s="33"/>
      <c r="Y416" s="31"/>
      <c r="Z416" s="472"/>
      <c r="AA416" s="76"/>
      <c r="AB416" s="24"/>
      <c r="AC416" s="25"/>
      <c r="AD416" s="309"/>
      <c r="AE416" s="462"/>
      <c r="AF416" s="408"/>
      <c r="AG416" s="293"/>
      <c r="AH416" s="293"/>
      <c r="AI416" s="293"/>
      <c r="AJ416" s="293"/>
      <c r="AK416" s="293"/>
      <c r="AL416" s="327"/>
      <c r="AM416" s="463"/>
      <c r="AN416" s="513"/>
      <c r="AO416" s="88"/>
      <c r="AP416" s="116"/>
      <c r="AQ416" s="74"/>
      <c r="AR416" s="76"/>
      <c r="AS416" s="24"/>
      <c r="AT416" s="25"/>
      <c r="AU416" s="309"/>
      <c r="AV416" s="462"/>
      <c r="AW416" s="513"/>
      <c r="AX416" s="74"/>
      <c r="AY416" s="74"/>
      <c r="AZ416" s="75"/>
      <c r="BA416" s="61"/>
      <c r="BB416" s="60"/>
      <c r="BC416" s="74"/>
      <c r="BD416" s="79"/>
      <c r="BE416" s="79"/>
      <c r="BF416" s="127"/>
      <c r="BG416" s="128"/>
      <c r="BH416" s="128"/>
      <c r="BI416" s="76"/>
      <c r="BJ416" s="24"/>
      <c r="BK416" s="25"/>
      <c r="BL416" s="259"/>
      <c r="BM416" s="533"/>
    </row>
    <row r="417" spans="1:65" ht="50.1" customHeight="1">
      <c r="A417" s="91"/>
      <c r="B417" s="358" t="s">
        <v>2608</v>
      </c>
      <c r="C417" s="51" t="s">
        <v>1662</v>
      </c>
      <c r="D417" s="264" t="s">
        <v>1656</v>
      </c>
      <c r="E417" s="394" t="s">
        <v>1399</v>
      </c>
      <c r="F417" s="410"/>
      <c r="G417" s="10"/>
      <c r="H417" s="167"/>
      <c r="I417" s="10"/>
      <c r="J417" s="76"/>
      <c r="K417" s="24"/>
      <c r="L417" s="281"/>
      <c r="M417" s="431"/>
      <c r="N417" s="410">
        <v>45468</v>
      </c>
      <c r="O417" s="10"/>
      <c r="P417" s="10"/>
      <c r="Q417" s="268"/>
      <c r="R417" s="10">
        <v>30000</v>
      </c>
      <c r="S417" s="76">
        <f t="shared" si="520"/>
        <v>30000</v>
      </c>
      <c r="T417" s="24">
        <f t="shared" si="521"/>
        <v>-15468</v>
      </c>
      <c r="U417" s="281">
        <f t="shared" si="518"/>
        <v>-0.34019530219055161</v>
      </c>
      <c r="V417" s="462">
        <f t="shared" si="522"/>
        <v>30000</v>
      </c>
      <c r="W417" s="410"/>
      <c r="X417" s="33"/>
      <c r="Y417" s="31"/>
      <c r="Z417" s="472"/>
      <c r="AA417" s="76"/>
      <c r="AB417" s="24"/>
      <c r="AC417" s="25"/>
      <c r="AD417" s="309"/>
      <c r="AE417" s="462"/>
      <c r="AF417" s="408"/>
      <c r="AG417" s="293"/>
      <c r="AH417" s="293"/>
      <c r="AI417" s="293"/>
      <c r="AJ417" s="293"/>
      <c r="AK417" s="293"/>
      <c r="AL417" s="327"/>
      <c r="AM417" s="463"/>
      <c r="AN417" s="513"/>
      <c r="AO417" s="88"/>
      <c r="AP417" s="116"/>
      <c r="AQ417" s="74"/>
      <c r="AR417" s="76"/>
      <c r="AS417" s="24"/>
      <c r="AT417" s="25"/>
      <c r="AU417" s="309"/>
      <c r="AV417" s="462"/>
      <c r="AW417" s="513"/>
      <c r="AX417" s="74"/>
      <c r="AY417" s="74"/>
      <c r="AZ417" s="75"/>
      <c r="BA417" s="61"/>
      <c r="BB417" s="60"/>
      <c r="BC417" s="74"/>
      <c r="BD417" s="79"/>
      <c r="BE417" s="79"/>
      <c r="BF417" s="127"/>
      <c r="BG417" s="128"/>
      <c r="BH417" s="128"/>
      <c r="BI417" s="76"/>
      <c r="BJ417" s="24"/>
      <c r="BK417" s="25"/>
      <c r="BL417" s="259"/>
      <c r="BM417" s="533"/>
    </row>
    <row r="418" spans="1:65">
      <c r="A418" s="91"/>
      <c r="B418" s="358" t="s">
        <v>2609</v>
      </c>
      <c r="C418" s="51" t="s">
        <v>1663</v>
      </c>
      <c r="D418" s="264" t="s">
        <v>1657</v>
      </c>
      <c r="E418" s="394" t="s">
        <v>1466</v>
      </c>
      <c r="F418" s="410"/>
      <c r="G418" s="10"/>
      <c r="H418" s="167"/>
      <c r="I418" s="10"/>
      <c r="J418" s="76"/>
      <c r="K418" s="24"/>
      <c r="L418" s="281"/>
      <c r="M418" s="431"/>
      <c r="N418" s="410">
        <v>124620</v>
      </c>
      <c r="O418" s="10">
        <v>55000</v>
      </c>
      <c r="P418" s="10"/>
      <c r="Q418" s="268">
        <v>65000</v>
      </c>
      <c r="R418" s="10">
        <v>60000</v>
      </c>
      <c r="S418" s="76">
        <f t="shared" si="520"/>
        <v>60000</v>
      </c>
      <c r="T418" s="24">
        <f t="shared" si="521"/>
        <v>-64620</v>
      </c>
      <c r="U418" s="281">
        <f t="shared" si="518"/>
        <v>-0.51853635050553681</v>
      </c>
      <c r="V418" s="462">
        <f t="shared" si="522"/>
        <v>60000</v>
      </c>
      <c r="W418" s="410"/>
      <c r="X418" s="33"/>
      <c r="Y418" s="31"/>
      <c r="Z418" s="472"/>
      <c r="AA418" s="76"/>
      <c r="AB418" s="24"/>
      <c r="AC418" s="25"/>
      <c r="AD418" s="309"/>
      <c r="AE418" s="462"/>
      <c r="AF418" s="408"/>
      <c r="AG418" s="293"/>
      <c r="AH418" s="293"/>
      <c r="AI418" s="293"/>
      <c r="AJ418" s="293"/>
      <c r="AK418" s="293"/>
      <c r="AL418" s="327"/>
      <c r="AM418" s="463"/>
      <c r="AN418" s="513"/>
      <c r="AO418" s="88"/>
      <c r="AP418" s="116"/>
      <c r="AQ418" s="74"/>
      <c r="AR418" s="76"/>
      <c r="AS418" s="24"/>
      <c r="AT418" s="25"/>
      <c r="AU418" s="309"/>
      <c r="AV418" s="462"/>
      <c r="AW418" s="513"/>
      <c r="AX418" s="74"/>
      <c r="AY418" s="74"/>
      <c r="AZ418" s="75"/>
      <c r="BA418" s="61"/>
      <c r="BB418" s="60"/>
      <c r="BC418" s="74"/>
      <c r="BD418" s="79"/>
      <c r="BE418" s="79"/>
      <c r="BF418" s="127"/>
      <c r="BG418" s="128"/>
      <c r="BH418" s="128"/>
      <c r="BI418" s="76"/>
      <c r="BJ418" s="24"/>
      <c r="BK418" s="25"/>
      <c r="BL418" s="259"/>
      <c r="BM418" s="533"/>
    </row>
    <row r="419" spans="1:65" ht="32.450000000000003" customHeight="1">
      <c r="A419" s="91" t="s">
        <v>27</v>
      </c>
      <c r="B419" s="358" t="s">
        <v>2610</v>
      </c>
      <c r="C419" s="252" t="s">
        <v>756</v>
      </c>
      <c r="D419" s="100" t="s">
        <v>27</v>
      </c>
      <c r="E419" s="91"/>
      <c r="F419" s="411"/>
      <c r="G419" s="173"/>
      <c r="H419" s="174"/>
      <c r="I419" s="173"/>
      <c r="J419" s="76"/>
      <c r="K419" s="24"/>
      <c r="L419" s="281"/>
      <c r="M419" s="431"/>
      <c r="N419" s="411"/>
      <c r="O419" s="173"/>
      <c r="P419" s="173"/>
      <c r="Q419" s="274"/>
      <c r="R419" s="266"/>
      <c r="S419" s="76"/>
      <c r="T419" s="24"/>
      <c r="U419" s="281"/>
      <c r="V419" s="462"/>
      <c r="W419" s="413"/>
      <c r="X419" s="47"/>
      <c r="Y419" s="47"/>
      <c r="Z419" s="47"/>
      <c r="AA419" s="47"/>
      <c r="AB419" s="47"/>
      <c r="AC419" s="47"/>
      <c r="AD419" s="91"/>
      <c r="AE419" s="467"/>
      <c r="AF419" s="501"/>
      <c r="AG419" s="324"/>
      <c r="AH419" s="324"/>
      <c r="AI419" s="323"/>
      <c r="AJ419" s="76"/>
      <c r="AK419" s="24"/>
      <c r="AL419" s="281"/>
      <c r="AM419" s="462"/>
      <c r="AN419" s="413"/>
      <c r="AO419" s="47"/>
      <c r="AP419" s="47"/>
      <c r="AQ419" s="47"/>
      <c r="AR419" s="47"/>
      <c r="AS419" s="47"/>
      <c r="AT419" s="47"/>
      <c r="AU419" s="91"/>
      <c r="AV419" s="467"/>
      <c r="AW419" s="413"/>
      <c r="AX419" s="47"/>
      <c r="AY419" s="47"/>
      <c r="AZ419" s="47"/>
      <c r="BA419" s="47"/>
      <c r="BB419" s="47"/>
      <c r="BC419" s="47"/>
      <c r="BD419" s="148"/>
      <c r="BE419" s="148"/>
      <c r="BF419" s="149"/>
      <c r="BG419" s="148"/>
      <c r="BH419" s="148"/>
      <c r="BI419" s="47"/>
      <c r="BJ419" s="47"/>
      <c r="BK419" s="47"/>
      <c r="BL419" s="414"/>
      <c r="BM419" s="457"/>
    </row>
    <row r="420" spans="1:65" ht="45.6" customHeight="1">
      <c r="A420" s="91" t="s">
        <v>27</v>
      </c>
      <c r="B420" s="358" t="s">
        <v>2611</v>
      </c>
      <c r="C420" s="50" t="s">
        <v>226</v>
      </c>
      <c r="D420" s="99" t="s">
        <v>566</v>
      </c>
      <c r="E420" s="391" t="s">
        <v>13</v>
      </c>
      <c r="F420" s="410">
        <v>38711</v>
      </c>
      <c r="G420" s="10">
        <v>72800</v>
      </c>
      <c r="H420" s="167">
        <v>145600</v>
      </c>
      <c r="I420" s="10">
        <v>68500</v>
      </c>
      <c r="J420" s="76">
        <f t="shared" ref="J420:J430" si="523">AVERAGE(G420,I420)</f>
        <v>70650</v>
      </c>
      <c r="K420" s="24">
        <f t="shared" ref="K420:K430" si="524">J420-F420</f>
        <v>31939</v>
      </c>
      <c r="L420" s="281">
        <f t="shared" ref="L420:L430" si="525">+K420/F420</f>
        <v>0.82506264369300719</v>
      </c>
      <c r="M420" s="431">
        <f t="shared" ref="M420:M430" si="526">H420</f>
        <v>145600</v>
      </c>
      <c r="N420" s="410">
        <v>34837</v>
      </c>
      <c r="O420" s="10">
        <v>95000</v>
      </c>
      <c r="P420" s="10">
        <v>105000</v>
      </c>
      <c r="Q420" s="268">
        <v>100000</v>
      </c>
      <c r="R420" s="10">
        <v>120000</v>
      </c>
      <c r="S420" s="76">
        <f t="shared" ref="S420:S421" si="527">AVERAGE(O420,P420,Q420,R420)</f>
        <v>105000</v>
      </c>
      <c r="T420" s="24">
        <f t="shared" ref="T420:T421" si="528">S420-N420</f>
        <v>70163</v>
      </c>
      <c r="U420" s="281">
        <f t="shared" ref="U420:U421" si="529">+T420/N420</f>
        <v>2.0140367999540718</v>
      </c>
      <c r="V420" s="462">
        <f t="shared" ref="V420:V421" si="530">S420</f>
        <v>105000</v>
      </c>
      <c r="W420" s="410">
        <v>72380</v>
      </c>
      <c r="X420" s="31">
        <v>94136</v>
      </c>
      <c r="Y420" s="31">
        <v>122376</v>
      </c>
      <c r="Z420" s="472">
        <v>82281.399999999994</v>
      </c>
      <c r="AA420" s="76">
        <f t="shared" ref="AA420:AA431" si="531">AVERAGE(X420,Y420,Z420)</f>
        <v>99597.8</v>
      </c>
      <c r="AB420" s="24">
        <f t="shared" ref="AB420:AB431" si="532">AA420-W420</f>
        <v>27217.800000000003</v>
      </c>
      <c r="AC420" s="25">
        <f t="shared" ref="AC420:AC431" si="533">+AB420/W420</f>
        <v>0.37604034263608738</v>
      </c>
      <c r="AD420" s="309" t="str">
        <f t="shared" ref="AD420:AD431" si="534">+IF(AC420&lt;35%,AA420,"REVISAR PRECIO")</f>
        <v>REVISAR PRECIO</v>
      </c>
      <c r="AE420" s="462">
        <f t="shared" ref="AE420:AE431" si="535">AA420</f>
        <v>99597.8</v>
      </c>
      <c r="AF420" s="410">
        <v>38710</v>
      </c>
      <c r="AG420" s="45">
        <v>75000</v>
      </c>
      <c r="AH420" s="45">
        <v>72800</v>
      </c>
      <c r="AI420" s="45">
        <v>78000</v>
      </c>
      <c r="AJ420" s="76">
        <f t="shared" ref="AJ420:AJ430" si="536">AVERAGE(AG420,AH420,AI420)</f>
        <v>75266.666666666672</v>
      </c>
      <c r="AK420" s="24">
        <f t="shared" ref="AK420:AK430" si="537">AJ420-AF420</f>
        <v>36556.666666666672</v>
      </c>
      <c r="AL420" s="281">
        <f t="shared" ref="AL420:AL430" si="538">+AK420/AF420</f>
        <v>0.94437268578317413</v>
      </c>
      <c r="AM420" s="462">
        <f t="shared" ref="AM420:AM430" si="539">AJ420</f>
        <v>75266.666666666672</v>
      </c>
      <c r="AN420" s="513">
        <v>38710</v>
      </c>
      <c r="AO420" s="88">
        <v>91000</v>
      </c>
      <c r="AP420" s="116">
        <v>95000</v>
      </c>
      <c r="AQ420" s="74">
        <v>80080</v>
      </c>
      <c r="AR420" s="76">
        <f t="shared" ref="AR420:AR431" si="540">AVERAGE(AO420,AP420,AQ420)</f>
        <v>88693.333333333328</v>
      </c>
      <c r="AS420" s="24">
        <f t="shared" ref="AS420:AS431" si="541">AR420-AN420</f>
        <v>49983.333333333328</v>
      </c>
      <c r="AT420" s="25">
        <f t="shared" ref="AT420:AT431" si="542">+AS420/AN420</f>
        <v>1.2912253508998535</v>
      </c>
      <c r="AU420" s="309" t="str">
        <f t="shared" ref="AU420:AU431" si="543">+IF(AT420&lt;35%,AR420,"REVISAR PRECIO")</f>
        <v>REVISAR PRECIO</v>
      </c>
      <c r="AV420" s="462">
        <f t="shared" ref="AV420:AV431" si="544">AR420</f>
        <v>88693.333333333328</v>
      </c>
      <c r="AW420" s="513">
        <v>38710</v>
      </c>
      <c r="AX420" s="74">
        <v>83720</v>
      </c>
      <c r="AY420" s="74">
        <v>80000</v>
      </c>
      <c r="AZ420" s="75">
        <v>96460</v>
      </c>
      <c r="BA420" s="61">
        <v>102809.99999999999</v>
      </c>
      <c r="BB420" s="60">
        <v>70000</v>
      </c>
      <c r="BC420" s="74">
        <v>118231.49999999997</v>
      </c>
      <c r="BD420" s="79">
        <v>96460</v>
      </c>
      <c r="BE420" s="79">
        <f>(56500*1.2)+5000</f>
        <v>72800</v>
      </c>
      <c r="BF420" s="127">
        <v>87360</v>
      </c>
      <c r="BG420" s="128">
        <v>85000</v>
      </c>
      <c r="BH420" s="128">
        <v>81000</v>
      </c>
      <c r="BI420" s="76">
        <f t="shared" ref="BI420:BI431" si="545">AVERAGE(AX420,AY420,AZ420,BA420,BB420,BC420)</f>
        <v>91870.25</v>
      </c>
      <c r="BJ420" s="24">
        <f t="shared" ref="BJ420:BJ431" si="546">BI420-AW420</f>
        <v>53160.25</v>
      </c>
      <c r="BK420" s="25">
        <f t="shared" ref="BK420:BK431" si="547">+BJ420/AW420</f>
        <v>1.373295014208215</v>
      </c>
      <c r="BL420" s="259" t="str">
        <f t="shared" ref="BL420:BL431" si="548">+IF(BK420&lt;35%,BI420,"REVISAR PRECIO")</f>
        <v>REVISAR PRECIO</v>
      </c>
      <c r="BM420" s="533">
        <f t="shared" ref="BM420:BM431" si="549">BI420</f>
        <v>91870.25</v>
      </c>
    </row>
    <row r="421" spans="1:65" ht="45.6" customHeight="1">
      <c r="A421" s="91" t="s">
        <v>27</v>
      </c>
      <c r="B421" s="358" t="s">
        <v>2612</v>
      </c>
      <c r="C421" s="50" t="s">
        <v>227</v>
      </c>
      <c r="D421" s="99" t="s">
        <v>567</v>
      </c>
      <c r="E421" s="391" t="s">
        <v>13</v>
      </c>
      <c r="F421" s="410">
        <v>52807</v>
      </c>
      <c r="G421" s="10">
        <v>67500</v>
      </c>
      <c r="H421" s="167">
        <v>135000</v>
      </c>
      <c r="I421" s="10">
        <v>65400</v>
      </c>
      <c r="J421" s="76">
        <f t="shared" si="523"/>
        <v>66450</v>
      </c>
      <c r="K421" s="24">
        <f t="shared" si="524"/>
        <v>13643</v>
      </c>
      <c r="L421" s="281">
        <f t="shared" si="525"/>
        <v>0.2583558997860132</v>
      </c>
      <c r="M421" s="431">
        <f t="shared" si="526"/>
        <v>135000</v>
      </c>
      <c r="N421" s="410">
        <v>45886</v>
      </c>
      <c r="O421" s="10">
        <v>115000</v>
      </c>
      <c r="P421" s="10">
        <v>130000</v>
      </c>
      <c r="Q421" s="268">
        <v>125000</v>
      </c>
      <c r="R421" s="10">
        <v>120000</v>
      </c>
      <c r="S421" s="76">
        <f t="shared" si="527"/>
        <v>122500</v>
      </c>
      <c r="T421" s="24">
        <f t="shared" si="528"/>
        <v>76614</v>
      </c>
      <c r="U421" s="281">
        <f t="shared" si="529"/>
        <v>1.6696595911607026</v>
      </c>
      <c r="V421" s="462">
        <f t="shared" si="530"/>
        <v>122500</v>
      </c>
      <c r="W421" s="410">
        <v>115976</v>
      </c>
      <c r="X421" s="31">
        <v>150836</v>
      </c>
      <c r="Y421" s="31">
        <v>196086</v>
      </c>
      <c r="Z421" s="472">
        <v>131841.4</v>
      </c>
      <c r="AA421" s="76">
        <f t="shared" si="531"/>
        <v>159587.80000000002</v>
      </c>
      <c r="AB421" s="24">
        <f t="shared" si="532"/>
        <v>43611.800000000017</v>
      </c>
      <c r="AC421" s="25">
        <f t="shared" si="533"/>
        <v>0.37604159481272004</v>
      </c>
      <c r="AD421" s="309" t="str">
        <f t="shared" si="534"/>
        <v>REVISAR PRECIO</v>
      </c>
      <c r="AE421" s="462">
        <f t="shared" si="535"/>
        <v>159587.80000000002</v>
      </c>
      <c r="AF421" s="410">
        <v>50984</v>
      </c>
      <c r="AG421" s="45">
        <v>98000</v>
      </c>
      <c r="AH421" s="45">
        <v>62301</v>
      </c>
      <c r="AI421" s="45">
        <v>76000</v>
      </c>
      <c r="AJ421" s="76">
        <f t="shared" si="536"/>
        <v>78767</v>
      </c>
      <c r="AK421" s="24">
        <f t="shared" si="537"/>
        <v>27783</v>
      </c>
      <c r="AL421" s="281">
        <f t="shared" si="538"/>
        <v>0.54493566609132271</v>
      </c>
      <c r="AM421" s="462">
        <f t="shared" si="539"/>
        <v>78767</v>
      </c>
      <c r="AN421" s="513">
        <v>53300</v>
      </c>
      <c r="AO421" s="88">
        <v>110000</v>
      </c>
      <c r="AP421" s="116">
        <v>110000</v>
      </c>
      <c r="AQ421" s="74">
        <v>74250</v>
      </c>
      <c r="AR421" s="76">
        <f t="shared" si="540"/>
        <v>98083.333333333328</v>
      </c>
      <c r="AS421" s="24">
        <f t="shared" si="541"/>
        <v>44783.333333333328</v>
      </c>
      <c r="AT421" s="25">
        <f t="shared" si="542"/>
        <v>0.84021263289555959</v>
      </c>
      <c r="AU421" s="309" t="str">
        <f t="shared" si="543"/>
        <v>REVISAR PRECIO</v>
      </c>
      <c r="AV421" s="462">
        <f t="shared" si="544"/>
        <v>98083.333333333328</v>
      </c>
      <c r="AW421" s="513">
        <v>53300</v>
      </c>
      <c r="AX421" s="74">
        <v>77625</v>
      </c>
      <c r="AY421" s="74">
        <v>140000</v>
      </c>
      <c r="AZ421" s="75">
        <v>89437.5</v>
      </c>
      <c r="BA421" s="61">
        <v>119599.99999999999</v>
      </c>
      <c r="BB421" s="60">
        <v>120000</v>
      </c>
      <c r="BC421" s="74">
        <v>137539.99999999997</v>
      </c>
      <c r="BD421" s="79">
        <v>89437.5</v>
      </c>
      <c r="BE421" s="79">
        <v>67500</v>
      </c>
      <c r="BF421" s="127">
        <v>81000</v>
      </c>
      <c r="BG421" s="128">
        <v>66500</v>
      </c>
      <c r="BH421" s="128">
        <v>70000</v>
      </c>
      <c r="BI421" s="76">
        <f t="shared" si="545"/>
        <v>114033.75</v>
      </c>
      <c r="BJ421" s="24">
        <f t="shared" si="546"/>
        <v>60733.75</v>
      </c>
      <c r="BK421" s="25">
        <f t="shared" si="547"/>
        <v>1.1394699812382738</v>
      </c>
      <c r="BL421" s="259" t="str">
        <f t="shared" si="548"/>
        <v>REVISAR PRECIO</v>
      </c>
      <c r="BM421" s="533">
        <f t="shared" si="549"/>
        <v>114033.75</v>
      </c>
    </row>
    <row r="422" spans="1:65" ht="54" customHeight="1">
      <c r="A422" s="91" t="s">
        <v>27</v>
      </c>
      <c r="B422" s="358" t="s">
        <v>2613</v>
      </c>
      <c r="C422" s="50" t="s">
        <v>228</v>
      </c>
      <c r="D422" s="99" t="s">
        <v>568</v>
      </c>
      <c r="E422" s="391" t="s">
        <v>13</v>
      </c>
      <c r="F422" s="410">
        <v>39139</v>
      </c>
      <c r="G422" s="10">
        <v>123750</v>
      </c>
      <c r="H422" s="167">
        <v>495000</v>
      </c>
      <c r="I422" s="10">
        <v>85600</v>
      </c>
      <c r="J422" s="76">
        <f t="shared" si="523"/>
        <v>104675</v>
      </c>
      <c r="K422" s="24">
        <f t="shared" si="524"/>
        <v>65536</v>
      </c>
      <c r="L422" s="281">
        <f t="shared" si="525"/>
        <v>1.6744423720585606</v>
      </c>
      <c r="M422" s="431">
        <f t="shared" si="526"/>
        <v>495000</v>
      </c>
      <c r="N422" s="443"/>
      <c r="O422" s="250"/>
      <c r="P422" s="250"/>
      <c r="Q422" s="250"/>
      <c r="R422" s="250"/>
      <c r="S422" s="250"/>
      <c r="T422" s="250"/>
      <c r="U422" s="250"/>
      <c r="V422" s="443"/>
      <c r="W422" s="410">
        <v>77393</v>
      </c>
      <c r="X422" s="31">
        <v>100656</v>
      </c>
      <c r="Y422" s="31">
        <v>130853</v>
      </c>
      <c r="Z422" s="472">
        <v>87980.800000000003</v>
      </c>
      <c r="AA422" s="76">
        <f t="shared" si="531"/>
        <v>106496.59999999999</v>
      </c>
      <c r="AB422" s="24">
        <f t="shared" si="532"/>
        <v>29103.599999999991</v>
      </c>
      <c r="AC422" s="25">
        <f t="shared" si="533"/>
        <v>0.37604951352189464</v>
      </c>
      <c r="AD422" s="309" t="str">
        <f t="shared" si="534"/>
        <v>REVISAR PRECIO</v>
      </c>
      <c r="AE422" s="462">
        <f t="shared" si="535"/>
        <v>106496.59999999999</v>
      </c>
      <c r="AF422" s="410">
        <v>39716</v>
      </c>
      <c r="AG422" s="45">
        <v>110000</v>
      </c>
      <c r="AH422" s="45">
        <v>123750</v>
      </c>
      <c r="AI422" s="45">
        <v>130000</v>
      </c>
      <c r="AJ422" s="76">
        <f t="shared" si="536"/>
        <v>121250</v>
      </c>
      <c r="AK422" s="24">
        <f t="shared" si="537"/>
        <v>81534</v>
      </c>
      <c r="AL422" s="281">
        <f t="shared" si="538"/>
        <v>2.0529257729882162</v>
      </c>
      <c r="AM422" s="462">
        <f t="shared" si="539"/>
        <v>121250</v>
      </c>
      <c r="AN422" s="513">
        <v>53300</v>
      </c>
      <c r="AO422" s="88">
        <v>130000</v>
      </c>
      <c r="AP422" s="116">
        <v>140000</v>
      </c>
      <c r="AQ422" s="74">
        <v>136125</v>
      </c>
      <c r="AR422" s="76">
        <f t="shared" si="540"/>
        <v>135375</v>
      </c>
      <c r="AS422" s="24">
        <f t="shared" si="541"/>
        <v>82075</v>
      </c>
      <c r="AT422" s="25">
        <f t="shared" si="542"/>
        <v>1.5398686679174485</v>
      </c>
      <c r="AU422" s="309" t="str">
        <f t="shared" si="543"/>
        <v>REVISAR PRECIO</v>
      </c>
      <c r="AV422" s="462">
        <f t="shared" si="544"/>
        <v>135375</v>
      </c>
      <c r="AW422" s="513">
        <v>53300</v>
      </c>
      <c r="AX422" s="74">
        <v>142312.5</v>
      </c>
      <c r="AY422" s="74">
        <v>135000</v>
      </c>
      <c r="AZ422" s="75">
        <v>163968.75</v>
      </c>
      <c r="BA422" s="61">
        <v>142312.5</v>
      </c>
      <c r="BB422" s="60">
        <v>90000</v>
      </c>
      <c r="BC422" s="74">
        <v>163659.375</v>
      </c>
      <c r="BD422" s="79">
        <v>163968.75</v>
      </c>
      <c r="BE422" s="79">
        <f>99000*1.25</f>
        <v>123750</v>
      </c>
      <c r="BF422" s="127">
        <v>148500</v>
      </c>
      <c r="BG422" s="128">
        <v>145000</v>
      </c>
      <c r="BH422" s="128">
        <v>130000</v>
      </c>
      <c r="BI422" s="76">
        <f t="shared" si="545"/>
        <v>139542.1875</v>
      </c>
      <c r="BJ422" s="24">
        <f t="shared" si="546"/>
        <v>86242.1875</v>
      </c>
      <c r="BK422" s="25">
        <f t="shared" si="547"/>
        <v>1.6180522983114447</v>
      </c>
      <c r="BL422" s="259" t="str">
        <f t="shared" si="548"/>
        <v>REVISAR PRECIO</v>
      </c>
      <c r="BM422" s="533">
        <f t="shared" si="549"/>
        <v>139542.1875</v>
      </c>
    </row>
    <row r="423" spans="1:65" ht="45" customHeight="1">
      <c r="A423" s="91" t="s">
        <v>27</v>
      </c>
      <c r="B423" s="358" t="s">
        <v>2614</v>
      </c>
      <c r="C423" s="50" t="s">
        <v>229</v>
      </c>
      <c r="D423" s="99" t="s">
        <v>569</v>
      </c>
      <c r="E423" s="391" t="s">
        <v>13</v>
      </c>
      <c r="F423" s="410">
        <v>64919</v>
      </c>
      <c r="G423" s="10">
        <v>95000</v>
      </c>
      <c r="H423" s="167">
        <v>380000</v>
      </c>
      <c r="I423" s="10">
        <v>93650</v>
      </c>
      <c r="J423" s="76">
        <f t="shared" si="523"/>
        <v>94325</v>
      </c>
      <c r="K423" s="24">
        <f t="shared" si="524"/>
        <v>29406</v>
      </c>
      <c r="L423" s="281">
        <f t="shared" si="525"/>
        <v>0.4529644634082472</v>
      </c>
      <c r="M423" s="431">
        <f t="shared" si="526"/>
        <v>380000</v>
      </c>
      <c r="N423" s="410">
        <v>59005</v>
      </c>
      <c r="O423" s="10">
        <v>125000</v>
      </c>
      <c r="P423" s="10">
        <v>132500</v>
      </c>
      <c r="Q423" s="268">
        <v>130000</v>
      </c>
      <c r="R423" s="10">
        <v>140000</v>
      </c>
      <c r="S423" s="76">
        <f t="shared" ref="S423" si="550">AVERAGE(O423,P423,Q423,R423)</f>
        <v>131875</v>
      </c>
      <c r="T423" s="24">
        <f t="shared" ref="T423" si="551">S423-N423</f>
        <v>72870</v>
      </c>
      <c r="U423" s="281">
        <f t="shared" ref="U423" si="552">+T423/N423</f>
        <v>1.2349800864333531</v>
      </c>
      <c r="V423" s="462">
        <f t="shared" ref="V423" si="553">S423</f>
        <v>131875</v>
      </c>
      <c r="W423" s="410">
        <v>128380</v>
      </c>
      <c r="X423" s="33">
        <v>166968</v>
      </c>
      <c r="Y423" s="31">
        <v>217058</v>
      </c>
      <c r="Z423" s="472">
        <v>145942.39999999999</v>
      </c>
      <c r="AA423" s="76">
        <f t="shared" si="531"/>
        <v>176656.13333333333</v>
      </c>
      <c r="AB423" s="24">
        <f t="shared" si="532"/>
        <v>48276.133333333331</v>
      </c>
      <c r="AC423" s="25">
        <f t="shared" si="533"/>
        <v>0.37604092018486784</v>
      </c>
      <c r="AD423" s="309" t="str">
        <f t="shared" si="534"/>
        <v>REVISAR PRECIO</v>
      </c>
      <c r="AE423" s="462">
        <f t="shared" si="535"/>
        <v>176656.13333333333</v>
      </c>
      <c r="AF423" s="410">
        <v>65887</v>
      </c>
      <c r="AG423" s="45">
        <v>125000</v>
      </c>
      <c r="AH423" s="45">
        <v>9500</v>
      </c>
      <c r="AI423" s="45">
        <v>110000</v>
      </c>
      <c r="AJ423" s="76">
        <f t="shared" si="536"/>
        <v>81500</v>
      </c>
      <c r="AK423" s="24">
        <f t="shared" si="537"/>
        <v>15613</v>
      </c>
      <c r="AL423" s="281">
        <f t="shared" si="538"/>
        <v>0.23696632112556346</v>
      </c>
      <c r="AM423" s="462">
        <f t="shared" si="539"/>
        <v>81500</v>
      </c>
      <c r="AN423" s="513">
        <v>66219</v>
      </c>
      <c r="AO423" s="88">
        <v>100000</v>
      </c>
      <c r="AP423" s="116">
        <v>100000</v>
      </c>
      <c r="AQ423" s="74">
        <v>104500</v>
      </c>
      <c r="AR423" s="76">
        <f t="shared" si="540"/>
        <v>101500</v>
      </c>
      <c r="AS423" s="24">
        <f t="shared" si="541"/>
        <v>35281</v>
      </c>
      <c r="AT423" s="25">
        <f t="shared" si="542"/>
        <v>0.5327927030006494</v>
      </c>
      <c r="AU423" s="309" t="str">
        <f t="shared" si="543"/>
        <v>REVISAR PRECIO</v>
      </c>
      <c r="AV423" s="462">
        <f t="shared" si="544"/>
        <v>101500</v>
      </c>
      <c r="AW423" s="513">
        <v>66219</v>
      </c>
      <c r="AX423" s="74">
        <v>109250</v>
      </c>
      <c r="AY423" s="74">
        <v>110000</v>
      </c>
      <c r="AZ423" s="75">
        <v>125875</v>
      </c>
      <c r="BA423" s="61">
        <v>138230</v>
      </c>
      <c r="BB423" s="60">
        <v>180000</v>
      </c>
      <c r="BC423" s="74">
        <v>158964.5</v>
      </c>
      <c r="BD423" s="79">
        <v>125875</v>
      </c>
      <c r="BE423" s="79">
        <v>95000</v>
      </c>
      <c r="BF423" s="127">
        <v>114000</v>
      </c>
      <c r="BG423" s="128">
        <v>105000</v>
      </c>
      <c r="BH423" s="128">
        <v>110000</v>
      </c>
      <c r="BI423" s="76">
        <f t="shared" si="545"/>
        <v>137053.25</v>
      </c>
      <c r="BJ423" s="24">
        <f t="shared" si="546"/>
        <v>70834.25</v>
      </c>
      <c r="BK423" s="25">
        <f t="shared" si="547"/>
        <v>1.0696967637687069</v>
      </c>
      <c r="BL423" s="259" t="str">
        <f t="shared" si="548"/>
        <v>REVISAR PRECIO</v>
      </c>
      <c r="BM423" s="533">
        <f t="shared" si="549"/>
        <v>137053.25</v>
      </c>
    </row>
    <row r="424" spans="1:65" ht="45" customHeight="1">
      <c r="A424" s="91" t="s">
        <v>27</v>
      </c>
      <c r="B424" s="358" t="s">
        <v>2615</v>
      </c>
      <c r="C424" s="50" t="s">
        <v>230</v>
      </c>
      <c r="D424" s="99" t="s">
        <v>570</v>
      </c>
      <c r="E424" s="391" t="s">
        <v>13</v>
      </c>
      <c r="F424" s="410">
        <v>129439</v>
      </c>
      <c r="G424" s="10">
        <v>173256</v>
      </c>
      <c r="H424" s="167">
        <v>693024</v>
      </c>
      <c r="I424" s="10">
        <v>129700</v>
      </c>
      <c r="J424" s="76">
        <f t="shared" si="523"/>
        <v>151478</v>
      </c>
      <c r="K424" s="24">
        <f t="shared" si="524"/>
        <v>22039</v>
      </c>
      <c r="L424" s="281">
        <f t="shared" si="525"/>
        <v>0.17026553048153956</v>
      </c>
      <c r="M424" s="431">
        <f t="shared" si="526"/>
        <v>693024</v>
      </c>
      <c r="N424" s="443"/>
      <c r="O424" s="250"/>
      <c r="P424" s="250"/>
      <c r="Q424" s="250"/>
      <c r="R424" s="250"/>
      <c r="S424" s="250"/>
      <c r="T424" s="250"/>
      <c r="U424" s="250"/>
      <c r="V424" s="443"/>
      <c r="W424" s="410">
        <v>220077</v>
      </c>
      <c r="X424" s="31">
        <v>286227</v>
      </c>
      <c r="Y424" s="31">
        <v>372095</v>
      </c>
      <c r="Z424" s="472">
        <v>250183.6</v>
      </c>
      <c r="AA424" s="76">
        <f t="shared" si="531"/>
        <v>302835.20000000001</v>
      </c>
      <c r="AB424" s="24">
        <f t="shared" si="532"/>
        <v>82758.200000000012</v>
      </c>
      <c r="AC424" s="25">
        <f t="shared" si="533"/>
        <v>0.37604202165605682</v>
      </c>
      <c r="AD424" s="309" t="str">
        <f t="shared" si="534"/>
        <v>REVISAR PRECIO</v>
      </c>
      <c r="AE424" s="462">
        <f t="shared" si="535"/>
        <v>302835.20000000001</v>
      </c>
      <c r="AF424" s="410">
        <v>120069</v>
      </c>
      <c r="AG424" s="45">
        <v>150000</v>
      </c>
      <c r="AH424" s="45">
        <v>173256</v>
      </c>
      <c r="AI424" s="45">
        <v>180000</v>
      </c>
      <c r="AJ424" s="76">
        <f t="shared" si="536"/>
        <v>167752</v>
      </c>
      <c r="AK424" s="24">
        <f t="shared" si="537"/>
        <v>47683</v>
      </c>
      <c r="AL424" s="281">
        <f t="shared" si="538"/>
        <v>0.39712998359276747</v>
      </c>
      <c r="AM424" s="462">
        <f t="shared" si="539"/>
        <v>167752</v>
      </c>
      <c r="AN424" s="513">
        <v>113511</v>
      </c>
      <c r="AO424" s="88">
        <v>200000</v>
      </c>
      <c r="AP424" s="116">
        <v>200000</v>
      </c>
      <c r="AQ424" s="74">
        <v>190581.6</v>
      </c>
      <c r="AR424" s="76">
        <f t="shared" si="540"/>
        <v>196860.53333333333</v>
      </c>
      <c r="AS424" s="24">
        <f t="shared" si="541"/>
        <v>83349.533333333326</v>
      </c>
      <c r="AT424" s="25">
        <f t="shared" si="542"/>
        <v>0.73428595760175952</v>
      </c>
      <c r="AU424" s="309" t="str">
        <f t="shared" si="543"/>
        <v>REVISAR PRECIO</v>
      </c>
      <c r="AV424" s="462">
        <f t="shared" si="544"/>
        <v>196860.53333333333</v>
      </c>
      <c r="AW424" s="513">
        <v>113511</v>
      </c>
      <c r="AX424" s="74">
        <v>199244.4</v>
      </c>
      <c r="AY424" s="74">
        <v>215000</v>
      </c>
      <c r="AZ424" s="75">
        <v>229564.19999999998</v>
      </c>
      <c r="BA424" s="61">
        <v>225859.99999999997</v>
      </c>
      <c r="BB424" s="60">
        <v>250000</v>
      </c>
      <c r="BC424" s="74">
        <v>259738.99999999994</v>
      </c>
      <c r="BD424" s="79">
        <v>229564.19999999998</v>
      </c>
      <c r="BE424" s="79">
        <f>144380*1.2</f>
        <v>173256</v>
      </c>
      <c r="BF424" s="127">
        <v>207907.20000000001</v>
      </c>
      <c r="BG424" s="128">
        <v>191000</v>
      </c>
      <c r="BH424" s="128">
        <v>185000</v>
      </c>
      <c r="BI424" s="76">
        <f t="shared" si="545"/>
        <v>229901.26666666669</v>
      </c>
      <c r="BJ424" s="24">
        <f t="shared" si="546"/>
        <v>116390.26666666669</v>
      </c>
      <c r="BK424" s="25">
        <f t="shared" si="547"/>
        <v>1.0253655299192739</v>
      </c>
      <c r="BL424" s="259" t="str">
        <f t="shared" si="548"/>
        <v>REVISAR PRECIO</v>
      </c>
      <c r="BM424" s="533">
        <f t="shared" si="549"/>
        <v>229901.26666666669</v>
      </c>
    </row>
    <row r="425" spans="1:65" ht="45" customHeight="1">
      <c r="A425" s="91" t="s">
        <v>27</v>
      </c>
      <c r="B425" s="358" t="s">
        <v>2616</v>
      </c>
      <c r="C425" s="50" t="s">
        <v>231</v>
      </c>
      <c r="D425" s="99" t="s">
        <v>571</v>
      </c>
      <c r="E425" s="391" t="s">
        <v>13</v>
      </c>
      <c r="F425" s="410">
        <v>38549</v>
      </c>
      <c r="G425" s="10">
        <v>41250</v>
      </c>
      <c r="H425" s="167">
        <v>123750</v>
      </c>
      <c r="I425" s="10">
        <v>38500</v>
      </c>
      <c r="J425" s="76">
        <f t="shared" si="523"/>
        <v>39875</v>
      </c>
      <c r="K425" s="24">
        <f t="shared" si="524"/>
        <v>1326</v>
      </c>
      <c r="L425" s="281">
        <f t="shared" si="525"/>
        <v>3.4397779449531762E-2</v>
      </c>
      <c r="M425" s="431">
        <f t="shared" si="526"/>
        <v>123750</v>
      </c>
      <c r="N425" s="443"/>
      <c r="O425" s="250"/>
      <c r="P425" s="250"/>
      <c r="Q425" s="250"/>
      <c r="R425" s="250"/>
      <c r="S425" s="250"/>
      <c r="T425" s="250"/>
      <c r="U425" s="250"/>
      <c r="V425" s="443"/>
      <c r="W425" s="410">
        <v>57474</v>
      </c>
      <c r="X425" s="31">
        <v>74750</v>
      </c>
      <c r="Y425" s="31">
        <v>97174</v>
      </c>
      <c r="Z425" s="472">
        <v>65336.6</v>
      </c>
      <c r="AA425" s="76">
        <f t="shared" si="531"/>
        <v>79086.866666666669</v>
      </c>
      <c r="AB425" s="24">
        <f t="shared" si="532"/>
        <v>21612.866666666669</v>
      </c>
      <c r="AC425" s="25">
        <f t="shared" si="533"/>
        <v>0.376045980211342</v>
      </c>
      <c r="AD425" s="309" t="str">
        <f t="shared" si="534"/>
        <v>REVISAR PRECIO</v>
      </c>
      <c r="AE425" s="462">
        <f t="shared" si="535"/>
        <v>79086.866666666669</v>
      </c>
      <c r="AF425" s="410">
        <v>35511</v>
      </c>
      <c r="AG425" s="45">
        <v>52000</v>
      </c>
      <c r="AH425" s="45">
        <v>45483</v>
      </c>
      <c r="AI425" s="45">
        <v>41000</v>
      </c>
      <c r="AJ425" s="76">
        <f t="shared" si="536"/>
        <v>46161</v>
      </c>
      <c r="AK425" s="24">
        <f t="shared" si="537"/>
        <v>10650</v>
      </c>
      <c r="AL425" s="281">
        <f t="shared" si="538"/>
        <v>0.29990707104840753</v>
      </c>
      <c r="AM425" s="462">
        <f t="shared" si="539"/>
        <v>46161</v>
      </c>
      <c r="AN425" s="513">
        <v>29645</v>
      </c>
      <c r="AO425" s="88">
        <v>55000</v>
      </c>
      <c r="AP425" s="116">
        <v>55000</v>
      </c>
      <c r="AQ425" s="74">
        <v>45375</v>
      </c>
      <c r="AR425" s="76">
        <f t="shared" si="540"/>
        <v>51791.666666666664</v>
      </c>
      <c r="AS425" s="24">
        <f t="shared" si="541"/>
        <v>22146.666666666664</v>
      </c>
      <c r="AT425" s="25">
        <f t="shared" si="542"/>
        <v>0.74706246134817555</v>
      </c>
      <c r="AU425" s="309" t="str">
        <f t="shared" si="543"/>
        <v>REVISAR PRECIO</v>
      </c>
      <c r="AV425" s="462">
        <f t="shared" si="544"/>
        <v>51791.666666666664</v>
      </c>
      <c r="AW425" s="513">
        <v>29645</v>
      </c>
      <c r="AX425" s="74">
        <v>47437.5</v>
      </c>
      <c r="AY425" s="74">
        <v>65000</v>
      </c>
      <c r="AZ425" s="75">
        <v>54656.25</v>
      </c>
      <c r="BA425" s="61">
        <v>55774.999999999993</v>
      </c>
      <c r="BB425" s="60">
        <v>145000</v>
      </c>
      <c r="BC425" s="74">
        <v>64141.249999999985</v>
      </c>
      <c r="BD425" s="79">
        <v>54656.25</v>
      </c>
      <c r="BE425" s="79">
        <f>33000*1.25</f>
        <v>41250</v>
      </c>
      <c r="BF425" s="127">
        <v>49500</v>
      </c>
      <c r="BG425" s="128">
        <v>50000</v>
      </c>
      <c r="BH425" s="128">
        <v>50000</v>
      </c>
      <c r="BI425" s="76">
        <f t="shared" si="545"/>
        <v>72001.666666666672</v>
      </c>
      <c r="BJ425" s="24">
        <f t="shared" si="546"/>
        <v>42356.666666666672</v>
      </c>
      <c r="BK425" s="25">
        <f t="shared" si="547"/>
        <v>1.4287963119131952</v>
      </c>
      <c r="BL425" s="259" t="str">
        <f t="shared" si="548"/>
        <v>REVISAR PRECIO</v>
      </c>
      <c r="BM425" s="533">
        <f t="shared" si="549"/>
        <v>72001.666666666672</v>
      </c>
    </row>
    <row r="426" spans="1:65" ht="45" customHeight="1">
      <c r="A426" s="91" t="s">
        <v>27</v>
      </c>
      <c r="B426" s="358" t="s">
        <v>2617</v>
      </c>
      <c r="C426" s="50" t="s">
        <v>232</v>
      </c>
      <c r="D426" s="99" t="s">
        <v>572</v>
      </c>
      <c r="E426" s="391" t="s">
        <v>13</v>
      </c>
      <c r="F426" s="410">
        <v>40770</v>
      </c>
      <c r="G426" s="10">
        <v>42250</v>
      </c>
      <c r="H426" s="167">
        <v>126750</v>
      </c>
      <c r="I426" s="10">
        <v>42500</v>
      </c>
      <c r="J426" s="76">
        <f t="shared" si="523"/>
        <v>42375</v>
      </c>
      <c r="K426" s="24">
        <f t="shared" si="524"/>
        <v>1605</v>
      </c>
      <c r="L426" s="281">
        <f t="shared" si="525"/>
        <v>3.9367181751287714E-2</v>
      </c>
      <c r="M426" s="431">
        <f t="shared" si="526"/>
        <v>126750</v>
      </c>
      <c r="N426" s="443"/>
      <c r="O426" s="250"/>
      <c r="P426" s="250"/>
      <c r="Q426" s="250"/>
      <c r="R426" s="250"/>
      <c r="S426" s="250"/>
      <c r="T426" s="250"/>
      <c r="U426" s="250"/>
      <c r="V426" s="443"/>
      <c r="W426" s="410">
        <v>60235</v>
      </c>
      <c r="X426" s="31">
        <v>78341</v>
      </c>
      <c r="Y426" s="31">
        <v>101843</v>
      </c>
      <c r="Z426" s="472">
        <v>68475.399999999994</v>
      </c>
      <c r="AA426" s="76">
        <f t="shared" si="531"/>
        <v>82886.46666666666</v>
      </c>
      <c r="AB426" s="24">
        <f t="shared" si="532"/>
        <v>22651.46666666666</v>
      </c>
      <c r="AC426" s="25">
        <f t="shared" si="533"/>
        <v>0.37605157577266807</v>
      </c>
      <c r="AD426" s="309" t="str">
        <f t="shared" si="534"/>
        <v>REVISAR PRECIO</v>
      </c>
      <c r="AE426" s="462">
        <f t="shared" si="535"/>
        <v>82886.46666666666</v>
      </c>
      <c r="AF426" s="410">
        <v>37476</v>
      </c>
      <c r="AG426" s="45">
        <v>55000</v>
      </c>
      <c r="AH426" s="45">
        <v>48100</v>
      </c>
      <c r="AI426" s="45">
        <v>42000</v>
      </c>
      <c r="AJ426" s="76">
        <f t="shared" si="536"/>
        <v>48366.666666666664</v>
      </c>
      <c r="AK426" s="24">
        <f t="shared" si="537"/>
        <v>10890.666666666664</v>
      </c>
      <c r="AL426" s="281">
        <f t="shared" si="538"/>
        <v>0.29060376418685729</v>
      </c>
      <c r="AM426" s="462">
        <f t="shared" si="539"/>
        <v>48366.666666666664</v>
      </c>
      <c r="AN426" s="513">
        <v>31068</v>
      </c>
      <c r="AO426" s="88">
        <v>50000</v>
      </c>
      <c r="AP426" s="116">
        <v>50000</v>
      </c>
      <c r="AQ426" s="74">
        <v>46475</v>
      </c>
      <c r="AR426" s="76">
        <f t="shared" si="540"/>
        <v>48825</v>
      </c>
      <c r="AS426" s="24">
        <f t="shared" si="541"/>
        <v>17757</v>
      </c>
      <c r="AT426" s="25">
        <f t="shared" si="542"/>
        <v>0.57155272305909621</v>
      </c>
      <c r="AU426" s="309" t="str">
        <f t="shared" si="543"/>
        <v>REVISAR PRECIO</v>
      </c>
      <c r="AV426" s="462">
        <f t="shared" si="544"/>
        <v>48825</v>
      </c>
      <c r="AW426" s="513">
        <v>31068</v>
      </c>
      <c r="AX426" s="74">
        <v>48587.5</v>
      </c>
      <c r="AY426" s="74">
        <v>80000</v>
      </c>
      <c r="AZ426" s="75">
        <v>55981.25</v>
      </c>
      <c r="BA426" s="61">
        <v>57614.999999999993</v>
      </c>
      <c r="BB426" s="60">
        <v>178000</v>
      </c>
      <c r="BC426" s="74">
        <v>66257.249999999985</v>
      </c>
      <c r="BD426" s="79">
        <v>55981.25</v>
      </c>
      <c r="BE426" s="79">
        <f>33800*1.25</f>
        <v>42250</v>
      </c>
      <c r="BF426" s="127">
        <v>50700</v>
      </c>
      <c r="BG426" s="128">
        <v>40000</v>
      </c>
      <c r="BH426" s="128">
        <v>55000</v>
      </c>
      <c r="BI426" s="76">
        <f t="shared" si="545"/>
        <v>81073.5</v>
      </c>
      <c r="BJ426" s="24">
        <f t="shared" si="546"/>
        <v>50005.5</v>
      </c>
      <c r="BK426" s="25">
        <f t="shared" si="547"/>
        <v>1.6095500193124759</v>
      </c>
      <c r="BL426" s="259" t="str">
        <f t="shared" si="548"/>
        <v>REVISAR PRECIO</v>
      </c>
      <c r="BM426" s="533">
        <f t="shared" si="549"/>
        <v>81073.5</v>
      </c>
    </row>
    <row r="427" spans="1:65" ht="45" customHeight="1">
      <c r="A427" s="91" t="s">
        <v>27</v>
      </c>
      <c r="B427" s="358" t="s">
        <v>2618</v>
      </c>
      <c r="C427" s="50" t="s">
        <v>233</v>
      </c>
      <c r="D427" s="99" t="s">
        <v>573</v>
      </c>
      <c r="E427" s="391" t="s">
        <v>13</v>
      </c>
      <c r="F427" s="410">
        <v>108072</v>
      </c>
      <c r="G427" s="10">
        <v>120200</v>
      </c>
      <c r="H427" s="167">
        <v>120200</v>
      </c>
      <c r="I427" s="10">
        <v>96800</v>
      </c>
      <c r="J427" s="76">
        <f t="shared" si="523"/>
        <v>108500</v>
      </c>
      <c r="K427" s="24">
        <f t="shared" si="524"/>
        <v>428</v>
      </c>
      <c r="L427" s="281">
        <f t="shared" si="525"/>
        <v>3.9603227477977643E-3</v>
      </c>
      <c r="M427" s="431">
        <f t="shared" si="526"/>
        <v>120200</v>
      </c>
      <c r="N427" s="443"/>
      <c r="O427" s="250"/>
      <c r="P427" s="250"/>
      <c r="Q427" s="250"/>
      <c r="R427" s="250"/>
      <c r="S427" s="250"/>
      <c r="T427" s="250"/>
      <c r="U427" s="250"/>
      <c r="V427" s="443"/>
      <c r="W427" s="410">
        <v>164212</v>
      </c>
      <c r="X427" s="31">
        <v>213570</v>
      </c>
      <c r="Y427" s="31">
        <v>277641</v>
      </c>
      <c r="Z427" s="472">
        <v>186676</v>
      </c>
      <c r="AA427" s="76">
        <f t="shared" si="531"/>
        <v>225962.33333333334</v>
      </c>
      <c r="AB427" s="24">
        <f t="shared" si="532"/>
        <v>61750.333333333343</v>
      </c>
      <c r="AC427" s="25">
        <f t="shared" si="533"/>
        <v>0.37604032186035941</v>
      </c>
      <c r="AD427" s="309" t="str">
        <f t="shared" si="534"/>
        <v>REVISAR PRECIO</v>
      </c>
      <c r="AE427" s="462">
        <f t="shared" si="535"/>
        <v>225962.33333333334</v>
      </c>
      <c r="AF427" s="410">
        <v>102565</v>
      </c>
      <c r="AG427" s="45">
        <v>110000</v>
      </c>
      <c r="AH427" s="45">
        <v>127512</v>
      </c>
      <c r="AI427" s="45">
        <v>105000</v>
      </c>
      <c r="AJ427" s="76">
        <f t="shared" si="536"/>
        <v>114170.66666666667</v>
      </c>
      <c r="AK427" s="24">
        <f t="shared" si="537"/>
        <v>11605.666666666672</v>
      </c>
      <c r="AL427" s="281">
        <f t="shared" si="538"/>
        <v>0.11315425990022591</v>
      </c>
      <c r="AM427" s="462">
        <f t="shared" si="539"/>
        <v>114170.66666666667</v>
      </c>
      <c r="AN427" s="513">
        <v>92266</v>
      </c>
      <c r="AO427" s="88">
        <v>140000</v>
      </c>
      <c r="AP427" s="116">
        <v>140000</v>
      </c>
      <c r="AQ427" s="74">
        <v>132220</v>
      </c>
      <c r="AR427" s="76">
        <f t="shared" si="540"/>
        <v>137406.66666666666</v>
      </c>
      <c r="AS427" s="24">
        <f t="shared" si="541"/>
        <v>45140.666666666657</v>
      </c>
      <c r="AT427" s="25">
        <f t="shared" si="542"/>
        <v>0.48924486448601495</v>
      </c>
      <c r="AU427" s="309" t="str">
        <f t="shared" si="543"/>
        <v>REVISAR PRECIO</v>
      </c>
      <c r="AV427" s="462">
        <f t="shared" si="544"/>
        <v>137406.66666666666</v>
      </c>
      <c r="AW427" s="513">
        <v>92266</v>
      </c>
      <c r="AX427" s="74">
        <v>138230</v>
      </c>
      <c r="AY427" s="74">
        <v>140000</v>
      </c>
      <c r="AZ427" s="75">
        <v>159265</v>
      </c>
      <c r="BA427" s="61">
        <v>138230</v>
      </c>
      <c r="BB427" s="60">
        <v>220000</v>
      </c>
      <c r="BC427" s="74">
        <v>158964.5</v>
      </c>
      <c r="BD427" s="79">
        <v>159265</v>
      </c>
      <c r="BE427" s="79">
        <v>120200</v>
      </c>
      <c r="BF427" s="127">
        <v>144240</v>
      </c>
      <c r="BG427" s="128">
        <v>118000</v>
      </c>
      <c r="BH427" s="128">
        <v>120000</v>
      </c>
      <c r="BI427" s="76">
        <f t="shared" si="545"/>
        <v>159114.91666666666</v>
      </c>
      <c r="BJ427" s="24">
        <f t="shared" si="546"/>
        <v>66848.916666666657</v>
      </c>
      <c r="BK427" s="25">
        <f t="shared" si="547"/>
        <v>0.72452384049017682</v>
      </c>
      <c r="BL427" s="259" t="str">
        <f t="shared" si="548"/>
        <v>REVISAR PRECIO</v>
      </c>
      <c r="BM427" s="533">
        <f t="shared" si="549"/>
        <v>159114.91666666666</v>
      </c>
    </row>
    <row r="428" spans="1:65" ht="45" customHeight="1">
      <c r="A428" s="91" t="s">
        <v>27</v>
      </c>
      <c r="B428" s="358" t="s">
        <v>2619</v>
      </c>
      <c r="C428" s="50" t="s">
        <v>234</v>
      </c>
      <c r="D428" s="99" t="s">
        <v>574</v>
      </c>
      <c r="E428" s="391" t="s">
        <v>13</v>
      </c>
      <c r="F428" s="410">
        <v>109753</v>
      </c>
      <c r="G428" s="10">
        <v>118838</v>
      </c>
      <c r="H428" s="167">
        <v>118838</v>
      </c>
      <c r="I428" s="10">
        <v>108900</v>
      </c>
      <c r="J428" s="76">
        <f t="shared" si="523"/>
        <v>113869</v>
      </c>
      <c r="K428" s="24">
        <f t="shared" si="524"/>
        <v>4116</v>
      </c>
      <c r="L428" s="281">
        <f t="shared" si="525"/>
        <v>3.7502391734166717E-2</v>
      </c>
      <c r="M428" s="431">
        <f t="shared" si="526"/>
        <v>118838</v>
      </c>
      <c r="N428" s="443"/>
      <c r="O428" s="250"/>
      <c r="P428" s="250"/>
      <c r="Q428" s="250"/>
      <c r="R428" s="250"/>
      <c r="S428" s="250"/>
      <c r="T428" s="250"/>
      <c r="U428" s="250"/>
      <c r="V428" s="443"/>
      <c r="W428" s="410">
        <v>177114</v>
      </c>
      <c r="X428" s="31">
        <v>230351</v>
      </c>
      <c r="Y428" s="31">
        <v>230351</v>
      </c>
      <c r="Z428" s="472">
        <v>201343.4</v>
      </c>
      <c r="AA428" s="76">
        <f t="shared" si="531"/>
        <v>220681.80000000002</v>
      </c>
      <c r="AB428" s="24">
        <f t="shared" si="532"/>
        <v>43567.800000000017</v>
      </c>
      <c r="AC428" s="25">
        <f t="shared" si="533"/>
        <v>0.24598733019411237</v>
      </c>
      <c r="AD428" s="309">
        <f t="shared" si="534"/>
        <v>220681.80000000002</v>
      </c>
      <c r="AE428" s="462">
        <f t="shared" si="535"/>
        <v>220681.80000000002</v>
      </c>
      <c r="AF428" s="410">
        <v>103125</v>
      </c>
      <c r="AG428" s="45">
        <v>110000</v>
      </c>
      <c r="AH428" s="45">
        <v>129499</v>
      </c>
      <c r="AI428" s="45">
        <v>110000</v>
      </c>
      <c r="AJ428" s="76">
        <f t="shared" si="536"/>
        <v>116499.66666666667</v>
      </c>
      <c r="AK428" s="24">
        <f t="shared" si="537"/>
        <v>13374.666666666672</v>
      </c>
      <c r="AL428" s="281">
        <f t="shared" si="538"/>
        <v>0.12969373737373743</v>
      </c>
      <c r="AM428" s="462">
        <f t="shared" si="539"/>
        <v>116499.66666666667</v>
      </c>
      <c r="AN428" s="513">
        <v>91355</v>
      </c>
      <c r="AO428" s="88">
        <v>135000</v>
      </c>
      <c r="AP428" s="116">
        <v>155000</v>
      </c>
      <c r="AQ428" s="74">
        <v>130721.25</v>
      </c>
      <c r="AR428" s="76">
        <f t="shared" si="540"/>
        <v>140240.41666666666</v>
      </c>
      <c r="AS428" s="24">
        <f t="shared" si="541"/>
        <v>48885.416666666657</v>
      </c>
      <c r="AT428" s="25">
        <f t="shared" si="542"/>
        <v>0.53511484501851736</v>
      </c>
      <c r="AU428" s="309" t="str">
        <f t="shared" si="543"/>
        <v>REVISAR PRECIO</v>
      </c>
      <c r="AV428" s="462">
        <f t="shared" si="544"/>
        <v>140240.41666666666</v>
      </c>
      <c r="AW428" s="513">
        <v>91355</v>
      </c>
      <c r="AX428" s="74">
        <v>136663.125</v>
      </c>
      <c r="AY428" s="74">
        <v>125000</v>
      </c>
      <c r="AZ428" s="75">
        <v>157459.6875</v>
      </c>
      <c r="BA428" s="61">
        <v>136663.125</v>
      </c>
      <c r="BB428" s="60">
        <v>210000</v>
      </c>
      <c r="BC428" s="74">
        <v>157162.59375</v>
      </c>
      <c r="BD428" s="79">
        <v>157459.6875</v>
      </c>
      <c r="BE428" s="79">
        <f>95070*1.25</f>
        <v>118837.5</v>
      </c>
      <c r="BF428" s="127">
        <v>142605</v>
      </c>
      <c r="BG428" s="128">
        <v>145000</v>
      </c>
      <c r="BH428" s="128">
        <v>130000</v>
      </c>
      <c r="BI428" s="76">
        <f t="shared" si="545"/>
        <v>153824.75520833334</v>
      </c>
      <c r="BJ428" s="24">
        <f t="shared" si="546"/>
        <v>62469.755208333343</v>
      </c>
      <c r="BK428" s="25">
        <f t="shared" si="547"/>
        <v>0.68381320352836017</v>
      </c>
      <c r="BL428" s="259" t="str">
        <f t="shared" si="548"/>
        <v>REVISAR PRECIO</v>
      </c>
      <c r="BM428" s="533">
        <f t="shared" si="549"/>
        <v>153824.75520833334</v>
      </c>
    </row>
    <row r="429" spans="1:65" ht="45" customHeight="1">
      <c r="A429" s="91" t="s">
        <v>27</v>
      </c>
      <c r="B429" s="358" t="s">
        <v>2620</v>
      </c>
      <c r="C429" s="50" t="s">
        <v>235</v>
      </c>
      <c r="D429" s="99" t="s">
        <v>575</v>
      </c>
      <c r="E429" s="391" t="s">
        <v>10</v>
      </c>
      <c r="F429" s="410">
        <v>103610</v>
      </c>
      <c r="G429" s="10">
        <v>23500</v>
      </c>
      <c r="H429" s="167">
        <v>23500</v>
      </c>
      <c r="I429" s="10">
        <v>35800</v>
      </c>
      <c r="J429" s="76">
        <f t="shared" si="523"/>
        <v>29650</v>
      </c>
      <c r="K429" s="24">
        <f t="shared" si="524"/>
        <v>-73960</v>
      </c>
      <c r="L429" s="281">
        <f t="shared" si="525"/>
        <v>-0.71383071132130105</v>
      </c>
      <c r="M429" s="431">
        <f t="shared" si="526"/>
        <v>23500</v>
      </c>
      <c r="N429" s="443"/>
      <c r="O429" s="250"/>
      <c r="P429" s="250"/>
      <c r="Q429" s="250"/>
      <c r="R429" s="250"/>
      <c r="S429" s="250"/>
      <c r="T429" s="250"/>
      <c r="U429" s="250"/>
      <c r="V429" s="443"/>
      <c r="W429" s="410">
        <v>243515</v>
      </c>
      <c r="X429" s="31">
        <v>316710</v>
      </c>
      <c r="Y429" s="31">
        <v>411723</v>
      </c>
      <c r="Z429" s="472">
        <v>276828</v>
      </c>
      <c r="AA429" s="76">
        <f t="shared" si="531"/>
        <v>335087</v>
      </c>
      <c r="AB429" s="24">
        <f t="shared" si="532"/>
        <v>91572</v>
      </c>
      <c r="AC429" s="25">
        <f t="shared" si="533"/>
        <v>0.37604254358047756</v>
      </c>
      <c r="AD429" s="309" t="str">
        <f t="shared" si="534"/>
        <v>REVISAR PRECIO</v>
      </c>
      <c r="AE429" s="462">
        <f t="shared" si="535"/>
        <v>335087</v>
      </c>
      <c r="AF429" s="499">
        <v>100980</v>
      </c>
      <c r="AG429" s="317">
        <v>65000</v>
      </c>
      <c r="AH429" s="317">
        <v>121124</v>
      </c>
      <c r="AI429" s="45">
        <v>22000</v>
      </c>
      <c r="AJ429" s="76">
        <f t="shared" si="536"/>
        <v>69374.666666666672</v>
      </c>
      <c r="AK429" s="24">
        <f t="shared" si="537"/>
        <v>-31605.333333333328</v>
      </c>
      <c r="AL429" s="281">
        <f t="shared" si="538"/>
        <v>-0.31298606984881489</v>
      </c>
      <c r="AM429" s="462">
        <f t="shared" si="539"/>
        <v>69374.666666666672</v>
      </c>
      <c r="AN429" s="513">
        <v>104350</v>
      </c>
      <c r="AO429" s="88">
        <v>25000</v>
      </c>
      <c r="AP429" s="116">
        <v>25000</v>
      </c>
      <c r="AQ429" s="74">
        <v>25850</v>
      </c>
      <c r="AR429" s="76">
        <f t="shared" si="540"/>
        <v>25283.333333333332</v>
      </c>
      <c r="AS429" s="24">
        <f t="shared" si="541"/>
        <v>-79066.666666666672</v>
      </c>
      <c r="AT429" s="25">
        <f t="shared" si="542"/>
        <v>-0.75770643667145832</v>
      </c>
      <c r="AU429" s="309">
        <f t="shared" si="543"/>
        <v>25283.333333333332</v>
      </c>
      <c r="AV429" s="462">
        <f t="shared" si="544"/>
        <v>25283.333333333332</v>
      </c>
      <c r="AW429" s="513">
        <v>104350</v>
      </c>
      <c r="AX429" s="74">
        <v>27025</v>
      </c>
      <c r="AY429" s="74">
        <v>45000</v>
      </c>
      <c r="AZ429" s="75">
        <v>31137.5</v>
      </c>
      <c r="BA429" s="61">
        <v>33005</v>
      </c>
      <c r="BB429" s="60">
        <v>125000</v>
      </c>
      <c r="BC429" s="74">
        <v>37955.75</v>
      </c>
      <c r="BD429" s="79">
        <v>31137.5</v>
      </c>
      <c r="BE429" s="79">
        <v>23500</v>
      </c>
      <c r="BF429" s="127">
        <v>28200</v>
      </c>
      <c r="BG429" s="128">
        <v>30000</v>
      </c>
      <c r="BH429" s="128">
        <v>25000</v>
      </c>
      <c r="BI429" s="76">
        <f t="shared" si="545"/>
        <v>49853.875</v>
      </c>
      <c r="BJ429" s="24">
        <f t="shared" si="546"/>
        <v>-54496.125</v>
      </c>
      <c r="BK429" s="25">
        <f t="shared" si="547"/>
        <v>-0.5222436511739339</v>
      </c>
      <c r="BL429" s="259">
        <f t="shared" si="548"/>
        <v>49853.875</v>
      </c>
      <c r="BM429" s="533">
        <f t="shared" si="549"/>
        <v>49853.875</v>
      </c>
    </row>
    <row r="430" spans="1:65" ht="45" customHeight="1">
      <c r="A430" s="91" t="s">
        <v>27</v>
      </c>
      <c r="B430" s="358" t="s">
        <v>2621</v>
      </c>
      <c r="C430" s="50" t="s">
        <v>236</v>
      </c>
      <c r="D430" s="99" t="s">
        <v>576</v>
      </c>
      <c r="E430" s="391" t="s">
        <v>13</v>
      </c>
      <c r="F430" s="410">
        <v>99472</v>
      </c>
      <c r="G430" s="10">
        <v>114400</v>
      </c>
      <c r="H430" s="167">
        <v>457600</v>
      </c>
      <c r="I430" s="10">
        <v>98600</v>
      </c>
      <c r="J430" s="76">
        <f t="shared" si="523"/>
        <v>106500</v>
      </c>
      <c r="K430" s="24">
        <f t="shared" si="524"/>
        <v>7028</v>
      </c>
      <c r="L430" s="281">
        <f t="shared" si="525"/>
        <v>7.065304809393598E-2</v>
      </c>
      <c r="M430" s="431">
        <f t="shared" si="526"/>
        <v>457600</v>
      </c>
      <c r="N430" s="443"/>
      <c r="O430" s="250"/>
      <c r="P430" s="250"/>
      <c r="Q430" s="250"/>
      <c r="R430" s="250"/>
      <c r="S430" s="250"/>
      <c r="T430" s="250"/>
      <c r="U430" s="250"/>
      <c r="V430" s="443"/>
      <c r="W430" s="410">
        <v>193545</v>
      </c>
      <c r="X430" s="31">
        <v>251721</v>
      </c>
      <c r="Y430" s="31">
        <v>327237</v>
      </c>
      <c r="Z430" s="472">
        <v>220022.8</v>
      </c>
      <c r="AA430" s="76">
        <f t="shared" si="531"/>
        <v>266326.93333333335</v>
      </c>
      <c r="AB430" s="24">
        <f t="shared" si="532"/>
        <v>72781.933333333349</v>
      </c>
      <c r="AC430" s="25">
        <f t="shared" si="533"/>
        <v>0.3760465697038588</v>
      </c>
      <c r="AD430" s="309" t="str">
        <f t="shared" si="534"/>
        <v>REVISAR PRECIO</v>
      </c>
      <c r="AE430" s="462">
        <f t="shared" si="535"/>
        <v>266326.93333333335</v>
      </c>
      <c r="AF430" s="410">
        <v>96196</v>
      </c>
      <c r="AG430" s="45">
        <v>140000</v>
      </c>
      <c r="AH430" s="45">
        <v>117367</v>
      </c>
      <c r="AI430" s="45">
        <v>125000</v>
      </c>
      <c r="AJ430" s="76">
        <f t="shared" si="536"/>
        <v>127455.66666666667</v>
      </c>
      <c r="AK430" s="24">
        <f t="shared" si="537"/>
        <v>31259.666666666672</v>
      </c>
      <c r="AL430" s="281">
        <f t="shared" si="538"/>
        <v>0.32495807171469365</v>
      </c>
      <c r="AM430" s="462">
        <f t="shared" si="539"/>
        <v>127455.66666666667</v>
      </c>
      <c r="AN430" s="513">
        <v>99822</v>
      </c>
      <c r="AO430" s="88">
        <v>125000</v>
      </c>
      <c r="AP430" s="116">
        <v>135000</v>
      </c>
      <c r="AQ430" s="74">
        <v>125840</v>
      </c>
      <c r="AR430" s="76">
        <f t="shared" si="540"/>
        <v>128613.33333333333</v>
      </c>
      <c r="AS430" s="24">
        <f t="shared" si="541"/>
        <v>28791.333333333328</v>
      </c>
      <c r="AT430" s="25">
        <f t="shared" si="542"/>
        <v>0.2884267329179272</v>
      </c>
      <c r="AU430" s="309">
        <f t="shared" si="543"/>
        <v>128613.33333333333</v>
      </c>
      <c r="AV430" s="462">
        <f t="shared" si="544"/>
        <v>128613.33333333333</v>
      </c>
      <c r="AW430" s="513">
        <v>99822</v>
      </c>
      <c r="AX430" s="74">
        <v>131560</v>
      </c>
      <c r="AY430" s="74">
        <v>150000</v>
      </c>
      <c r="AZ430" s="75">
        <v>151580</v>
      </c>
      <c r="BA430" s="61">
        <v>131560</v>
      </c>
      <c r="BB430" s="60">
        <v>240000</v>
      </c>
      <c r="BC430" s="74">
        <v>151294</v>
      </c>
      <c r="BD430" s="79">
        <v>151580</v>
      </c>
      <c r="BE430" s="79">
        <f>88000*1.3</f>
        <v>114400</v>
      </c>
      <c r="BF430" s="127">
        <v>137280</v>
      </c>
      <c r="BG430" s="128">
        <v>130000</v>
      </c>
      <c r="BH430" s="128">
        <v>125000</v>
      </c>
      <c r="BI430" s="76">
        <f t="shared" si="545"/>
        <v>159332.33333333334</v>
      </c>
      <c r="BJ430" s="24">
        <f t="shared" si="546"/>
        <v>59510.333333333343</v>
      </c>
      <c r="BK430" s="25">
        <f t="shared" si="547"/>
        <v>0.59616450615428807</v>
      </c>
      <c r="BL430" s="259" t="str">
        <f t="shared" si="548"/>
        <v>REVISAR PRECIO</v>
      </c>
      <c r="BM430" s="533">
        <f t="shared" si="549"/>
        <v>159332.33333333334</v>
      </c>
    </row>
    <row r="431" spans="1:65" ht="35.450000000000003" customHeight="1">
      <c r="A431" s="91" t="s">
        <v>27</v>
      </c>
      <c r="B431" s="358" t="s">
        <v>2622</v>
      </c>
      <c r="C431" s="50" t="s">
        <v>237</v>
      </c>
      <c r="D431" s="99" t="s">
        <v>577</v>
      </c>
      <c r="E431" s="391" t="s">
        <v>12</v>
      </c>
      <c r="F431" s="408"/>
      <c r="G431" s="293"/>
      <c r="H431" s="293"/>
      <c r="I431" s="293"/>
      <c r="J431" s="293"/>
      <c r="K431" s="293"/>
      <c r="L431" s="327"/>
      <c r="M431" s="432"/>
      <c r="N431" s="443"/>
      <c r="O431" s="250"/>
      <c r="P431" s="250"/>
      <c r="Q431" s="250"/>
      <c r="R431" s="250"/>
      <c r="S431" s="250"/>
      <c r="T431" s="250"/>
      <c r="U431" s="250"/>
      <c r="V431" s="443"/>
      <c r="W431" s="410">
        <v>30382</v>
      </c>
      <c r="X431" s="39">
        <v>39515</v>
      </c>
      <c r="Y431" s="42">
        <v>51369</v>
      </c>
      <c r="Z431" s="472">
        <v>34538.6</v>
      </c>
      <c r="AA431" s="76">
        <f t="shared" si="531"/>
        <v>41807.533333333333</v>
      </c>
      <c r="AB431" s="24">
        <f t="shared" si="532"/>
        <v>11425.533333333333</v>
      </c>
      <c r="AC431" s="25">
        <f t="shared" si="533"/>
        <v>0.37606258091413775</v>
      </c>
      <c r="AD431" s="309" t="str">
        <f t="shared" si="534"/>
        <v>REVISAR PRECIO</v>
      </c>
      <c r="AE431" s="462">
        <f t="shared" si="535"/>
        <v>41807.533333333333</v>
      </c>
      <c r="AF431" s="408"/>
      <c r="AG431" s="293"/>
      <c r="AH431" s="293"/>
      <c r="AI431" s="293"/>
      <c r="AJ431" s="293"/>
      <c r="AK431" s="293"/>
      <c r="AL431" s="327"/>
      <c r="AM431" s="463"/>
      <c r="AN431" s="513">
        <v>7746</v>
      </c>
      <c r="AO431" s="88">
        <v>9000</v>
      </c>
      <c r="AP431" s="116">
        <v>9000</v>
      </c>
      <c r="AQ431" s="74">
        <v>7700</v>
      </c>
      <c r="AR431" s="76">
        <f t="shared" si="540"/>
        <v>8566.6666666666661</v>
      </c>
      <c r="AS431" s="24">
        <f t="shared" si="541"/>
        <v>820.66666666666606</v>
      </c>
      <c r="AT431" s="25">
        <f t="shared" si="542"/>
        <v>0.10594715552112911</v>
      </c>
      <c r="AU431" s="309">
        <f t="shared" si="543"/>
        <v>8566.6666666666661</v>
      </c>
      <c r="AV431" s="462">
        <f t="shared" si="544"/>
        <v>8566.6666666666661</v>
      </c>
      <c r="AW431" s="513">
        <v>7746</v>
      </c>
      <c r="AX431" s="74">
        <v>8050</v>
      </c>
      <c r="AY431" s="74">
        <v>12000</v>
      </c>
      <c r="AZ431" s="75">
        <v>9275</v>
      </c>
      <c r="BA431" s="61">
        <v>8049.9999999999991</v>
      </c>
      <c r="BB431" s="60"/>
      <c r="BC431" s="74">
        <v>9257.4999999999982</v>
      </c>
      <c r="BD431" s="79">
        <v>9275</v>
      </c>
      <c r="BE431" s="79">
        <v>7000</v>
      </c>
      <c r="BF431" s="127">
        <v>8400</v>
      </c>
      <c r="BG431" s="128">
        <v>6500</v>
      </c>
      <c r="BH431" s="128">
        <v>7000</v>
      </c>
      <c r="BI431" s="76">
        <f t="shared" si="545"/>
        <v>9326.5</v>
      </c>
      <c r="BJ431" s="24">
        <f t="shared" si="546"/>
        <v>1580.5</v>
      </c>
      <c r="BK431" s="25">
        <f t="shared" si="547"/>
        <v>0.20404079524916086</v>
      </c>
      <c r="BL431" s="259">
        <f t="shared" si="548"/>
        <v>9326.5</v>
      </c>
      <c r="BM431" s="533">
        <f t="shared" si="549"/>
        <v>9326.5</v>
      </c>
    </row>
    <row r="432" spans="1:65" ht="57.95" customHeight="1">
      <c r="A432" s="91"/>
      <c r="B432" s="358" t="s">
        <v>2623</v>
      </c>
      <c r="C432" s="50" t="s">
        <v>1664</v>
      </c>
      <c r="D432" s="177" t="s">
        <v>973</v>
      </c>
      <c r="E432" s="385" t="s">
        <v>13</v>
      </c>
      <c r="F432" s="410">
        <v>52807</v>
      </c>
      <c r="G432" s="10">
        <v>67500</v>
      </c>
      <c r="H432" s="167">
        <v>135000</v>
      </c>
      <c r="I432" s="10">
        <v>65400</v>
      </c>
      <c r="J432" s="76">
        <f t="shared" ref="J432:J438" si="554">AVERAGE(G432,I432)</f>
        <v>66450</v>
      </c>
      <c r="K432" s="24">
        <f t="shared" ref="K432:K438" si="555">J432-F432</f>
        <v>13643</v>
      </c>
      <c r="L432" s="281">
        <f t="shared" ref="L432:L438" si="556">+K432/F432</f>
        <v>0.2583558997860132</v>
      </c>
      <c r="M432" s="431">
        <f t="shared" ref="M432:M438" si="557">H432</f>
        <v>135000</v>
      </c>
      <c r="N432" s="410">
        <v>45886</v>
      </c>
      <c r="O432" s="10">
        <v>115000</v>
      </c>
      <c r="P432" s="10">
        <v>130000</v>
      </c>
      <c r="Q432" s="268">
        <v>125000</v>
      </c>
      <c r="R432" s="10">
        <v>120000</v>
      </c>
      <c r="S432" s="76">
        <f t="shared" ref="S432" si="558">AVERAGE(O432,P432,Q432,R432)</f>
        <v>122500</v>
      </c>
      <c r="T432" s="24">
        <f t="shared" ref="T432" si="559">S432-N432</f>
        <v>76614</v>
      </c>
      <c r="U432" s="281">
        <f t="shared" ref="U432" si="560">+T432/N432</f>
        <v>1.6696595911607026</v>
      </c>
      <c r="V432" s="462">
        <f t="shared" ref="V432" si="561">S432</f>
        <v>122500</v>
      </c>
      <c r="W432" s="410"/>
      <c r="X432" s="39"/>
      <c r="Y432" s="42"/>
      <c r="Z432" s="472"/>
      <c r="AA432" s="76"/>
      <c r="AB432" s="24"/>
      <c r="AC432" s="25"/>
      <c r="AD432" s="309"/>
      <c r="AE432" s="462"/>
      <c r="AF432" s="410">
        <v>50984</v>
      </c>
      <c r="AG432" s="45">
        <v>98000</v>
      </c>
      <c r="AH432" s="45">
        <v>62189</v>
      </c>
      <c r="AI432" s="45">
        <v>75000</v>
      </c>
      <c r="AJ432" s="76">
        <f t="shared" ref="AJ432" si="562">AVERAGE(AG432,AH432,AI432)</f>
        <v>78396.333333333328</v>
      </c>
      <c r="AK432" s="24">
        <f t="shared" ref="AK432" si="563">AJ432-AF432</f>
        <v>27412.333333333328</v>
      </c>
      <c r="AL432" s="281">
        <f t="shared" ref="AL432" si="564">+AK432/AF432</f>
        <v>0.53766541137088752</v>
      </c>
      <c r="AM432" s="462">
        <f t="shared" ref="AM432" si="565">AJ432</f>
        <v>78396.333333333328</v>
      </c>
      <c r="AN432" s="513"/>
      <c r="AO432" s="88"/>
      <c r="AP432" s="116"/>
      <c r="AQ432" s="74"/>
      <c r="AR432" s="76"/>
      <c r="AS432" s="24"/>
      <c r="AT432" s="25"/>
      <c r="AU432" s="309"/>
      <c r="AV432" s="462"/>
      <c r="AW432" s="513"/>
      <c r="AX432" s="74"/>
      <c r="AY432" s="74"/>
      <c r="AZ432" s="75"/>
      <c r="BA432" s="61"/>
      <c r="BB432" s="60"/>
      <c r="BC432" s="74"/>
      <c r="BD432" s="79"/>
      <c r="BE432" s="79"/>
      <c r="BF432" s="127"/>
      <c r="BG432" s="128"/>
      <c r="BH432" s="128"/>
      <c r="BI432" s="76"/>
      <c r="BJ432" s="24"/>
      <c r="BK432" s="25"/>
      <c r="BL432" s="259"/>
      <c r="BM432" s="533"/>
    </row>
    <row r="433" spans="1:65" ht="35.450000000000003" customHeight="1">
      <c r="A433" s="91"/>
      <c r="B433" s="358" t="s">
        <v>2624</v>
      </c>
      <c r="C433" s="50" t="s">
        <v>1665</v>
      </c>
      <c r="D433" s="177" t="s">
        <v>974</v>
      </c>
      <c r="E433" s="385" t="s">
        <v>10</v>
      </c>
      <c r="F433" s="410">
        <v>12540</v>
      </c>
      <c r="G433" s="10">
        <v>700</v>
      </c>
      <c r="H433" s="167">
        <v>2100</v>
      </c>
      <c r="I433" s="10">
        <v>12500</v>
      </c>
      <c r="J433" s="76">
        <f t="shared" si="554"/>
        <v>6600</v>
      </c>
      <c r="K433" s="24">
        <f t="shared" si="555"/>
        <v>-5940</v>
      </c>
      <c r="L433" s="281">
        <f t="shared" si="556"/>
        <v>-0.47368421052631576</v>
      </c>
      <c r="M433" s="431">
        <f t="shared" si="557"/>
        <v>2100</v>
      </c>
      <c r="N433" s="443"/>
      <c r="O433" s="250"/>
      <c r="P433" s="250"/>
      <c r="Q433" s="250"/>
      <c r="R433" s="250"/>
      <c r="S433" s="250"/>
      <c r="T433" s="250"/>
      <c r="U433" s="250"/>
      <c r="V433" s="443"/>
      <c r="W433" s="410"/>
      <c r="X433" s="39"/>
      <c r="Y433" s="42"/>
      <c r="Z433" s="472"/>
      <c r="AA433" s="76"/>
      <c r="AB433" s="24"/>
      <c r="AC433" s="25"/>
      <c r="AD433" s="309"/>
      <c r="AE433" s="462"/>
      <c r="AF433" s="408"/>
      <c r="AG433" s="293"/>
      <c r="AH433" s="293"/>
      <c r="AI433" s="293"/>
      <c r="AJ433" s="293"/>
      <c r="AK433" s="293"/>
      <c r="AL433" s="327"/>
      <c r="AM433" s="463"/>
      <c r="AN433" s="513"/>
      <c r="AO433" s="88"/>
      <c r="AP433" s="116"/>
      <c r="AQ433" s="74"/>
      <c r="AR433" s="76"/>
      <c r="AS433" s="24"/>
      <c r="AT433" s="25"/>
      <c r="AU433" s="309"/>
      <c r="AV433" s="462"/>
      <c r="AW433" s="513"/>
      <c r="AX433" s="74"/>
      <c r="AY433" s="74"/>
      <c r="AZ433" s="75"/>
      <c r="BA433" s="61"/>
      <c r="BB433" s="60"/>
      <c r="BC433" s="74"/>
      <c r="BD433" s="79"/>
      <c r="BE433" s="79"/>
      <c r="BF433" s="127"/>
      <c r="BG433" s="128"/>
      <c r="BH433" s="128"/>
      <c r="BI433" s="76"/>
      <c r="BJ433" s="24"/>
      <c r="BK433" s="25"/>
      <c r="BL433" s="259"/>
      <c r="BM433" s="533"/>
    </row>
    <row r="434" spans="1:65" ht="35.450000000000003" customHeight="1">
      <c r="A434" s="91"/>
      <c r="B434" s="358" t="s">
        <v>2625</v>
      </c>
      <c r="C434" s="50" t="s">
        <v>1666</v>
      </c>
      <c r="D434" s="177" t="s">
        <v>975</v>
      </c>
      <c r="E434" s="385" t="s">
        <v>13</v>
      </c>
      <c r="F434" s="410">
        <v>74944</v>
      </c>
      <c r="G434" s="10"/>
      <c r="H434" s="167">
        <v>3000</v>
      </c>
      <c r="I434" s="10">
        <v>30200</v>
      </c>
      <c r="J434" s="76">
        <f t="shared" si="554"/>
        <v>30200</v>
      </c>
      <c r="K434" s="24">
        <f t="shared" si="555"/>
        <v>-44744</v>
      </c>
      <c r="L434" s="281">
        <f t="shared" si="556"/>
        <v>-0.59703245089666956</v>
      </c>
      <c r="M434" s="431">
        <f t="shared" si="557"/>
        <v>3000</v>
      </c>
      <c r="N434" s="443"/>
      <c r="O434" s="250"/>
      <c r="P434" s="250"/>
      <c r="Q434" s="250"/>
      <c r="R434" s="250"/>
      <c r="S434" s="250"/>
      <c r="T434" s="250"/>
      <c r="U434" s="250"/>
      <c r="V434" s="443"/>
      <c r="W434" s="410"/>
      <c r="X434" s="39"/>
      <c r="Y434" s="42"/>
      <c r="Z434" s="472"/>
      <c r="AA434" s="76"/>
      <c r="AB434" s="24"/>
      <c r="AC434" s="25"/>
      <c r="AD434" s="309"/>
      <c r="AE434" s="462"/>
      <c r="AF434" s="408"/>
      <c r="AG434" s="293"/>
      <c r="AH434" s="293"/>
      <c r="AI434" s="293"/>
      <c r="AJ434" s="293"/>
      <c r="AK434" s="293"/>
      <c r="AL434" s="327"/>
      <c r="AM434" s="463"/>
      <c r="AN434" s="513"/>
      <c r="AO434" s="88"/>
      <c r="AP434" s="116"/>
      <c r="AQ434" s="74"/>
      <c r="AR434" s="76"/>
      <c r="AS434" s="24"/>
      <c r="AT434" s="25"/>
      <c r="AU434" s="309"/>
      <c r="AV434" s="462"/>
      <c r="AW434" s="513"/>
      <c r="AX434" s="74"/>
      <c r="AY434" s="74"/>
      <c r="AZ434" s="75"/>
      <c r="BA434" s="61"/>
      <c r="BB434" s="60"/>
      <c r="BC434" s="74"/>
      <c r="BD434" s="79"/>
      <c r="BE434" s="79"/>
      <c r="BF434" s="127"/>
      <c r="BG434" s="128"/>
      <c r="BH434" s="128"/>
      <c r="BI434" s="76"/>
      <c r="BJ434" s="24"/>
      <c r="BK434" s="25"/>
      <c r="BL434" s="259"/>
      <c r="BM434" s="533"/>
    </row>
    <row r="435" spans="1:65" ht="62.1" customHeight="1">
      <c r="A435" s="91"/>
      <c r="B435" s="358" t="s">
        <v>2626</v>
      </c>
      <c r="C435" s="50" t="s">
        <v>1667</v>
      </c>
      <c r="D435" s="177" t="s">
        <v>976</v>
      </c>
      <c r="E435" s="385" t="s">
        <v>10</v>
      </c>
      <c r="F435" s="410">
        <v>707641</v>
      </c>
      <c r="G435" s="10"/>
      <c r="H435" s="167">
        <v>560000</v>
      </c>
      <c r="I435" s="10">
        <v>450000</v>
      </c>
      <c r="J435" s="76">
        <f t="shared" si="554"/>
        <v>450000</v>
      </c>
      <c r="K435" s="24">
        <f t="shared" si="555"/>
        <v>-257641</v>
      </c>
      <c r="L435" s="281">
        <f t="shared" si="556"/>
        <v>-0.3640843308965987</v>
      </c>
      <c r="M435" s="431">
        <f t="shared" si="557"/>
        <v>560000</v>
      </c>
      <c r="N435" s="443"/>
      <c r="O435" s="250"/>
      <c r="P435" s="250"/>
      <c r="Q435" s="250"/>
      <c r="R435" s="250"/>
      <c r="S435" s="250"/>
      <c r="T435" s="250"/>
      <c r="U435" s="250"/>
      <c r="V435" s="443"/>
      <c r="W435" s="410"/>
      <c r="X435" s="39"/>
      <c r="Y435" s="42"/>
      <c r="Z435" s="472"/>
      <c r="AA435" s="76"/>
      <c r="AB435" s="24"/>
      <c r="AC435" s="25"/>
      <c r="AD435" s="309"/>
      <c r="AE435" s="462"/>
      <c r="AF435" s="408"/>
      <c r="AG435" s="293"/>
      <c r="AH435" s="293"/>
      <c r="AI435" s="293"/>
      <c r="AJ435" s="293"/>
      <c r="AK435" s="293"/>
      <c r="AL435" s="327"/>
      <c r="AM435" s="463"/>
      <c r="AN435" s="513"/>
      <c r="AO435" s="88"/>
      <c r="AP435" s="116"/>
      <c r="AQ435" s="74"/>
      <c r="AR435" s="76"/>
      <c r="AS435" s="24"/>
      <c r="AT435" s="25"/>
      <c r="AU435" s="309"/>
      <c r="AV435" s="462"/>
      <c r="AW435" s="513"/>
      <c r="AX435" s="74"/>
      <c r="AY435" s="74"/>
      <c r="AZ435" s="75"/>
      <c r="BA435" s="61"/>
      <c r="BB435" s="60"/>
      <c r="BC435" s="74"/>
      <c r="BD435" s="79"/>
      <c r="BE435" s="79"/>
      <c r="BF435" s="127"/>
      <c r="BG435" s="128"/>
      <c r="BH435" s="128"/>
      <c r="BI435" s="76"/>
      <c r="BJ435" s="24"/>
      <c r="BK435" s="25"/>
      <c r="BL435" s="259"/>
      <c r="BM435" s="533"/>
    </row>
    <row r="436" spans="1:65" ht="66.95" customHeight="1">
      <c r="A436" s="91"/>
      <c r="B436" s="358" t="s">
        <v>2627</v>
      </c>
      <c r="C436" s="50" t="s">
        <v>1668</v>
      </c>
      <c r="D436" s="177" t="s">
        <v>977</v>
      </c>
      <c r="E436" s="385" t="s">
        <v>10</v>
      </c>
      <c r="F436" s="410">
        <v>843847</v>
      </c>
      <c r="G436" s="10"/>
      <c r="H436" s="167">
        <v>550000</v>
      </c>
      <c r="I436" s="60">
        <v>560000</v>
      </c>
      <c r="J436" s="76">
        <f t="shared" si="554"/>
        <v>560000</v>
      </c>
      <c r="K436" s="24">
        <f t="shared" si="555"/>
        <v>-283847</v>
      </c>
      <c r="L436" s="281">
        <f t="shared" si="556"/>
        <v>-0.33637258886978327</v>
      </c>
      <c r="M436" s="431">
        <f t="shared" si="557"/>
        <v>550000</v>
      </c>
      <c r="N436" s="443"/>
      <c r="O436" s="250"/>
      <c r="P436" s="250"/>
      <c r="Q436" s="250"/>
      <c r="R436" s="250"/>
      <c r="S436" s="250"/>
      <c r="T436" s="250"/>
      <c r="U436" s="250"/>
      <c r="V436" s="443"/>
      <c r="W436" s="410"/>
      <c r="X436" s="39"/>
      <c r="Y436" s="42"/>
      <c r="Z436" s="472"/>
      <c r="AA436" s="76"/>
      <c r="AB436" s="24"/>
      <c r="AC436" s="25"/>
      <c r="AD436" s="309"/>
      <c r="AE436" s="462"/>
      <c r="AF436" s="408"/>
      <c r="AG436" s="293"/>
      <c r="AH436" s="293"/>
      <c r="AI436" s="293"/>
      <c r="AJ436" s="293"/>
      <c r="AK436" s="293"/>
      <c r="AL436" s="327"/>
      <c r="AM436" s="463"/>
      <c r="AN436" s="513"/>
      <c r="AO436" s="88"/>
      <c r="AP436" s="116"/>
      <c r="AQ436" s="74"/>
      <c r="AR436" s="76"/>
      <c r="AS436" s="24"/>
      <c r="AT436" s="25"/>
      <c r="AU436" s="309"/>
      <c r="AV436" s="462"/>
      <c r="AW436" s="513"/>
      <c r="AX436" s="74"/>
      <c r="AY436" s="74"/>
      <c r="AZ436" s="75"/>
      <c r="BA436" s="61"/>
      <c r="BB436" s="60"/>
      <c r="BC436" s="74"/>
      <c r="BD436" s="79"/>
      <c r="BE436" s="79"/>
      <c r="BF436" s="127"/>
      <c r="BG436" s="128"/>
      <c r="BH436" s="128"/>
      <c r="BI436" s="76"/>
      <c r="BJ436" s="24"/>
      <c r="BK436" s="25"/>
      <c r="BL436" s="259"/>
      <c r="BM436" s="533"/>
    </row>
    <row r="437" spans="1:65" ht="35.450000000000003" customHeight="1">
      <c r="A437" s="91"/>
      <c r="B437" s="358" t="s">
        <v>2628</v>
      </c>
      <c r="C437" s="50" t="s">
        <v>1669</v>
      </c>
      <c r="D437" s="177" t="s">
        <v>978</v>
      </c>
      <c r="E437" s="385" t="s">
        <v>10</v>
      </c>
      <c r="F437" s="410">
        <v>100326</v>
      </c>
      <c r="G437" s="10"/>
      <c r="H437" s="167">
        <v>450000</v>
      </c>
      <c r="I437" s="10">
        <v>150000</v>
      </c>
      <c r="J437" s="76">
        <f t="shared" si="554"/>
        <v>150000</v>
      </c>
      <c r="K437" s="24">
        <f t="shared" si="555"/>
        <v>49674</v>
      </c>
      <c r="L437" s="281">
        <f t="shared" si="556"/>
        <v>0.49512588959990433</v>
      </c>
      <c r="M437" s="431">
        <f t="shared" si="557"/>
        <v>450000</v>
      </c>
      <c r="N437" s="443"/>
      <c r="O437" s="250"/>
      <c r="P437" s="250"/>
      <c r="Q437" s="250"/>
      <c r="R437" s="250"/>
      <c r="S437" s="250"/>
      <c r="T437" s="250"/>
      <c r="U437" s="250"/>
      <c r="V437" s="443"/>
      <c r="W437" s="410"/>
      <c r="X437" s="39"/>
      <c r="Y437" s="42"/>
      <c r="Z437" s="472"/>
      <c r="AA437" s="76"/>
      <c r="AB437" s="24"/>
      <c r="AC437" s="25"/>
      <c r="AD437" s="309"/>
      <c r="AE437" s="462"/>
      <c r="AF437" s="408"/>
      <c r="AG437" s="293"/>
      <c r="AH437" s="293"/>
      <c r="AI437" s="293"/>
      <c r="AJ437" s="293"/>
      <c r="AK437" s="293"/>
      <c r="AL437" s="327"/>
      <c r="AM437" s="463"/>
      <c r="AN437" s="513"/>
      <c r="AO437" s="88"/>
      <c r="AP437" s="116"/>
      <c r="AQ437" s="74"/>
      <c r="AR437" s="76"/>
      <c r="AS437" s="24"/>
      <c r="AT437" s="25"/>
      <c r="AU437" s="309"/>
      <c r="AV437" s="462"/>
      <c r="AW437" s="513"/>
      <c r="AX437" s="74"/>
      <c r="AY437" s="74"/>
      <c r="AZ437" s="75"/>
      <c r="BA437" s="61"/>
      <c r="BB437" s="60"/>
      <c r="BC437" s="74"/>
      <c r="BD437" s="79"/>
      <c r="BE437" s="79"/>
      <c r="BF437" s="127"/>
      <c r="BG437" s="128"/>
      <c r="BH437" s="128"/>
      <c r="BI437" s="76"/>
      <c r="BJ437" s="24"/>
      <c r="BK437" s="25"/>
      <c r="BL437" s="259"/>
      <c r="BM437" s="533"/>
    </row>
    <row r="438" spans="1:65" ht="35.450000000000003" customHeight="1">
      <c r="A438" s="91"/>
      <c r="B438" s="358" t="s">
        <v>2629</v>
      </c>
      <c r="C438" s="50" t="s">
        <v>1670</v>
      </c>
      <c r="D438" s="177" t="s">
        <v>979</v>
      </c>
      <c r="E438" s="385" t="s">
        <v>13</v>
      </c>
      <c r="F438" s="410">
        <v>11753</v>
      </c>
      <c r="G438" s="10"/>
      <c r="H438" s="167">
        <v>350000</v>
      </c>
      <c r="I438" s="10">
        <v>124000</v>
      </c>
      <c r="J438" s="76">
        <f t="shared" si="554"/>
        <v>124000</v>
      </c>
      <c r="K438" s="24">
        <f t="shared" si="555"/>
        <v>112247</v>
      </c>
      <c r="L438" s="281">
        <f t="shared" si="556"/>
        <v>9.5504977452565303</v>
      </c>
      <c r="M438" s="431">
        <f t="shared" si="557"/>
        <v>350000</v>
      </c>
      <c r="N438" s="443"/>
      <c r="O438" s="250"/>
      <c r="P438" s="250"/>
      <c r="Q438" s="250"/>
      <c r="R438" s="250"/>
      <c r="S438" s="250"/>
      <c r="T438" s="250"/>
      <c r="U438" s="250"/>
      <c r="V438" s="443"/>
      <c r="W438" s="410"/>
      <c r="X438" s="39"/>
      <c r="Y438" s="42"/>
      <c r="Z438" s="472"/>
      <c r="AA438" s="76"/>
      <c r="AB438" s="24"/>
      <c r="AC438" s="25"/>
      <c r="AD438" s="309"/>
      <c r="AE438" s="462"/>
      <c r="AF438" s="408"/>
      <c r="AG438" s="293"/>
      <c r="AH438" s="293"/>
      <c r="AI438" s="293"/>
      <c r="AJ438" s="293"/>
      <c r="AK438" s="293"/>
      <c r="AL438" s="327"/>
      <c r="AM438" s="463"/>
      <c r="AN438" s="513"/>
      <c r="AO438" s="88"/>
      <c r="AP438" s="116"/>
      <c r="AQ438" s="74"/>
      <c r="AR438" s="76"/>
      <c r="AS438" s="24"/>
      <c r="AT438" s="25"/>
      <c r="AU438" s="309"/>
      <c r="AV438" s="462"/>
      <c r="AW438" s="513"/>
      <c r="AX438" s="74"/>
      <c r="AY438" s="74"/>
      <c r="AZ438" s="75"/>
      <c r="BA438" s="61"/>
      <c r="BB438" s="60"/>
      <c r="BC438" s="74"/>
      <c r="BD438" s="79"/>
      <c r="BE438" s="79"/>
      <c r="BF438" s="127"/>
      <c r="BG438" s="128"/>
      <c r="BH438" s="128"/>
      <c r="BI438" s="76"/>
      <c r="BJ438" s="24"/>
      <c r="BK438" s="25"/>
      <c r="BL438" s="259"/>
      <c r="BM438" s="533"/>
    </row>
    <row r="439" spans="1:65" ht="83.1" customHeight="1">
      <c r="A439" s="91"/>
      <c r="B439" s="358" t="s">
        <v>2630</v>
      </c>
      <c r="C439" s="50" t="s">
        <v>1681</v>
      </c>
      <c r="D439" s="264" t="s">
        <v>1671</v>
      </c>
      <c r="E439" s="394" t="s">
        <v>1399</v>
      </c>
      <c r="F439" s="410"/>
      <c r="G439" s="10"/>
      <c r="H439" s="167"/>
      <c r="I439" s="10"/>
      <c r="J439" s="76"/>
      <c r="K439" s="24"/>
      <c r="L439" s="281"/>
      <c r="M439" s="431"/>
      <c r="N439" s="410">
        <v>35568</v>
      </c>
      <c r="O439" s="10">
        <v>78000</v>
      </c>
      <c r="P439" s="10">
        <v>85000</v>
      </c>
      <c r="Q439" s="268">
        <v>82000</v>
      </c>
      <c r="R439" s="10">
        <v>80000</v>
      </c>
      <c r="S439" s="76">
        <f t="shared" ref="S439:S448" si="566">AVERAGE(O439,P439,Q439,R439)</f>
        <v>81250</v>
      </c>
      <c r="T439" s="24">
        <f t="shared" ref="T439:T447" si="567">S439-N439</f>
        <v>45682</v>
      </c>
      <c r="U439" s="281">
        <f t="shared" ref="U439:U447" si="568">+T439/N439</f>
        <v>1.2843567251461989</v>
      </c>
      <c r="V439" s="462">
        <f t="shared" ref="V439:V448" si="569">S439</f>
        <v>81250</v>
      </c>
      <c r="W439" s="410"/>
      <c r="X439" s="39"/>
      <c r="Y439" s="42"/>
      <c r="Z439" s="472"/>
      <c r="AA439" s="76"/>
      <c r="AB439" s="24"/>
      <c r="AC439" s="25"/>
      <c r="AD439" s="309"/>
      <c r="AE439" s="462"/>
      <c r="AF439" s="408"/>
      <c r="AG439" s="293"/>
      <c r="AH439" s="293"/>
      <c r="AI439" s="293"/>
      <c r="AJ439" s="293"/>
      <c r="AK439" s="293"/>
      <c r="AL439" s="327"/>
      <c r="AM439" s="463"/>
      <c r="AN439" s="513"/>
      <c r="AO439" s="88"/>
      <c r="AP439" s="116"/>
      <c r="AQ439" s="74"/>
      <c r="AR439" s="76"/>
      <c r="AS439" s="24"/>
      <c r="AT439" s="25"/>
      <c r="AU439" s="309"/>
      <c r="AV439" s="462"/>
      <c r="AW439" s="513"/>
      <c r="AX439" s="74"/>
      <c r="AY439" s="74"/>
      <c r="AZ439" s="75"/>
      <c r="BA439" s="61"/>
      <c r="BB439" s="60"/>
      <c r="BC439" s="74"/>
      <c r="BD439" s="79"/>
      <c r="BE439" s="79"/>
      <c r="BF439" s="127"/>
      <c r="BG439" s="128"/>
      <c r="BH439" s="128"/>
      <c r="BI439" s="76"/>
      <c r="BJ439" s="24"/>
      <c r="BK439" s="25"/>
      <c r="BL439" s="259"/>
      <c r="BM439" s="533"/>
    </row>
    <row r="440" spans="1:65" ht="78.95" customHeight="1">
      <c r="A440" s="91"/>
      <c r="B440" s="358" t="s">
        <v>2631</v>
      </c>
      <c r="C440" s="50" t="s">
        <v>1682</v>
      </c>
      <c r="D440" s="264" t="s">
        <v>1672</v>
      </c>
      <c r="E440" s="394" t="s">
        <v>1399</v>
      </c>
      <c r="F440" s="410"/>
      <c r="G440" s="10"/>
      <c r="H440" s="167"/>
      <c r="I440" s="10"/>
      <c r="J440" s="76"/>
      <c r="K440" s="24"/>
      <c r="L440" s="281"/>
      <c r="M440" s="431"/>
      <c r="N440" s="410">
        <v>114364</v>
      </c>
      <c r="O440" s="10">
        <v>132000</v>
      </c>
      <c r="P440" s="10">
        <v>142000</v>
      </c>
      <c r="Q440" s="268">
        <v>137000</v>
      </c>
      <c r="R440" s="10">
        <v>145000</v>
      </c>
      <c r="S440" s="76">
        <f t="shared" si="566"/>
        <v>139000</v>
      </c>
      <c r="T440" s="24">
        <f t="shared" si="567"/>
        <v>24636</v>
      </c>
      <c r="U440" s="281">
        <f t="shared" si="568"/>
        <v>0.21541743905424784</v>
      </c>
      <c r="V440" s="462">
        <f t="shared" si="569"/>
        <v>139000</v>
      </c>
      <c r="W440" s="410"/>
      <c r="X440" s="39"/>
      <c r="Y440" s="42"/>
      <c r="Z440" s="472"/>
      <c r="AA440" s="76"/>
      <c r="AB440" s="24"/>
      <c r="AC440" s="25"/>
      <c r="AD440" s="309"/>
      <c r="AE440" s="462"/>
      <c r="AF440" s="408"/>
      <c r="AG440" s="293"/>
      <c r="AH440" s="293"/>
      <c r="AI440" s="293"/>
      <c r="AJ440" s="293"/>
      <c r="AK440" s="293"/>
      <c r="AL440" s="327"/>
      <c r="AM440" s="463"/>
      <c r="AN440" s="513"/>
      <c r="AO440" s="88"/>
      <c r="AP440" s="116"/>
      <c r="AQ440" s="74"/>
      <c r="AR440" s="76"/>
      <c r="AS440" s="24"/>
      <c r="AT440" s="25"/>
      <c r="AU440" s="309"/>
      <c r="AV440" s="462"/>
      <c r="AW440" s="513"/>
      <c r="AX440" s="74"/>
      <c r="AY440" s="74"/>
      <c r="AZ440" s="75"/>
      <c r="BA440" s="61"/>
      <c r="BB440" s="60"/>
      <c r="BC440" s="74"/>
      <c r="BD440" s="79"/>
      <c r="BE440" s="79"/>
      <c r="BF440" s="127"/>
      <c r="BG440" s="128"/>
      <c r="BH440" s="128"/>
      <c r="BI440" s="76"/>
      <c r="BJ440" s="24"/>
      <c r="BK440" s="25"/>
      <c r="BL440" s="259"/>
      <c r="BM440" s="533"/>
    </row>
    <row r="441" spans="1:65" ht="90" customHeight="1">
      <c r="A441" s="91"/>
      <c r="B441" s="358" t="s">
        <v>2632</v>
      </c>
      <c r="C441" s="50" t="s">
        <v>1683</v>
      </c>
      <c r="D441" s="264" t="s">
        <v>1673</v>
      </c>
      <c r="E441" s="394" t="s">
        <v>1399</v>
      </c>
      <c r="F441" s="410"/>
      <c r="G441" s="10"/>
      <c r="H441" s="167"/>
      <c r="I441" s="10"/>
      <c r="J441" s="76"/>
      <c r="K441" s="24"/>
      <c r="L441" s="281"/>
      <c r="M441" s="431"/>
      <c r="N441" s="410">
        <v>34828</v>
      </c>
      <c r="O441" s="10">
        <v>138000</v>
      </c>
      <c r="P441" s="10">
        <v>145000</v>
      </c>
      <c r="Q441" s="268">
        <v>137000</v>
      </c>
      <c r="R441" s="10">
        <v>145000</v>
      </c>
      <c r="S441" s="76">
        <f t="shared" si="566"/>
        <v>141250</v>
      </c>
      <c r="T441" s="24">
        <f t="shared" si="567"/>
        <v>106422</v>
      </c>
      <c r="U441" s="281">
        <f t="shared" si="568"/>
        <v>3.0556448834271275</v>
      </c>
      <c r="V441" s="462">
        <f t="shared" si="569"/>
        <v>141250</v>
      </c>
      <c r="W441" s="410"/>
      <c r="X441" s="39"/>
      <c r="Y441" s="42"/>
      <c r="Z441" s="472"/>
      <c r="AA441" s="76"/>
      <c r="AB441" s="24"/>
      <c r="AC441" s="25"/>
      <c r="AD441" s="309"/>
      <c r="AE441" s="462"/>
      <c r="AF441" s="408"/>
      <c r="AG441" s="293"/>
      <c r="AH441" s="293"/>
      <c r="AI441" s="293"/>
      <c r="AJ441" s="293"/>
      <c r="AK441" s="293"/>
      <c r="AL441" s="327"/>
      <c r="AM441" s="463"/>
      <c r="AN441" s="513"/>
      <c r="AO441" s="88"/>
      <c r="AP441" s="116"/>
      <c r="AQ441" s="74"/>
      <c r="AR441" s="76"/>
      <c r="AS441" s="24"/>
      <c r="AT441" s="25"/>
      <c r="AU441" s="309"/>
      <c r="AV441" s="462"/>
      <c r="AW441" s="513"/>
      <c r="AX441" s="74"/>
      <c r="AY441" s="74"/>
      <c r="AZ441" s="75"/>
      <c r="BA441" s="61"/>
      <c r="BB441" s="60"/>
      <c r="BC441" s="74"/>
      <c r="BD441" s="79"/>
      <c r="BE441" s="79"/>
      <c r="BF441" s="127"/>
      <c r="BG441" s="128"/>
      <c r="BH441" s="128"/>
      <c r="BI441" s="76"/>
      <c r="BJ441" s="24"/>
      <c r="BK441" s="25"/>
      <c r="BL441" s="259"/>
      <c r="BM441" s="533"/>
    </row>
    <row r="442" spans="1:65" ht="90" customHeight="1">
      <c r="A442" s="91"/>
      <c r="B442" s="358" t="s">
        <v>2633</v>
      </c>
      <c r="C442" s="50" t="s">
        <v>1684</v>
      </c>
      <c r="D442" s="264" t="s">
        <v>1674</v>
      </c>
      <c r="E442" s="394" t="s">
        <v>1399</v>
      </c>
      <c r="F442" s="410"/>
      <c r="G442" s="10"/>
      <c r="H442" s="167"/>
      <c r="I442" s="10"/>
      <c r="J442" s="76"/>
      <c r="K442" s="24"/>
      <c r="L442" s="281"/>
      <c r="M442" s="431"/>
      <c r="N442" s="410">
        <v>36831</v>
      </c>
      <c r="O442" s="10">
        <v>142000</v>
      </c>
      <c r="P442" s="10">
        <v>142000</v>
      </c>
      <c r="Q442" s="268">
        <v>145000</v>
      </c>
      <c r="R442" s="10">
        <v>145000</v>
      </c>
      <c r="S442" s="76">
        <f t="shared" si="566"/>
        <v>143500</v>
      </c>
      <c r="T442" s="24">
        <f t="shared" si="567"/>
        <v>106669</v>
      </c>
      <c r="U442" s="281">
        <f t="shared" si="568"/>
        <v>2.8961744182889415</v>
      </c>
      <c r="V442" s="462">
        <f t="shared" si="569"/>
        <v>143500</v>
      </c>
      <c r="W442" s="410"/>
      <c r="X442" s="39"/>
      <c r="Y442" s="42"/>
      <c r="Z442" s="472"/>
      <c r="AA442" s="76"/>
      <c r="AB442" s="24"/>
      <c r="AC442" s="25"/>
      <c r="AD442" s="309"/>
      <c r="AE442" s="462"/>
      <c r="AF442" s="408"/>
      <c r="AG442" s="293"/>
      <c r="AH442" s="293"/>
      <c r="AI442" s="293"/>
      <c r="AJ442" s="293"/>
      <c r="AK442" s="293"/>
      <c r="AL442" s="327"/>
      <c r="AM442" s="463"/>
      <c r="AN442" s="513"/>
      <c r="AO442" s="88"/>
      <c r="AP442" s="116"/>
      <c r="AQ442" s="74"/>
      <c r="AR442" s="76"/>
      <c r="AS442" s="24"/>
      <c r="AT442" s="25"/>
      <c r="AU442" s="309"/>
      <c r="AV442" s="462"/>
      <c r="AW442" s="513"/>
      <c r="AX442" s="74"/>
      <c r="AY442" s="74"/>
      <c r="AZ442" s="75"/>
      <c r="BA442" s="61"/>
      <c r="BB442" s="60"/>
      <c r="BC442" s="74"/>
      <c r="BD442" s="79"/>
      <c r="BE442" s="79"/>
      <c r="BF442" s="127"/>
      <c r="BG442" s="128"/>
      <c r="BH442" s="128"/>
      <c r="BI442" s="76"/>
      <c r="BJ442" s="24"/>
      <c r="BK442" s="25"/>
      <c r="BL442" s="259"/>
      <c r="BM442" s="533"/>
    </row>
    <row r="443" spans="1:65" ht="90" customHeight="1">
      <c r="A443" s="91"/>
      <c r="B443" s="358" t="s">
        <v>2634</v>
      </c>
      <c r="C443" s="50" t="s">
        <v>1685</v>
      </c>
      <c r="D443" s="264" t="s">
        <v>1675</v>
      </c>
      <c r="E443" s="394" t="s">
        <v>1399</v>
      </c>
      <c r="F443" s="410"/>
      <c r="G443" s="10"/>
      <c r="H443" s="167"/>
      <c r="I443" s="10"/>
      <c r="J443" s="76"/>
      <c r="K443" s="24"/>
      <c r="L443" s="281"/>
      <c r="M443" s="431"/>
      <c r="N443" s="410">
        <v>97440</v>
      </c>
      <c r="O443" s="10">
        <v>132000</v>
      </c>
      <c r="P443" s="10">
        <v>142000</v>
      </c>
      <c r="Q443" s="268">
        <v>140000</v>
      </c>
      <c r="R443" s="10">
        <v>150000</v>
      </c>
      <c r="S443" s="76">
        <f t="shared" si="566"/>
        <v>141000</v>
      </c>
      <c r="T443" s="24">
        <f t="shared" si="567"/>
        <v>43560</v>
      </c>
      <c r="U443" s="281">
        <f t="shared" si="568"/>
        <v>0.44704433497536944</v>
      </c>
      <c r="V443" s="462">
        <f t="shared" si="569"/>
        <v>141000</v>
      </c>
      <c r="W443" s="410"/>
      <c r="X443" s="39"/>
      <c r="Y443" s="42"/>
      <c r="Z443" s="472"/>
      <c r="AA443" s="76"/>
      <c r="AB443" s="24"/>
      <c r="AC443" s="25"/>
      <c r="AD443" s="309"/>
      <c r="AE443" s="462"/>
      <c r="AF443" s="408"/>
      <c r="AG443" s="293"/>
      <c r="AH443" s="293"/>
      <c r="AI443" s="293"/>
      <c r="AJ443" s="293"/>
      <c r="AK443" s="293"/>
      <c r="AL443" s="327"/>
      <c r="AM443" s="463"/>
      <c r="AN443" s="513"/>
      <c r="AO443" s="88"/>
      <c r="AP443" s="116"/>
      <c r="AQ443" s="74"/>
      <c r="AR443" s="76"/>
      <c r="AS443" s="24"/>
      <c r="AT443" s="25"/>
      <c r="AU443" s="309"/>
      <c r="AV443" s="462"/>
      <c r="AW443" s="513"/>
      <c r="AX443" s="74"/>
      <c r="AY443" s="74"/>
      <c r="AZ443" s="75"/>
      <c r="BA443" s="61"/>
      <c r="BB443" s="60"/>
      <c r="BC443" s="74"/>
      <c r="BD443" s="79"/>
      <c r="BE443" s="79"/>
      <c r="BF443" s="127"/>
      <c r="BG443" s="128"/>
      <c r="BH443" s="128"/>
      <c r="BI443" s="76"/>
      <c r="BJ443" s="24"/>
      <c r="BK443" s="25"/>
      <c r="BL443" s="259"/>
      <c r="BM443" s="533"/>
    </row>
    <row r="444" spans="1:65" ht="90" customHeight="1">
      <c r="A444" s="91"/>
      <c r="B444" s="358" t="s">
        <v>2635</v>
      </c>
      <c r="C444" s="50" t="s">
        <v>1686</v>
      </c>
      <c r="D444" s="264" t="s">
        <v>1676</v>
      </c>
      <c r="E444" s="394" t="s">
        <v>1399</v>
      </c>
      <c r="F444" s="410"/>
      <c r="G444" s="10"/>
      <c r="H444" s="167"/>
      <c r="I444" s="10"/>
      <c r="J444" s="76"/>
      <c r="K444" s="24"/>
      <c r="L444" s="281"/>
      <c r="M444" s="431"/>
      <c r="N444" s="410">
        <v>98835</v>
      </c>
      <c r="O444" s="10">
        <v>145000</v>
      </c>
      <c r="P444" s="10">
        <v>151000</v>
      </c>
      <c r="Q444" s="268">
        <v>148000</v>
      </c>
      <c r="R444" s="10">
        <v>150000</v>
      </c>
      <c r="S444" s="76">
        <f t="shared" si="566"/>
        <v>148500</v>
      </c>
      <c r="T444" s="24">
        <f t="shared" si="567"/>
        <v>49665</v>
      </c>
      <c r="U444" s="281">
        <f t="shared" si="568"/>
        <v>0.5025041736227045</v>
      </c>
      <c r="V444" s="462">
        <f t="shared" si="569"/>
        <v>148500</v>
      </c>
      <c r="W444" s="410"/>
      <c r="X444" s="39"/>
      <c r="Y444" s="42"/>
      <c r="Z444" s="472"/>
      <c r="AA444" s="76"/>
      <c r="AB444" s="24"/>
      <c r="AC444" s="25"/>
      <c r="AD444" s="309"/>
      <c r="AE444" s="462"/>
      <c r="AF444" s="408"/>
      <c r="AG444" s="293"/>
      <c r="AH444" s="293"/>
      <c r="AI444" s="293"/>
      <c r="AJ444" s="293"/>
      <c r="AK444" s="293"/>
      <c r="AL444" s="327"/>
      <c r="AM444" s="463"/>
      <c r="AN444" s="513"/>
      <c r="AO444" s="88"/>
      <c r="AP444" s="116"/>
      <c r="AQ444" s="74"/>
      <c r="AR444" s="76"/>
      <c r="AS444" s="24"/>
      <c r="AT444" s="25"/>
      <c r="AU444" s="309"/>
      <c r="AV444" s="462"/>
      <c r="AW444" s="513"/>
      <c r="AX444" s="74"/>
      <c r="AY444" s="74"/>
      <c r="AZ444" s="75"/>
      <c r="BA444" s="61"/>
      <c r="BB444" s="60"/>
      <c r="BC444" s="74"/>
      <c r="BD444" s="79"/>
      <c r="BE444" s="79"/>
      <c r="BF444" s="127"/>
      <c r="BG444" s="128"/>
      <c r="BH444" s="128"/>
      <c r="BI444" s="76"/>
      <c r="BJ444" s="24"/>
      <c r="BK444" s="25"/>
      <c r="BL444" s="259"/>
      <c r="BM444" s="533"/>
    </row>
    <row r="445" spans="1:65" ht="90" customHeight="1">
      <c r="A445" s="91"/>
      <c r="B445" s="358" t="s">
        <v>2636</v>
      </c>
      <c r="C445" s="50" t="s">
        <v>1687</v>
      </c>
      <c r="D445" s="264" t="s">
        <v>1677</v>
      </c>
      <c r="E445" s="393" t="s">
        <v>827</v>
      </c>
      <c r="F445" s="410"/>
      <c r="G445" s="10"/>
      <c r="H445" s="167"/>
      <c r="I445" s="10"/>
      <c r="J445" s="76"/>
      <c r="K445" s="24"/>
      <c r="L445" s="281"/>
      <c r="M445" s="431"/>
      <c r="N445" s="410">
        <v>90197</v>
      </c>
      <c r="O445" s="10">
        <v>18000</v>
      </c>
      <c r="P445" s="10">
        <v>23000</v>
      </c>
      <c r="Q445" s="268">
        <v>20000</v>
      </c>
      <c r="R445" s="10">
        <v>55000</v>
      </c>
      <c r="S445" s="76">
        <f t="shared" si="566"/>
        <v>29000</v>
      </c>
      <c r="T445" s="24">
        <f t="shared" si="567"/>
        <v>-61197</v>
      </c>
      <c r="U445" s="281">
        <f t="shared" si="568"/>
        <v>-0.67848154594942178</v>
      </c>
      <c r="V445" s="462">
        <f t="shared" si="569"/>
        <v>29000</v>
      </c>
      <c r="W445" s="410"/>
      <c r="X445" s="39"/>
      <c r="Y445" s="42"/>
      <c r="Z445" s="472"/>
      <c r="AA445" s="76"/>
      <c r="AB445" s="24"/>
      <c r="AC445" s="25"/>
      <c r="AD445" s="309"/>
      <c r="AE445" s="462"/>
      <c r="AF445" s="408"/>
      <c r="AG445" s="293"/>
      <c r="AH445" s="293"/>
      <c r="AI445" s="293"/>
      <c r="AJ445" s="293"/>
      <c r="AK445" s="293"/>
      <c r="AL445" s="327"/>
      <c r="AM445" s="463"/>
      <c r="AN445" s="513"/>
      <c r="AO445" s="88"/>
      <c r="AP445" s="116"/>
      <c r="AQ445" s="74"/>
      <c r="AR445" s="76"/>
      <c r="AS445" s="24"/>
      <c r="AT445" s="25"/>
      <c r="AU445" s="309"/>
      <c r="AV445" s="462"/>
      <c r="AW445" s="513"/>
      <c r="AX445" s="74"/>
      <c r="AY445" s="74"/>
      <c r="AZ445" s="75"/>
      <c r="BA445" s="61"/>
      <c r="BB445" s="60"/>
      <c r="BC445" s="74"/>
      <c r="BD445" s="79"/>
      <c r="BE445" s="79"/>
      <c r="BF445" s="127"/>
      <c r="BG445" s="128"/>
      <c r="BH445" s="128"/>
      <c r="BI445" s="76"/>
      <c r="BJ445" s="24"/>
      <c r="BK445" s="25"/>
      <c r="BL445" s="259"/>
      <c r="BM445" s="533"/>
    </row>
    <row r="446" spans="1:65" ht="90" customHeight="1">
      <c r="A446" s="91"/>
      <c r="B446" s="358" t="s">
        <v>2637</v>
      </c>
      <c r="C446" s="50" t="s">
        <v>1688</v>
      </c>
      <c r="D446" s="264" t="s">
        <v>1678</v>
      </c>
      <c r="E446" s="394" t="s">
        <v>1399</v>
      </c>
      <c r="F446" s="410"/>
      <c r="G446" s="10"/>
      <c r="H446" s="167"/>
      <c r="I446" s="10"/>
      <c r="J446" s="76"/>
      <c r="K446" s="24"/>
      <c r="L446" s="281"/>
      <c r="M446" s="431"/>
      <c r="N446" s="410">
        <v>86637</v>
      </c>
      <c r="O446" s="10">
        <v>148000</v>
      </c>
      <c r="P446" s="10">
        <v>155000</v>
      </c>
      <c r="Q446" s="268">
        <v>150000</v>
      </c>
      <c r="R446" s="10">
        <v>145000</v>
      </c>
      <c r="S446" s="76">
        <f t="shared" si="566"/>
        <v>149500</v>
      </c>
      <c r="T446" s="24">
        <f t="shared" si="567"/>
        <v>62863</v>
      </c>
      <c r="U446" s="281">
        <f t="shared" si="568"/>
        <v>0.7255906829645532</v>
      </c>
      <c r="V446" s="462">
        <f t="shared" si="569"/>
        <v>149500</v>
      </c>
      <c r="W446" s="410"/>
      <c r="X446" s="39"/>
      <c r="Y446" s="42"/>
      <c r="Z446" s="472"/>
      <c r="AA446" s="76"/>
      <c r="AB446" s="24"/>
      <c r="AC446" s="25"/>
      <c r="AD446" s="309"/>
      <c r="AE446" s="462"/>
      <c r="AF446" s="408"/>
      <c r="AG446" s="293"/>
      <c r="AH446" s="293"/>
      <c r="AI446" s="293"/>
      <c r="AJ446" s="293"/>
      <c r="AK446" s="293"/>
      <c r="AL446" s="327"/>
      <c r="AM446" s="463"/>
      <c r="AN446" s="513"/>
      <c r="AO446" s="88"/>
      <c r="AP446" s="116"/>
      <c r="AQ446" s="74"/>
      <c r="AR446" s="76"/>
      <c r="AS446" s="24"/>
      <c r="AT446" s="25"/>
      <c r="AU446" s="309"/>
      <c r="AV446" s="462"/>
      <c r="AW446" s="513"/>
      <c r="AX446" s="74"/>
      <c r="AY446" s="74"/>
      <c r="AZ446" s="75"/>
      <c r="BA446" s="61"/>
      <c r="BB446" s="60"/>
      <c r="BC446" s="74"/>
      <c r="BD446" s="79"/>
      <c r="BE446" s="79"/>
      <c r="BF446" s="127"/>
      <c r="BG446" s="128"/>
      <c r="BH446" s="128"/>
      <c r="BI446" s="76"/>
      <c r="BJ446" s="24"/>
      <c r="BK446" s="25"/>
      <c r="BL446" s="259"/>
      <c r="BM446" s="533"/>
    </row>
    <row r="447" spans="1:65" ht="35.450000000000003" customHeight="1">
      <c r="A447" s="91"/>
      <c r="B447" s="358" t="s">
        <v>2638</v>
      </c>
      <c r="C447" s="50" t="s">
        <v>1689</v>
      </c>
      <c r="D447" s="264" t="s">
        <v>1679</v>
      </c>
      <c r="E447" s="394" t="s">
        <v>1399</v>
      </c>
      <c r="F447" s="410"/>
      <c r="G447" s="10"/>
      <c r="H447" s="167"/>
      <c r="I447" s="10"/>
      <c r="J447" s="76"/>
      <c r="K447" s="24"/>
      <c r="L447" s="281"/>
      <c r="M447" s="431"/>
      <c r="N447" s="410">
        <v>223166</v>
      </c>
      <c r="O447" s="10">
        <v>235000</v>
      </c>
      <c r="P447" s="10">
        <v>260000</v>
      </c>
      <c r="Q447" s="268">
        <v>250000</v>
      </c>
      <c r="R447" s="10">
        <v>300000</v>
      </c>
      <c r="S447" s="76">
        <f t="shared" si="566"/>
        <v>261250</v>
      </c>
      <c r="T447" s="24">
        <f t="shared" si="567"/>
        <v>38084</v>
      </c>
      <c r="U447" s="281">
        <f t="shared" si="568"/>
        <v>0.17065323570794835</v>
      </c>
      <c r="V447" s="462">
        <f t="shared" si="569"/>
        <v>261250</v>
      </c>
      <c r="W447" s="410"/>
      <c r="X447" s="39"/>
      <c r="Y447" s="42"/>
      <c r="Z447" s="472"/>
      <c r="AA447" s="76"/>
      <c r="AB447" s="24"/>
      <c r="AC447" s="25"/>
      <c r="AD447" s="309"/>
      <c r="AE447" s="462"/>
      <c r="AF447" s="408"/>
      <c r="AG447" s="293"/>
      <c r="AH447" s="293"/>
      <c r="AI447" s="293"/>
      <c r="AJ447" s="293"/>
      <c r="AK447" s="293"/>
      <c r="AL447" s="327"/>
      <c r="AM447" s="463"/>
      <c r="AN447" s="513"/>
      <c r="AO447" s="88"/>
      <c r="AP447" s="116"/>
      <c r="AQ447" s="74"/>
      <c r="AR447" s="76"/>
      <c r="AS447" s="24"/>
      <c r="AT447" s="25"/>
      <c r="AU447" s="309"/>
      <c r="AV447" s="462"/>
      <c r="AW447" s="513"/>
      <c r="AX447" s="74"/>
      <c r="AY447" s="74"/>
      <c r="AZ447" s="75"/>
      <c r="BA447" s="61"/>
      <c r="BB447" s="60"/>
      <c r="BC447" s="74"/>
      <c r="BD447" s="79"/>
      <c r="BE447" s="79"/>
      <c r="BF447" s="127"/>
      <c r="BG447" s="128"/>
      <c r="BH447" s="128"/>
      <c r="BI447" s="76"/>
      <c r="BJ447" s="24"/>
      <c r="BK447" s="25"/>
      <c r="BL447" s="259"/>
      <c r="BM447" s="533"/>
    </row>
    <row r="448" spans="1:65">
      <c r="A448" s="91"/>
      <c r="B448" s="358" t="s">
        <v>2639</v>
      </c>
      <c r="C448" s="50" t="s">
        <v>1690</v>
      </c>
      <c r="D448" s="264" t="s">
        <v>1680</v>
      </c>
      <c r="E448" s="394" t="s">
        <v>1399</v>
      </c>
      <c r="F448" s="410"/>
      <c r="G448" s="10"/>
      <c r="H448" s="167"/>
      <c r="I448" s="10"/>
      <c r="J448" s="76"/>
      <c r="K448" s="24"/>
      <c r="L448" s="281"/>
      <c r="M448" s="431"/>
      <c r="N448" s="410">
        <v>58321</v>
      </c>
      <c r="O448" s="10"/>
      <c r="P448" s="10"/>
      <c r="Q448" s="268"/>
      <c r="R448" s="10">
        <v>80000</v>
      </c>
      <c r="S448" s="76">
        <f t="shared" si="566"/>
        <v>80000</v>
      </c>
      <c r="T448" s="24"/>
      <c r="U448" s="281"/>
      <c r="V448" s="462">
        <f t="shared" si="569"/>
        <v>80000</v>
      </c>
      <c r="W448" s="410"/>
      <c r="X448" s="39"/>
      <c r="Y448" s="42"/>
      <c r="Z448" s="472"/>
      <c r="AA448" s="76"/>
      <c r="AB448" s="24"/>
      <c r="AC448" s="25"/>
      <c r="AD448" s="309"/>
      <c r="AE448" s="462"/>
      <c r="AF448" s="408"/>
      <c r="AG448" s="293"/>
      <c r="AH448" s="293"/>
      <c r="AI448" s="293"/>
      <c r="AJ448" s="293"/>
      <c r="AK448" s="293"/>
      <c r="AL448" s="327"/>
      <c r="AM448" s="463"/>
      <c r="AN448" s="513"/>
      <c r="AO448" s="88"/>
      <c r="AP448" s="116"/>
      <c r="AQ448" s="74"/>
      <c r="AR448" s="76"/>
      <c r="AS448" s="24"/>
      <c r="AT448" s="25"/>
      <c r="AU448" s="309"/>
      <c r="AV448" s="462"/>
      <c r="AW448" s="513"/>
      <c r="AX448" s="74"/>
      <c r="AY448" s="74"/>
      <c r="AZ448" s="75"/>
      <c r="BA448" s="61"/>
      <c r="BB448" s="60"/>
      <c r="BC448" s="74"/>
      <c r="BD448" s="79"/>
      <c r="BE448" s="79"/>
      <c r="BF448" s="127"/>
      <c r="BG448" s="128"/>
      <c r="BH448" s="128"/>
      <c r="BI448" s="76"/>
      <c r="BJ448" s="24"/>
      <c r="BK448" s="25"/>
      <c r="BL448" s="259"/>
      <c r="BM448" s="533"/>
    </row>
    <row r="449" spans="1:65" ht="28.35" customHeight="1">
      <c r="A449" s="91" t="s">
        <v>28</v>
      </c>
      <c r="B449" s="358" t="s">
        <v>2640</v>
      </c>
      <c r="C449" s="252" t="s">
        <v>757</v>
      </c>
      <c r="D449" s="103" t="s">
        <v>28</v>
      </c>
      <c r="E449" s="91"/>
      <c r="F449" s="411"/>
      <c r="G449" s="173"/>
      <c r="H449" s="174"/>
      <c r="I449" s="173"/>
      <c r="J449" s="76"/>
      <c r="K449" s="24"/>
      <c r="L449" s="281"/>
      <c r="M449" s="431"/>
      <c r="N449" s="411"/>
      <c r="O449" s="173"/>
      <c r="P449" s="173"/>
      <c r="Q449" s="274"/>
      <c r="R449" s="173"/>
      <c r="S449" s="76"/>
      <c r="T449" s="24"/>
      <c r="U449" s="281"/>
      <c r="V449" s="462"/>
      <c r="W449" s="413"/>
      <c r="X449" s="47"/>
      <c r="Y449" s="47"/>
      <c r="Z449" s="47"/>
      <c r="AA449" s="47"/>
      <c r="AB449" s="47"/>
      <c r="AC449" s="47"/>
      <c r="AD449" s="91"/>
      <c r="AE449" s="467"/>
      <c r="AF449" s="501"/>
      <c r="AG449" s="324"/>
      <c r="AH449" s="324"/>
      <c r="AI449" s="323"/>
      <c r="AJ449" s="76"/>
      <c r="AK449" s="24"/>
      <c r="AL449" s="281"/>
      <c r="AM449" s="462"/>
      <c r="AN449" s="413"/>
      <c r="AO449" s="47"/>
      <c r="AP449" s="47"/>
      <c r="AQ449" s="47"/>
      <c r="AR449" s="47"/>
      <c r="AS449" s="47"/>
      <c r="AT449" s="47"/>
      <c r="AU449" s="91"/>
      <c r="AV449" s="467"/>
      <c r="AW449" s="413"/>
      <c r="AX449" s="47"/>
      <c r="AY449" s="47"/>
      <c r="AZ449" s="47"/>
      <c r="BA449" s="47"/>
      <c r="BB449" s="47"/>
      <c r="BC449" s="47"/>
      <c r="BD449" s="148"/>
      <c r="BE449" s="148"/>
      <c r="BF449" s="149"/>
      <c r="BG449" s="148"/>
      <c r="BH449" s="148"/>
      <c r="BI449" s="47"/>
      <c r="BJ449" s="47"/>
      <c r="BK449" s="47"/>
      <c r="BL449" s="414"/>
      <c r="BM449" s="457"/>
    </row>
    <row r="450" spans="1:65" ht="47.1" customHeight="1">
      <c r="A450" s="91" t="s">
        <v>28</v>
      </c>
      <c r="B450" s="358" t="s">
        <v>2641</v>
      </c>
      <c r="C450" s="50" t="s">
        <v>238</v>
      </c>
      <c r="D450" s="99" t="s">
        <v>578</v>
      </c>
      <c r="E450" s="391" t="s">
        <v>10</v>
      </c>
      <c r="F450" s="410">
        <v>59234</v>
      </c>
      <c r="G450" s="10">
        <v>42415</v>
      </c>
      <c r="H450" s="167">
        <v>84830</v>
      </c>
      <c r="I450" s="10">
        <v>65680</v>
      </c>
      <c r="J450" s="76">
        <f t="shared" ref="J450:J453" si="570">AVERAGE(G450,I450)</f>
        <v>54047.5</v>
      </c>
      <c r="K450" s="24">
        <f t="shared" ref="K450:K453" si="571">J450-F450</f>
        <v>-5186.5</v>
      </c>
      <c r="L450" s="281">
        <f t="shared" ref="L450:L453" si="572">+K450/F450</f>
        <v>-8.7559509741027108E-2</v>
      </c>
      <c r="M450" s="431">
        <f t="shared" ref="M450:M453" si="573">H450</f>
        <v>84830</v>
      </c>
      <c r="N450" s="410">
        <v>53841</v>
      </c>
      <c r="O450" s="10">
        <v>96000</v>
      </c>
      <c r="P450" s="10"/>
      <c r="Q450" s="10"/>
      <c r="R450" s="10">
        <v>120000</v>
      </c>
      <c r="S450" s="76">
        <f t="shared" ref="S450:S451" si="574">AVERAGE(O450,P450,Q450,R450)</f>
        <v>108000</v>
      </c>
      <c r="T450" s="24">
        <f t="shared" ref="T450:T451" si="575">S450-N450</f>
        <v>54159</v>
      </c>
      <c r="U450" s="281">
        <f t="shared" ref="U450:U451" si="576">+T450/N450</f>
        <v>1.0059062796010476</v>
      </c>
      <c r="V450" s="462">
        <f t="shared" ref="V450:V451" si="577">S450</f>
        <v>108000</v>
      </c>
      <c r="W450" s="410">
        <v>89185</v>
      </c>
      <c r="X450" s="31">
        <v>115992</v>
      </c>
      <c r="Y450" s="31">
        <v>150790</v>
      </c>
      <c r="Z450" s="472">
        <v>101385.60000000001</v>
      </c>
      <c r="AA450" s="76">
        <f t="shared" ref="AA450:AA478" si="578">AVERAGE(X450,Y450,Z450)</f>
        <v>122722.53333333333</v>
      </c>
      <c r="AB450" s="24">
        <f t="shared" ref="AB450:AB478" si="579">AA450-W450</f>
        <v>33537.533333333326</v>
      </c>
      <c r="AC450" s="25">
        <f t="shared" ref="AC450:AC478" si="580">+AB450/W450</f>
        <v>0.37604455158752398</v>
      </c>
      <c r="AD450" s="309" t="str">
        <f t="shared" ref="AD450:AD478" si="581">+IF(AC450&lt;35%,AA450,"REVISAR PRECIO")</f>
        <v>REVISAR PRECIO</v>
      </c>
      <c r="AE450" s="462">
        <f t="shared" ref="AE450:AE478" si="582">AA450</f>
        <v>122722.53333333333</v>
      </c>
      <c r="AF450" s="410">
        <v>60116</v>
      </c>
      <c r="AG450" s="45"/>
      <c r="AH450" s="45">
        <v>69887</v>
      </c>
      <c r="AI450" s="45">
        <v>43000</v>
      </c>
      <c r="AJ450" s="76">
        <f t="shared" ref="AJ450:AJ453" si="583">AVERAGE(AG450,AH450,AI450)</f>
        <v>56443.5</v>
      </c>
      <c r="AK450" s="24">
        <f t="shared" ref="AK450:AK453" si="584">AJ450-AF450</f>
        <v>-3672.5</v>
      </c>
      <c r="AL450" s="281">
        <f t="shared" ref="AL450:AL453" si="585">+AK450/AF450</f>
        <v>-6.1090225563909771E-2</v>
      </c>
      <c r="AM450" s="462">
        <f t="shared" ref="AM450:AM453" si="586">AJ450</f>
        <v>56443.5</v>
      </c>
      <c r="AN450" s="513">
        <v>60419</v>
      </c>
      <c r="AO450" s="88">
        <v>44500</v>
      </c>
      <c r="AP450" s="116">
        <v>45000</v>
      </c>
      <c r="AQ450" s="74">
        <v>46656.39</v>
      </c>
      <c r="AR450" s="76">
        <f t="shared" ref="AR450:AR478" si="587">AVERAGE(AO450,AP450,AQ450)</f>
        <v>45385.46333333334</v>
      </c>
      <c r="AS450" s="24">
        <f t="shared" ref="AS450:AS478" si="588">AR450-AN450</f>
        <v>-15033.53666666666</v>
      </c>
      <c r="AT450" s="25">
        <f t="shared" ref="AT450:AT455" si="589">+AS450/AN450</f>
        <v>-0.24882134207230605</v>
      </c>
      <c r="AU450" s="309">
        <f t="shared" ref="AU450:AU455" si="590">+IF(AT450&lt;35%,AR450,"REVISAR PRECIO")</f>
        <v>45385.46333333334</v>
      </c>
      <c r="AV450" s="462">
        <f t="shared" ref="AV450:AV478" si="591">AR450</f>
        <v>45385.46333333334</v>
      </c>
      <c r="AW450" s="513">
        <v>60419</v>
      </c>
      <c r="AX450" s="74">
        <v>48777.135000000002</v>
      </c>
      <c r="AY450" s="74">
        <v>80000</v>
      </c>
      <c r="AZ450" s="75">
        <v>56199.742499999993</v>
      </c>
      <c r="BA450" s="61">
        <v>113504.99999999999</v>
      </c>
      <c r="BB450" s="60">
        <v>250000</v>
      </c>
      <c r="BC450" s="74">
        <v>130530.74999999997</v>
      </c>
      <c r="BD450" s="79">
        <v>56199.742499999993</v>
      </c>
      <c r="BE450" s="79">
        <f>38559*1.1</f>
        <v>42414.9</v>
      </c>
      <c r="BF450" s="127">
        <v>50897.880000000005</v>
      </c>
      <c r="BG450" s="128">
        <v>46000</v>
      </c>
      <c r="BH450" s="128">
        <v>45000</v>
      </c>
      <c r="BI450" s="76">
        <f t="shared" ref="BI450:BI464" si="592">AVERAGE(AX450,AY450,AZ450,BA450,BB450,BC450)</f>
        <v>113168.77124999999</v>
      </c>
      <c r="BJ450" s="24">
        <f t="shared" ref="BJ450:BJ464" si="593">BI450-AW450</f>
        <v>52749.771249999991</v>
      </c>
      <c r="BK450" s="25">
        <f t="shared" ref="BK450:BK455" si="594">+BJ450/AW450</f>
        <v>0.87306594366010681</v>
      </c>
      <c r="BL450" s="259" t="str">
        <f t="shared" ref="BL450:BL471" si="595">+IF(BK450&lt;35%,BI450,"REVISAR PRECIO")</f>
        <v>REVISAR PRECIO</v>
      </c>
      <c r="BM450" s="533">
        <f t="shared" ref="BM450:BM471" si="596">BI450</f>
        <v>113168.77124999999</v>
      </c>
    </row>
    <row r="451" spans="1:65" ht="48" customHeight="1">
      <c r="A451" s="91" t="s">
        <v>28</v>
      </c>
      <c r="B451" s="358" t="s">
        <v>2642</v>
      </c>
      <c r="C451" s="50" t="s">
        <v>239</v>
      </c>
      <c r="D451" s="99" t="s">
        <v>579</v>
      </c>
      <c r="E451" s="392" t="s">
        <v>14</v>
      </c>
      <c r="F451" s="410">
        <v>75285</v>
      </c>
      <c r="G451" s="10">
        <v>56000</v>
      </c>
      <c r="H451" s="167">
        <v>112000</v>
      </c>
      <c r="I451" s="10">
        <v>53655</v>
      </c>
      <c r="J451" s="76">
        <f t="shared" si="570"/>
        <v>54827.5</v>
      </c>
      <c r="K451" s="24">
        <f t="shared" si="571"/>
        <v>-20457.5</v>
      </c>
      <c r="L451" s="281">
        <f t="shared" si="572"/>
        <v>-0.2717340771734077</v>
      </c>
      <c r="M451" s="431">
        <f t="shared" si="573"/>
        <v>112000</v>
      </c>
      <c r="N451" s="410">
        <v>68421</v>
      </c>
      <c r="O451" s="10">
        <v>70000</v>
      </c>
      <c r="P451" s="10"/>
      <c r="Q451" s="10"/>
      <c r="R451" s="10">
        <v>350000</v>
      </c>
      <c r="S451" s="76">
        <f t="shared" si="574"/>
        <v>210000</v>
      </c>
      <c r="T451" s="24">
        <f t="shared" si="575"/>
        <v>141579</v>
      </c>
      <c r="U451" s="281">
        <f t="shared" si="576"/>
        <v>2.069233130179331</v>
      </c>
      <c r="V451" s="462">
        <f t="shared" si="577"/>
        <v>210000</v>
      </c>
      <c r="W451" s="410">
        <v>154890</v>
      </c>
      <c r="X451" s="31">
        <v>201447</v>
      </c>
      <c r="Y451" s="31">
        <v>261881</v>
      </c>
      <c r="Z451" s="472">
        <v>176079.6</v>
      </c>
      <c r="AA451" s="76">
        <f t="shared" si="578"/>
        <v>213135.86666666667</v>
      </c>
      <c r="AB451" s="24">
        <f t="shared" si="579"/>
        <v>58245.866666666669</v>
      </c>
      <c r="AC451" s="25">
        <f t="shared" si="580"/>
        <v>0.37604665676716809</v>
      </c>
      <c r="AD451" s="309" t="str">
        <f t="shared" si="581"/>
        <v>REVISAR PRECIO</v>
      </c>
      <c r="AE451" s="462">
        <f t="shared" si="582"/>
        <v>213135.86666666667</v>
      </c>
      <c r="AF451" s="410">
        <v>76405</v>
      </c>
      <c r="AG451" s="45"/>
      <c r="AH451" s="45">
        <v>88823</v>
      </c>
      <c r="AI451" s="45">
        <v>55000</v>
      </c>
      <c r="AJ451" s="76">
        <f t="shared" si="583"/>
        <v>71911.5</v>
      </c>
      <c r="AK451" s="24">
        <f t="shared" si="584"/>
        <v>-4493.5</v>
      </c>
      <c r="AL451" s="281">
        <f t="shared" si="585"/>
        <v>-5.8811596099731696E-2</v>
      </c>
      <c r="AM451" s="462">
        <f t="shared" si="586"/>
        <v>71911.5</v>
      </c>
      <c r="AN451" s="513">
        <v>76784</v>
      </c>
      <c r="AO451" s="88">
        <v>68800</v>
      </c>
      <c r="AP451" s="116">
        <v>72500</v>
      </c>
      <c r="AQ451" s="74">
        <v>61600</v>
      </c>
      <c r="AR451" s="76">
        <f t="shared" si="587"/>
        <v>67633.333333333328</v>
      </c>
      <c r="AS451" s="24">
        <f t="shared" si="588"/>
        <v>-9150.6666666666715</v>
      </c>
      <c r="AT451" s="25">
        <f t="shared" si="589"/>
        <v>-0.11917413350003479</v>
      </c>
      <c r="AU451" s="309">
        <f t="shared" si="590"/>
        <v>67633.333333333328</v>
      </c>
      <c r="AV451" s="462">
        <f t="shared" si="591"/>
        <v>67633.333333333328</v>
      </c>
      <c r="AW451" s="513">
        <v>76784</v>
      </c>
      <c r="AX451" s="74">
        <v>64400</v>
      </c>
      <c r="AY451" s="74">
        <v>200000</v>
      </c>
      <c r="AZ451" s="75">
        <v>74200</v>
      </c>
      <c r="BA451" s="61">
        <v>97749.999999999985</v>
      </c>
      <c r="BB451" s="60">
        <v>150000</v>
      </c>
      <c r="BC451" s="74">
        <v>112412.49999999997</v>
      </c>
      <c r="BD451" s="79">
        <v>74200</v>
      </c>
      <c r="BE451" s="79">
        <v>56000</v>
      </c>
      <c r="BF451" s="127">
        <v>67200</v>
      </c>
      <c r="BG451" s="128">
        <v>70000</v>
      </c>
      <c r="BH451" s="128">
        <v>60000</v>
      </c>
      <c r="BI451" s="76">
        <f t="shared" si="592"/>
        <v>116460.41666666667</v>
      </c>
      <c r="BJ451" s="24">
        <f t="shared" si="593"/>
        <v>39676.416666666672</v>
      </c>
      <c r="BK451" s="25">
        <f t="shared" si="594"/>
        <v>0.51672766027644657</v>
      </c>
      <c r="BL451" s="259" t="str">
        <f t="shared" si="595"/>
        <v>REVISAR PRECIO</v>
      </c>
      <c r="BM451" s="533">
        <f t="shared" si="596"/>
        <v>116460.41666666667</v>
      </c>
    </row>
    <row r="452" spans="1:65" ht="60" customHeight="1">
      <c r="A452" s="91" t="s">
        <v>28</v>
      </c>
      <c r="B452" s="358" t="s">
        <v>2643</v>
      </c>
      <c r="C452" s="50" t="s">
        <v>240</v>
      </c>
      <c r="D452" s="99" t="s">
        <v>580</v>
      </c>
      <c r="E452" s="392" t="s">
        <v>14</v>
      </c>
      <c r="F452" s="410">
        <v>129459</v>
      </c>
      <c r="G452" s="10">
        <v>400000</v>
      </c>
      <c r="H452" s="167">
        <v>1200000</v>
      </c>
      <c r="I452" s="10">
        <v>385000</v>
      </c>
      <c r="J452" s="76">
        <f t="shared" si="570"/>
        <v>392500</v>
      </c>
      <c r="K452" s="24">
        <f t="shared" si="571"/>
        <v>263041</v>
      </c>
      <c r="L452" s="281">
        <f t="shared" si="572"/>
        <v>2.0318479209633939</v>
      </c>
      <c r="M452" s="431">
        <f t="shared" si="573"/>
        <v>1200000</v>
      </c>
      <c r="N452" s="410">
        <v>117667</v>
      </c>
      <c r="O452" s="10"/>
      <c r="P452" s="10"/>
      <c r="Q452" s="10"/>
      <c r="R452" s="10" t="s">
        <v>1421</v>
      </c>
      <c r="S452" s="76"/>
      <c r="T452" s="24"/>
      <c r="U452" s="281"/>
      <c r="V452" s="464" t="s">
        <v>807</v>
      </c>
      <c r="W452" s="410">
        <v>194926</v>
      </c>
      <c r="X452" s="31">
        <v>253517</v>
      </c>
      <c r="Y452" s="31">
        <v>329571</v>
      </c>
      <c r="Z452" s="472">
        <v>221592.2</v>
      </c>
      <c r="AA452" s="76">
        <f t="shared" si="578"/>
        <v>268226.73333333334</v>
      </c>
      <c r="AB452" s="24">
        <f t="shared" si="579"/>
        <v>73300.733333333337</v>
      </c>
      <c r="AC452" s="25">
        <f t="shared" si="580"/>
        <v>0.37604390042033048</v>
      </c>
      <c r="AD452" s="309" t="str">
        <f t="shared" si="581"/>
        <v>REVISAR PRECIO</v>
      </c>
      <c r="AE452" s="462">
        <f t="shared" si="582"/>
        <v>268226.73333333334</v>
      </c>
      <c r="AF452" s="410">
        <v>131385</v>
      </c>
      <c r="AG452" s="45"/>
      <c r="AH452" s="45">
        <v>152743</v>
      </c>
      <c r="AI452" s="45">
        <v>380000</v>
      </c>
      <c r="AJ452" s="76">
        <f t="shared" si="583"/>
        <v>266371.5</v>
      </c>
      <c r="AK452" s="24">
        <f t="shared" si="584"/>
        <v>134986.5</v>
      </c>
      <c r="AL452" s="281">
        <f t="shared" si="585"/>
        <v>1.0274118050005709</v>
      </c>
      <c r="AM452" s="462">
        <f t="shared" si="586"/>
        <v>266371.5</v>
      </c>
      <c r="AN452" s="513">
        <v>132049</v>
      </c>
      <c r="AO452" s="88">
        <v>450000</v>
      </c>
      <c r="AP452" s="116">
        <v>450000</v>
      </c>
      <c r="AQ452" s="74">
        <v>440000</v>
      </c>
      <c r="AR452" s="76">
        <f t="shared" si="587"/>
        <v>446666.66666666669</v>
      </c>
      <c r="AS452" s="24">
        <f t="shared" si="588"/>
        <v>314617.66666666669</v>
      </c>
      <c r="AT452" s="25">
        <f t="shared" si="589"/>
        <v>2.3825827281286998</v>
      </c>
      <c r="AU452" s="309" t="str">
        <f t="shared" si="590"/>
        <v>REVISAR PRECIO</v>
      </c>
      <c r="AV452" s="462">
        <f t="shared" si="591"/>
        <v>446666.66666666669</v>
      </c>
      <c r="AW452" s="513">
        <v>132049</v>
      </c>
      <c r="AX452" s="74">
        <v>460000</v>
      </c>
      <c r="AY452" s="74">
        <v>550000</v>
      </c>
      <c r="AZ452" s="75">
        <v>530000</v>
      </c>
      <c r="BA452" s="61">
        <v>644000</v>
      </c>
      <c r="BB452" s="60">
        <v>1800000</v>
      </c>
      <c r="BC452" s="74">
        <v>740600</v>
      </c>
      <c r="BD452" s="79">
        <v>530000</v>
      </c>
      <c r="BE452" s="79">
        <v>400000</v>
      </c>
      <c r="BF452" s="127">
        <v>440000</v>
      </c>
      <c r="BG452" s="128">
        <v>410000</v>
      </c>
      <c r="BH452" s="128">
        <v>400000</v>
      </c>
      <c r="BI452" s="76">
        <f t="shared" si="592"/>
        <v>787433.33333333337</v>
      </c>
      <c r="BJ452" s="24">
        <f t="shared" si="593"/>
        <v>655384.33333333337</v>
      </c>
      <c r="BK452" s="25">
        <f t="shared" si="594"/>
        <v>4.9631904318346471</v>
      </c>
      <c r="BL452" s="259" t="str">
        <f t="shared" si="595"/>
        <v>REVISAR PRECIO</v>
      </c>
      <c r="BM452" s="533">
        <f t="shared" si="596"/>
        <v>787433.33333333337</v>
      </c>
    </row>
    <row r="453" spans="1:65" ht="60" customHeight="1">
      <c r="A453" s="91" t="s">
        <v>28</v>
      </c>
      <c r="B453" s="358" t="s">
        <v>2644</v>
      </c>
      <c r="C453" s="50" t="s">
        <v>241</v>
      </c>
      <c r="D453" s="99" t="s">
        <v>581</v>
      </c>
      <c r="E453" s="391" t="s">
        <v>13</v>
      </c>
      <c r="F453" s="410">
        <v>8307</v>
      </c>
      <c r="G453" s="10">
        <v>65000</v>
      </c>
      <c r="H453" s="167">
        <v>130000</v>
      </c>
      <c r="I453" s="10">
        <v>7500</v>
      </c>
      <c r="J453" s="76">
        <f t="shared" si="570"/>
        <v>36250</v>
      </c>
      <c r="K453" s="24">
        <f t="shared" si="571"/>
        <v>27943</v>
      </c>
      <c r="L453" s="281">
        <f t="shared" si="572"/>
        <v>3.3637895750571807</v>
      </c>
      <c r="M453" s="431">
        <f t="shared" si="573"/>
        <v>130000</v>
      </c>
      <c r="N453" s="443"/>
      <c r="O453" s="250"/>
      <c r="P453" s="250"/>
      <c r="Q453" s="250"/>
      <c r="R453" s="250"/>
      <c r="S453" s="250"/>
      <c r="T453" s="250"/>
      <c r="U453" s="250"/>
      <c r="V453" s="443"/>
      <c r="W453" s="410">
        <v>12508</v>
      </c>
      <c r="X453" s="31">
        <v>16268</v>
      </c>
      <c r="Y453" s="31">
        <v>16268</v>
      </c>
      <c r="Z453" s="472">
        <v>14219</v>
      </c>
      <c r="AA453" s="76">
        <f t="shared" si="578"/>
        <v>15585</v>
      </c>
      <c r="AB453" s="24">
        <f t="shared" si="579"/>
        <v>3077</v>
      </c>
      <c r="AC453" s="25">
        <f t="shared" si="580"/>
        <v>0.24600255836264789</v>
      </c>
      <c r="AD453" s="309">
        <f t="shared" si="581"/>
        <v>15585</v>
      </c>
      <c r="AE453" s="462">
        <f t="shared" si="582"/>
        <v>15585</v>
      </c>
      <c r="AF453" s="410">
        <v>8430</v>
      </c>
      <c r="AG453" s="45"/>
      <c r="AH453" s="45">
        <v>9802</v>
      </c>
      <c r="AI453" s="45">
        <v>60000</v>
      </c>
      <c r="AJ453" s="76">
        <f t="shared" si="583"/>
        <v>34901</v>
      </c>
      <c r="AK453" s="24">
        <f t="shared" si="584"/>
        <v>26471</v>
      </c>
      <c r="AL453" s="281">
        <f t="shared" si="585"/>
        <v>3.1400948991696325</v>
      </c>
      <c r="AM453" s="462">
        <f t="shared" si="586"/>
        <v>34901</v>
      </c>
      <c r="AN453" s="513">
        <v>8476</v>
      </c>
      <c r="AO453" s="88">
        <v>70000</v>
      </c>
      <c r="AP453" s="116">
        <v>70000</v>
      </c>
      <c r="AQ453" s="74">
        <v>71500</v>
      </c>
      <c r="AR453" s="76">
        <f t="shared" si="587"/>
        <v>70500</v>
      </c>
      <c r="AS453" s="24">
        <f t="shared" si="588"/>
        <v>62024</v>
      </c>
      <c r="AT453" s="25">
        <f t="shared" si="589"/>
        <v>7.3176026427560172</v>
      </c>
      <c r="AU453" s="309" t="str">
        <f t="shared" si="590"/>
        <v>REVISAR PRECIO</v>
      </c>
      <c r="AV453" s="462">
        <f t="shared" si="591"/>
        <v>70500</v>
      </c>
      <c r="AW453" s="513">
        <v>8476</v>
      </c>
      <c r="AX453" s="74">
        <v>74750</v>
      </c>
      <c r="AY453" s="74">
        <v>90000</v>
      </c>
      <c r="AZ453" s="75">
        <v>86125</v>
      </c>
      <c r="BA453" s="61">
        <v>98899.999999999985</v>
      </c>
      <c r="BB453" s="60">
        <v>160000</v>
      </c>
      <c r="BC453" s="74">
        <v>113734.99999999997</v>
      </c>
      <c r="BD453" s="79">
        <v>86125</v>
      </c>
      <c r="BE453" s="79">
        <v>65000</v>
      </c>
      <c r="BF453" s="127">
        <v>78000</v>
      </c>
      <c r="BG453" s="128">
        <v>71900</v>
      </c>
      <c r="BH453" s="128">
        <v>70000</v>
      </c>
      <c r="BI453" s="76">
        <f t="shared" si="592"/>
        <v>103918.33333333333</v>
      </c>
      <c r="BJ453" s="24">
        <f t="shared" si="593"/>
        <v>95442.333333333328</v>
      </c>
      <c r="BK453" s="25">
        <f t="shared" si="594"/>
        <v>11.260303602328142</v>
      </c>
      <c r="BL453" s="259" t="str">
        <f t="shared" si="595"/>
        <v>REVISAR PRECIO</v>
      </c>
      <c r="BM453" s="533">
        <f t="shared" si="596"/>
        <v>103918.33333333333</v>
      </c>
    </row>
    <row r="454" spans="1:65" ht="60" customHeight="1">
      <c r="A454" s="91" t="s">
        <v>28</v>
      </c>
      <c r="B454" s="358" t="s">
        <v>2645</v>
      </c>
      <c r="C454" s="50" t="s">
        <v>242</v>
      </c>
      <c r="D454" s="99" t="s">
        <v>582</v>
      </c>
      <c r="E454" s="391" t="s">
        <v>14</v>
      </c>
      <c r="F454" s="408"/>
      <c r="G454" s="293"/>
      <c r="H454" s="293"/>
      <c r="I454" s="293"/>
      <c r="J454" s="293"/>
      <c r="K454" s="293"/>
      <c r="L454" s="327"/>
      <c r="M454" s="432"/>
      <c r="N454" s="443"/>
      <c r="O454" s="250"/>
      <c r="P454" s="250"/>
      <c r="Q454" s="250"/>
      <c r="R454" s="250"/>
      <c r="S454" s="250"/>
      <c r="T454" s="250"/>
      <c r="U454" s="250"/>
      <c r="V454" s="443"/>
      <c r="W454" s="410">
        <v>587560</v>
      </c>
      <c r="X454" s="31">
        <v>764168</v>
      </c>
      <c r="Y454" s="31">
        <v>993418</v>
      </c>
      <c r="Z454" s="472">
        <v>667939</v>
      </c>
      <c r="AA454" s="76">
        <f t="shared" si="578"/>
        <v>808508.33333333337</v>
      </c>
      <c r="AB454" s="24">
        <f t="shared" si="579"/>
        <v>220948.33333333337</v>
      </c>
      <c r="AC454" s="25">
        <f t="shared" si="580"/>
        <v>0.37604386502371395</v>
      </c>
      <c r="AD454" s="309" t="str">
        <f t="shared" si="581"/>
        <v>REVISAR PRECIO</v>
      </c>
      <c r="AE454" s="462">
        <f t="shared" si="582"/>
        <v>808508.33333333337</v>
      </c>
      <c r="AF454" s="408"/>
      <c r="AG454" s="293"/>
      <c r="AH454" s="293"/>
      <c r="AI454" s="293"/>
      <c r="AJ454" s="293"/>
      <c r="AK454" s="293"/>
      <c r="AL454" s="327"/>
      <c r="AM454" s="463"/>
      <c r="AN454" s="513">
        <v>549051</v>
      </c>
      <c r="AO454" s="88">
        <v>472500</v>
      </c>
      <c r="AP454" s="116">
        <v>500000</v>
      </c>
      <c r="AQ454" s="74">
        <v>495000</v>
      </c>
      <c r="AR454" s="76">
        <f t="shared" si="587"/>
        <v>489166.66666666669</v>
      </c>
      <c r="AS454" s="24">
        <f t="shared" si="588"/>
        <v>-59884.333333333314</v>
      </c>
      <c r="AT454" s="25">
        <f t="shared" si="589"/>
        <v>-0.10906879931615335</v>
      </c>
      <c r="AU454" s="309">
        <f t="shared" si="590"/>
        <v>489166.66666666669</v>
      </c>
      <c r="AV454" s="462">
        <f t="shared" si="591"/>
        <v>489166.66666666669</v>
      </c>
      <c r="AW454" s="513">
        <v>549051</v>
      </c>
      <c r="AX454" s="74">
        <v>517500</v>
      </c>
      <c r="AY454" s="74">
        <v>650000</v>
      </c>
      <c r="AZ454" s="75">
        <v>596250</v>
      </c>
      <c r="BA454" s="61">
        <v>1380000</v>
      </c>
      <c r="BB454" s="60">
        <v>800000</v>
      </c>
      <c r="BC454" s="74">
        <v>1586999.9999999998</v>
      </c>
      <c r="BD454" s="79">
        <v>596250</v>
      </c>
      <c r="BE454" s="79">
        <v>450000</v>
      </c>
      <c r="BF454" s="127">
        <v>495000</v>
      </c>
      <c r="BG454" s="128">
        <v>460000</v>
      </c>
      <c r="BH454" s="128">
        <v>440000</v>
      </c>
      <c r="BI454" s="76">
        <f t="shared" si="592"/>
        <v>921791.66666666663</v>
      </c>
      <c r="BJ454" s="24">
        <f t="shared" si="593"/>
        <v>372740.66666666663</v>
      </c>
      <c r="BK454" s="25">
        <f t="shared" si="594"/>
        <v>0.67888168251522474</v>
      </c>
      <c r="BL454" s="259" t="str">
        <f t="shared" si="595"/>
        <v>REVISAR PRECIO</v>
      </c>
      <c r="BM454" s="533">
        <f t="shared" si="596"/>
        <v>921791.66666666663</v>
      </c>
    </row>
    <row r="455" spans="1:65" ht="60" customHeight="1">
      <c r="A455" s="91" t="s">
        <v>28</v>
      </c>
      <c r="B455" s="358" t="s">
        <v>2646</v>
      </c>
      <c r="C455" s="50" t="s">
        <v>243</v>
      </c>
      <c r="D455" s="99" t="s">
        <v>583</v>
      </c>
      <c r="E455" s="391" t="s">
        <v>14</v>
      </c>
      <c r="F455" s="408"/>
      <c r="G455" s="293"/>
      <c r="H455" s="293"/>
      <c r="I455" s="293"/>
      <c r="J455" s="293"/>
      <c r="K455" s="293"/>
      <c r="L455" s="327"/>
      <c r="M455" s="432"/>
      <c r="N455" s="443"/>
      <c r="O455" s="250"/>
      <c r="P455" s="250"/>
      <c r="Q455" s="250"/>
      <c r="R455" s="250"/>
      <c r="S455" s="250"/>
      <c r="T455" s="250"/>
      <c r="U455" s="250"/>
      <c r="V455" s="443"/>
      <c r="W455" s="410">
        <v>392790</v>
      </c>
      <c r="X455" s="31">
        <v>510854</v>
      </c>
      <c r="Y455" s="31">
        <v>664110</v>
      </c>
      <c r="Z455" s="472">
        <v>446523.8</v>
      </c>
      <c r="AA455" s="76">
        <f t="shared" si="578"/>
        <v>540495.93333333335</v>
      </c>
      <c r="AB455" s="24">
        <f t="shared" si="579"/>
        <v>147705.93333333335</v>
      </c>
      <c r="AC455" s="25">
        <f t="shared" si="580"/>
        <v>0.37604300856267558</v>
      </c>
      <c r="AD455" s="309" t="str">
        <f t="shared" si="581"/>
        <v>REVISAR PRECIO</v>
      </c>
      <c r="AE455" s="462">
        <f t="shared" si="582"/>
        <v>540495.93333333335</v>
      </c>
      <c r="AF455" s="408"/>
      <c r="AG455" s="293"/>
      <c r="AH455" s="293"/>
      <c r="AI455" s="293"/>
      <c r="AJ455" s="293"/>
      <c r="AK455" s="293"/>
      <c r="AL455" s="327"/>
      <c r="AM455" s="463"/>
      <c r="AN455" s="513">
        <v>269718</v>
      </c>
      <c r="AO455" s="88">
        <v>132000</v>
      </c>
      <c r="AP455" s="116">
        <v>140000</v>
      </c>
      <c r="AQ455" s="74">
        <v>137500</v>
      </c>
      <c r="AR455" s="76">
        <f t="shared" si="587"/>
        <v>136500</v>
      </c>
      <c r="AS455" s="24">
        <f t="shared" si="588"/>
        <v>-133218</v>
      </c>
      <c r="AT455" s="25">
        <f t="shared" si="589"/>
        <v>-0.49391586768402551</v>
      </c>
      <c r="AU455" s="309">
        <f t="shared" si="590"/>
        <v>136500</v>
      </c>
      <c r="AV455" s="462">
        <f t="shared" si="591"/>
        <v>136500</v>
      </c>
      <c r="AW455" s="513">
        <v>269718</v>
      </c>
      <c r="AX455" s="74">
        <v>143750</v>
      </c>
      <c r="AY455" s="74">
        <v>200000</v>
      </c>
      <c r="AZ455" s="75">
        <v>165625</v>
      </c>
      <c r="BA455" s="61">
        <v>206999.99999999997</v>
      </c>
      <c r="BB455" s="60">
        <v>300000</v>
      </c>
      <c r="BC455" s="74">
        <v>238049.99999999994</v>
      </c>
      <c r="BD455" s="79">
        <v>165625</v>
      </c>
      <c r="BE455" s="79">
        <v>125000</v>
      </c>
      <c r="BF455" s="127">
        <v>150000</v>
      </c>
      <c r="BG455" s="128">
        <v>130000</v>
      </c>
      <c r="BH455" s="128">
        <v>125000</v>
      </c>
      <c r="BI455" s="76">
        <f t="shared" si="592"/>
        <v>209070.83333333334</v>
      </c>
      <c r="BJ455" s="24">
        <f t="shared" si="593"/>
        <v>-60647.166666666657</v>
      </c>
      <c r="BK455" s="25">
        <f t="shared" si="594"/>
        <v>-0.22485398329613396</v>
      </c>
      <c r="BL455" s="259">
        <f t="shared" si="595"/>
        <v>209070.83333333334</v>
      </c>
      <c r="BM455" s="533">
        <f t="shared" si="596"/>
        <v>209070.83333333334</v>
      </c>
    </row>
    <row r="456" spans="1:65" ht="60" customHeight="1">
      <c r="A456" s="91" t="s">
        <v>28</v>
      </c>
      <c r="B456" s="358" t="s">
        <v>2647</v>
      </c>
      <c r="C456" s="50" t="s">
        <v>244</v>
      </c>
      <c r="D456" s="99" t="s">
        <v>584</v>
      </c>
      <c r="E456" s="391" t="s">
        <v>13</v>
      </c>
      <c r="F456" s="408"/>
      <c r="G456" s="293"/>
      <c r="H456" s="293"/>
      <c r="I456" s="293"/>
      <c r="J456" s="293"/>
      <c r="K456" s="293"/>
      <c r="L456" s="327"/>
      <c r="M456" s="432"/>
      <c r="N456" s="443"/>
      <c r="O456" s="250"/>
      <c r="P456" s="250"/>
      <c r="Q456" s="250"/>
      <c r="R456" s="250"/>
      <c r="S456" s="250"/>
      <c r="T456" s="250"/>
      <c r="U456" s="250"/>
      <c r="V456" s="443"/>
      <c r="W456" s="410">
        <v>398156</v>
      </c>
      <c r="X456" s="31">
        <v>517833</v>
      </c>
      <c r="Y456" s="31">
        <v>673183</v>
      </c>
      <c r="Z456" s="472">
        <v>452624.4</v>
      </c>
      <c r="AA456" s="76">
        <f t="shared" si="578"/>
        <v>547880.1333333333</v>
      </c>
      <c r="AB456" s="24">
        <f t="shared" si="579"/>
        <v>149724.1333333333</v>
      </c>
      <c r="AC456" s="25">
        <f t="shared" si="580"/>
        <v>0.37604389569247559</v>
      </c>
      <c r="AD456" s="309" t="str">
        <f t="shared" si="581"/>
        <v>REVISAR PRECIO</v>
      </c>
      <c r="AE456" s="462">
        <f t="shared" si="582"/>
        <v>547880.1333333333</v>
      </c>
      <c r="AF456" s="408"/>
      <c r="AG456" s="293"/>
      <c r="AH456" s="293"/>
      <c r="AI456" s="293"/>
      <c r="AJ456" s="293"/>
      <c r="AK456" s="293"/>
      <c r="AL456" s="327"/>
      <c r="AM456" s="463"/>
      <c r="AN456" s="513"/>
      <c r="AO456" s="88">
        <v>175000</v>
      </c>
      <c r="AP456" s="116">
        <v>199000</v>
      </c>
      <c r="AQ456" s="74">
        <v>157190</v>
      </c>
      <c r="AR456" s="76">
        <f t="shared" si="587"/>
        <v>177063.33333333334</v>
      </c>
      <c r="AS456" s="24">
        <f t="shared" si="588"/>
        <v>177063.33333333334</v>
      </c>
      <c r="AT456" s="25"/>
      <c r="AU456" s="309"/>
      <c r="AV456" s="462">
        <f t="shared" si="591"/>
        <v>177063.33333333334</v>
      </c>
      <c r="AW456" s="513"/>
      <c r="AX456" s="74">
        <v>164335</v>
      </c>
      <c r="AY456" s="74">
        <v>180000</v>
      </c>
      <c r="AZ456" s="75">
        <v>189342.5</v>
      </c>
      <c r="BA456" s="61">
        <v>164335</v>
      </c>
      <c r="BB456" s="60">
        <v>380000</v>
      </c>
      <c r="BC456" s="74">
        <v>188985.24999999997</v>
      </c>
      <c r="BD456" s="79">
        <v>189342.5</v>
      </c>
      <c r="BE456" s="79">
        <v>142900</v>
      </c>
      <c r="BF456" s="127">
        <v>157190</v>
      </c>
      <c r="BG456" s="128">
        <v>155000</v>
      </c>
      <c r="BH456" s="128">
        <v>150000</v>
      </c>
      <c r="BI456" s="76">
        <f t="shared" si="592"/>
        <v>211166.29166666666</v>
      </c>
      <c r="BJ456" s="24">
        <f t="shared" si="593"/>
        <v>211166.29166666666</v>
      </c>
      <c r="BK456" s="25"/>
      <c r="BL456" s="259">
        <f t="shared" si="595"/>
        <v>211166.29166666666</v>
      </c>
      <c r="BM456" s="533">
        <f t="shared" si="596"/>
        <v>211166.29166666666</v>
      </c>
    </row>
    <row r="457" spans="1:65" ht="60" customHeight="1">
      <c r="A457" s="91" t="s">
        <v>28</v>
      </c>
      <c r="B457" s="358" t="s">
        <v>2648</v>
      </c>
      <c r="C457" s="50" t="s">
        <v>245</v>
      </c>
      <c r="D457" s="99" t="s">
        <v>585</v>
      </c>
      <c r="E457" s="391" t="s">
        <v>13</v>
      </c>
      <c r="F457" s="410">
        <v>177689</v>
      </c>
      <c r="G457" s="10">
        <v>501332.5</v>
      </c>
      <c r="H457" s="167">
        <v>1503997.5</v>
      </c>
      <c r="I457" s="10">
        <v>485690</v>
      </c>
      <c r="J457" s="76">
        <f t="shared" ref="J457:J459" si="597">AVERAGE(G457,I457)</f>
        <v>493511.25</v>
      </c>
      <c r="K457" s="24">
        <f t="shared" ref="K457:K459" si="598">J457-F457</f>
        <v>315822.25</v>
      </c>
      <c r="L457" s="281">
        <f t="shared" ref="L457:L459" si="599">+K457/F457</f>
        <v>1.7773877392522892</v>
      </c>
      <c r="M457" s="431">
        <f t="shared" ref="M457:M459" si="600">H457</f>
        <v>1503997.5</v>
      </c>
      <c r="N457" s="410">
        <v>161504</v>
      </c>
      <c r="O457" s="10"/>
      <c r="P457" s="10"/>
      <c r="Q457" s="10"/>
      <c r="R457" s="10"/>
      <c r="S457" s="76"/>
      <c r="T457" s="24"/>
      <c r="U457" s="281"/>
      <c r="V457" s="462" t="s">
        <v>894</v>
      </c>
      <c r="W457" s="410">
        <v>267555</v>
      </c>
      <c r="X457" s="31">
        <v>347976</v>
      </c>
      <c r="Y457" s="31">
        <v>452369</v>
      </c>
      <c r="Z457" s="472">
        <v>304156.79999999999</v>
      </c>
      <c r="AA457" s="76">
        <f t="shared" si="578"/>
        <v>368167.26666666666</v>
      </c>
      <c r="AB457" s="24">
        <f t="shared" si="579"/>
        <v>100612.26666666666</v>
      </c>
      <c r="AC457" s="25">
        <f t="shared" si="580"/>
        <v>0.37604330573776107</v>
      </c>
      <c r="AD457" s="309" t="str">
        <f t="shared" si="581"/>
        <v>REVISAR PRECIO</v>
      </c>
      <c r="AE457" s="462">
        <f t="shared" si="582"/>
        <v>368167.26666666666</v>
      </c>
      <c r="AF457" s="499">
        <v>180347</v>
      </c>
      <c r="AG457" s="317"/>
      <c r="AH457" s="317">
        <v>209654</v>
      </c>
      <c r="AI457" s="45">
        <v>247000</v>
      </c>
      <c r="AJ457" s="76">
        <f t="shared" ref="AJ457:AJ459" si="601">AVERAGE(AG457,AH457,AI457)</f>
        <v>228327</v>
      </c>
      <c r="AK457" s="24">
        <f t="shared" ref="AK457:AK459" si="602">AJ457-AF457</f>
        <v>47980</v>
      </c>
      <c r="AL457" s="281">
        <f t="shared" ref="AL457:AL459" si="603">+AK457/AF457</f>
        <v>0.26604268438066614</v>
      </c>
      <c r="AM457" s="462">
        <f t="shared" ref="AM457:AM459" si="604">AJ457</f>
        <v>228327</v>
      </c>
      <c r="AN457" s="513">
        <v>181239</v>
      </c>
      <c r="AO457" s="88">
        <v>265000</v>
      </c>
      <c r="AP457" s="116">
        <v>290000</v>
      </c>
      <c r="AQ457" s="74">
        <v>276136.07999999996</v>
      </c>
      <c r="AR457" s="76">
        <f t="shared" si="587"/>
        <v>277045.36</v>
      </c>
      <c r="AS457" s="24">
        <f t="shared" si="588"/>
        <v>95806.359999999986</v>
      </c>
      <c r="AT457" s="25">
        <f t="shared" ref="AT457:AT465" si="605">+AS457/AN457</f>
        <v>0.52861889549158836</v>
      </c>
      <c r="AU457" s="309" t="str">
        <f t="shared" ref="AU457:AU465" si="606">+IF(AT457&lt;35%,AR457,"REVISAR PRECIO")</f>
        <v>REVISAR PRECIO</v>
      </c>
      <c r="AV457" s="462">
        <f t="shared" si="591"/>
        <v>277045.36</v>
      </c>
      <c r="AW457" s="513">
        <v>181239</v>
      </c>
      <c r="AX457" s="74">
        <v>288687.71999999997</v>
      </c>
      <c r="AY457" s="74">
        <v>430000</v>
      </c>
      <c r="AZ457" s="75">
        <v>332618.45999999996</v>
      </c>
      <c r="BA457" s="61">
        <v>288687.71999999997</v>
      </c>
      <c r="BB457" s="60">
        <v>450000</v>
      </c>
      <c r="BC457" s="74">
        <v>331990.87799999997</v>
      </c>
      <c r="BD457" s="79">
        <v>332618.45999999996</v>
      </c>
      <c r="BE457" s="79">
        <f>209194*1.2</f>
        <v>251032.8</v>
      </c>
      <c r="BF457" s="127">
        <v>288687.71999999997</v>
      </c>
      <c r="BG457" s="128">
        <v>330600</v>
      </c>
      <c r="BH457" s="128">
        <v>310000</v>
      </c>
      <c r="BI457" s="76">
        <f t="shared" si="592"/>
        <v>353664.12966666667</v>
      </c>
      <c r="BJ457" s="24">
        <f t="shared" si="593"/>
        <v>172425.12966666667</v>
      </c>
      <c r="BK457" s="25">
        <f t="shared" ref="BK457:BK464" si="607">+BJ457/AW457</f>
        <v>0.9513687984742063</v>
      </c>
      <c r="BL457" s="259" t="str">
        <f t="shared" si="595"/>
        <v>REVISAR PRECIO</v>
      </c>
      <c r="BM457" s="533">
        <f t="shared" si="596"/>
        <v>353664.12966666667</v>
      </c>
    </row>
    <row r="458" spans="1:65" ht="64.349999999999994" customHeight="1">
      <c r="A458" s="91" t="s">
        <v>28</v>
      </c>
      <c r="B458" s="358" t="s">
        <v>2649</v>
      </c>
      <c r="C458" s="50" t="s">
        <v>246</v>
      </c>
      <c r="D458" s="99" t="s">
        <v>586</v>
      </c>
      <c r="E458" s="391" t="s">
        <v>13</v>
      </c>
      <c r="F458" s="410">
        <v>1256644</v>
      </c>
      <c r="G458" s="10">
        <v>50262</v>
      </c>
      <c r="H458" s="167">
        <v>150786</v>
      </c>
      <c r="I458" s="10">
        <v>85600</v>
      </c>
      <c r="J458" s="76">
        <f t="shared" si="597"/>
        <v>67931</v>
      </c>
      <c r="K458" s="24">
        <f t="shared" si="598"/>
        <v>-1188713</v>
      </c>
      <c r="L458" s="281">
        <f t="shared" si="599"/>
        <v>-0.94594252628429376</v>
      </c>
      <c r="M458" s="431">
        <f t="shared" si="600"/>
        <v>150786</v>
      </c>
      <c r="N458" s="410">
        <v>1142174</v>
      </c>
      <c r="O458" s="10"/>
      <c r="P458" s="10"/>
      <c r="Q458" s="10"/>
      <c r="R458" s="10"/>
      <c r="S458" s="76"/>
      <c r="T458" s="24"/>
      <c r="U458" s="281"/>
      <c r="V458" s="462" t="s">
        <v>894</v>
      </c>
      <c r="W458" s="410">
        <v>155700</v>
      </c>
      <c r="X458" s="31">
        <v>202500</v>
      </c>
      <c r="Y458" s="31">
        <v>263250</v>
      </c>
      <c r="Z458" s="472">
        <v>177000</v>
      </c>
      <c r="AA458" s="76">
        <f t="shared" si="578"/>
        <v>214250</v>
      </c>
      <c r="AB458" s="24">
        <f t="shared" si="579"/>
        <v>58550</v>
      </c>
      <c r="AC458" s="25">
        <f t="shared" si="580"/>
        <v>0.37604367373153502</v>
      </c>
      <c r="AD458" s="309" t="str">
        <f t="shared" si="581"/>
        <v>REVISAR PRECIO</v>
      </c>
      <c r="AE458" s="462">
        <f t="shared" si="582"/>
        <v>214250</v>
      </c>
      <c r="AF458" s="410">
        <v>1275400</v>
      </c>
      <c r="AG458" s="45"/>
      <c r="AH458" s="45">
        <v>1482696</v>
      </c>
      <c r="AI458" s="45">
        <v>60000</v>
      </c>
      <c r="AJ458" s="76">
        <f t="shared" si="601"/>
        <v>771348</v>
      </c>
      <c r="AK458" s="24">
        <f t="shared" si="602"/>
        <v>-504052</v>
      </c>
      <c r="AL458" s="281">
        <f t="shared" si="603"/>
        <v>-0.39521091422298887</v>
      </c>
      <c r="AM458" s="462">
        <f t="shared" si="604"/>
        <v>771348</v>
      </c>
      <c r="AN458" s="513">
        <v>128176</v>
      </c>
      <c r="AO458" s="88">
        <v>53000</v>
      </c>
      <c r="AP458" s="116">
        <v>53000</v>
      </c>
      <c r="AQ458" s="74">
        <v>55288.2</v>
      </c>
      <c r="AR458" s="76">
        <f t="shared" si="587"/>
        <v>53762.733333333337</v>
      </c>
      <c r="AS458" s="24">
        <f t="shared" si="588"/>
        <v>-74413.266666666663</v>
      </c>
      <c r="AT458" s="25">
        <f t="shared" si="605"/>
        <v>-0.58055538218283187</v>
      </c>
      <c r="AU458" s="309">
        <f t="shared" si="606"/>
        <v>53762.733333333337</v>
      </c>
      <c r="AV458" s="462">
        <f t="shared" si="591"/>
        <v>53762.733333333337</v>
      </c>
      <c r="AW458" s="513">
        <v>128176</v>
      </c>
      <c r="AX458" s="74">
        <v>57801.3</v>
      </c>
      <c r="AY458" s="74">
        <v>80000</v>
      </c>
      <c r="AZ458" s="75">
        <v>66597.149999999994</v>
      </c>
      <c r="BA458" s="61">
        <v>57801.299999999996</v>
      </c>
      <c r="BB458" s="60">
        <v>380000</v>
      </c>
      <c r="BC458" s="74">
        <v>66471.494999999995</v>
      </c>
      <c r="BD458" s="79">
        <v>66597.149999999994</v>
      </c>
      <c r="BE458" s="79">
        <v>50262</v>
      </c>
      <c r="BF458" s="127">
        <v>60314.400000000001</v>
      </c>
      <c r="BG458" s="128">
        <v>52000</v>
      </c>
      <c r="BH458" s="128">
        <v>50000</v>
      </c>
      <c r="BI458" s="76">
        <f t="shared" si="592"/>
        <v>118111.87416666666</v>
      </c>
      <c r="BJ458" s="24">
        <f t="shared" si="593"/>
        <v>-10064.125833333339</v>
      </c>
      <c r="BK458" s="25">
        <f t="shared" si="607"/>
        <v>-7.8518020794324517E-2</v>
      </c>
      <c r="BL458" s="259">
        <f t="shared" si="595"/>
        <v>118111.87416666666</v>
      </c>
      <c r="BM458" s="533">
        <f t="shared" si="596"/>
        <v>118111.87416666666</v>
      </c>
    </row>
    <row r="459" spans="1:65" ht="39.6" customHeight="1">
      <c r="A459" s="91" t="s">
        <v>28</v>
      </c>
      <c r="B459" s="358" t="s">
        <v>2650</v>
      </c>
      <c r="C459" s="50" t="s">
        <v>247</v>
      </c>
      <c r="D459" s="99" t="s">
        <v>587</v>
      </c>
      <c r="E459" s="391" t="s">
        <v>14</v>
      </c>
      <c r="F459" s="410">
        <v>68375</v>
      </c>
      <c r="G459" s="10">
        <v>65000</v>
      </c>
      <c r="H459" s="167">
        <v>130000</v>
      </c>
      <c r="I459" s="10">
        <v>60000</v>
      </c>
      <c r="J459" s="76">
        <f t="shared" si="597"/>
        <v>62500</v>
      </c>
      <c r="K459" s="24">
        <f t="shared" si="598"/>
        <v>-5875</v>
      </c>
      <c r="L459" s="281">
        <f t="shared" si="599"/>
        <v>-8.5923217550274225E-2</v>
      </c>
      <c r="M459" s="431">
        <f t="shared" si="600"/>
        <v>130000</v>
      </c>
      <c r="N459" s="410">
        <v>62147</v>
      </c>
      <c r="O459" s="10">
        <v>60000</v>
      </c>
      <c r="P459" s="10"/>
      <c r="Q459" s="10"/>
      <c r="R459" s="10"/>
      <c r="S459" s="76">
        <f t="shared" ref="S459" si="608">AVERAGE(O459,P459,Q459,R459)</f>
        <v>60000</v>
      </c>
      <c r="T459" s="24">
        <f t="shared" ref="T459" si="609">S459-N459</f>
        <v>-2147</v>
      </c>
      <c r="U459" s="281">
        <f t="shared" ref="U459" si="610">+T459/N459</f>
        <v>-3.4547122145879933E-2</v>
      </c>
      <c r="V459" s="462">
        <f t="shared" ref="V459" si="611">S459</f>
        <v>60000</v>
      </c>
      <c r="W459" s="410">
        <v>149887</v>
      </c>
      <c r="X459" s="31">
        <v>194940</v>
      </c>
      <c r="Y459" s="31">
        <v>253422</v>
      </c>
      <c r="Z459" s="472">
        <v>170392</v>
      </c>
      <c r="AA459" s="76">
        <f t="shared" si="578"/>
        <v>206251.33333333334</v>
      </c>
      <c r="AB459" s="24">
        <f t="shared" si="579"/>
        <v>56364.333333333343</v>
      </c>
      <c r="AC459" s="25">
        <f t="shared" si="580"/>
        <v>0.37604550983963481</v>
      </c>
      <c r="AD459" s="309" t="str">
        <f t="shared" si="581"/>
        <v>REVISAR PRECIO</v>
      </c>
      <c r="AE459" s="462">
        <f t="shared" si="582"/>
        <v>206251.33333333334</v>
      </c>
      <c r="AF459" s="410">
        <v>69389</v>
      </c>
      <c r="AG459" s="45"/>
      <c r="AH459" s="45">
        <v>80669</v>
      </c>
      <c r="AI459" s="45">
        <v>65000</v>
      </c>
      <c r="AJ459" s="76">
        <f t="shared" si="601"/>
        <v>72834.5</v>
      </c>
      <c r="AK459" s="24">
        <f t="shared" si="602"/>
        <v>3445.5</v>
      </c>
      <c r="AL459" s="281">
        <f t="shared" si="603"/>
        <v>4.9654844427791146E-2</v>
      </c>
      <c r="AM459" s="462">
        <f t="shared" si="604"/>
        <v>72834.5</v>
      </c>
      <c r="AN459" s="513">
        <v>69741</v>
      </c>
      <c r="AO459" s="88">
        <v>70000</v>
      </c>
      <c r="AP459" s="116">
        <v>70000</v>
      </c>
      <c r="AQ459" s="74">
        <v>71500</v>
      </c>
      <c r="AR459" s="76">
        <f t="shared" si="587"/>
        <v>70500</v>
      </c>
      <c r="AS459" s="24">
        <f t="shared" si="588"/>
        <v>759</v>
      </c>
      <c r="AT459" s="25">
        <f t="shared" si="605"/>
        <v>1.0883124704262916E-2</v>
      </c>
      <c r="AU459" s="309">
        <f t="shared" si="606"/>
        <v>70500</v>
      </c>
      <c r="AV459" s="462">
        <f t="shared" si="591"/>
        <v>70500</v>
      </c>
      <c r="AW459" s="513">
        <v>69741</v>
      </c>
      <c r="AX459" s="74">
        <v>74750</v>
      </c>
      <c r="AY459" s="74">
        <v>120000</v>
      </c>
      <c r="AZ459" s="75">
        <v>86125</v>
      </c>
      <c r="BA459" s="61">
        <v>100049.99999999999</v>
      </c>
      <c r="BB459" s="60">
        <v>120000</v>
      </c>
      <c r="BC459" s="74">
        <v>115057.49999999997</v>
      </c>
      <c r="BD459" s="79">
        <v>86125</v>
      </c>
      <c r="BE459" s="79">
        <v>65000</v>
      </c>
      <c r="BF459" s="127">
        <v>78000</v>
      </c>
      <c r="BG459" s="128">
        <v>72000</v>
      </c>
      <c r="BH459" s="128">
        <v>65000</v>
      </c>
      <c r="BI459" s="76">
        <f t="shared" si="592"/>
        <v>102663.75</v>
      </c>
      <c r="BJ459" s="24">
        <f t="shared" si="593"/>
        <v>32922.75</v>
      </c>
      <c r="BK459" s="25">
        <f t="shared" si="607"/>
        <v>0.47207166516109605</v>
      </c>
      <c r="BL459" s="259" t="str">
        <f t="shared" si="595"/>
        <v>REVISAR PRECIO</v>
      </c>
      <c r="BM459" s="533">
        <f t="shared" si="596"/>
        <v>102663.75</v>
      </c>
    </row>
    <row r="460" spans="1:65" ht="54" customHeight="1">
      <c r="A460" s="91" t="s">
        <v>28</v>
      </c>
      <c r="B460" s="358" t="s">
        <v>2651</v>
      </c>
      <c r="C460" s="50" t="s">
        <v>248</v>
      </c>
      <c r="D460" s="99" t="s">
        <v>588</v>
      </c>
      <c r="E460" s="391" t="s">
        <v>10</v>
      </c>
      <c r="F460" s="408"/>
      <c r="G460" s="293"/>
      <c r="H460" s="293"/>
      <c r="I460" s="293"/>
      <c r="J460" s="293"/>
      <c r="K460" s="293"/>
      <c r="L460" s="327"/>
      <c r="M460" s="432"/>
      <c r="N460" s="443"/>
      <c r="O460" s="250"/>
      <c r="P460" s="250"/>
      <c r="Q460" s="250"/>
      <c r="R460" s="250"/>
      <c r="S460" s="250"/>
      <c r="T460" s="250"/>
      <c r="U460" s="250"/>
      <c r="V460" s="443"/>
      <c r="W460" s="410">
        <v>490320</v>
      </c>
      <c r="X460" s="31">
        <v>637700</v>
      </c>
      <c r="Y460" s="31">
        <v>829009</v>
      </c>
      <c r="Z460" s="472">
        <v>557396.6</v>
      </c>
      <c r="AA460" s="76">
        <f t="shared" si="578"/>
        <v>674701.8666666667</v>
      </c>
      <c r="AB460" s="24">
        <f t="shared" si="579"/>
        <v>184381.8666666667</v>
      </c>
      <c r="AC460" s="25">
        <f t="shared" si="580"/>
        <v>0.37604394409093389</v>
      </c>
      <c r="AD460" s="309" t="str">
        <f t="shared" si="581"/>
        <v>REVISAR PRECIO</v>
      </c>
      <c r="AE460" s="462">
        <f t="shared" si="582"/>
        <v>674701.8666666667</v>
      </c>
      <c r="AF460" s="408"/>
      <c r="AG460" s="293"/>
      <c r="AH460" s="293"/>
      <c r="AI460" s="293"/>
      <c r="AJ460" s="293"/>
      <c r="AK460" s="293"/>
      <c r="AL460" s="327"/>
      <c r="AM460" s="463"/>
      <c r="AN460" s="513">
        <v>332149</v>
      </c>
      <c r="AO460" s="88">
        <v>510000</v>
      </c>
      <c r="AP460" s="116">
        <v>510000</v>
      </c>
      <c r="AQ460" s="74">
        <v>509190.16500000004</v>
      </c>
      <c r="AR460" s="76">
        <f t="shared" si="587"/>
        <v>509730.05499999999</v>
      </c>
      <c r="AS460" s="24">
        <f t="shared" si="588"/>
        <v>177581.05499999999</v>
      </c>
      <c r="AT460" s="25">
        <f t="shared" si="605"/>
        <v>0.53464275069321299</v>
      </c>
      <c r="AU460" s="309" t="str">
        <f t="shared" si="606"/>
        <v>REVISAR PRECIO</v>
      </c>
      <c r="AV460" s="462">
        <f t="shared" si="591"/>
        <v>509730.05499999999</v>
      </c>
      <c r="AW460" s="513">
        <v>332149</v>
      </c>
      <c r="AX460" s="74">
        <v>532335.17249999999</v>
      </c>
      <c r="AY460" s="74">
        <v>600000</v>
      </c>
      <c r="AZ460" s="75">
        <v>613342.69874999998</v>
      </c>
      <c r="BA460" s="61">
        <v>532335.17249999999</v>
      </c>
      <c r="BB460" s="60">
        <v>450000</v>
      </c>
      <c r="BC460" s="74">
        <v>612185.44837499992</v>
      </c>
      <c r="BD460" s="79">
        <v>613342.69874999998</v>
      </c>
      <c r="BE460" s="79">
        <f>342889*1.35</f>
        <v>462900.15</v>
      </c>
      <c r="BF460" s="127">
        <v>555480.18000000005</v>
      </c>
      <c r="BG460" s="128">
        <v>450000</v>
      </c>
      <c r="BH460" s="128">
        <v>500000</v>
      </c>
      <c r="BI460" s="76">
        <f t="shared" si="592"/>
        <v>556699.74868750002</v>
      </c>
      <c r="BJ460" s="24">
        <f t="shared" si="593"/>
        <v>224550.74868750002</v>
      </c>
      <c r="BK460" s="25">
        <f t="shared" si="607"/>
        <v>0.67605426687269876</v>
      </c>
      <c r="BL460" s="259" t="str">
        <f t="shared" si="595"/>
        <v>REVISAR PRECIO</v>
      </c>
      <c r="BM460" s="533">
        <f t="shared" si="596"/>
        <v>556699.74868750002</v>
      </c>
    </row>
    <row r="461" spans="1:65" ht="54" customHeight="1">
      <c r="A461" s="91" t="s">
        <v>28</v>
      </c>
      <c r="B461" s="358" t="s">
        <v>2652</v>
      </c>
      <c r="C461" s="50" t="s">
        <v>249</v>
      </c>
      <c r="D461" s="99" t="s">
        <v>589</v>
      </c>
      <c r="E461" s="391" t="s">
        <v>10</v>
      </c>
      <c r="F461" s="408"/>
      <c r="G461" s="293"/>
      <c r="H461" s="293"/>
      <c r="I461" s="293"/>
      <c r="J461" s="293"/>
      <c r="K461" s="293"/>
      <c r="L461" s="327"/>
      <c r="M461" s="432"/>
      <c r="N461" s="443"/>
      <c r="O461" s="250"/>
      <c r="P461" s="250"/>
      <c r="Q461" s="250"/>
      <c r="R461" s="250"/>
      <c r="S461" s="250"/>
      <c r="T461" s="250"/>
      <c r="U461" s="250"/>
      <c r="V461" s="443"/>
      <c r="W461" s="410">
        <v>555704</v>
      </c>
      <c r="X461" s="31">
        <v>722736</v>
      </c>
      <c r="Y461" s="31">
        <v>939557</v>
      </c>
      <c r="Z461" s="472">
        <v>631724.80000000005</v>
      </c>
      <c r="AA461" s="76">
        <f t="shared" si="578"/>
        <v>764672.6</v>
      </c>
      <c r="AB461" s="24">
        <f t="shared" si="579"/>
        <v>208968.59999999998</v>
      </c>
      <c r="AC461" s="25">
        <f t="shared" si="580"/>
        <v>0.37604300131004992</v>
      </c>
      <c r="AD461" s="309" t="str">
        <f t="shared" si="581"/>
        <v>REVISAR PRECIO</v>
      </c>
      <c r="AE461" s="462">
        <f t="shared" si="582"/>
        <v>764672.6</v>
      </c>
      <c r="AF461" s="408"/>
      <c r="AG461" s="293"/>
      <c r="AH461" s="293"/>
      <c r="AI461" s="293"/>
      <c r="AJ461" s="293"/>
      <c r="AK461" s="293"/>
      <c r="AL461" s="327"/>
      <c r="AM461" s="463"/>
      <c r="AN461" s="513">
        <v>376431</v>
      </c>
      <c r="AO461" s="88">
        <v>541500</v>
      </c>
      <c r="AP461" s="116">
        <v>550000</v>
      </c>
      <c r="AQ461" s="74">
        <v>567259.6050000001</v>
      </c>
      <c r="AR461" s="76">
        <f t="shared" si="587"/>
        <v>552919.86833333329</v>
      </c>
      <c r="AS461" s="24">
        <f t="shared" si="588"/>
        <v>176488.86833333329</v>
      </c>
      <c r="AT461" s="25">
        <f t="shared" si="605"/>
        <v>0.46884785879306773</v>
      </c>
      <c r="AU461" s="309" t="str">
        <f t="shared" si="606"/>
        <v>REVISAR PRECIO</v>
      </c>
      <c r="AV461" s="462">
        <f t="shared" si="591"/>
        <v>552919.86833333329</v>
      </c>
      <c r="AW461" s="513">
        <v>376431</v>
      </c>
      <c r="AX461" s="74">
        <v>593044.13250000007</v>
      </c>
      <c r="AY461" s="74">
        <v>600000</v>
      </c>
      <c r="AZ461" s="75">
        <v>683289.97875000001</v>
      </c>
      <c r="BA461" s="61">
        <v>593044.13250000007</v>
      </c>
      <c r="BB461" s="60">
        <v>800000</v>
      </c>
      <c r="BC461" s="74">
        <v>682000.75237500004</v>
      </c>
      <c r="BD461" s="79">
        <v>683289.97875000001</v>
      </c>
      <c r="BE461" s="79">
        <f>381993*1.35</f>
        <v>515690.55000000005</v>
      </c>
      <c r="BF461" s="127">
        <v>618828.66</v>
      </c>
      <c r="BG461" s="128">
        <v>460000</v>
      </c>
      <c r="BH461" s="128">
        <v>500000</v>
      </c>
      <c r="BI461" s="76">
        <f t="shared" si="592"/>
        <v>658563.16602083342</v>
      </c>
      <c r="BJ461" s="24">
        <f t="shared" si="593"/>
        <v>282132.16602083342</v>
      </c>
      <c r="BK461" s="25">
        <f t="shared" si="607"/>
        <v>0.74949237980090222</v>
      </c>
      <c r="BL461" s="259" t="str">
        <f t="shared" si="595"/>
        <v>REVISAR PRECIO</v>
      </c>
      <c r="BM461" s="533">
        <f t="shared" si="596"/>
        <v>658563.16602083342</v>
      </c>
    </row>
    <row r="462" spans="1:65" ht="54" customHeight="1">
      <c r="A462" s="91" t="s">
        <v>28</v>
      </c>
      <c r="B462" s="358" t="s">
        <v>2653</v>
      </c>
      <c r="C462" s="50" t="s">
        <v>250</v>
      </c>
      <c r="D462" s="99" t="s">
        <v>590</v>
      </c>
      <c r="E462" s="391" t="s">
        <v>13</v>
      </c>
      <c r="F462" s="408"/>
      <c r="G462" s="293"/>
      <c r="H462" s="293"/>
      <c r="I462" s="293"/>
      <c r="J462" s="293"/>
      <c r="K462" s="293"/>
      <c r="L462" s="327"/>
      <c r="M462" s="432"/>
      <c r="N462" s="443"/>
      <c r="O462" s="250"/>
      <c r="P462" s="250"/>
      <c r="Q462" s="250"/>
      <c r="R462" s="250"/>
      <c r="S462" s="250"/>
      <c r="T462" s="250"/>
      <c r="U462" s="250"/>
      <c r="V462" s="443"/>
      <c r="W462" s="410">
        <v>548033</v>
      </c>
      <c r="X462" s="31">
        <v>712760</v>
      </c>
      <c r="Y462" s="31">
        <v>712760</v>
      </c>
      <c r="Z462" s="472">
        <v>623004.6</v>
      </c>
      <c r="AA462" s="76">
        <f t="shared" si="578"/>
        <v>682841.53333333333</v>
      </c>
      <c r="AB462" s="24">
        <f t="shared" si="579"/>
        <v>134808.53333333333</v>
      </c>
      <c r="AC462" s="25">
        <f t="shared" si="580"/>
        <v>0.24598616020081515</v>
      </c>
      <c r="AD462" s="309">
        <f t="shared" si="581"/>
        <v>682841.53333333333</v>
      </c>
      <c r="AE462" s="462">
        <f t="shared" si="582"/>
        <v>682841.53333333333</v>
      </c>
      <c r="AF462" s="408"/>
      <c r="AG462" s="293"/>
      <c r="AH462" s="293"/>
      <c r="AI462" s="293"/>
      <c r="AJ462" s="293"/>
      <c r="AK462" s="293"/>
      <c r="AL462" s="327"/>
      <c r="AM462" s="463"/>
      <c r="AN462" s="513">
        <v>371238</v>
      </c>
      <c r="AO462" s="88">
        <v>275000</v>
      </c>
      <c r="AP462" s="116">
        <v>275000</v>
      </c>
      <c r="AQ462" s="74">
        <v>275000</v>
      </c>
      <c r="AR462" s="76">
        <f t="shared" si="587"/>
        <v>275000</v>
      </c>
      <c r="AS462" s="24">
        <f t="shared" si="588"/>
        <v>-96238</v>
      </c>
      <c r="AT462" s="25">
        <f t="shared" si="605"/>
        <v>-0.25923531535026045</v>
      </c>
      <c r="AU462" s="309">
        <f t="shared" si="606"/>
        <v>275000</v>
      </c>
      <c r="AV462" s="462">
        <f t="shared" si="591"/>
        <v>275000</v>
      </c>
      <c r="AW462" s="513">
        <v>371238</v>
      </c>
      <c r="AX462" s="74">
        <v>287500</v>
      </c>
      <c r="AY462" s="74">
        <v>380000</v>
      </c>
      <c r="AZ462" s="75">
        <v>331250</v>
      </c>
      <c r="BA462" s="61">
        <v>287500</v>
      </c>
      <c r="BB462" s="60">
        <v>380000</v>
      </c>
      <c r="BC462" s="74">
        <v>330625</v>
      </c>
      <c r="BD462" s="79">
        <v>331250</v>
      </c>
      <c r="BE462" s="79">
        <v>250000</v>
      </c>
      <c r="BF462" s="127">
        <v>275000</v>
      </c>
      <c r="BG462" s="128">
        <v>260000</v>
      </c>
      <c r="BH462" s="128">
        <v>250000</v>
      </c>
      <c r="BI462" s="76">
        <f t="shared" si="592"/>
        <v>332812.5</v>
      </c>
      <c r="BJ462" s="24">
        <f t="shared" si="593"/>
        <v>-38425.5</v>
      </c>
      <c r="BK462" s="25">
        <f t="shared" si="607"/>
        <v>-0.10350637596366752</v>
      </c>
      <c r="BL462" s="259">
        <f t="shared" si="595"/>
        <v>332812.5</v>
      </c>
      <c r="BM462" s="533">
        <f t="shared" si="596"/>
        <v>332812.5</v>
      </c>
    </row>
    <row r="463" spans="1:65" ht="50.1" customHeight="1">
      <c r="A463" s="91" t="s">
        <v>28</v>
      </c>
      <c r="B463" s="358" t="s">
        <v>2654</v>
      </c>
      <c r="C463" s="50" t="s">
        <v>251</v>
      </c>
      <c r="D463" s="99" t="s">
        <v>591</v>
      </c>
      <c r="E463" s="391" t="s">
        <v>10</v>
      </c>
      <c r="F463" s="410">
        <v>38806</v>
      </c>
      <c r="G463" s="10">
        <v>56265</v>
      </c>
      <c r="H463" s="167">
        <v>56265</v>
      </c>
      <c r="I463" s="10">
        <v>108600</v>
      </c>
      <c r="J463" s="76">
        <f t="shared" ref="J463:J464" si="612">AVERAGE(G463,I463)</f>
        <v>82432.5</v>
      </c>
      <c r="K463" s="24">
        <f t="shared" ref="K463:K464" si="613">J463-F463</f>
        <v>43626.5</v>
      </c>
      <c r="L463" s="281">
        <f t="shared" ref="L463:L464" si="614">+K463/F463</f>
        <v>1.1242204813688605</v>
      </c>
      <c r="M463" s="431">
        <f t="shared" ref="M463:M464" si="615">H463</f>
        <v>56265</v>
      </c>
      <c r="N463" s="410">
        <v>34116</v>
      </c>
      <c r="O463" s="10">
        <v>60000</v>
      </c>
      <c r="P463" s="10"/>
      <c r="Q463" s="10"/>
      <c r="R463" s="10"/>
      <c r="S463" s="76">
        <f t="shared" ref="S463:S464" si="616">AVERAGE(O463,P463,Q463,R463)</f>
        <v>60000</v>
      </c>
      <c r="T463" s="24">
        <f t="shared" ref="T463:T464" si="617">S463-N463</f>
        <v>25884</v>
      </c>
      <c r="U463" s="281">
        <f t="shared" ref="U463:U464" si="618">+T463/N463</f>
        <v>0.75870559268378468</v>
      </c>
      <c r="V463" s="462">
        <f t="shared" ref="V463:V464" si="619">S463</f>
        <v>60000</v>
      </c>
      <c r="W463" s="410">
        <v>57277</v>
      </c>
      <c r="X463" s="31">
        <v>74493</v>
      </c>
      <c r="Y463" s="31">
        <v>96841</v>
      </c>
      <c r="Z463" s="472">
        <v>65112.4</v>
      </c>
      <c r="AA463" s="76">
        <f t="shared" si="578"/>
        <v>78815.46666666666</v>
      </c>
      <c r="AB463" s="24">
        <f t="shared" si="579"/>
        <v>21538.46666666666</v>
      </c>
      <c r="AC463" s="25">
        <f t="shared" si="580"/>
        <v>0.37604041179996611</v>
      </c>
      <c r="AD463" s="309" t="str">
        <f t="shared" si="581"/>
        <v>REVISAR PRECIO</v>
      </c>
      <c r="AE463" s="462">
        <f t="shared" si="582"/>
        <v>78815.46666666666</v>
      </c>
      <c r="AF463" s="410">
        <v>38805</v>
      </c>
      <c r="AG463" s="45"/>
      <c r="AH463" s="45">
        <v>45780</v>
      </c>
      <c r="AI463" s="45">
        <v>60000</v>
      </c>
      <c r="AJ463" s="76">
        <f t="shared" ref="AJ463:AJ464" si="620">AVERAGE(AG463,AH463,AI463)</f>
        <v>52890</v>
      </c>
      <c r="AK463" s="24">
        <f t="shared" ref="AK463:AK464" si="621">AJ463-AF463</f>
        <v>14085</v>
      </c>
      <c r="AL463" s="281">
        <f t="shared" ref="AL463:AL464" si="622">+AK463/AF463</f>
        <v>0.36296868960185541</v>
      </c>
      <c r="AM463" s="462">
        <f t="shared" ref="AM463:AM464" si="623">AJ463</f>
        <v>52890</v>
      </c>
      <c r="AN463" s="513">
        <v>38805</v>
      </c>
      <c r="AO463" s="88">
        <v>60000</v>
      </c>
      <c r="AP463" s="116">
        <v>60000</v>
      </c>
      <c r="AQ463" s="74">
        <v>61891.83</v>
      </c>
      <c r="AR463" s="76">
        <f t="shared" si="587"/>
        <v>60630.610000000008</v>
      </c>
      <c r="AS463" s="24">
        <f t="shared" si="588"/>
        <v>21825.610000000008</v>
      </c>
      <c r="AT463" s="25">
        <f t="shared" si="605"/>
        <v>0.56244324185027728</v>
      </c>
      <c r="AU463" s="309" t="str">
        <f t="shared" si="606"/>
        <v>REVISAR PRECIO</v>
      </c>
      <c r="AV463" s="462">
        <f t="shared" si="591"/>
        <v>60630.610000000008</v>
      </c>
      <c r="AW463" s="513">
        <v>38805</v>
      </c>
      <c r="AX463" s="74">
        <v>64705.095000000001</v>
      </c>
      <c r="AY463" s="74">
        <v>150000</v>
      </c>
      <c r="AZ463" s="75">
        <v>74551.522499999992</v>
      </c>
      <c r="BA463" s="61">
        <v>64705.095000000001</v>
      </c>
      <c r="BB463" s="60">
        <v>420000</v>
      </c>
      <c r="BC463" s="74">
        <v>74410.859249999994</v>
      </c>
      <c r="BD463" s="79">
        <v>74551.522499999992</v>
      </c>
      <c r="BE463" s="79">
        <f>43281*1.3</f>
        <v>56265.3</v>
      </c>
      <c r="BF463" s="127">
        <v>67518.36</v>
      </c>
      <c r="BG463" s="128">
        <v>65900</v>
      </c>
      <c r="BH463" s="128">
        <v>60000</v>
      </c>
      <c r="BI463" s="76">
        <f t="shared" si="592"/>
        <v>141395.428625</v>
      </c>
      <c r="BJ463" s="24">
        <f t="shared" si="593"/>
        <v>102590.428625</v>
      </c>
      <c r="BK463" s="25">
        <f t="shared" si="607"/>
        <v>2.6437425235150109</v>
      </c>
      <c r="BL463" s="259" t="str">
        <f t="shared" si="595"/>
        <v>REVISAR PRECIO</v>
      </c>
      <c r="BM463" s="533">
        <f t="shared" si="596"/>
        <v>141395.428625</v>
      </c>
    </row>
    <row r="464" spans="1:65" ht="58.35" customHeight="1">
      <c r="A464" s="91" t="s">
        <v>28</v>
      </c>
      <c r="B464" s="358" t="s">
        <v>2655</v>
      </c>
      <c r="C464" s="50" t="s">
        <v>252</v>
      </c>
      <c r="D464" s="99" t="s">
        <v>592</v>
      </c>
      <c r="E464" s="391" t="s">
        <v>10</v>
      </c>
      <c r="F464" s="410">
        <v>20039</v>
      </c>
      <c r="G464" s="10">
        <v>28101</v>
      </c>
      <c r="H464" s="167">
        <v>56202</v>
      </c>
      <c r="I464" s="10">
        <v>35600</v>
      </c>
      <c r="J464" s="76">
        <f t="shared" si="612"/>
        <v>31850.5</v>
      </c>
      <c r="K464" s="24">
        <f t="shared" si="613"/>
        <v>11811.5</v>
      </c>
      <c r="L464" s="281">
        <f t="shared" si="614"/>
        <v>0.58942562004092025</v>
      </c>
      <c r="M464" s="431">
        <f t="shared" si="615"/>
        <v>56202</v>
      </c>
      <c r="N464" s="410">
        <v>17314</v>
      </c>
      <c r="O464" s="10">
        <v>100000</v>
      </c>
      <c r="P464" s="10"/>
      <c r="Q464" s="10"/>
      <c r="R464" s="10"/>
      <c r="S464" s="76">
        <f t="shared" si="616"/>
        <v>100000</v>
      </c>
      <c r="T464" s="24">
        <f t="shared" si="617"/>
        <v>82686</v>
      </c>
      <c r="U464" s="281">
        <f t="shared" si="618"/>
        <v>4.7756728658888763</v>
      </c>
      <c r="V464" s="462">
        <f t="shared" si="619"/>
        <v>100000</v>
      </c>
      <c r="W464" s="410">
        <v>29573</v>
      </c>
      <c r="X464" s="31">
        <v>38462</v>
      </c>
      <c r="Y464" s="31">
        <v>50000</v>
      </c>
      <c r="Z464" s="472">
        <v>33618.199999999997</v>
      </c>
      <c r="AA464" s="76">
        <f t="shared" si="578"/>
        <v>40693.4</v>
      </c>
      <c r="AB464" s="24">
        <f t="shared" si="579"/>
        <v>11120.400000000001</v>
      </c>
      <c r="AC464" s="25">
        <f t="shared" si="580"/>
        <v>0.37603219152605422</v>
      </c>
      <c r="AD464" s="309" t="str">
        <f t="shared" si="581"/>
        <v>REVISAR PRECIO</v>
      </c>
      <c r="AE464" s="462">
        <f t="shared" si="582"/>
        <v>40693.4</v>
      </c>
      <c r="AF464" s="410">
        <v>21661</v>
      </c>
      <c r="AG464" s="45"/>
      <c r="AH464" s="45">
        <v>23639</v>
      </c>
      <c r="AI464" s="45">
        <v>35000</v>
      </c>
      <c r="AJ464" s="76">
        <f t="shared" si="620"/>
        <v>29319.5</v>
      </c>
      <c r="AK464" s="24">
        <f t="shared" si="621"/>
        <v>7658.5</v>
      </c>
      <c r="AL464" s="281">
        <f t="shared" si="622"/>
        <v>0.35356170075250448</v>
      </c>
      <c r="AM464" s="462">
        <f t="shared" si="623"/>
        <v>29319.5</v>
      </c>
      <c r="AN464" s="513">
        <v>20039</v>
      </c>
      <c r="AO464" s="88">
        <v>30000</v>
      </c>
      <c r="AP464" s="116">
        <v>30000</v>
      </c>
      <c r="AQ464" s="74">
        <v>30910.879999999997</v>
      </c>
      <c r="AR464" s="76">
        <f t="shared" si="587"/>
        <v>30303.626666666667</v>
      </c>
      <c r="AS464" s="24">
        <f t="shared" si="588"/>
        <v>10264.626666666667</v>
      </c>
      <c r="AT464" s="25">
        <f t="shared" si="605"/>
        <v>0.51223247999733856</v>
      </c>
      <c r="AU464" s="309" t="str">
        <f t="shared" si="606"/>
        <v>REVISAR PRECIO</v>
      </c>
      <c r="AV464" s="462">
        <f t="shared" si="591"/>
        <v>30303.626666666667</v>
      </c>
      <c r="AW464" s="513">
        <v>20039</v>
      </c>
      <c r="AX464" s="74">
        <v>32315.919999999998</v>
      </c>
      <c r="AY464" s="74">
        <v>130000</v>
      </c>
      <c r="AZ464" s="75">
        <v>37233.56</v>
      </c>
      <c r="BA464" s="61">
        <v>32315.919999999998</v>
      </c>
      <c r="BB464" s="60">
        <v>420000</v>
      </c>
      <c r="BC464" s="74">
        <v>37163.307999999997</v>
      </c>
      <c r="BD464" s="79">
        <v>37233.56</v>
      </c>
      <c r="BE464" s="79">
        <f>21616*1.3</f>
        <v>28100.799999999999</v>
      </c>
      <c r="BF464" s="127">
        <v>33720.959999999999</v>
      </c>
      <c r="BG464" s="128">
        <v>27500</v>
      </c>
      <c r="BH464" s="128">
        <v>30000</v>
      </c>
      <c r="BI464" s="76">
        <f t="shared" si="592"/>
        <v>114838.11799999997</v>
      </c>
      <c r="BJ464" s="24">
        <f t="shared" si="593"/>
        <v>94799.117999999973</v>
      </c>
      <c r="BK464" s="25">
        <f t="shared" si="607"/>
        <v>4.7307309745995294</v>
      </c>
      <c r="BL464" s="259" t="str">
        <f t="shared" si="595"/>
        <v>REVISAR PRECIO</v>
      </c>
      <c r="BM464" s="533">
        <f t="shared" si="596"/>
        <v>114838.11799999997</v>
      </c>
    </row>
    <row r="465" spans="1:65" ht="33.6" customHeight="1">
      <c r="A465" s="91" t="s">
        <v>28</v>
      </c>
      <c r="B465" s="358" t="s">
        <v>2656</v>
      </c>
      <c r="C465" s="50" t="s">
        <v>253</v>
      </c>
      <c r="D465" s="99" t="s">
        <v>593</v>
      </c>
      <c r="E465" s="391" t="s">
        <v>12</v>
      </c>
      <c r="F465" s="408"/>
      <c r="G465" s="293"/>
      <c r="H465" s="293"/>
      <c r="I465" s="293"/>
      <c r="J465" s="293"/>
      <c r="K465" s="293"/>
      <c r="L465" s="327"/>
      <c r="M465" s="432"/>
      <c r="N465" s="443"/>
      <c r="O465" s="250"/>
      <c r="P465" s="250"/>
      <c r="Q465" s="250"/>
      <c r="R465" s="250"/>
      <c r="S465" s="250"/>
      <c r="T465" s="250"/>
      <c r="U465" s="250"/>
      <c r="V465" s="443"/>
      <c r="W465" s="410">
        <v>70065</v>
      </c>
      <c r="X465" s="31">
        <v>91125</v>
      </c>
      <c r="Y465" s="31">
        <v>118463</v>
      </c>
      <c r="Z465" s="472">
        <v>79650</v>
      </c>
      <c r="AA465" s="76">
        <f t="shared" si="578"/>
        <v>96412.666666666672</v>
      </c>
      <c r="AB465" s="24">
        <f t="shared" si="579"/>
        <v>26347.666666666672</v>
      </c>
      <c r="AC465" s="25">
        <f t="shared" si="580"/>
        <v>0.37604605247508271</v>
      </c>
      <c r="AD465" s="309" t="str">
        <f t="shared" si="581"/>
        <v>REVISAR PRECIO</v>
      </c>
      <c r="AE465" s="462">
        <f t="shared" si="582"/>
        <v>96412.666666666672</v>
      </c>
      <c r="AF465" s="408"/>
      <c r="AG465" s="293"/>
      <c r="AH465" s="293"/>
      <c r="AI465" s="293"/>
      <c r="AJ465" s="293"/>
      <c r="AK465" s="293"/>
      <c r="AL465" s="327"/>
      <c r="AM465" s="463"/>
      <c r="AN465" s="513">
        <v>42716</v>
      </c>
      <c r="AO465" s="88">
        <v>75000</v>
      </c>
      <c r="AP465" s="116">
        <v>75000</v>
      </c>
      <c r="AQ465" s="74"/>
      <c r="AR465" s="76">
        <f t="shared" si="587"/>
        <v>75000</v>
      </c>
      <c r="AS465" s="24">
        <f t="shared" si="588"/>
        <v>32284</v>
      </c>
      <c r="AT465" s="25">
        <f t="shared" si="605"/>
        <v>0.75578237662702497</v>
      </c>
      <c r="AU465" s="309" t="str">
        <f t="shared" si="606"/>
        <v>REVISAR PRECIO</v>
      </c>
      <c r="AV465" s="462">
        <f t="shared" si="591"/>
        <v>75000</v>
      </c>
      <c r="AW465" s="513">
        <v>42716</v>
      </c>
      <c r="AX465" s="74"/>
      <c r="AY465" s="74"/>
      <c r="AZ465" s="75"/>
      <c r="BA465" s="61"/>
      <c r="BB465" s="60"/>
      <c r="BC465" s="74"/>
      <c r="BD465" s="79"/>
      <c r="BE465" s="79"/>
      <c r="BF465" s="127"/>
      <c r="BG465" s="128">
        <v>141000</v>
      </c>
      <c r="BH465" s="128"/>
      <c r="BI465" s="76"/>
      <c r="BJ465" s="24"/>
      <c r="BK465" s="25"/>
      <c r="BL465" s="259">
        <f t="shared" si="595"/>
        <v>0</v>
      </c>
      <c r="BM465" s="533">
        <f t="shared" si="596"/>
        <v>0</v>
      </c>
    </row>
    <row r="466" spans="1:65" ht="23.1" customHeight="1">
      <c r="A466" s="91" t="s">
        <v>28</v>
      </c>
      <c r="B466" s="358" t="s">
        <v>2657</v>
      </c>
      <c r="C466" s="50" t="s">
        <v>254</v>
      </c>
      <c r="D466" s="99" t="s">
        <v>594</v>
      </c>
      <c r="E466" s="391" t="s">
        <v>12</v>
      </c>
      <c r="F466" s="408"/>
      <c r="G466" s="293"/>
      <c r="H466" s="293"/>
      <c r="I466" s="293"/>
      <c r="J466" s="293"/>
      <c r="K466" s="293"/>
      <c r="L466" s="327"/>
      <c r="M466" s="432"/>
      <c r="N466" s="443"/>
      <c r="O466" s="250"/>
      <c r="P466" s="250"/>
      <c r="Q466" s="250"/>
      <c r="R466" s="250"/>
      <c r="S466" s="250"/>
      <c r="T466" s="250"/>
      <c r="U466" s="250"/>
      <c r="V466" s="443"/>
      <c r="W466" s="410">
        <v>42818</v>
      </c>
      <c r="X466" s="33">
        <v>55688</v>
      </c>
      <c r="Y466" s="31">
        <v>72394</v>
      </c>
      <c r="Z466" s="472">
        <v>48675</v>
      </c>
      <c r="AA466" s="76">
        <f t="shared" si="578"/>
        <v>58919</v>
      </c>
      <c r="AB466" s="24">
        <f t="shared" si="579"/>
        <v>16101</v>
      </c>
      <c r="AC466" s="25">
        <f t="shared" si="580"/>
        <v>0.3760334438787426</v>
      </c>
      <c r="AD466" s="309" t="str">
        <f t="shared" si="581"/>
        <v>REVISAR PRECIO</v>
      </c>
      <c r="AE466" s="462">
        <f t="shared" si="582"/>
        <v>58919</v>
      </c>
      <c r="AF466" s="408"/>
      <c r="AG466" s="293"/>
      <c r="AH466" s="293"/>
      <c r="AI466" s="293"/>
      <c r="AJ466" s="293"/>
      <c r="AK466" s="293"/>
      <c r="AL466" s="327"/>
      <c r="AM466" s="463"/>
      <c r="AN466" s="513"/>
      <c r="AO466" s="88">
        <v>39000</v>
      </c>
      <c r="AP466" s="116">
        <v>39000</v>
      </c>
      <c r="AQ466" s="74">
        <v>38500</v>
      </c>
      <c r="AR466" s="76">
        <f t="shared" si="587"/>
        <v>38833.333333333336</v>
      </c>
      <c r="AS466" s="24">
        <f t="shared" si="588"/>
        <v>38833.333333333336</v>
      </c>
      <c r="AT466" s="25"/>
      <c r="AU466" s="309"/>
      <c r="AV466" s="462">
        <f t="shared" si="591"/>
        <v>38833.333333333336</v>
      </c>
      <c r="AW466" s="513"/>
      <c r="AX466" s="74">
        <v>40250</v>
      </c>
      <c r="AY466" s="74">
        <v>55000</v>
      </c>
      <c r="AZ466" s="75">
        <v>46375</v>
      </c>
      <c r="BA466" s="61">
        <v>40250</v>
      </c>
      <c r="BB466" s="60"/>
      <c r="BC466" s="74">
        <v>46287.5</v>
      </c>
      <c r="BD466" s="79">
        <v>46375</v>
      </c>
      <c r="BE466" s="79">
        <v>35000</v>
      </c>
      <c r="BF466" s="127">
        <v>42000</v>
      </c>
      <c r="BG466" s="128">
        <v>32000</v>
      </c>
      <c r="BH466" s="128">
        <v>32000</v>
      </c>
      <c r="BI466" s="76">
        <f t="shared" ref="BI466:BI471" si="624">AVERAGE(AX466,AY466,AZ466,BA466,BB466,BC466)</f>
        <v>45632.5</v>
      </c>
      <c r="BJ466" s="24">
        <f t="shared" ref="BJ466:BJ471" si="625">BI466-AW466</f>
        <v>45632.5</v>
      </c>
      <c r="BK466" s="25"/>
      <c r="BL466" s="259">
        <f t="shared" si="595"/>
        <v>45632.5</v>
      </c>
      <c r="BM466" s="533">
        <f t="shared" si="596"/>
        <v>45632.5</v>
      </c>
    </row>
    <row r="467" spans="1:65" ht="23.1" customHeight="1">
      <c r="A467" s="91" t="s">
        <v>28</v>
      </c>
      <c r="B467" s="358" t="s">
        <v>2658</v>
      </c>
      <c r="C467" s="50" t="s">
        <v>255</v>
      </c>
      <c r="D467" s="99" t="s">
        <v>595</v>
      </c>
      <c r="E467" s="391" t="s">
        <v>11</v>
      </c>
      <c r="F467" s="408"/>
      <c r="G467" s="293"/>
      <c r="H467" s="293"/>
      <c r="I467" s="293"/>
      <c r="J467" s="293"/>
      <c r="K467" s="293"/>
      <c r="L467" s="327"/>
      <c r="M467" s="432"/>
      <c r="N467" s="443"/>
      <c r="O467" s="250"/>
      <c r="P467" s="250"/>
      <c r="Q467" s="250"/>
      <c r="R467" s="250"/>
      <c r="S467" s="250"/>
      <c r="T467" s="250"/>
      <c r="U467" s="250"/>
      <c r="V467" s="443"/>
      <c r="W467" s="410">
        <v>34254</v>
      </c>
      <c r="X467" s="33">
        <v>44550</v>
      </c>
      <c r="Y467" s="31">
        <v>57915</v>
      </c>
      <c r="Z467" s="472">
        <v>38940</v>
      </c>
      <c r="AA467" s="76">
        <f t="shared" si="578"/>
        <v>47135</v>
      </c>
      <c r="AB467" s="24">
        <f t="shared" si="579"/>
        <v>12881</v>
      </c>
      <c r="AC467" s="25">
        <f t="shared" si="580"/>
        <v>0.37604367373153502</v>
      </c>
      <c r="AD467" s="309" t="str">
        <f t="shared" si="581"/>
        <v>REVISAR PRECIO</v>
      </c>
      <c r="AE467" s="462">
        <f t="shared" si="582"/>
        <v>47135</v>
      </c>
      <c r="AF467" s="408"/>
      <c r="AG467" s="293"/>
      <c r="AH467" s="293"/>
      <c r="AI467" s="293"/>
      <c r="AJ467" s="293"/>
      <c r="AK467" s="293"/>
      <c r="AL467" s="327"/>
      <c r="AM467" s="463"/>
      <c r="AN467" s="513"/>
      <c r="AO467" s="88">
        <v>30000</v>
      </c>
      <c r="AP467" s="116">
        <v>30000</v>
      </c>
      <c r="AQ467" s="74">
        <v>26050.31</v>
      </c>
      <c r="AR467" s="76">
        <f t="shared" si="587"/>
        <v>28683.436666666665</v>
      </c>
      <c r="AS467" s="24">
        <f t="shared" si="588"/>
        <v>28683.436666666665</v>
      </c>
      <c r="AT467" s="25"/>
      <c r="AU467" s="309"/>
      <c r="AV467" s="462">
        <f t="shared" si="591"/>
        <v>28683.436666666665</v>
      </c>
      <c r="AW467" s="513"/>
      <c r="AX467" s="74">
        <v>27234.415000000001</v>
      </c>
      <c r="AY467" s="74">
        <v>130000</v>
      </c>
      <c r="AZ467" s="75">
        <v>31378.782500000001</v>
      </c>
      <c r="BA467" s="61">
        <v>64859.999999999993</v>
      </c>
      <c r="BB467" s="60"/>
      <c r="BC467" s="74">
        <v>74588.999999999985</v>
      </c>
      <c r="BD467" s="79">
        <v>31378.782500000001</v>
      </c>
      <c r="BE467" s="79">
        <f>18217*1.3</f>
        <v>23682.100000000002</v>
      </c>
      <c r="BF467" s="127">
        <v>28418.520000000004</v>
      </c>
      <c r="BG467" s="128">
        <v>20900</v>
      </c>
      <c r="BH467" s="128">
        <v>30000</v>
      </c>
      <c r="BI467" s="76">
        <f t="shared" si="624"/>
        <v>65612.439500000008</v>
      </c>
      <c r="BJ467" s="24">
        <f t="shared" si="625"/>
        <v>65612.439500000008</v>
      </c>
      <c r="BK467" s="25"/>
      <c r="BL467" s="259">
        <f t="shared" si="595"/>
        <v>65612.439500000008</v>
      </c>
      <c r="BM467" s="533">
        <f t="shared" si="596"/>
        <v>65612.439500000008</v>
      </c>
    </row>
    <row r="468" spans="1:65" ht="36" customHeight="1">
      <c r="A468" s="91" t="s">
        <v>28</v>
      </c>
      <c r="B468" s="358" t="s">
        <v>2659</v>
      </c>
      <c r="C468" s="50" t="s">
        <v>256</v>
      </c>
      <c r="D468" s="99" t="s">
        <v>596</v>
      </c>
      <c r="E468" s="391" t="s">
        <v>11</v>
      </c>
      <c r="F468" s="408"/>
      <c r="G468" s="293"/>
      <c r="H468" s="293"/>
      <c r="I468" s="293"/>
      <c r="J468" s="293"/>
      <c r="K468" s="293"/>
      <c r="L468" s="327"/>
      <c r="M468" s="432"/>
      <c r="N468" s="443"/>
      <c r="O468" s="250"/>
      <c r="P468" s="250"/>
      <c r="Q468" s="250"/>
      <c r="R468" s="250"/>
      <c r="S468" s="250"/>
      <c r="T468" s="250"/>
      <c r="U468" s="250"/>
      <c r="V468" s="443"/>
      <c r="W468" s="410">
        <v>22577</v>
      </c>
      <c r="X468" s="33">
        <v>29363</v>
      </c>
      <c r="Y468" s="33">
        <v>38171</v>
      </c>
      <c r="Z468" s="472">
        <v>25665</v>
      </c>
      <c r="AA468" s="76">
        <f t="shared" si="578"/>
        <v>31066.333333333332</v>
      </c>
      <c r="AB468" s="24">
        <f t="shared" si="579"/>
        <v>8489.3333333333321</v>
      </c>
      <c r="AC468" s="25">
        <f t="shared" si="580"/>
        <v>0.3760168903456319</v>
      </c>
      <c r="AD468" s="309" t="str">
        <f t="shared" si="581"/>
        <v>REVISAR PRECIO</v>
      </c>
      <c r="AE468" s="462">
        <f t="shared" si="582"/>
        <v>31066.333333333332</v>
      </c>
      <c r="AF468" s="408"/>
      <c r="AG468" s="293"/>
      <c r="AH468" s="293"/>
      <c r="AI468" s="293"/>
      <c r="AJ468" s="293"/>
      <c r="AK468" s="293"/>
      <c r="AL468" s="327"/>
      <c r="AM468" s="463"/>
      <c r="AN468" s="513">
        <v>13764</v>
      </c>
      <c r="AO468" s="88">
        <v>163000</v>
      </c>
      <c r="AP468" s="116">
        <v>170000</v>
      </c>
      <c r="AQ468" s="74">
        <v>170500</v>
      </c>
      <c r="AR468" s="76">
        <f t="shared" si="587"/>
        <v>167833.33333333334</v>
      </c>
      <c r="AS468" s="24">
        <f t="shared" si="588"/>
        <v>154069.33333333334</v>
      </c>
      <c r="AT468" s="25">
        <f t="shared" ref="AT468:AT470" si="626">+AS468/AN468</f>
        <v>11.193645258161387</v>
      </c>
      <c r="AU468" s="309" t="str">
        <f t="shared" ref="AU468:AU470" si="627">+IF(AT468&lt;35%,AR468,"REVISAR PRECIO")</f>
        <v>REVISAR PRECIO</v>
      </c>
      <c r="AV468" s="462">
        <f t="shared" si="591"/>
        <v>167833.33333333334</v>
      </c>
      <c r="AW468" s="513">
        <v>13764</v>
      </c>
      <c r="AX468" s="74">
        <v>178250</v>
      </c>
      <c r="AY468" s="74">
        <v>160000</v>
      </c>
      <c r="AZ468" s="75">
        <v>205375</v>
      </c>
      <c r="BA468" s="61"/>
      <c r="BB468" s="60"/>
      <c r="BC468" s="74"/>
      <c r="BD468" s="79">
        <v>205375</v>
      </c>
      <c r="BE468" s="79">
        <v>155000</v>
      </c>
      <c r="BF468" s="127">
        <v>186000</v>
      </c>
      <c r="BG468" s="128">
        <v>173000</v>
      </c>
      <c r="BH468" s="128"/>
      <c r="BI468" s="76">
        <f t="shared" si="624"/>
        <v>181208.33333333334</v>
      </c>
      <c r="BJ468" s="24">
        <f t="shared" si="625"/>
        <v>167444.33333333334</v>
      </c>
      <c r="BK468" s="25">
        <f>+BJ468/AW468</f>
        <v>12.165383125060545</v>
      </c>
      <c r="BL468" s="259" t="str">
        <f t="shared" si="595"/>
        <v>REVISAR PRECIO</v>
      </c>
      <c r="BM468" s="533">
        <f t="shared" si="596"/>
        <v>181208.33333333334</v>
      </c>
    </row>
    <row r="469" spans="1:65" ht="36" customHeight="1">
      <c r="A469" s="91" t="s">
        <v>28</v>
      </c>
      <c r="B469" s="358" t="s">
        <v>2660</v>
      </c>
      <c r="C469" s="50" t="s">
        <v>257</v>
      </c>
      <c r="D469" s="99" t="s">
        <v>597</v>
      </c>
      <c r="E469" s="391" t="s">
        <v>740</v>
      </c>
      <c r="F469" s="408"/>
      <c r="G469" s="293"/>
      <c r="H469" s="293"/>
      <c r="I469" s="293"/>
      <c r="J469" s="293"/>
      <c r="K469" s="293"/>
      <c r="L469" s="327"/>
      <c r="M469" s="432"/>
      <c r="N469" s="443"/>
      <c r="O469" s="250"/>
      <c r="P469" s="250"/>
      <c r="Q469" s="250"/>
      <c r="R469" s="250"/>
      <c r="S469" s="250"/>
      <c r="T469" s="250"/>
      <c r="U469" s="250"/>
      <c r="V469" s="443"/>
      <c r="W469" s="410">
        <v>280260</v>
      </c>
      <c r="X469" s="31">
        <v>364500</v>
      </c>
      <c r="Y469" s="31">
        <v>473850</v>
      </c>
      <c r="Z469" s="472">
        <v>318600</v>
      </c>
      <c r="AA469" s="76">
        <f t="shared" si="578"/>
        <v>385650</v>
      </c>
      <c r="AB469" s="24">
        <f t="shared" si="579"/>
        <v>105390</v>
      </c>
      <c r="AC469" s="25">
        <f t="shared" si="580"/>
        <v>0.37604367373153502</v>
      </c>
      <c r="AD469" s="309" t="str">
        <f t="shared" si="581"/>
        <v>REVISAR PRECIO</v>
      </c>
      <c r="AE469" s="462">
        <f t="shared" si="582"/>
        <v>385650</v>
      </c>
      <c r="AF469" s="408"/>
      <c r="AG469" s="293"/>
      <c r="AH469" s="293"/>
      <c r="AI469" s="293"/>
      <c r="AJ469" s="293"/>
      <c r="AK469" s="293"/>
      <c r="AL469" s="327"/>
      <c r="AM469" s="463"/>
      <c r="AN469" s="513">
        <v>66779</v>
      </c>
      <c r="AO469" s="88">
        <v>240000</v>
      </c>
      <c r="AP469" s="116">
        <v>240000</v>
      </c>
      <c r="AQ469" s="74">
        <v>232960.2</v>
      </c>
      <c r="AR469" s="76">
        <f t="shared" si="587"/>
        <v>237653.4</v>
      </c>
      <c r="AS469" s="24">
        <f t="shared" si="588"/>
        <v>170874.4</v>
      </c>
      <c r="AT469" s="25">
        <f t="shared" si="626"/>
        <v>2.5588044145614637</v>
      </c>
      <c r="AU469" s="309" t="str">
        <f t="shared" si="627"/>
        <v>REVISAR PRECIO</v>
      </c>
      <c r="AV469" s="462">
        <f t="shared" si="591"/>
        <v>237653.4</v>
      </c>
      <c r="AW469" s="513">
        <v>66779</v>
      </c>
      <c r="AX469" s="74">
        <v>243549.3</v>
      </c>
      <c r="AY469" s="74">
        <v>450000</v>
      </c>
      <c r="AZ469" s="75">
        <v>280611.15000000002</v>
      </c>
      <c r="BA469" s="61">
        <v>345000</v>
      </c>
      <c r="BB469" s="60"/>
      <c r="BC469" s="74">
        <v>396749.99999999994</v>
      </c>
      <c r="BD469" s="79">
        <v>280611.15000000002</v>
      </c>
      <c r="BE469" s="79">
        <f>176485*1.2</f>
        <v>211782</v>
      </c>
      <c r="BF469" s="127">
        <v>254138.4</v>
      </c>
      <c r="BG469" s="128">
        <v>191800</v>
      </c>
      <c r="BH469" s="128">
        <v>200000</v>
      </c>
      <c r="BI469" s="76">
        <f t="shared" si="624"/>
        <v>343182.09</v>
      </c>
      <c r="BJ469" s="24">
        <f t="shared" si="625"/>
        <v>276403.09000000003</v>
      </c>
      <c r="BK469" s="25">
        <f>+BJ469/AW469</f>
        <v>4.1390720136569881</v>
      </c>
      <c r="BL469" s="259" t="str">
        <f t="shared" si="595"/>
        <v>REVISAR PRECIO</v>
      </c>
      <c r="BM469" s="533">
        <f t="shared" si="596"/>
        <v>343182.09</v>
      </c>
    </row>
    <row r="470" spans="1:65" ht="23.1" customHeight="1">
      <c r="A470" s="91" t="s">
        <v>28</v>
      </c>
      <c r="B470" s="358" t="s">
        <v>2661</v>
      </c>
      <c r="C470" s="50" t="s">
        <v>258</v>
      </c>
      <c r="D470" s="99" t="s">
        <v>598</v>
      </c>
      <c r="E470" s="391" t="s">
        <v>740</v>
      </c>
      <c r="F470" s="408"/>
      <c r="G470" s="293"/>
      <c r="H470" s="293"/>
      <c r="I470" s="293"/>
      <c r="J470" s="293"/>
      <c r="K470" s="293"/>
      <c r="L470" s="327"/>
      <c r="M470" s="432"/>
      <c r="N470" s="443"/>
      <c r="O470" s="250"/>
      <c r="P470" s="250"/>
      <c r="Q470" s="250"/>
      <c r="R470" s="250"/>
      <c r="S470" s="250"/>
      <c r="T470" s="250"/>
      <c r="U470" s="250"/>
      <c r="V470" s="443"/>
      <c r="W470" s="410">
        <v>3114</v>
      </c>
      <c r="X470" s="33">
        <v>4050</v>
      </c>
      <c r="Y470" s="31">
        <v>5265</v>
      </c>
      <c r="Z470" s="472">
        <v>3540</v>
      </c>
      <c r="AA470" s="76">
        <f t="shared" si="578"/>
        <v>4285</v>
      </c>
      <c r="AB470" s="24">
        <f t="shared" si="579"/>
        <v>1171</v>
      </c>
      <c r="AC470" s="25">
        <f t="shared" si="580"/>
        <v>0.37604367373153502</v>
      </c>
      <c r="AD470" s="309" t="str">
        <f t="shared" si="581"/>
        <v>REVISAR PRECIO</v>
      </c>
      <c r="AE470" s="462">
        <f t="shared" si="582"/>
        <v>4285</v>
      </c>
      <c r="AF470" s="408"/>
      <c r="AG470" s="293"/>
      <c r="AH470" s="293"/>
      <c r="AI470" s="293"/>
      <c r="AJ470" s="293"/>
      <c r="AK470" s="293"/>
      <c r="AL470" s="327"/>
      <c r="AM470" s="463"/>
      <c r="AN470" s="513">
        <v>1898</v>
      </c>
      <c r="AO470" s="88">
        <v>15000</v>
      </c>
      <c r="AP470" s="116">
        <v>15000</v>
      </c>
      <c r="AQ470" s="74">
        <v>16500</v>
      </c>
      <c r="AR470" s="76">
        <f t="shared" si="587"/>
        <v>15500</v>
      </c>
      <c r="AS470" s="24">
        <f t="shared" si="588"/>
        <v>13602</v>
      </c>
      <c r="AT470" s="25">
        <f t="shared" si="626"/>
        <v>7.1664910432033722</v>
      </c>
      <c r="AU470" s="309" t="str">
        <f t="shared" si="627"/>
        <v>REVISAR PRECIO</v>
      </c>
      <c r="AV470" s="462">
        <f t="shared" si="591"/>
        <v>15500</v>
      </c>
      <c r="AW470" s="513">
        <v>1898</v>
      </c>
      <c r="AX470" s="74">
        <v>17250</v>
      </c>
      <c r="AY470" s="74">
        <v>30000</v>
      </c>
      <c r="AZ470" s="75">
        <v>19875</v>
      </c>
      <c r="BA470" s="61">
        <v>17250</v>
      </c>
      <c r="BB470" s="60"/>
      <c r="BC470" s="74">
        <v>19837.5</v>
      </c>
      <c r="BD470" s="79">
        <v>19875</v>
      </c>
      <c r="BE470" s="79">
        <v>15000</v>
      </c>
      <c r="BF470" s="127">
        <v>18000</v>
      </c>
      <c r="BG470" s="128">
        <v>18000</v>
      </c>
      <c r="BH470" s="128">
        <v>15000</v>
      </c>
      <c r="BI470" s="76">
        <f t="shared" si="624"/>
        <v>20842.5</v>
      </c>
      <c r="BJ470" s="24">
        <f t="shared" si="625"/>
        <v>18944.5</v>
      </c>
      <c r="BK470" s="25">
        <f>+BJ470/AW470</f>
        <v>9.9812961011591153</v>
      </c>
      <c r="BL470" s="259" t="str">
        <f t="shared" si="595"/>
        <v>REVISAR PRECIO</v>
      </c>
      <c r="BM470" s="533">
        <f t="shared" si="596"/>
        <v>20842.5</v>
      </c>
    </row>
    <row r="471" spans="1:65" ht="48.6" customHeight="1">
      <c r="A471" s="91" t="s">
        <v>28</v>
      </c>
      <c r="B471" s="358" t="s">
        <v>2662</v>
      </c>
      <c r="C471" s="50" t="s">
        <v>259</v>
      </c>
      <c r="D471" s="99" t="s">
        <v>599</v>
      </c>
      <c r="E471" s="391" t="s">
        <v>11</v>
      </c>
      <c r="F471" s="408"/>
      <c r="G471" s="293"/>
      <c r="H471" s="293"/>
      <c r="I471" s="293"/>
      <c r="J471" s="293"/>
      <c r="K471" s="293"/>
      <c r="L471" s="327"/>
      <c r="M471" s="432"/>
      <c r="N471" s="443"/>
      <c r="O471" s="250"/>
      <c r="P471" s="250"/>
      <c r="Q471" s="250"/>
      <c r="R471" s="250"/>
      <c r="S471" s="250"/>
      <c r="T471" s="250"/>
      <c r="U471" s="250"/>
      <c r="V471" s="443"/>
      <c r="W471" s="410">
        <v>38925</v>
      </c>
      <c r="X471" s="31">
        <v>50625</v>
      </c>
      <c r="Y471" s="31">
        <v>50625</v>
      </c>
      <c r="Z471" s="472">
        <v>44250</v>
      </c>
      <c r="AA471" s="76">
        <f t="shared" si="578"/>
        <v>48500</v>
      </c>
      <c r="AB471" s="24">
        <f t="shared" si="579"/>
        <v>9575</v>
      </c>
      <c r="AC471" s="25">
        <f t="shared" si="580"/>
        <v>0.24598587026332691</v>
      </c>
      <c r="AD471" s="309">
        <f t="shared" si="581"/>
        <v>48500</v>
      </c>
      <c r="AE471" s="462">
        <f t="shared" si="582"/>
        <v>48500</v>
      </c>
      <c r="AF471" s="408"/>
      <c r="AG471" s="293"/>
      <c r="AH471" s="293"/>
      <c r="AI471" s="293"/>
      <c r="AJ471" s="293"/>
      <c r="AK471" s="293"/>
      <c r="AL471" s="327"/>
      <c r="AM471" s="463"/>
      <c r="AN471" s="513"/>
      <c r="AO471" s="88">
        <v>20000</v>
      </c>
      <c r="AP471" s="116">
        <v>20000</v>
      </c>
      <c r="AQ471" s="74">
        <v>20350</v>
      </c>
      <c r="AR471" s="76">
        <f t="shared" si="587"/>
        <v>20116.666666666668</v>
      </c>
      <c r="AS471" s="24">
        <f t="shared" si="588"/>
        <v>20116.666666666668</v>
      </c>
      <c r="AT471" s="25"/>
      <c r="AU471" s="309"/>
      <c r="AV471" s="462">
        <f t="shared" si="591"/>
        <v>20116.666666666668</v>
      </c>
      <c r="AW471" s="513"/>
      <c r="AX471" s="74">
        <v>21275</v>
      </c>
      <c r="AY471" s="74">
        <v>50000</v>
      </c>
      <c r="AZ471" s="75">
        <v>24512.5</v>
      </c>
      <c r="BA471" s="61">
        <v>29439.999999999996</v>
      </c>
      <c r="BB471" s="60"/>
      <c r="BC471" s="74">
        <v>33855.999999999993</v>
      </c>
      <c r="BD471" s="79">
        <v>24512.5</v>
      </c>
      <c r="BE471" s="79">
        <v>18500</v>
      </c>
      <c r="BF471" s="127">
        <v>22200</v>
      </c>
      <c r="BG471" s="128">
        <v>28000</v>
      </c>
      <c r="BH471" s="128">
        <v>20000</v>
      </c>
      <c r="BI471" s="76">
        <f t="shared" si="624"/>
        <v>31816.7</v>
      </c>
      <c r="BJ471" s="24">
        <f t="shared" si="625"/>
        <v>31816.7</v>
      </c>
      <c r="BK471" s="25"/>
      <c r="BL471" s="259">
        <f t="shared" si="595"/>
        <v>31816.7</v>
      </c>
      <c r="BM471" s="533">
        <f t="shared" si="596"/>
        <v>31816.7</v>
      </c>
    </row>
    <row r="472" spans="1:65" ht="48.6" customHeight="1">
      <c r="A472" s="91" t="s">
        <v>28</v>
      </c>
      <c r="B472" s="358" t="s">
        <v>2663</v>
      </c>
      <c r="C472" s="50" t="s">
        <v>260</v>
      </c>
      <c r="D472" s="99" t="s">
        <v>600</v>
      </c>
      <c r="E472" s="391" t="s">
        <v>11</v>
      </c>
      <c r="F472" s="408"/>
      <c r="G472" s="293"/>
      <c r="H472" s="293"/>
      <c r="I472" s="293"/>
      <c r="J472" s="293"/>
      <c r="K472" s="293"/>
      <c r="L472" s="327"/>
      <c r="M472" s="432"/>
      <c r="N472" s="443"/>
      <c r="O472" s="250"/>
      <c r="P472" s="250"/>
      <c r="Q472" s="250"/>
      <c r="R472" s="250"/>
      <c r="S472" s="250"/>
      <c r="T472" s="250"/>
      <c r="U472" s="250"/>
      <c r="V472" s="443"/>
      <c r="W472" s="410">
        <v>151340</v>
      </c>
      <c r="X472" s="31">
        <v>196830</v>
      </c>
      <c r="Y472" s="31">
        <v>255879</v>
      </c>
      <c r="Z472" s="472">
        <v>172044</v>
      </c>
      <c r="AA472" s="76">
        <f t="shared" si="578"/>
        <v>208251</v>
      </c>
      <c r="AB472" s="24">
        <f t="shared" si="579"/>
        <v>56911</v>
      </c>
      <c r="AC472" s="25">
        <f t="shared" si="580"/>
        <v>0.37604731069115899</v>
      </c>
      <c r="AD472" s="309" t="str">
        <f t="shared" si="581"/>
        <v>REVISAR PRECIO</v>
      </c>
      <c r="AE472" s="462">
        <f t="shared" si="582"/>
        <v>208251</v>
      </c>
      <c r="AF472" s="408"/>
      <c r="AG472" s="293"/>
      <c r="AH472" s="293"/>
      <c r="AI472" s="293"/>
      <c r="AJ472" s="293"/>
      <c r="AK472" s="293"/>
      <c r="AL472" s="327"/>
      <c r="AM472" s="463"/>
      <c r="AN472" s="513"/>
      <c r="AO472" s="88"/>
      <c r="AP472" s="116"/>
      <c r="AQ472" s="74">
        <v>0</v>
      </c>
      <c r="AR472" s="76">
        <f t="shared" si="587"/>
        <v>0</v>
      </c>
      <c r="AS472" s="24">
        <f t="shared" si="588"/>
        <v>0</v>
      </c>
      <c r="AT472" s="25"/>
      <c r="AU472" s="309"/>
      <c r="AV472" s="462">
        <f t="shared" si="591"/>
        <v>0</v>
      </c>
      <c r="AW472" s="513"/>
      <c r="AX472" s="74"/>
      <c r="AY472" s="74"/>
      <c r="AZ472" s="75"/>
      <c r="BA472" s="61"/>
      <c r="BB472" s="60"/>
      <c r="BC472" s="74"/>
      <c r="BD472" s="79"/>
      <c r="BE472" s="79"/>
      <c r="BF472" s="127"/>
      <c r="BG472" s="128">
        <v>213000</v>
      </c>
      <c r="BH472" s="128"/>
      <c r="BI472" s="76"/>
      <c r="BJ472" s="24"/>
      <c r="BK472" s="25"/>
      <c r="BL472" s="259"/>
      <c r="BM472" s="536" t="s">
        <v>807</v>
      </c>
    </row>
    <row r="473" spans="1:65" ht="24.6" customHeight="1">
      <c r="A473" s="91" t="s">
        <v>28</v>
      </c>
      <c r="B473" s="358" t="s">
        <v>2664</v>
      </c>
      <c r="C473" s="50" t="s">
        <v>261</v>
      </c>
      <c r="D473" s="99" t="s">
        <v>601</v>
      </c>
      <c r="E473" s="391" t="s">
        <v>11</v>
      </c>
      <c r="F473" s="408"/>
      <c r="G473" s="293"/>
      <c r="H473" s="293"/>
      <c r="I473" s="293"/>
      <c r="J473" s="293"/>
      <c r="K473" s="293"/>
      <c r="L473" s="327"/>
      <c r="M473" s="432"/>
      <c r="N473" s="443"/>
      <c r="O473" s="250"/>
      <c r="P473" s="250"/>
      <c r="Q473" s="250"/>
      <c r="R473" s="250"/>
      <c r="S473" s="250"/>
      <c r="T473" s="250"/>
      <c r="U473" s="250"/>
      <c r="V473" s="443"/>
      <c r="W473" s="410">
        <v>274032</v>
      </c>
      <c r="X473" s="33">
        <v>356400</v>
      </c>
      <c r="Y473" s="31">
        <v>463320</v>
      </c>
      <c r="Z473" s="472">
        <v>311520</v>
      </c>
      <c r="AA473" s="76">
        <f t="shared" si="578"/>
        <v>377080</v>
      </c>
      <c r="AB473" s="24">
        <f t="shared" si="579"/>
        <v>103048</v>
      </c>
      <c r="AC473" s="25">
        <f t="shared" si="580"/>
        <v>0.37604367373153502</v>
      </c>
      <c r="AD473" s="309" t="str">
        <f t="shared" si="581"/>
        <v>REVISAR PRECIO</v>
      </c>
      <c r="AE473" s="462">
        <f t="shared" si="582"/>
        <v>377080</v>
      </c>
      <c r="AF473" s="408"/>
      <c r="AG473" s="293"/>
      <c r="AH473" s="293"/>
      <c r="AI473" s="293"/>
      <c r="AJ473" s="293"/>
      <c r="AK473" s="293"/>
      <c r="AL473" s="327"/>
      <c r="AM473" s="463"/>
      <c r="AN473" s="513">
        <v>125917</v>
      </c>
      <c r="AO473" s="88">
        <v>195000</v>
      </c>
      <c r="AP473" s="116">
        <v>195000</v>
      </c>
      <c r="AQ473" s="74">
        <v>166444.29999999999</v>
      </c>
      <c r="AR473" s="76">
        <f t="shared" si="587"/>
        <v>185481.43333333335</v>
      </c>
      <c r="AS473" s="24">
        <f t="shared" si="588"/>
        <v>59564.433333333349</v>
      </c>
      <c r="AT473" s="25">
        <f t="shared" ref="AT473:AT474" si="628">+AS473/AN473</f>
        <v>0.47304520702791003</v>
      </c>
      <c r="AU473" s="309" t="str">
        <f t="shared" ref="AU473:AU474" si="629">+IF(AT473&lt;35%,AR473,"REVISAR PRECIO")</f>
        <v>REVISAR PRECIO</v>
      </c>
      <c r="AV473" s="462">
        <f t="shared" si="591"/>
        <v>185481.43333333335</v>
      </c>
      <c r="AW473" s="513">
        <v>125917</v>
      </c>
      <c r="AX473" s="74">
        <v>174009.95</v>
      </c>
      <c r="AY473" s="74">
        <v>180000</v>
      </c>
      <c r="AZ473" s="75">
        <v>200489.72499999998</v>
      </c>
      <c r="BA473" s="61">
        <v>174009.94999999998</v>
      </c>
      <c r="BB473" s="60"/>
      <c r="BC473" s="74">
        <v>200111.44249999998</v>
      </c>
      <c r="BD473" s="79">
        <v>200489.72499999998</v>
      </c>
      <c r="BE473" s="79">
        <v>151313</v>
      </c>
      <c r="BF473" s="127">
        <v>181575.6</v>
      </c>
      <c r="BG473" s="128">
        <v>120900</v>
      </c>
      <c r="BH473" s="128">
        <v>160000</v>
      </c>
      <c r="BI473" s="76">
        <f t="shared" ref="BI473:BI478" si="630">AVERAGE(AX473,AY473,AZ473,BA473,BB473,BC473)</f>
        <v>185724.21350000001</v>
      </c>
      <c r="BJ473" s="24">
        <f t="shared" ref="BJ473:BJ478" si="631">BI473-AW473</f>
        <v>59807.213500000013</v>
      </c>
      <c r="BK473" s="25">
        <f>+BJ473/AW473</f>
        <v>0.47497330384300779</v>
      </c>
      <c r="BL473" s="259" t="str">
        <f t="shared" ref="BL473:BL478" si="632">+IF(BK473&lt;35%,BI473,"REVISAR PRECIO")</f>
        <v>REVISAR PRECIO</v>
      </c>
      <c r="BM473" s="533">
        <f t="shared" ref="BM473:BM478" si="633">BI473</f>
        <v>185724.21350000001</v>
      </c>
    </row>
    <row r="474" spans="1:65" ht="40.35" customHeight="1">
      <c r="A474" s="91" t="s">
        <v>28</v>
      </c>
      <c r="B474" s="358" t="s">
        <v>2665</v>
      </c>
      <c r="C474" s="50" t="s">
        <v>262</v>
      </c>
      <c r="D474" s="99" t="s">
        <v>602</v>
      </c>
      <c r="E474" s="391" t="s">
        <v>11</v>
      </c>
      <c r="F474" s="408"/>
      <c r="G474" s="293"/>
      <c r="H474" s="293"/>
      <c r="I474" s="293"/>
      <c r="J474" s="293"/>
      <c r="K474" s="293"/>
      <c r="L474" s="327"/>
      <c r="M474" s="432"/>
      <c r="N474" s="443"/>
      <c r="O474" s="250"/>
      <c r="P474" s="250"/>
      <c r="Q474" s="250"/>
      <c r="R474" s="250"/>
      <c r="S474" s="250"/>
      <c r="T474" s="250"/>
      <c r="U474" s="250"/>
      <c r="V474" s="443"/>
      <c r="W474" s="410">
        <v>101205</v>
      </c>
      <c r="X474" s="31">
        <v>131625</v>
      </c>
      <c r="Y474" s="33">
        <v>171113</v>
      </c>
      <c r="Z474" s="472">
        <v>115050</v>
      </c>
      <c r="AA474" s="76">
        <f t="shared" si="578"/>
        <v>139262.66666666666</v>
      </c>
      <c r="AB474" s="24">
        <f t="shared" si="579"/>
        <v>38057.666666666657</v>
      </c>
      <c r="AC474" s="25">
        <f t="shared" si="580"/>
        <v>0.37604532055399098</v>
      </c>
      <c r="AD474" s="309" t="str">
        <f t="shared" si="581"/>
        <v>REVISAR PRECIO</v>
      </c>
      <c r="AE474" s="462">
        <f t="shared" si="582"/>
        <v>139262.66666666666</v>
      </c>
      <c r="AF474" s="408"/>
      <c r="AG474" s="293"/>
      <c r="AH474" s="293"/>
      <c r="AI474" s="293"/>
      <c r="AJ474" s="293"/>
      <c r="AK474" s="293"/>
      <c r="AL474" s="327"/>
      <c r="AM474" s="463"/>
      <c r="AN474" s="513">
        <v>40438</v>
      </c>
      <c r="AO474" s="88">
        <v>15000</v>
      </c>
      <c r="AP474" s="116">
        <v>15000</v>
      </c>
      <c r="AQ474" s="74">
        <v>13750</v>
      </c>
      <c r="AR474" s="76">
        <f t="shared" si="587"/>
        <v>14583.333333333334</v>
      </c>
      <c r="AS474" s="24">
        <f t="shared" si="588"/>
        <v>-25854.666666666664</v>
      </c>
      <c r="AT474" s="25">
        <f t="shared" si="628"/>
        <v>-0.63936561320210361</v>
      </c>
      <c r="AU474" s="309">
        <f t="shared" si="629"/>
        <v>14583.333333333334</v>
      </c>
      <c r="AV474" s="462">
        <f t="shared" si="591"/>
        <v>14583.333333333334</v>
      </c>
      <c r="AW474" s="513">
        <v>40438</v>
      </c>
      <c r="AX474" s="74">
        <v>14375</v>
      </c>
      <c r="AY474" s="74">
        <v>25000</v>
      </c>
      <c r="AZ474" s="75">
        <v>16562.5</v>
      </c>
      <c r="BA474" s="61">
        <v>21505</v>
      </c>
      <c r="BB474" s="60"/>
      <c r="BC474" s="74">
        <v>24730.749999999996</v>
      </c>
      <c r="BD474" s="79">
        <v>16562.5</v>
      </c>
      <c r="BE474" s="79">
        <v>12500</v>
      </c>
      <c r="BF474" s="127">
        <v>15000</v>
      </c>
      <c r="BG474" s="128">
        <v>18200</v>
      </c>
      <c r="BH474" s="128">
        <v>15000</v>
      </c>
      <c r="BI474" s="76">
        <f t="shared" si="630"/>
        <v>20434.650000000001</v>
      </c>
      <c r="BJ474" s="24">
        <f t="shared" si="631"/>
        <v>-20003.349999999999</v>
      </c>
      <c r="BK474" s="25">
        <f>+BJ474/AW474</f>
        <v>-0.49466714476482515</v>
      </c>
      <c r="BL474" s="259">
        <f t="shared" si="632"/>
        <v>20434.650000000001</v>
      </c>
      <c r="BM474" s="533">
        <f t="shared" si="633"/>
        <v>20434.650000000001</v>
      </c>
    </row>
    <row r="475" spans="1:65" ht="30" customHeight="1">
      <c r="A475" s="91" t="s">
        <v>28</v>
      </c>
      <c r="B475" s="358" t="s">
        <v>2666</v>
      </c>
      <c r="C475" s="50" t="s">
        <v>263</v>
      </c>
      <c r="D475" s="99" t="s">
        <v>603</v>
      </c>
      <c r="E475" s="391" t="s">
        <v>743</v>
      </c>
      <c r="F475" s="408"/>
      <c r="G475" s="293"/>
      <c r="H475" s="293"/>
      <c r="I475" s="293"/>
      <c r="J475" s="293"/>
      <c r="K475" s="293"/>
      <c r="L475" s="327"/>
      <c r="M475" s="432"/>
      <c r="N475" s="443"/>
      <c r="O475" s="250"/>
      <c r="P475" s="250"/>
      <c r="Q475" s="250"/>
      <c r="R475" s="250"/>
      <c r="S475" s="250"/>
      <c r="T475" s="250"/>
      <c r="U475" s="250"/>
      <c r="V475" s="443"/>
      <c r="W475" s="410">
        <v>24912</v>
      </c>
      <c r="X475" s="33">
        <v>32400</v>
      </c>
      <c r="Y475" s="33">
        <v>42120</v>
      </c>
      <c r="Z475" s="472">
        <v>28320</v>
      </c>
      <c r="AA475" s="76">
        <f t="shared" si="578"/>
        <v>34280</v>
      </c>
      <c r="AB475" s="24">
        <f t="shared" si="579"/>
        <v>9368</v>
      </c>
      <c r="AC475" s="25">
        <f t="shared" si="580"/>
        <v>0.37604367373153502</v>
      </c>
      <c r="AD475" s="309" t="str">
        <f t="shared" si="581"/>
        <v>REVISAR PRECIO</v>
      </c>
      <c r="AE475" s="462">
        <f t="shared" si="582"/>
        <v>34280</v>
      </c>
      <c r="AF475" s="408"/>
      <c r="AG475" s="293"/>
      <c r="AH475" s="293"/>
      <c r="AI475" s="293"/>
      <c r="AJ475" s="293"/>
      <c r="AK475" s="293"/>
      <c r="AL475" s="327"/>
      <c r="AM475" s="463"/>
      <c r="AN475" s="513"/>
      <c r="AO475" s="88">
        <v>16000</v>
      </c>
      <c r="AP475" s="116">
        <v>16000</v>
      </c>
      <c r="AQ475" s="74">
        <v>14850</v>
      </c>
      <c r="AR475" s="76">
        <f t="shared" si="587"/>
        <v>15616.666666666666</v>
      </c>
      <c r="AS475" s="24">
        <f t="shared" si="588"/>
        <v>15616.666666666666</v>
      </c>
      <c r="AT475" s="25"/>
      <c r="AU475" s="309"/>
      <c r="AV475" s="462">
        <f t="shared" si="591"/>
        <v>15616.666666666666</v>
      </c>
      <c r="AW475" s="513"/>
      <c r="AX475" s="74">
        <v>15525</v>
      </c>
      <c r="AY475" s="74">
        <v>14500</v>
      </c>
      <c r="AZ475" s="75">
        <v>17887.5</v>
      </c>
      <c r="BA475" s="61">
        <v>21505</v>
      </c>
      <c r="BB475" s="60"/>
      <c r="BC475" s="74">
        <v>24730.749999999996</v>
      </c>
      <c r="BD475" s="79">
        <v>17887.5</v>
      </c>
      <c r="BE475" s="79">
        <v>13500</v>
      </c>
      <c r="BF475" s="127">
        <v>16200</v>
      </c>
      <c r="BG475" s="128">
        <v>12000</v>
      </c>
      <c r="BH475" s="128">
        <v>13000</v>
      </c>
      <c r="BI475" s="76">
        <f t="shared" si="630"/>
        <v>18829.650000000001</v>
      </c>
      <c r="BJ475" s="24">
        <f t="shared" si="631"/>
        <v>18829.650000000001</v>
      </c>
      <c r="BK475" s="25"/>
      <c r="BL475" s="259">
        <f t="shared" si="632"/>
        <v>18829.650000000001</v>
      </c>
      <c r="BM475" s="533">
        <f t="shared" si="633"/>
        <v>18829.650000000001</v>
      </c>
    </row>
    <row r="476" spans="1:65" ht="41.45" customHeight="1">
      <c r="A476" s="91" t="s">
        <v>28</v>
      </c>
      <c r="B476" s="358" t="s">
        <v>2667</v>
      </c>
      <c r="C476" s="50" t="s">
        <v>264</v>
      </c>
      <c r="D476" s="99" t="s">
        <v>604</v>
      </c>
      <c r="E476" s="391" t="s">
        <v>740</v>
      </c>
      <c r="F476" s="408"/>
      <c r="G476" s="293"/>
      <c r="H476" s="293"/>
      <c r="I476" s="293"/>
      <c r="J476" s="293"/>
      <c r="K476" s="293"/>
      <c r="L476" s="327"/>
      <c r="M476" s="432"/>
      <c r="N476" s="443"/>
      <c r="O476" s="250"/>
      <c r="P476" s="250"/>
      <c r="Q476" s="250"/>
      <c r="R476" s="250"/>
      <c r="S476" s="250"/>
      <c r="T476" s="250"/>
      <c r="U476" s="250"/>
      <c r="V476" s="443"/>
      <c r="W476" s="410">
        <v>29583</v>
      </c>
      <c r="X476" s="33">
        <v>38475</v>
      </c>
      <c r="Y476" s="31">
        <v>50018</v>
      </c>
      <c r="Z476" s="472">
        <v>33630</v>
      </c>
      <c r="AA476" s="76">
        <f t="shared" si="578"/>
        <v>40707.666666666664</v>
      </c>
      <c r="AB476" s="24">
        <f t="shared" si="579"/>
        <v>11124.666666666664</v>
      </c>
      <c r="AC476" s="25">
        <f t="shared" si="580"/>
        <v>0.37604930759783201</v>
      </c>
      <c r="AD476" s="309" t="str">
        <f t="shared" si="581"/>
        <v>REVISAR PRECIO</v>
      </c>
      <c r="AE476" s="462">
        <f t="shared" si="582"/>
        <v>40707.666666666664</v>
      </c>
      <c r="AF476" s="408"/>
      <c r="AG476" s="293"/>
      <c r="AH476" s="293"/>
      <c r="AI476" s="293"/>
      <c r="AJ476" s="293"/>
      <c r="AK476" s="293"/>
      <c r="AL476" s="327"/>
      <c r="AM476" s="463"/>
      <c r="AN476" s="513">
        <v>18036</v>
      </c>
      <c r="AO476" s="88">
        <v>60000</v>
      </c>
      <c r="AP476" s="116">
        <v>60000</v>
      </c>
      <c r="AQ476" s="74">
        <v>61600</v>
      </c>
      <c r="AR476" s="76">
        <f t="shared" si="587"/>
        <v>60533.333333333336</v>
      </c>
      <c r="AS476" s="24">
        <f t="shared" si="588"/>
        <v>42497.333333333336</v>
      </c>
      <c r="AT476" s="25">
        <f t="shared" ref="AT476:AT478" si="634">+AS476/AN476</f>
        <v>2.3562504620388851</v>
      </c>
      <c r="AU476" s="309" t="str">
        <f t="shared" ref="AU476:AU478" si="635">+IF(AT476&lt;35%,AR476,"REVISAR PRECIO")</f>
        <v>REVISAR PRECIO</v>
      </c>
      <c r="AV476" s="462">
        <f t="shared" si="591"/>
        <v>60533.333333333336</v>
      </c>
      <c r="AW476" s="513">
        <v>18036</v>
      </c>
      <c r="AX476" s="74">
        <v>64400</v>
      </c>
      <c r="AY476" s="74">
        <v>70000</v>
      </c>
      <c r="AZ476" s="75">
        <v>74200</v>
      </c>
      <c r="BA476" s="61">
        <v>64399.999999999993</v>
      </c>
      <c r="BB476" s="60"/>
      <c r="BC476" s="74">
        <v>74059.999999999985</v>
      </c>
      <c r="BD476" s="79">
        <v>74200</v>
      </c>
      <c r="BE476" s="79">
        <v>56000</v>
      </c>
      <c r="BF476" s="127">
        <v>67200</v>
      </c>
      <c r="BG476" s="128">
        <v>51000</v>
      </c>
      <c r="BH476" s="128">
        <v>60000</v>
      </c>
      <c r="BI476" s="76">
        <f t="shared" si="630"/>
        <v>69412</v>
      </c>
      <c r="BJ476" s="24">
        <f t="shared" si="631"/>
        <v>51376</v>
      </c>
      <c r="BK476" s="25">
        <f>+BJ476/AW476</f>
        <v>2.8485251718784652</v>
      </c>
      <c r="BL476" s="259" t="str">
        <f t="shared" si="632"/>
        <v>REVISAR PRECIO</v>
      </c>
      <c r="BM476" s="533">
        <f t="shared" si="633"/>
        <v>69412</v>
      </c>
    </row>
    <row r="477" spans="1:65" ht="27" customHeight="1">
      <c r="A477" s="91" t="s">
        <v>28</v>
      </c>
      <c r="B477" s="358" t="s">
        <v>2668</v>
      </c>
      <c r="C477" s="50" t="s">
        <v>265</v>
      </c>
      <c r="D477" s="99" t="s">
        <v>605</v>
      </c>
      <c r="E477" s="391" t="s">
        <v>740</v>
      </c>
      <c r="F477" s="408"/>
      <c r="G477" s="293"/>
      <c r="H477" s="293"/>
      <c r="I477" s="293"/>
      <c r="J477" s="293"/>
      <c r="K477" s="293"/>
      <c r="L477" s="327"/>
      <c r="M477" s="432"/>
      <c r="N477" s="443"/>
      <c r="O477" s="250"/>
      <c r="P477" s="250"/>
      <c r="Q477" s="250"/>
      <c r="R477" s="250"/>
      <c r="S477" s="250"/>
      <c r="T477" s="250"/>
      <c r="U477" s="250"/>
      <c r="V477" s="443"/>
      <c r="W477" s="410">
        <v>19463</v>
      </c>
      <c r="X477" s="33">
        <v>25313</v>
      </c>
      <c r="Y477" s="31">
        <v>32906</v>
      </c>
      <c r="Z477" s="472">
        <v>22125</v>
      </c>
      <c r="AA477" s="76">
        <f t="shared" si="578"/>
        <v>26781.333333333332</v>
      </c>
      <c r="AB477" s="24">
        <f t="shared" si="579"/>
        <v>7318.3333333333321</v>
      </c>
      <c r="AC477" s="25">
        <f t="shared" si="580"/>
        <v>0.37601260511397688</v>
      </c>
      <c r="AD477" s="309" t="str">
        <f t="shared" si="581"/>
        <v>REVISAR PRECIO</v>
      </c>
      <c r="AE477" s="462">
        <f t="shared" si="582"/>
        <v>26781.333333333332</v>
      </c>
      <c r="AF477" s="408"/>
      <c r="AG477" s="293"/>
      <c r="AH477" s="293"/>
      <c r="AI477" s="293"/>
      <c r="AJ477" s="293"/>
      <c r="AK477" s="293"/>
      <c r="AL477" s="327"/>
      <c r="AM477" s="463"/>
      <c r="AN477" s="513">
        <v>11866</v>
      </c>
      <c r="AO477" s="88">
        <v>75000</v>
      </c>
      <c r="AP477" s="116">
        <v>75000</v>
      </c>
      <c r="AQ477" s="74"/>
      <c r="AR477" s="76">
        <f t="shared" si="587"/>
        <v>75000</v>
      </c>
      <c r="AS477" s="24">
        <f t="shared" si="588"/>
        <v>63134</v>
      </c>
      <c r="AT477" s="25">
        <f t="shared" si="634"/>
        <v>5.320579807854374</v>
      </c>
      <c r="AU477" s="309" t="str">
        <f t="shared" si="635"/>
        <v>REVISAR PRECIO</v>
      </c>
      <c r="AV477" s="462">
        <f t="shared" si="591"/>
        <v>75000</v>
      </c>
      <c r="AW477" s="513">
        <v>11866</v>
      </c>
      <c r="AX477" s="74"/>
      <c r="AY477" s="74"/>
      <c r="AZ477" s="75">
        <v>23850</v>
      </c>
      <c r="BA477" s="61"/>
      <c r="BB477" s="60"/>
      <c r="BC477" s="74"/>
      <c r="BD477" s="79">
        <v>23850</v>
      </c>
      <c r="BE477" s="79"/>
      <c r="BF477" s="127"/>
      <c r="BG477" s="128">
        <v>37000</v>
      </c>
      <c r="BH477" s="128"/>
      <c r="BI477" s="76">
        <f t="shared" si="630"/>
        <v>23850</v>
      </c>
      <c r="BJ477" s="24">
        <f t="shared" si="631"/>
        <v>11984</v>
      </c>
      <c r="BK477" s="25">
        <f>+BJ477/AW477</f>
        <v>1.009944378897691</v>
      </c>
      <c r="BL477" s="259" t="str">
        <f t="shared" si="632"/>
        <v>REVISAR PRECIO</v>
      </c>
      <c r="BM477" s="533">
        <f t="shared" si="633"/>
        <v>23850</v>
      </c>
    </row>
    <row r="478" spans="1:65" ht="27" customHeight="1">
      <c r="A478" s="91" t="s">
        <v>28</v>
      </c>
      <c r="B478" s="358" t="s">
        <v>2669</v>
      </c>
      <c r="C478" s="50" t="s">
        <v>266</v>
      </c>
      <c r="D478" s="99" t="s">
        <v>606</v>
      </c>
      <c r="E478" s="391" t="s">
        <v>740</v>
      </c>
      <c r="F478" s="408"/>
      <c r="G478" s="293"/>
      <c r="H478" s="293"/>
      <c r="I478" s="293"/>
      <c r="J478" s="293"/>
      <c r="K478" s="293"/>
      <c r="L478" s="327"/>
      <c r="M478" s="432"/>
      <c r="N478" s="443"/>
      <c r="O478" s="250"/>
      <c r="P478" s="250"/>
      <c r="Q478" s="250"/>
      <c r="R478" s="250"/>
      <c r="S478" s="250"/>
      <c r="T478" s="250"/>
      <c r="U478" s="250"/>
      <c r="V478" s="443"/>
      <c r="W478" s="410">
        <v>625395</v>
      </c>
      <c r="X478" s="39">
        <v>813375</v>
      </c>
      <c r="Y478" s="39">
        <v>1057388</v>
      </c>
      <c r="Z478" s="472">
        <v>710950</v>
      </c>
      <c r="AA478" s="76">
        <f t="shared" si="578"/>
        <v>860571</v>
      </c>
      <c r="AB478" s="24">
        <f t="shared" si="579"/>
        <v>235176</v>
      </c>
      <c r="AC478" s="25">
        <f t="shared" si="580"/>
        <v>0.37604394022977478</v>
      </c>
      <c r="AD478" s="309" t="str">
        <f t="shared" si="581"/>
        <v>REVISAR PRECIO</v>
      </c>
      <c r="AE478" s="462">
        <f t="shared" si="582"/>
        <v>860571</v>
      </c>
      <c r="AF478" s="408"/>
      <c r="AG478" s="293"/>
      <c r="AH478" s="293"/>
      <c r="AI478" s="293"/>
      <c r="AJ478" s="293"/>
      <c r="AK478" s="293"/>
      <c r="AL478" s="327"/>
      <c r="AM478" s="463"/>
      <c r="AN478" s="513">
        <v>394884</v>
      </c>
      <c r="AO478" s="88">
        <v>950000</v>
      </c>
      <c r="AP478" s="116">
        <v>950000</v>
      </c>
      <c r="AQ478" s="74">
        <v>935000</v>
      </c>
      <c r="AR478" s="76">
        <f t="shared" si="587"/>
        <v>945000</v>
      </c>
      <c r="AS478" s="24">
        <f t="shared" si="588"/>
        <v>550116</v>
      </c>
      <c r="AT478" s="25">
        <f t="shared" si="634"/>
        <v>1.3931078493937461</v>
      </c>
      <c r="AU478" s="309" t="str">
        <f t="shared" si="635"/>
        <v>REVISAR PRECIO</v>
      </c>
      <c r="AV478" s="462">
        <f t="shared" si="591"/>
        <v>945000</v>
      </c>
      <c r="AW478" s="513">
        <v>394884</v>
      </c>
      <c r="AX478" s="74">
        <v>977500</v>
      </c>
      <c r="AY478" s="74">
        <v>1000000</v>
      </c>
      <c r="AZ478" s="75">
        <v>1126250</v>
      </c>
      <c r="BA478" s="61">
        <v>977499.99999999988</v>
      </c>
      <c r="BB478" s="60"/>
      <c r="BC478" s="74">
        <v>1124124.9999999998</v>
      </c>
      <c r="BD478" s="79">
        <v>1126250</v>
      </c>
      <c r="BE478" s="79">
        <v>850000</v>
      </c>
      <c r="BF478" s="127">
        <v>850000</v>
      </c>
      <c r="BG478" s="128">
        <v>809000</v>
      </c>
      <c r="BH478" s="128">
        <v>900000</v>
      </c>
      <c r="BI478" s="76">
        <f t="shared" si="630"/>
        <v>1041075</v>
      </c>
      <c r="BJ478" s="24">
        <f t="shared" si="631"/>
        <v>646191</v>
      </c>
      <c r="BK478" s="25">
        <f>+BJ478/AW478</f>
        <v>1.6364071474154436</v>
      </c>
      <c r="BL478" s="259" t="str">
        <f t="shared" si="632"/>
        <v>REVISAR PRECIO</v>
      </c>
      <c r="BM478" s="533">
        <f t="shared" si="633"/>
        <v>1041075</v>
      </c>
    </row>
    <row r="479" spans="1:65" ht="71.099999999999994" customHeight="1">
      <c r="A479" s="91"/>
      <c r="B479" s="358" t="s">
        <v>2670</v>
      </c>
      <c r="C479" s="50" t="s">
        <v>1027</v>
      </c>
      <c r="D479" s="177" t="s">
        <v>980</v>
      </c>
      <c r="E479" s="384" t="s">
        <v>13</v>
      </c>
      <c r="F479" s="410">
        <v>418578</v>
      </c>
      <c r="G479" s="10"/>
      <c r="H479" s="167">
        <v>450000</v>
      </c>
      <c r="I479" s="10">
        <v>350000</v>
      </c>
      <c r="J479" s="76">
        <f t="shared" ref="J479:J524" si="636">AVERAGE(G479,I479)</f>
        <v>350000</v>
      </c>
      <c r="K479" s="24">
        <f t="shared" ref="K479:K524" si="637">J479-F479</f>
        <v>-68578</v>
      </c>
      <c r="L479" s="281">
        <f t="shared" ref="L479:L524" si="638">+K479/F479</f>
        <v>-0.16383565309213574</v>
      </c>
      <c r="M479" s="431">
        <f t="shared" ref="M479:M524" si="639">H479</f>
        <v>450000</v>
      </c>
      <c r="N479" s="410">
        <v>380446</v>
      </c>
      <c r="O479" s="10"/>
      <c r="P479" s="10"/>
      <c r="Q479" s="10"/>
      <c r="R479" s="10"/>
      <c r="S479" s="76"/>
      <c r="T479" s="24"/>
      <c r="U479" s="281"/>
      <c r="V479" s="462" t="s">
        <v>894</v>
      </c>
      <c r="W479" s="410"/>
      <c r="X479" s="39"/>
      <c r="Y479" s="39"/>
      <c r="Z479" s="472"/>
      <c r="AA479" s="76"/>
      <c r="AB479" s="24"/>
      <c r="AC479" s="25"/>
      <c r="AD479" s="309"/>
      <c r="AE479" s="462"/>
      <c r="AF479" s="410">
        <v>424823</v>
      </c>
      <c r="AG479" s="45"/>
      <c r="AH479" s="45">
        <v>493870</v>
      </c>
      <c r="AI479" s="45">
        <v>85000</v>
      </c>
      <c r="AJ479" s="76">
        <f t="shared" ref="AJ479:AJ491" si="640">AVERAGE(AG479,AH479,AI479)</f>
        <v>289435</v>
      </c>
      <c r="AK479" s="24">
        <f t="shared" ref="AK479:AK491" si="641">AJ479-AF479</f>
        <v>-135388</v>
      </c>
      <c r="AL479" s="281">
        <f t="shared" ref="AL479:AL491" si="642">+AK479/AF479</f>
        <v>-0.31869272614712479</v>
      </c>
      <c r="AM479" s="462">
        <f t="shared" ref="AM479:AM491" si="643">AJ479</f>
        <v>289435</v>
      </c>
      <c r="AN479" s="513"/>
      <c r="AO479" s="88"/>
      <c r="AP479" s="116"/>
      <c r="AQ479" s="74"/>
      <c r="AR479" s="76"/>
      <c r="AS479" s="24"/>
      <c r="AT479" s="25"/>
      <c r="AU479" s="309"/>
      <c r="AV479" s="462"/>
      <c r="AW479" s="513"/>
      <c r="AX479" s="74"/>
      <c r="AY479" s="74"/>
      <c r="AZ479" s="75"/>
      <c r="BA479" s="61"/>
      <c r="BB479" s="60"/>
      <c r="BC479" s="74"/>
      <c r="BD479" s="79"/>
      <c r="BE479" s="79"/>
      <c r="BF479" s="127"/>
      <c r="BG479" s="128"/>
      <c r="BH479" s="128"/>
      <c r="BI479" s="76"/>
      <c r="BJ479" s="24"/>
      <c r="BK479" s="25"/>
      <c r="BL479" s="259"/>
      <c r="BM479" s="533"/>
    </row>
    <row r="480" spans="1:65" ht="72.95" customHeight="1">
      <c r="A480" s="91"/>
      <c r="B480" s="358" t="s">
        <v>2671</v>
      </c>
      <c r="C480" s="50" t="s">
        <v>1028</v>
      </c>
      <c r="D480" s="177" t="s">
        <v>981</v>
      </c>
      <c r="E480" s="384" t="s">
        <v>13</v>
      </c>
      <c r="F480" s="410">
        <v>171661</v>
      </c>
      <c r="G480" s="10">
        <v>520000</v>
      </c>
      <c r="H480" s="167">
        <v>450000</v>
      </c>
      <c r="I480" s="10">
        <v>485000</v>
      </c>
      <c r="J480" s="76">
        <f t="shared" si="636"/>
        <v>502500</v>
      </c>
      <c r="K480" s="24">
        <f t="shared" si="637"/>
        <v>330839</v>
      </c>
      <c r="L480" s="281">
        <f t="shared" si="638"/>
        <v>1.9272810947157479</v>
      </c>
      <c r="M480" s="431">
        <f t="shared" si="639"/>
        <v>450000</v>
      </c>
      <c r="N480" s="410">
        <v>156026</v>
      </c>
      <c r="O480" s="10"/>
      <c r="P480" s="10"/>
      <c r="Q480" s="10"/>
      <c r="R480" s="10"/>
      <c r="S480" s="76"/>
      <c r="T480" s="24"/>
      <c r="U480" s="281"/>
      <c r="V480" s="462" t="s">
        <v>894</v>
      </c>
      <c r="W480" s="410"/>
      <c r="X480" s="39"/>
      <c r="Y480" s="39"/>
      <c r="Z480" s="472"/>
      <c r="AA480" s="76"/>
      <c r="AB480" s="24"/>
      <c r="AC480" s="25"/>
      <c r="AD480" s="309"/>
      <c r="AE480" s="462"/>
      <c r="AF480" s="410">
        <v>174224</v>
      </c>
      <c r="AG480" s="45"/>
      <c r="AH480" s="45">
        <v>202544</v>
      </c>
      <c r="AI480" s="45">
        <v>80000</v>
      </c>
      <c r="AJ480" s="76">
        <f t="shared" si="640"/>
        <v>141272</v>
      </c>
      <c r="AK480" s="24">
        <f t="shared" si="641"/>
        <v>-32952</v>
      </c>
      <c r="AL480" s="281">
        <f t="shared" si="642"/>
        <v>-0.18913582514464139</v>
      </c>
      <c r="AM480" s="462">
        <f t="shared" si="643"/>
        <v>141272</v>
      </c>
      <c r="AN480" s="513"/>
      <c r="AO480" s="88"/>
      <c r="AP480" s="116"/>
      <c r="AQ480" s="74"/>
      <c r="AR480" s="76"/>
      <c r="AS480" s="24"/>
      <c r="AT480" s="25"/>
      <c r="AU480" s="309"/>
      <c r="AV480" s="462"/>
      <c r="AW480" s="513"/>
      <c r="AX480" s="74"/>
      <c r="AY480" s="74"/>
      <c r="AZ480" s="75"/>
      <c r="BA480" s="61"/>
      <c r="BB480" s="60"/>
      <c r="BC480" s="74"/>
      <c r="BD480" s="79"/>
      <c r="BE480" s="79"/>
      <c r="BF480" s="127"/>
      <c r="BG480" s="128"/>
      <c r="BH480" s="128"/>
      <c r="BI480" s="76"/>
      <c r="BJ480" s="24"/>
      <c r="BK480" s="25"/>
      <c r="BL480" s="259"/>
      <c r="BM480" s="533"/>
    </row>
    <row r="481" spans="1:65" ht="50.1" customHeight="1">
      <c r="A481" s="91"/>
      <c r="B481" s="358" t="s">
        <v>2672</v>
      </c>
      <c r="C481" s="50" t="s">
        <v>1029</v>
      </c>
      <c r="D481" s="177" t="s">
        <v>982</v>
      </c>
      <c r="E481" s="384" t="s">
        <v>13</v>
      </c>
      <c r="F481" s="410">
        <v>193418</v>
      </c>
      <c r="G481" s="10">
        <v>280000</v>
      </c>
      <c r="H481" s="167">
        <v>403332.5</v>
      </c>
      <c r="I481" s="10">
        <v>255600</v>
      </c>
      <c r="J481" s="76">
        <f t="shared" si="636"/>
        <v>267800</v>
      </c>
      <c r="K481" s="24">
        <f t="shared" si="637"/>
        <v>74382</v>
      </c>
      <c r="L481" s="281">
        <f t="shared" si="638"/>
        <v>0.38456606934204673</v>
      </c>
      <c r="M481" s="431">
        <f t="shared" si="639"/>
        <v>403332.5</v>
      </c>
      <c r="N481" s="410">
        <v>175800</v>
      </c>
      <c r="O481" s="10"/>
      <c r="P481" s="10"/>
      <c r="Q481" s="10"/>
      <c r="R481" s="10"/>
      <c r="S481" s="76"/>
      <c r="T481" s="24"/>
      <c r="U481" s="281"/>
      <c r="V481" s="462" t="s">
        <v>894</v>
      </c>
      <c r="W481" s="410"/>
      <c r="X481" s="39"/>
      <c r="Y481" s="39"/>
      <c r="Z481" s="472"/>
      <c r="AA481" s="76"/>
      <c r="AB481" s="24"/>
      <c r="AC481" s="25"/>
      <c r="AD481" s="309"/>
      <c r="AE481" s="462"/>
      <c r="AF481" s="410">
        <v>196303</v>
      </c>
      <c r="AG481" s="45"/>
      <c r="AH481" s="45">
        <v>228206</v>
      </c>
      <c r="AI481" s="45">
        <v>70000</v>
      </c>
      <c r="AJ481" s="76">
        <f t="shared" si="640"/>
        <v>149103</v>
      </c>
      <c r="AK481" s="24">
        <f t="shared" si="641"/>
        <v>-47200</v>
      </c>
      <c r="AL481" s="281">
        <f t="shared" si="642"/>
        <v>-0.24044461877811343</v>
      </c>
      <c r="AM481" s="462">
        <f t="shared" si="643"/>
        <v>149103</v>
      </c>
      <c r="AN481" s="513"/>
      <c r="AO481" s="88"/>
      <c r="AP481" s="116"/>
      <c r="AQ481" s="74"/>
      <c r="AR481" s="76"/>
      <c r="AS481" s="24"/>
      <c r="AT481" s="25"/>
      <c r="AU481" s="309"/>
      <c r="AV481" s="462"/>
      <c r="AW481" s="513"/>
      <c r="AX481" s="74"/>
      <c r="AY481" s="74"/>
      <c r="AZ481" s="75"/>
      <c r="BA481" s="61"/>
      <c r="BB481" s="60"/>
      <c r="BC481" s="74"/>
      <c r="BD481" s="79"/>
      <c r="BE481" s="79"/>
      <c r="BF481" s="127"/>
      <c r="BG481" s="128"/>
      <c r="BH481" s="128"/>
      <c r="BI481" s="76"/>
      <c r="BJ481" s="24"/>
      <c r="BK481" s="25"/>
      <c r="BL481" s="259"/>
      <c r="BM481" s="533"/>
    </row>
    <row r="482" spans="1:65" ht="50.1" customHeight="1">
      <c r="A482" s="91"/>
      <c r="B482" s="358" t="s">
        <v>2673</v>
      </c>
      <c r="C482" s="50" t="s">
        <v>1030</v>
      </c>
      <c r="D482" s="177" t="s">
        <v>983</v>
      </c>
      <c r="E482" s="384" t="s">
        <v>14</v>
      </c>
      <c r="F482" s="410">
        <v>538287</v>
      </c>
      <c r="G482" s="10">
        <v>453119.65</v>
      </c>
      <c r="H482" s="167">
        <v>1359358.9500000002</v>
      </c>
      <c r="I482" s="10">
        <v>495800</v>
      </c>
      <c r="J482" s="76">
        <f t="shared" si="636"/>
        <v>474459.82500000001</v>
      </c>
      <c r="K482" s="24">
        <f t="shared" si="637"/>
        <v>-63827.174999999988</v>
      </c>
      <c r="L482" s="281">
        <f t="shared" si="638"/>
        <v>-0.11857461725807977</v>
      </c>
      <c r="M482" s="431">
        <f t="shared" si="639"/>
        <v>1359358.9500000002</v>
      </c>
      <c r="N482" s="410">
        <v>489248</v>
      </c>
      <c r="O482" s="10"/>
      <c r="P482" s="10"/>
      <c r="Q482" s="10"/>
      <c r="R482" s="10"/>
      <c r="S482" s="76"/>
      <c r="T482" s="24"/>
      <c r="U482" s="281"/>
      <c r="V482" s="462" t="s">
        <v>894</v>
      </c>
      <c r="W482" s="410"/>
      <c r="X482" s="39"/>
      <c r="Y482" s="39"/>
      <c r="Z482" s="472"/>
      <c r="AA482" s="76"/>
      <c r="AB482" s="24"/>
      <c r="AC482" s="25"/>
      <c r="AD482" s="309"/>
      <c r="AE482" s="462"/>
      <c r="AF482" s="410">
        <v>546316</v>
      </c>
      <c r="AG482" s="45"/>
      <c r="AH482" s="45">
        <v>635113</v>
      </c>
      <c r="AI482" s="45">
        <v>350000</v>
      </c>
      <c r="AJ482" s="76">
        <f t="shared" si="640"/>
        <v>492556.5</v>
      </c>
      <c r="AK482" s="24">
        <f t="shared" si="641"/>
        <v>-53759.5</v>
      </c>
      <c r="AL482" s="281">
        <f t="shared" si="642"/>
        <v>-9.8403671135386853E-2</v>
      </c>
      <c r="AM482" s="462">
        <f t="shared" si="643"/>
        <v>492556.5</v>
      </c>
      <c r="AN482" s="513"/>
      <c r="AO482" s="88"/>
      <c r="AP482" s="116"/>
      <c r="AQ482" s="74"/>
      <c r="AR482" s="76"/>
      <c r="AS482" s="24"/>
      <c r="AT482" s="25"/>
      <c r="AU482" s="309"/>
      <c r="AV482" s="462"/>
      <c r="AW482" s="513"/>
      <c r="AX482" s="74"/>
      <c r="AY482" s="74"/>
      <c r="AZ482" s="75"/>
      <c r="BA482" s="61"/>
      <c r="BB482" s="60"/>
      <c r="BC482" s="74"/>
      <c r="BD482" s="79"/>
      <c r="BE482" s="79"/>
      <c r="BF482" s="127"/>
      <c r="BG482" s="128"/>
      <c r="BH482" s="128"/>
      <c r="BI482" s="76"/>
      <c r="BJ482" s="24"/>
      <c r="BK482" s="25"/>
      <c r="BL482" s="259"/>
      <c r="BM482" s="533"/>
    </row>
    <row r="483" spans="1:65" ht="54" customHeight="1">
      <c r="A483" s="91"/>
      <c r="B483" s="358" t="s">
        <v>2674</v>
      </c>
      <c r="C483" s="50" t="s">
        <v>1031</v>
      </c>
      <c r="D483" s="177" t="s">
        <v>984</v>
      </c>
      <c r="E483" s="384" t="s">
        <v>14</v>
      </c>
      <c r="F483" s="410">
        <v>555800</v>
      </c>
      <c r="G483" s="10">
        <v>475506.3</v>
      </c>
      <c r="H483" s="167">
        <v>1426518.9</v>
      </c>
      <c r="I483" s="10">
        <v>455600</v>
      </c>
      <c r="J483" s="76">
        <f t="shared" si="636"/>
        <v>465553.15</v>
      </c>
      <c r="K483" s="24">
        <f t="shared" si="637"/>
        <v>-90246.849999999977</v>
      </c>
      <c r="L483" s="281">
        <f t="shared" si="638"/>
        <v>-0.16237288593019067</v>
      </c>
      <c r="M483" s="431">
        <f t="shared" si="639"/>
        <v>1426518.9</v>
      </c>
      <c r="N483" s="410">
        <v>505167</v>
      </c>
      <c r="O483" s="10">
        <v>420000</v>
      </c>
      <c r="P483" s="10"/>
      <c r="Q483" s="10"/>
      <c r="R483" s="10"/>
      <c r="S483" s="76">
        <f t="shared" ref="S483:S488" si="644">AVERAGE(O483,P483,Q483,R483)</f>
        <v>420000</v>
      </c>
      <c r="T483" s="24">
        <f t="shared" ref="T483:T488" si="645">S483-N483</f>
        <v>-85167</v>
      </c>
      <c r="U483" s="281">
        <f t="shared" ref="U483:U488" si="646">+T483/N483</f>
        <v>-0.16859177262172706</v>
      </c>
      <c r="V483" s="462">
        <f t="shared" ref="V483:V488" si="647">S483</f>
        <v>420000</v>
      </c>
      <c r="W483" s="410"/>
      <c r="X483" s="39"/>
      <c r="Y483" s="39"/>
      <c r="Z483" s="472"/>
      <c r="AA483" s="76"/>
      <c r="AB483" s="24"/>
      <c r="AC483" s="25"/>
      <c r="AD483" s="309"/>
      <c r="AE483" s="462"/>
      <c r="AF483" s="410">
        <v>564096</v>
      </c>
      <c r="AG483" s="45"/>
      <c r="AH483" s="45">
        <v>655780</v>
      </c>
      <c r="AI483" s="45">
        <v>250000</v>
      </c>
      <c r="AJ483" s="76">
        <f t="shared" si="640"/>
        <v>452890</v>
      </c>
      <c r="AK483" s="24">
        <f t="shared" si="641"/>
        <v>-111206</v>
      </c>
      <c r="AL483" s="281">
        <f t="shared" si="642"/>
        <v>-0.19714020308599955</v>
      </c>
      <c r="AM483" s="462">
        <f t="shared" si="643"/>
        <v>452890</v>
      </c>
      <c r="AN483" s="513"/>
      <c r="AO483" s="88"/>
      <c r="AP483" s="116"/>
      <c r="AQ483" s="74"/>
      <c r="AR483" s="76"/>
      <c r="AS483" s="24"/>
      <c r="AT483" s="25"/>
      <c r="AU483" s="309"/>
      <c r="AV483" s="462"/>
      <c r="AW483" s="513"/>
      <c r="AX483" s="74"/>
      <c r="AY483" s="74"/>
      <c r="AZ483" s="75"/>
      <c r="BA483" s="61"/>
      <c r="BB483" s="60"/>
      <c r="BC483" s="74"/>
      <c r="BD483" s="79"/>
      <c r="BE483" s="79"/>
      <c r="BF483" s="127"/>
      <c r="BG483" s="128"/>
      <c r="BH483" s="128"/>
      <c r="BI483" s="76"/>
      <c r="BJ483" s="24"/>
      <c r="BK483" s="25"/>
      <c r="BL483" s="259"/>
      <c r="BM483" s="533"/>
    </row>
    <row r="484" spans="1:65" ht="45.95" customHeight="1">
      <c r="A484" s="91"/>
      <c r="B484" s="358" t="s">
        <v>2675</v>
      </c>
      <c r="C484" s="50" t="s">
        <v>1032</v>
      </c>
      <c r="D484" s="177" t="s">
        <v>985</v>
      </c>
      <c r="E484" s="384" t="s">
        <v>14</v>
      </c>
      <c r="F484" s="410">
        <v>597016</v>
      </c>
      <c r="G484" s="10">
        <v>430733</v>
      </c>
      <c r="H484" s="167">
        <v>1722932</v>
      </c>
      <c r="I484" s="10">
        <v>430000</v>
      </c>
      <c r="J484" s="76">
        <f t="shared" si="636"/>
        <v>430366.5</v>
      </c>
      <c r="K484" s="24">
        <f t="shared" si="637"/>
        <v>-166649.5</v>
      </c>
      <c r="L484" s="281">
        <f t="shared" si="638"/>
        <v>-0.27913741005266191</v>
      </c>
      <c r="M484" s="431">
        <f t="shared" si="639"/>
        <v>1722932</v>
      </c>
      <c r="N484" s="410">
        <v>542633</v>
      </c>
      <c r="O484" s="10">
        <v>420000</v>
      </c>
      <c r="P484" s="10"/>
      <c r="Q484" s="10"/>
      <c r="R484" s="10"/>
      <c r="S484" s="76">
        <f t="shared" si="644"/>
        <v>420000</v>
      </c>
      <c r="T484" s="24">
        <f t="shared" si="645"/>
        <v>-122633</v>
      </c>
      <c r="U484" s="281">
        <f t="shared" si="646"/>
        <v>-0.22599620738141618</v>
      </c>
      <c r="V484" s="462">
        <f t="shared" si="647"/>
        <v>420000</v>
      </c>
      <c r="W484" s="410"/>
      <c r="X484" s="39"/>
      <c r="Y484" s="39"/>
      <c r="Z484" s="472"/>
      <c r="AA484" s="76"/>
      <c r="AB484" s="24"/>
      <c r="AC484" s="25"/>
      <c r="AD484" s="309"/>
      <c r="AE484" s="462"/>
      <c r="AF484" s="410">
        <v>605929</v>
      </c>
      <c r="AG484" s="45"/>
      <c r="AH484" s="45">
        <v>704412</v>
      </c>
      <c r="AI484" s="45">
        <v>270000</v>
      </c>
      <c r="AJ484" s="76">
        <f t="shared" si="640"/>
        <v>487206</v>
      </c>
      <c r="AK484" s="24">
        <f t="shared" si="641"/>
        <v>-118723</v>
      </c>
      <c r="AL484" s="281">
        <f t="shared" si="642"/>
        <v>-0.19593549739325894</v>
      </c>
      <c r="AM484" s="462">
        <f t="shared" si="643"/>
        <v>487206</v>
      </c>
      <c r="AN484" s="513"/>
      <c r="AO484" s="88"/>
      <c r="AP484" s="116"/>
      <c r="AQ484" s="74"/>
      <c r="AR484" s="76"/>
      <c r="AS484" s="24"/>
      <c r="AT484" s="25"/>
      <c r="AU484" s="309"/>
      <c r="AV484" s="462"/>
      <c r="AW484" s="513"/>
      <c r="AX484" s="74"/>
      <c r="AY484" s="74"/>
      <c r="AZ484" s="75"/>
      <c r="BA484" s="61"/>
      <c r="BB484" s="60"/>
      <c r="BC484" s="74"/>
      <c r="BD484" s="79"/>
      <c r="BE484" s="79"/>
      <c r="BF484" s="127"/>
      <c r="BG484" s="128"/>
      <c r="BH484" s="128"/>
      <c r="BI484" s="76"/>
      <c r="BJ484" s="24"/>
      <c r="BK484" s="25"/>
      <c r="BL484" s="259"/>
      <c r="BM484" s="533"/>
    </row>
    <row r="485" spans="1:65" ht="41.1" customHeight="1">
      <c r="A485" s="91"/>
      <c r="B485" s="358" t="s">
        <v>2676</v>
      </c>
      <c r="C485" s="50" t="s">
        <v>1033</v>
      </c>
      <c r="D485" s="177" t="s">
        <v>986</v>
      </c>
      <c r="E485" s="384" t="s">
        <v>14</v>
      </c>
      <c r="F485" s="410">
        <v>260853</v>
      </c>
      <c r="G485" s="10">
        <v>450000</v>
      </c>
      <c r="H485" s="167">
        <v>450000</v>
      </c>
      <c r="I485" s="10">
        <v>445000</v>
      </c>
      <c r="J485" s="76">
        <f t="shared" si="636"/>
        <v>447500</v>
      </c>
      <c r="K485" s="24">
        <f t="shared" si="637"/>
        <v>186647</v>
      </c>
      <c r="L485" s="281">
        <f t="shared" si="638"/>
        <v>0.71552560254242814</v>
      </c>
      <c r="M485" s="431">
        <f t="shared" si="639"/>
        <v>450000</v>
      </c>
      <c r="N485" s="410">
        <v>237092</v>
      </c>
      <c r="O485" s="10">
        <v>420000</v>
      </c>
      <c r="P485" s="10"/>
      <c r="Q485" s="10"/>
      <c r="R485" s="10"/>
      <c r="S485" s="76">
        <f t="shared" si="644"/>
        <v>420000</v>
      </c>
      <c r="T485" s="24">
        <f t="shared" si="645"/>
        <v>182908</v>
      </c>
      <c r="U485" s="281">
        <f t="shared" si="646"/>
        <v>0.77146424172894912</v>
      </c>
      <c r="V485" s="462">
        <f t="shared" si="647"/>
        <v>420000</v>
      </c>
      <c r="W485" s="410"/>
      <c r="X485" s="39"/>
      <c r="Y485" s="39"/>
      <c r="Z485" s="472"/>
      <c r="AA485" s="76"/>
      <c r="AB485" s="24"/>
      <c r="AC485" s="25"/>
      <c r="AD485" s="309"/>
      <c r="AE485" s="462"/>
      <c r="AF485" s="410">
        <v>264753</v>
      </c>
      <c r="AG485" s="45"/>
      <c r="AH485" s="45">
        <v>307780</v>
      </c>
      <c r="AI485" s="45">
        <v>150000</v>
      </c>
      <c r="AJ485" s="76">
        <f t="shared" si="640"/>
        <v>228890</v>
      </c>
      <c r="AK485" s="24">
        <f t="shared" si="641"/>
        <v>-35863</v>
      </c>
      <c r="AL485" s="281">
        <f t="shared" si="642"/>
        <v>-0.13545833286119516</v>
      </c>
      <c r="AM485" s="462">
        <f t="shared" si="643"/>
        <v>228890</v>
      </c>
      <c r="AN485" s="513"/>
      <c r="AO485" s="88"/>
      <c r="AP485" s="116"/>
      <c r="AQ485" s="74"/>
      <c r="AR485" s="76"/>
      <c r="AS485" s="24"/>
      <c r="AT485" s="25"/>
      <c r="AU485" s="309"/>
      <c r="AV485" s="462"/>
      <c r="AW485" s="513"/>
      <c r="AX485" s="74"/>
      <c r="AY485" s="74"/>
      <c r="AZ485" s="75"/>
      <c r="BA485" s="61"/>
      <c r="BB485" s="60"/>
      <c r="BC485" s="74"/>
      <c r="BD485" s="79"/>
      <c r="BE485" s="79"/>
      <c r="BF485" s="127"/>
      <c r="BG485" s="128"/>
      <c r="BH485" s="128"/>
      <c r="BI485" s="76"/>
      <c r="BJ485" s="24"/>
      <c r="BK485" s="25"/>
      <c r="BL485" s="259"/>
      <c r="BM485" s="533"/>
    </row>
    <row r="486" spans="1:65" ht="47.1" customHeight="1">
      <c r="A486" s="91"/>
      <c r="B486" s="358" t="s">
        <v>2677</v>
      </c>
      <c r="C486" s="50" t="s">
        <v>1034</v>
      </c>
      <c r="D486" s="177" t="s">
        <v>987</v>
      </c>
      <c r="E486" s="384" t="s">
        <v>13</v>
      </c>
      <c r="F486" s="410">
        <v>264421</v>
      </c>
      <c r="G486" s="10">
        <v>562105.80000000005</v>
      </c>
      <c r="H486" s="167">
        <v>1124211.6000000001</v>
      </c>
      <c r="I486" s="10">
        <v>495862</v>
      </c>
      <c r="J486" s="76">
        <f t="shared" si="636"/>
        <v>528983.9</v>
      </c>
      <c r="K486" s="24">
        <f t="shared" si="637"/>
        <v>264562.90000000002</v>
      </c>
      <c r="L486" s="281">
        <f t="shared" si="638"/>
        <v>1.0005366442150965</v>
      </c>
      <c r="M486" s="431">
        <f t="shared" si="639"/>
        <v>1124211.6000000001</v>
      </c>
      <c r="N486" s="410">
        <v>240338</v>
      </c>
      <c r="O486" s="10">
        <v>550000</v>
      </c>
      <c r="P486" s="10"/>
      <c r="Q486" s="10"/>
      <c r="R486" s="10"/>
      <c r="S486" s="76">
        <f t="shared" si="644"/>
        <v>550000</v>
      </c>
      <c r="T486" s="24">
        <f t="shared" si="645"/>
        <v>309662</v>
      </c>
      <c r="U486" s="281">
        <f t="shared" si="646"/>
        <v>1.2884437750168514</v>
      </c>
      <c r="V486" s="462">
        <f t="shared" si="647"/>
        <v>550000</v>
      </c>
      <c r="W486" s="410"/>
      <c r="X486" s="39"/>
      <c r="Y486" s="39"/>
      <c r="Z486" s="472"/>
      <c r="AA486" s="76"/>
      <c r="AB486" s="24"/>
      <c r="AC486" s="25"/>
      <c r="AD486" s="309"/>
      <c r="AE486" s="462"/>
      <c r="AF486" s="410">
        <v>268369</v>
      </c>
      <c r="AG486" s="45"/>
      <c r="AH486" s="45">
        <v>311992</v>
      </c>
      <c r="AI486" s="45">
        <v>450000</v>
      </c>
      <c r="AJ486" s="76">
        <f t="shared" si="640"/>
        <v>380996</v>
      </c>
      <c r="AK486" s="24">
        <f t="shared" si="641"/>
        <v>112627</v>
      </c>
      <c r="AL486" s="281">
        <f t="shared" si="642"/>
        <v>0.41967216779881433</v>
      </c>
      <c r="AM486" s="462">
        <f t="shared" si="643"/>
        <v>380996</v>
      </c>
      <c r="AN486" s="513"/>
      <c r="AO486" s="88"/>
      <c r="AP486" s="116"/>
      <c r="AQ486" s="74"/>
      <c r="AR486" s="76"/>
      <c r="AS486" s="24"/>
      <c r="AT486" s="25"/>
      <c r="AU486" s="309"/>
      <c r="AV486" s="462"/>
      <c r="AW486" s="513"/>
      <c r="AX486" s="74"/>
      <c r="AY486" s="74"/>
      <c r="AZ486" s="75"/>
      <c r="BA486" s="61"/>
      <c r="BB486" s="60"/>
      <c r="BC486" s="74"/>
      <c r="BD486" s="79"/>
      <c r="BE486" s="79"/>
      <c r="BF486" s="127"/>
      <c r="BG486" s="128"/>
      <c r="BH486" s="128"/>
      <c r="BI486" s="76"/>
      <c r="BJ486" s="24"/>
      <c r="BK486" s="25"/>
      <c r="BL486" s="259"/>
      <c r="BM486" s="533"/>
    </row>
    <row r="487" spans="1:65" ht="33" customHeight="1">
      <c r="A487" s="91"/>
      <c r="B487" s="358" t="s">
        <v>2678</v>
      </c>
      <c r="C487" s="50" t="s">
        <v>1035</v>
      </c>
      <c r="D487" s="177" t="s">
        <v>988</v>
      </c>
      <c r="E487" s="384" t="s">
        <v>13</v>
      </c>
      <c r="F487" s="410">
        <v>4604</v>
      </c>
      <c r="G487" s="10">
        <v>2387.94</v>
      </c>
      <c r="H487" s="167">
        <v>2387.94</v>
      </c>
      <c r="I487" s="10">
        <v>1500</v>
      </c>
      <c r="J487" s="76">
        <f t="shared" si="636"/>
        <v>1943.97</v>
      </c>
      <c r="K487" s="24">
        <f t="shared" si="637"/>
        <v>-2660.0299999999997</v>
      </c>
      <c r="L487" s="281">
        <f t="shared" si="638"/>
        <v>-0.57776498696785394</v>
      </c>
      <c r="M487" s="431">
        <f t="shared" si="639"/>
        <v>2387.94</v>
      </c>
      <c r="N487" s="410">
        <v>4176</v>
      </c>
      <c r="O487" s="10">
        <v>50000</v>
      </c>
      <c r="P487" s="10"/>
      <c r="Q487" s="10"/>
      <c r="R487" s="10"/>
      <c r="S487" s="76">
        <f t="shared" si="644"/>
        <v>50000</v>
      </c>
      <c r="T487" s="24">
        <f t="shared" si="645"/>
        <v>45824</v>
      </c>
      <c r="U487" s="281">
        <f t="shared" si="646"/>
        <v>10.973180076628353</v>
      </c>
      <c r="V487" s="462">
        <f t="shared" si="647"/>
        <v>50000</v>
      </c>
      <c r="W487" s="410"/>
      <c r="X487" s="39"/>
      <c r="Y487" s="39"/>
      <c r="Z487" s="472"/>
      <c r="AA487" s="76"/>
      <c r="AB487" s="24"/>
      <c r="AC487" s="25"/>
      <c r="AD487" s="309"/>
      <c r="AE487" s="462"/>
      <c r="AF487" s="410">
        <v>4670</v>
      </c>
      <c r="AG487" s="45"/>
      <c r="AH487" s="45">
        <v>5426</v>
      </c>
      <c r="AI487" s="45">
        <v>45000</v>
      </c>
      <c r="AJ487" s="76">
        <f t="shared" si="640"/>
        <v>25213</v>
      </c>
      <c r="AK487" s="24">
        <f t="shared" si="641"/>
        <v>20543</v>
      </c>
      <c r="AL487" s="281">
        <f t="shared" si="642"/>
        <v>4.398929336188437</v>
      </c>
      <c r="AM487" s="462">
        <f t="shared" si="643"/>
        <v>25213</v>
      </c>
      <c r="AN487" s="513"/>
      <c r="AO487" s="88"/>
      <c r="AP487" s="116"/>
      <c r="AQ487" s="74"/>
      <c r="AR487" s="76"/>
      <c r="AS487" s="24"/>
      <c r="AT487" s="25"/>
      <c r="AU487" s="309"/>
      <c r="AV487" s="462"/>
      <c r="AW487" s="513"/>
      <c r="AX487" s="74"/>
      <c r="AY487" s="74"/>
      <c r="AZ487" s="75"/>
      <c r="BA487" s="61"/>
      <c r="BB487" s="60"/>
      <c r="BC487" s="74"/>
      <c r="BD487" s="79"/>
      <c r="BE487" s="79"/>
      <c r="BF487" s="127"/>
      <c r="BG487" s="128"/>
      <c r="BH487" s="128"/>
      <c r="BI487" s="76"/>
      <c r="BJ487" s="24"/>
      <c r="BK487" s="25"/>
      <c r="BL487" s="259"/>
      <c r="BM487" s="533"/>
    </row>
    <row r="488" spans="1:65" ht="50.1" customHeight="1">
      <c r="A488" s="91"/>
      <c r="B488" s="358" t="s">
        <v>2679</v>
      </c>
      <c r="C488" s="50" t="s">
        <v>1036</v>
      </c>
      <c r="D488" s="177" t="s">
        <v>989</v>
      </c>
      <c r="E488" s="384" t="s">
        <v>13</v>
      </c>
      <c r="F488" s="410">
        <v>189489</v>
      </c>
      <c r="G488" s="10">
        <v>75666.69</v>
      </c>
      <c r="H488" s="167">
        <v>227000.07</v>
      </c>
      <c r="I488" s="10">
        <v>95800</v>
      </c>
      <c r="J488" s="76">
        <f t="shared" si="636"/>
        <v>85733.345000000001</v>
      </c>
      <c r="K488" s="24">
        <f t="shared" si="637"/>
        <v>-103755.655</v>
      </c>
      <c r="L488" s="281">
        <f t="shared" si="638"/>
        <v>-0.54755502957955338</v>
      </c>
      <c r="M488" s="431">
        <f t="shared" si="639"/>
        <v>227000.07</v>
      </c>
      <c r="N488" s="410">
        <v>172230</v>
      </c>
      <c r="O488" s="10">
        <v>480000</v>
      </c>
      <c r="P488" s="10"/>
      <c r="Q488" s="10"/>
      <c r="R488" s="10"/>
      <c r="S488" s="76">
        <f t="shared" si="644"/>
        <v>480000</v>
      </c>
      <c r="T488" s="24">
        <f t="shared" si="645"/>
        <v>307770</v>
      </c>
      <c r="U488" s="281">
        <f t="shared" si="646"/>
        <v>1.7869709109911165</v>
      </c>
      <c r="V488" s="462">
        <f t="shared" si="647"/>
        <v>480000</v>
      </c>
      <c r="W488" s="410"/>
      <c r="X488" s="39"/>
      <c r="Y488" s="39"/>
      <c r="Z488" s="472"/>
      <c r="AA488" s="76"/>
      <c r="AB488" s="24"/>
      <c r="AC488" s="25"/>
      <c r="AD488" s="309"/>
      <c r="AE488" s="462"/>
      <c r="AF488" s="410">
        <v>192316</v>
      </c>
      <c r="AG488" s="45"/>
      <c r="AH488" s="45">
        <v>223579</v>
      </c>
      <c r="AI488" s="45">
        <v>180000</v>
      </c>
      <c r="AJ488" s="76">
        <f t="shared" si="640"/>
        <v>201789.5</v>
      </c>
      <c r="AK488" s="24">
        <f t="shared" si="641"/>
        <v>9473.5</v>
      </c>
      <c r="AL488" s="281">
        <f t="shared" si="642"/>
        <v>4.9260071964891114E-2</v>
      </c>
      <c r="AM488" s="462">
        <f t="shared" si="643"/>
        <v>201789.5</v>
      </c>
      <c r="AN488" s="513"/>
      <c r="AO488" s="88"/>
      <c r="AP488" s="116"/>
      <c r="AQ488" s="74"/>
      <c r="AR488" s="76"/>
      <c r="AS488" s="24"/>
      <c r="AT488" s="25"/>
      <c r="AU488" s="309"/>
      <c r="AV488" s="462"/>
      <c r="AW488" s="513"/>
      <c r="AX488" s="74"/>
      <c r="AY488" s="74"/>
      <c r="AZ488" s="75"/>
      <c r="BA488" s="61"/>
      <c r="BB488" s="60"/>
      <c r="BC488" s="74"/>
      <c r="BD488" s="79"/>
      <c r="BE488" s="79"/>
      <c r="BF488" s="127"/>
      <c r="BG488" s="128"/>
      <c r="BH488" s="128"/>
      <c r="BI488" s="76"/>
      <c r="BJ488" s="24"/>
      <c r="BK488" s="25"/>
      <c r="BL488" s="259"/>
      <c r="BM488" s="533"/>
    </row>
    <row r="489" spans="1:65" ht="47.1" customHeight="1">
      <c r="A489" s="91"/>
      <c r="B489" s="358" t="s">
        <v>2680</v>
      </c>
      <c r="C489" s="50" t="s">
        <v>1037</v>
      </c>
      <c r="D489" s="177" t="s">
        <v>990</v>
      </c>
      <c r="E489" s="384" t="s">
        <v>10</v>
      </c>
      <c r="F489" s="410">
        <v>325638</v>
      </c>
      <c r="G489" s="10">
        <v>462900</v>
      </c>
      <c r="H489" s="167">
        <v>462900</v>
      </c>
      <c r="I489" s="10">
        <v>456300</v>
      </c>
      <c r="J489" s="76">
        <f t="shared" si="636"/>
        <v>459600</v>
      </c>
      <c r="K489" s="24">
        <f t="shared" si="637"/>
        <v>133962</v>
      </c>
      <c r="L489" s="281">
        <f t="shared" si="638"/>
        <v>0.41138319237926779</v>
      </c>
      <c r="M489" s="431">
        <f t="shared" si="639"/>
        <v>462900</v>
      </c>
      <c r="N489" s="410">
        <v>295974</v>
      </c>
      <c r="O489" s="10"/>
      <c r="P489" s="10"/>
      <c r="Q489" s="10"/>
      <c r="R489" s="10"/>
      <c r="S489" s="76"/>
      <c r="T489" s="24"/>
      <c r="U489" s="281"/>
      <c r="V489" s="464" t="s">
        <v>807</v>
      </c>
      <c r="W489" s="410"/>
      <c r="X489" s="39"/>
      <c r="Y489" s="39"/>
      <c r="Z489" s="472"/>
      <c r="AA489" s="76"/>
      <c r="AB489" s="24"/>
      <c r="AC489" s="25"/>
      <c r="AD489" s="309"/>
      <c r="AE489" s="462"/>
      <c r="AF489" s="410">
        <v>330497</v>
      </c>
      <c r="AG489" s="45"/>
      <c r="AH489" s="45">
        <v>384212</v>
      </c>
      <c r="AI489" s="45">
        <v>120000</v>
      </c>
      <c r="AJ489" s="76">
        <f t="shared" si="640"/>
        <v>252106</v>
      </c>
      <c r="AK489" s="24">
        <f t="shared" si="641"/>
        <v>-78391</v>
      </c>
      <c r="AL489" s="281">
        <f t="shared" si="642"/>
        <v>-0.23719126043504177</v>
      </c>
      <c r="AM489" s="462">
        <f t="shared" si="643"/>
        <v>252106</v>
      </c>
      <c r="AN489" s="513"/>
      <c r="AO489" s="88"/>
      <c r="AP489" s="116"/>
      <c r="AQ489" s="74"/>
      <c r="AR489" s="76"/>
      <c r="AS489" s="24"/>
      <c r="AT489" s="25"/>
      <c r="AU489" s="309"/>
      <c r="AV489" s="462"/>
      <c r="AW489" s="513"/>
      <c r="AX489" s="74"/>
      <c r="AY489" s="74"/>
      <c r="AZ489" s="75"/>
      <c r="BA489" s="61"/>
      <c r="BB489" s="60"/>
      <c r="BC489" s="74"/>
      <c r="BD489" s="79"/>
      <c r="BE489" s="79"/>
      <c r="BF489" s="127"/>
      <c r="BG489" s="128"/>
      <c r="BH489" s="128"/>
      <c r="BI489" s="76"/>
      <c r="BJ489" s="24"/>
      <c r="BK489" s="25"/>
      <c r="BL489" s="259"/>
      <c r="BM489" s="533"/>
    </row>
    <row r="490" spans="1:65" ht="53.1" customHeight="1">
      <c r="A490" s="91"/>
      <c r="B490" s="358" t="s">
        <v>2681</v>
      </c>
      <c r="C490" s="50" t="s">
        <v>1038</v>
      </c>
      <c r="D490" s="177" t="s">
        <v>991</v>
      </c>
      <c r="E490" s="384" t="s">
        <v>10</v>
      </c>
      <c r="F490" s="410">
        <v>369056</v>
      </c>
      <c r="G490" s="10">
        <v>515691</v>
      </c>
      <c r="H490" s="167">
        <v>1031382</v>
      </c>
      <c r="I490" s="10">
        <v>500051</v>
      </c>
      <c r="J490" s="76">
        <f t="shared" si="636"/>
        <v>507871</v>
      </c>
      <c r="K490" s="24">
        <f t="shared" si="637"/>
        <v>138815</v>
      </c>
      <c r="L490" s="281">
        <f t="shared" si="638"/>
        <v>0.37613532905575303</v>
      </c>
      <c r="M490" s="431">
        <f t="shared" si="639"/>
        <v>1031382</v>
      </c>
      <c r="N490" s="443"/>
      <c r="O490" s="250"/>
      <c r="P490" s="250"/>
      <c r="Q490" s="250"/>
      <c r="R490" s="250"/>
      <c r="S490" s="250"/>
      <c r="T490" s="250"/>
      <c r="U490" s="250"/>
      <c r="V490" s="443"/>
      <c r="W490" s="410"/>
      <c r="X490" s="39"/>
      <c r="Y490" s="39"/>
      <c r="Z490" s="472"/>
      <c r="AA490" s="76"/>
      <c r="AB490" s="24"/>
      <c r="AC490" s="25"/>
      <c r="AD490" s="309"/>
      <c r="AE490" s="462"/>
      <c r="AF490" s="410">
        <v>374561</v>
      </c>
      <c r="AG490" s="45"/>
      <c r="AH490" s="45">
        <v>435440</v>
      </c>
      <c r="AI490" s="45">
        <v>145000</v>
      </c>
      <c r="AJ490" s="76">
        <f t="shared" si="640"/>
        <v>290220</v>
      </c>
      <c r="AK490" s="24">
        <f t="shared" si="641"/>
        <v>-84341</v>
      </c>
      <c r="AL490" s="281">
        <f t="shared" si="642"/>
        <v>-0.22517293578349054</v>
      </c>
      <c r="AM490" s="462">
        <f t="shared" si="643"/>
        <v>290220</v>
      </c>
      <c r="AN490" s="513"/>
      <c r="AO490" s="88"/>
      <c r="AP490" s="116"/>
      <c r="AQ490" s="74"/>
      <c r="AR490" s="76"/>
      <c r="AS490" s="24"/>
      <c r="AT490" s="25"/>
      <c r="AU490" s="309"/>
      <c r="AV490" s="462"/>
      <c r="AW490" s="513"/>
      <c r="AX490" s="74"/>
      <c r="AY490" s="74"/>
      <c r="AZ490" s="75"/>
      <c r="BA490" s="61"/>
      <c r="BB490" s="60"/>
      <c r="BC490" s="74"/>
      <c r="BD490" s="79"/>
      <c r="BE490" s="79"/>
      <c r="BF490" s="127"/>
      <c r="BG490" s="128"/>
      <c r="BH490" s="128"/>
      <c r="BI490" s="76"/>
      <c r="BJ490" s="24"/>
      <c r="BK490" s="25"/>
      <c r="BL490" s="259"/>
      <c r="BM490" s="533"/>
    </row>
    <row r="491" spans="1:65" ht="45.95" customHeight="1">
      <c r="A491" s="91"/>
      <c r="B491" s="358" t="s">
        <v>2682</v>
      </c>
      <c r="C491" s="50" t="s">
        <v>1039</v>
      </c>
      <c r="D491" s="177" t="s">
        <v>992</v>
      </c>
      <c r="E491" s="384" t="s">
        <v>13</v>
      </c>
      <c r="F491" s="410">
        <v>363958</v>
      </c>
      <c r="G491" s="10">
        <v>250000</v>
      </c>
      <c r="H491" s="167">
        <v>750000</v>
      </c>
      <c r="I491" s="10">
        <v>235863</v>
      </c>
      <c r="J491" s="76">
        <f t="shared" si="636"/>
        <v>242931.5</v>
      </c>
      <c r="K491" s="24">
        <f t="shared" si="637"/>
        <v>-121026.5</v>
      </c>
      <c r="L491" s="281">
        <f t="shared" si="638"/>
        <v>-0.3325287533176905</v>
      </c>
      <c r="M491" s="431">
        <f t="shared" si="639"/>
        <v>750000</v>
      </c>
      <c r="N491" s="443"/>
      <c r="O491" s="250"/>
      <c r="P491" s="250"/>
      <c r="Q491" s="250"/>
      <c r="R491" s="250"/>
      <c r="S491" s="250"/>
      <c r="T491" s="250"/>
      <c r="U491" s="250"/>
      <c r="V491" s="443"/>
      <c r="W491" s="410"/>
      <c r="X491" s="39"/>
      <c r="Y491" s="39"/>
      <c r="Z491" s="472"/>
      <c r="AA491" s="76"/>
      <c r="AB491" s="24"/>
      <c r="AC491" s="25"/>
      <c r="AD491" s="309"/>
      <c r="AE491" s="462"/>
      <c r="AF491" s="410">
        <v>378481</v>
      </c>
      <c r="AG491" s="45"/>
      <c r="AH491" s="45">
        <v>429432</v>
      </c>
      <c r="AI491" s="45">
        <v>255000</v>
      </c>
      <c r="AJ491" s="76">
        <f t="shared" si="640"/>
        <v>342216</v>
      </c>
      <c r="AK491" s="24">
        <f t="shared" si="641"/>
        <v>-36265</v>
      </c>
      <c r="AL491" s="281">
        <f t="shared" si="642"/>
        <v>-9.5817227284857101E-2</v>
      </c>
      <c r="AM491" s="462">
        <f t="shared" si="643"/>
        <v>342216</v>
      </c>
      <c r="AN491" s="513"/>
      <c r="AO491" s="88"/>
      <c r="AP491" s="116"/>
      <c r="AQ491" s="74"/>
      <c r="AR491" s="76"/>
      <c r="AS491" s="24"/>
      <c r="AT491" s="25"/>
      <c r="AU491" s="309"/>
      <c r="AV491" s="462"/>
      <c r="AW491" s="513"/>
      <c r="AX491" s="74"/>
      <c r="AY491" s="74"/>
      <c r="AZ491" s="75"/>
      <c r="BA491" s="61"/>
      <c r="BB491" s="60"/>
      <c r="BC491" s="74"/>
      <c r="BD491" s="79"/>
      <c r="BE491" s="79"/>
      <c r="BF491" s="127"/>
      <c r="BG491" s="128"/>
      <c r="BH491" s="128"/>
      <c r="BI491" s="76"/>
      <c r="BJ491" s="24"/>
      <c r="BK491" s="25"/>
      <c r="BL491" s="259"/>
      <c r="BM491" s="533"/>
    </row>
    <row r="492" spans="1:65" ht="45.95" customHeight="1">
      <c r="A492" s="91"/>
      <c r="B492" s="358" t="s">
        <v>2683</v>
      </c>
      <c r="C492" s="50" t="s">
        <v>1040</v>
      </c>
      <c r="D492" s="177" t="s">
        <v>993</v>
      </c>
      <c r="E492" s="384" t="s">
        <v>13</v>
      </c>
      <c r="F492" s="410">
        <v>41217</v>
      </c>
      <c r="G492" s="10"/>
      <c r="H492" s="167">
        <v>45000</v>
      </c>
      <c r="I492" s="10">
        <v>67800</v>
      </c>
      <c r="J492" s="76">
        <f t="shared" si="636"/>
        <v>67800</v>
      </c>
      <c r="K492" s="24">
        <f t="shared" si="637"/>
        <v>26583</v>
      </c>
      <c r="L492" s="281">
        <f t="shared" si="638"/>
        <v>0.64495232549676107</v>
      </c>
      <c r="M492" s="431">
        <f t="shared" si="639"/>
        <v>45000</v>
      </c>
      <c r="N492" s="443"/>
      <c r="O492" s="250"/>
      <c r="P492" s="250"/>
      <c r="Q492" s="250"/>
      <c r="R492" s="250"/>
      <c r="S492" s="250"/>
      <c r="T492" s="250"/>
      <c r="U492" s="250"/>
      <c r="V492" s="443"/>
      <c r="W492" s="410"/>
      <c r="X492" s="39"/>
      <c r="Y492" s="39"/>
      <c r="Z492" s="472"/>
      <c r="AA492" s="76"/>
      <c r="AB492" s="24"/>
      <c r="AC492" s="25"/>
      <c r="AD492" s="309"/>
      <c r="AE492" s="462"/>
      <c r="AF492" s="408"/>
      <c r="AG492" s="293"/>
      <c r="AH492" s="293"/>
      <c r="AI492" s="293"/>
      <c r="AJ492" s="293"/>
      <c r="AK492" s="293"/>
      <c r="AL492" s="327"/>
      <c r="AM492" s="463"/>
      <c r="AN492" s="513"/>
      <c r="AO492" s="88"/>
      <c r="AP492" s="116"/>
      <c r="AQ492" s="74"/>
      <c r="AR492" s="76"/>
      <c r="AS492" s="24"/>
      <c r="AT492" s="25"/>
      <c r="AU492" s="309"/>
      <c r="AV492" s="462"/>
      <c r="AW492" s="513"/>
      <c r="AX492" s="74"/>
      <c r="AY492" s="74"/>
      <c r="AZ492" s="75"/>
      <c r="BA492" s="61"/>
      <c r="BB492" s="60"/>
      <c r="BC492" s="74"/>
      <c r="BD492" s="79"/>
      <c r="BE492" s="79"/>
      <c r="BF492" s="127"/>
      <c r="BG492" s="128"/>
      <c r="BH492" s="128"/>
      <c r="BI492" s="76"/>
      <c r="BJ492" s="24"/>
      <c r="BK492" s="25"/>
      <c r="BL492" s="259"/>
      <c r="BM492" s="533"/>
    </row>
    <row r="493" spans="1:65" ht="62.1" customHeight="1">
      <c r="A493" s="91"/>
      <c r="B493" s="358" t="s">
        <v>2684</v>
      </c>
      <c r="C493" s="50" t="s">
        <v>1041</v>
      </c>
      <c r="D493" s="177" t="s">
        <v>994</v>
      </c>
      <c r="E493" s="384" t="s">
        <v>14</v>
      </c>
      <c r="F493" s="410">
        <v>1856991</v>
      </c>
      <c r="G493" s="10"/>
      <c r="H493" s="167">
        <v>45000</v>
      </c>
      <c r="I493" s="10">
        <v>2050000</v>
      </c>
      <c r="J493" s="76">
        <f t="shared" si="636"/>
        <v>2050000</v>
      </c>
      <c r="K493" s="24">
        <f t="shared" si="637"/>
        <v>193009</v>
      </c>
      <c r="L493" s="281">
        <f t="shared" si="638"/>
        <v>0.10393642187818897</v>
      </c>
      <c r="M493" s="431">
        <f t="shared" si="639"/>
        <v>45000</v>
      </c>
      <c r="N493" s="443"/>
      <c r="O493" s="250"/>
      <c r="P493" s="250"/>
      <c r="Q493" s="250"/>
      <c r="R493" s="250"/>
      <c r="S493" s="250"/>
      <c r="T493" s="250"/>
      <c r="U493" s="250"/>
      <c r="V493" s="443"/>
      <c r="W493" s="410"/>
      <c r="X493" s="39"/>
      <c r="Y493" s="39"/>
      <c r="Z493" s="472"/>
      <c r="AA493" s="76"/>
      <c r="AB493" s="24"/>
      <c r="AC493" s="25"/>
      <c r="AD493" s="309"/>
      <c r="AE493" s="462"/>
      <c r="AF493" s="408"/>
      <c r="AG493" s="293"/>
      <c r="AH493" s="293"/>
      <c r="AI493" s="293"/>
      <c r="AJ493" s="293"/>
      <c r="AK493" s="293"/>
      <c r="AL493" s="327"/>
      <c r="AM493" s="463"/>
      <c r="AN493" s="513"/>
      <c r="AO493" s="88"/>
      <c r="AP493" s="116"/>
      <c r="AQ493" s="74"/>
      <c r="AR493" s="76"/>
      <c r="AS493" s="24"/>
      <c r="AT493" s="25"/>
      <c r="AU493" s="309"/>
      <c r="AV493" s="462"/>
      <c r="AW493" s="513"/>
      <c r="AX493" s="74"/>
      <c r="AY493" s="74"/>
      <c r="AZ493" s="75"/>
      <c r="BA493" s="61"/>
      <c r="BB493" s="60"/>
      <c r="BC493" s="74"/>
      <c r="BD493" s="79"/>
      <c r="BE493" s="79"/>
      <c r="BF493" s="127"/>
      <c r="BG493" s="128"/>
      <c r="BH493" s="128"/>
      <c r="BI493" s="76"/>
      <c r="BJ493" s="24"/>
      <c r="BK493" s="25"/>
      <c r="BL493" s="259"/>
      <c r="BM493" s="533"/>
    </row>
    <row r="494" spans="1:65" ht="45.95" customHeight="1">
      <c r="A494" s="91"/>
      <c r="B494" s="358" t="s">
        <v>2685</v>
      </c>
      <c r="C494" s="50" t="s">
        <v>1042</v>
      </c>
      <c r="D494" s="177" t="s">
        <v>995</v>
      </c>
      <c r="E494" s="384" t="s">
        <v>14</v>
      </c>
      <c r="F494" s="410">
        <v>70321</v>
      </c>
      <c r="G494" s="10">
        <v>12000</v>
      </c>
      <c r="H494" s="167">
        <v>36000</v>
      </c>
      <c r="I494" s="10">
        <v>85400</v>
      </c>
      <c r="J494" s="76">
        <f t="shared" si="636"/>
        <v>48700</v>
      </c>
      <c r="K494" s="24">
        <f t="shared" si="637"/>
        <v>-21621</v>
      </c>
      <c r="L494" s="281">
        <f t="shared" si="638"/>
        <v>-0.30746149798779882</v>
      </c>
      <c r="M494" s="431">
        <f t="shared" si="639"/>
        <v>36000</v>
      </c>
      <c r="N494" s="443"/>
      <c r="O494" s="250"/>
      <c r="P494" s="250"/>
      <c r="Q494" s="250"/>
      <c r="R494" s="250"/>
      <c r="S494" s="250"/>
      <c r="T494" s="250"/>
      <c r="U494" s="250"/>
      <c r="V494" s="443"/>
      <c r="W494" s="410"/>
      <c r="X494" s="39"/>
      <c r="Y494" s="39"/>
      <c r="Z494" s="472"/>
      <c r="AA494" s="76"/>
      <c r="AB494" s="24"/>
      <c r="AC494" s="25"/>
      <c r="AD494" s="309"/>
      <c r="AE494" s="462"/>
      <c r="AF494" s="408"/>
      <c r="AG494" s="293"/>
      <c r="AH494" s="293"/>
      <c r="AI494" s="293"/>
      <c r="AJ494" s="293"/>
      <c r="AK494" s="293"/>
      <c r="AL494" s="327"/>
      <c r="AM494" s="463"/>
      <c r="AN494" s="513"/>
      <c r="AO494" s="88"/>
      <c r="AP494" s="116"/>
      <c r="AQ494" s="74"/>
      <c r="AR494" s="76"/>
      <c r="AS494" s="24"/>
      <c r="AT494" s="25"/>
      <c r="AU494" s="309"/>
      <c r="AV494" s="462"/>
      <c r="AW494" s="513"/>
      <c r="AX494" s="74"/>
      <c r="AY494" s="74"/>
      <c r="AZ494" s="75"/>
      <c r="BA494" s="61"/>
      <c r="BB494" s="60"/>
      <c r="BC494" s="74"/>
      <c r="BD494" s="79"/>
      <c r="BE494" s="79"/>
      <c r="BF494" s="127"/>
      <c r="BG494" s="128"/>
      <c r="BH494" s="128"/>
      <c r="BI494" s="76"/>
      <c r="BJ494" s="24"/>
      <c r="BK494" s="25"/>
      <c r="BL494" s="259"/>
      <c r="BM494" s="533"/>
    </row>
    <row r="495" spans="1:65" ht="45.95" customHeight="1">
      <c r="A495" s="91"/>
      <c r="B495" s="358" t="s">
        <v>2686</v>
      </c>
      <c r="C495" s="50" t="s">
        <v>1043</v>
      </c>
      <c r="D495" s="177" t="s">
        <v>996</v>
      </c>
      <c r="E495" s="384" t="s">
        <v>14</v>
      </c>
      <c r="F495" s="410">
        <v>25668</v>
      </c>
      <c r="G495" s="10"/>
      <c r="H495" s="167">
        <v>7000</v>
      </c>
      <c r="I495" s="10">
        <v>10000</v>
      </c>
      <c r="J495" s="76">
        <f t="shared" si="636"/>
        <v>10000</v>
      </c>
      <c r="K495" s="24">
        <f t="shared" si="637"/>
        <v>-15668</v>
      </c>
      <c r="L495" s="281">
        <f t="shared" si="638"/>
        <v>-0.61040984883902139</v>
      </c>
      <c r="M495" s="431">
        <f t="shared" si="639"/>
        <v>7000</v>
      </c>
      <c r="N495" s="443"/>
      <c r="O495" s="250"/>
      <c r="P495" s="250"/>
      <c r="Q495" s="250"/>
      <c r="R495" s="250"/>
      <c r="S495" s="250"/>
      <c r="T495" s="250"/>
      <c r="U495" s="250"/>
      <c r="V495" s="443"/>
      <c r="W495" s="410"/>
      <c r="X495" s="39"/>
      <c r="Y495" s="39"/>
      <c r="Z495" s="472"/>
      <c r="AA495" s="76"/>
      <c r="AB495" s="24"/>
      <c r="AC495" s="25"/>
      <c r="AD495" s="309"/>
      <c r="AE495" s="462"/>
      <c r="AF495" s="408"/>
      <c r="AG495" s="293"/>
      <c r="AH495" s="293"/>
      <c r="AI495" s="293"/>
      <c r="AJ495" s="293"/>
      <c r="AK495" s="293"/>
      <c r="AL495" s="327"/>
      <c r="AM495" s="463"/>
      <c r="AN495" s="513"/>
      <c r="AO495" s="88"/>
      <c r="AP495" s="116"/>
      <c r="AQ495" s="74"/>
      <c r="AR495" s="76"/>
      <c r="AS495" s="24"/>
      <c r="AT495" s="25"/>
      <c r="AU495" s="309"/>
      <c r="AV495" s="462"/>
      <c r="AW495" s="513"/>
      <c r="AX495" s="74"/>
      <c r="AY495" s="74"/>
      <c r="AZ495" s="75"/>
      <c r="BA495" s="61"/>
      <c r="BB495" s="60"/>
      <c r="BC495" s="74"/>
      <c r="BD495" s="79"/>
      <c r="BE495" s="79"/>
      <c r="BF495" s="127"/>
      <c r="BG495" s="128"/>
      <c r="BH495" s="128"/>
      <c r="BI495" s="76"/>
      <c r="BJ495" s="24"/>
      <c r="BK495" s="25"/>
      <c r="BL495" s="259"/>
      <c r="BM495" s="533"/>
    </row>
    <row r="496" spans="1:65" ht="45.95" customHeight="1">
      <c r="A496" s="91"/>
      <c r="B496" s="358" t="s">
        <v>2687</v>
      </c>
      <c r="C496" s="50" t="s">
        <v>1044</v>
      </c>
      <c r="D496" s="177" t="s">
        <v>997</v>
      </c>
      <c r="E496" s="384" t="s">
        <v>14</v>
      </c>
      <c r="F496" s="410">
        <v>129136</v>
      </c>
      <c r="G496" s="10">
        <v>73000</v>
      </c>
      <c r="H496" s="167">
        <v>292000</v>
      </c>
      <c r="I496" s="10">
        <v>85600</v>
      </c>
      <c r="J496" s="76">
        <f t="shared" si="636"/>
        <v>79300</v>
      </c>
      <c r="K496" s="24">
        <f t="shared" si="637"/>
        <v>-49836</v>
      </c>
      <c r="L496" s="281">
        <f t="shared" si="638"/>
        <v>-0.38591872134803618</v>
      </c>
      <c r="M496" s="431">
        <f t="shared" si="639"/>
        <v>292000</v>
      </c>
      <c r="N496" s="443"/>
      <c r="O496" s="250"/>
      <c r="P496" s="250"/>
      <c r="Q496" s="250"/>
      <c r="R496" s="250"/>
      <c r="S496" s="250"/>
      <c r="T496" s="250"/>
      <c r="U496" s="250"/>
      <c r="V496" s="443"/>
      <c r="W496" s="410"/>
      <c r="X496" s="39"/>
      <c r="Y496" s="39"/>
      <c r="Z496" s="472"/>
      <c r="AA496" s="76"/>
      <c r="AB496" s="24"/>
      <c r="AC496" s="25"/>
      <c r="AD496" s="309"/>
      <c r="AE496" s="462"/>
      <c r="AF496" s="408"/>
      <c r="AG496" s="293"/>
      <c r="AH496" s="293"/>
      <c r="AI496" s="293"/>
      <c r="AJ496" s="293"/>
      <c r="AK496" s="293"/>
      <c r="AL496" s="327"/>
      <c r="AM496" s="463"/>
      <c r="AN496" s="513"/>
      <c r="AO496" s="88"/>
      <c r="AP496" s="116"/>
      <c r="AQ496" s="74"/>
      <c r="AR496" s="76"/>
      <c r="AS496" s="24"/>
      <c r="AT496" s="25"/>
      <c r="AU496" s="309"/>
      <c r="AV496" s="462"/>
      <c r="AW496" s="513"/>
      <c r="AX496" s="74"/>
      <c r="AY496" s="74"/>
      <c r="AZ496" s="75"/>
      <c r="BA496" s="61"/>
      <c r="BB496" s="60"/>
      <c r="BC496" s="74"/>
      <c r="BD496" s="79"/>
      <c r="BE496" s="79"/>
      <c r="BF496" s="127"/>
      <c r="BG496" s="128"/>
      <c r="BH496" s="128"/>
      <c r="BI496" s="76"/>
      <c r="BJ496" s="24"/>
      <c r="BK496" s="25"/>
      <c r="BL496" s="259"/>
      <c r="BM496" s="533"/>
    </row>
    <row r="497" spans="1:65" ht="45.95" customHeight="1">
      <c r="A497" s="91"/>
      <c r="B497" s="358" t="s">
        <v>2688</v>
      </c>
      <c r="C497" s="50" t="s">
        <v>1045</v>
      </c>
      <c r="D497" s="177" t="s">
        <v>998</v>
      </c>
      <c r="E497" s="384" t="s">
        <v>999</v>
      </c>
      <c r="F497" s="410">
        <v>102690</v>
      </c>
      <c r="G497" s="10"/>
      <c r="H497" s="167">
        <v>28000</v>
      </c>
      <c r="I497" s="10">
        <v>78000</v>
      </c>
      <c r="J497" s="76">
        <f t="shared" si="636"/>
        <v>78000</v>
      </c>
      <c r="K497" s="24">
        <f t="shared" si="637"/>
        <v>-24690</v>
      </c>
      <c r="L497" s="281">
        <f t="shared" si="638"/>
        <v>-0.24043236926672509</v>
      </c>
      <c r="M497" s="431">
        <f t="shared" si="639"/>
        <v>28000</v>
      </c>
      <c r="N497" s="443"/>
      <c r="O497" s="250"/>
      <c r="P497" s="250"/>
      <c r="Q497" s="250"/>
      <c r="R497" s="250"/>
      <c r="S497" s="250"/>
      <c r="T497" s="250"/>
      <c r="U497" s="250"/>
      <c r="V497" s="443"/>
      <c r="W497" s="410"/>
      <c r="X497" s="39"/>
      <c r="Y497" s="39"/>
      <c r="Z497" s="472"/>
      <c r="AA497" s="76"/>
      <c r="AB497" s="24"/>
      <c r="AC497" s="25"/>
      <c r="AD497" s="309"/>
      <c r="AE497" s="462"/>
      <c r="AF497" s="408"/>
      <c r="AG497" s="293"/>
      <c r="AH497" s="293"/>
      <c r="AI497" s="293"/>
      <c r="AJ497" s="293"/>
      <c r="AK497" s="293"/>
      <c r="AL497" s="327"/>
      <c r="AM497" s="463"/>
      <c r="AN497" s="513"/>
      <c r="AO497" s="88"/>
      <c r="AP497" s="116"/>
      <c r="AQ497" s="74"/>
      <c r="AR497" s="76"/>
      <c r="AS497" s="24"/>
      <c r="AT497" s="25"/>
      <c r="AU497" s="309"/>
      <c r="AV497" s="462"/>
      <c r="AW497" s="513"/>
      <c r="AX497" s="74"/>
      <c r="AY497" s="74"/>
      <c r="AZ497" s="75"/>
      <c r="BA497" s="61"/>
      <c r="BB497" s="60"/>
      <c r="BC497" s="74"/>
      <c r="BD497" s="79"/>
      <c r="BE497" s="79"/>
      <c r="BF497" s="127"/>
      <c r="BG497" s="128"/>
      <c r="BH497" s="128"/>
      <c r="BI497" s="76"/>
      <c r="BJ497" s="24"/>
      <c r="BK497" s="25"/>
      <c r="BL497" s="259"/>
      <c r="BM497" s="533"/>
    </row>
    <row r="498" spans="1:65" ht="45.95" customHeight="1">
      <c r="A498" s="91"/>
      <c r="B498" s="358" t="s">
        <v>2689</v>
      </c>
      <c r="C498" s="50" t="s">
        <v>1046</v>
      </c>
      <c r="D498" s="177" t="s">
        <v>1000</v>
      </c>
      <c r="E498" s="384" t="s">
        <v>14</v>
      </c>
      <c r="F498" s="410">
        <v>89961</v>
      </c>
      <c r="G498" s="10">
        <v>76900</v>
      </c>
      <c r="H498" s="167">
        <v>230700</v>
      </c>
      <c r="I498" s="10">
        <v>85600</v>
      </c>
      <c r="J498" s="76">
        <f t="shared" si="636"/>
        <v>81250</v>
      </c>
      <c r="K498" s="24">
        <f t="shared" si="637"/>
        <v>-8711</v>
      </c>
      <c r="L498" s="281">
        <f t="shared" si="638"/>
        <v>-9.6830848923422377E-2</v>
      </c>
      <c r="M498" s="431">
        <f t="shared" si="639"/>
        <v>230700</v>
      </c>
      <c r="N498" s="443"/>
      <c r="O498" s="250"/>
      <c r="P498" s="250"/>
      <c r="Q498" s="250"/>
      <c r="R498" s="250"/>
      <c r="S498" s="250"/>
      <c r="T498" s="250"/>
      <c r="U498" s="250"/>
      <c r="V498" s="443"/>
      <c r="W498" s="410"/>
      <c r="X498" s="39"/>
      <c r="Y498" s="39"/>
      <c r="Z498" s="472"/>
      <c r="AA498" s="76"/>
      <c r="AB498" s="24"/>
      <c r="AC498" s="25"/>
      <c r="AD498" s="309"/>
      <c r="AE498" s="462"/>
      <c r="AF498" s="408"/>
      <c r="AG498" s="293"/>
      <c r="AH498" s="293"/>
      <c r="AI498" s="293"/>
      <c r="AJ498" s="293"/>
      <c r="AK498" s="293"/>
      <c r="AL498" s="327"/>
      <c r="AM498" s="463"/>
      <c r="AN498" s="513"/>
      <c r="AO498" s="88"/>
      <c r="AP498" s="116"/>
      <c r="AQ498" s="74"/>
      <c r="AR498" s="76"/>
      <c r="AS498" s="24"/>
      <c r="AT498" s="25"/>
      <c r="AU498" s="309"/>
      <c r="AV498" s="462"/>
      <c r="AW498" s="513"/>
      <c r="AX498" s="74"/>
      <c r="AY498" s="74"/>
      <c r="AZ498" s="75"/>
      <c r="BA498" s="61"/>
      <c r="BB498" s="60"/>
      <c r="BC498" s="74"/>
      <c r="BD498" s="79"/>
      <c r="BE498" s="79"/>
      <c r="BF498" s="127"/>
      <c r="BG498" s="128"/>
      <c r="BH498" s="128"/>
      <c r="BI498" s="76"/>
      <c r="BJ498" s="24"/>
      <c r="BK498" s="25"/>
      <c r="BL498" s="259"/>
      <c r="BM498" s="533"/>
    </row>
    <row r="499" spans="1:65" ht="45.95" customHeight="1">
      <c r="A499" s="91"/>
      <c r="B499" s="358" t="s">
        <v>2690</v>
      </c>
      <c r="C499" s="50" t="s">
        <v>1047</v>
      </c>
      <c r="D499" s="177" t="s">
        <v>1001</v>
      </c>
      <c r="E499" s="384" t="s">
        <v>14</v>
      </c>
      <c r="F499" s="410">
        <v>14392</v>
      </c>
      <c r="G499" s="10">
        <v>5000</v>
      </c>
      <c r="H499" s="167">
        <v>10000</v>
      </c>
      <c r="I499" s="10">
        <v>15600</v>
      </c>
      <c r="J499" s="76">
        <f t="shared" si="636"/>
        <v>10300</v>
      </c>
      <c r="K499" s="24">
        <f t="shared" si="637"/>
        <v>-4092</v>
      </c>
      <c r="L499" s="281">
        <f t="shared" si="638"/>
        <v>-0.28432462479155085</v>
      </c>
      <c r="M499" s="431">
        <f t="shared" si="639"/>
        <v>10000</v>
      </c>
      <c r="N499" s="443"/>
      <c r="O499" s="250"/>
      <c r="P499" s="250"/>
      <c r="Q499" s="250"/>
      <c r="R499" s="250"/>
      <c r="S499" s="250"/>
      <c r="T499" s="250"/>
      <c r="U499" s="250"/>
      <c r="V499" s="443"/>
      <c r="W499" s="410"/>
      <c r="X499" s="39"/>
      <c r="Y499" s="39"/>
      <c r="Z499" s="472"/>
      <c r="AA499" s="76"/>
      <c r="AB499" s="24"/>
      <c r="AC499" s="25"/>
      <c r="AD499" s="309"/>
      <c r="AE499" s="462"/>
      <c r="AF499" s="408"/>
      <c r="AG499" s="293"/>
      <c r="AH499" s="293"/>
      <c r="AI499" s="293"/>
      <c r="AJ499" s="293"/>
      <c r="AK499" s="293"/>
      <c r="AL499" s="327"/>
      <c r="AM499" s="463"/>
      <c r="AN499" s="513"/>
      <c r="AO499" s="88"/>
      <c r="AP499" s="116"/>
      <c r="AQ499" s="74"/>
      <c r="AR499" s="76"/>
      <c r="AS499" s="24"/>
      <c r="AT499" s="25"/>
      <c r="AU499" s="309"/>
      <c r="AV499" s="462"/>
      <c r="AW499" s="513"/>
      <c r="AX499" s="74"/>
      <c r="AY499" s="74"/>
      <c r="AZ499" s="75"/>
      <c r="BA499" s="61"/>
      <c r="BB499" s="60"/>
      <c r="BC499" s="74"/>
      <c r="BD499" s="79"/>
      <c r="BE499" s="79"/>
      <c r="BF499" s="127"/>
      <c r="BG499" s="128"/>
      <c r="BH499" s="128"/>
      <c r="BI499" s="76"/>
      <c r="BJ499" s="24"/>
      <c r="BK499" s="25"/>
      <c r="BL499" s="259"/>
      <c r="BM499" s="533"/>
    </row>
    <row r="500" spans="1:65" ht="45.95" customHeight="1">
      <c r="A500" s="91"/>
      <c r="B500" s="358" t="s">
        <v>2691</v>
      </c>
      <c r="C500" s="50" t="s">
        <v>1048</v>
      </c>
      <c r="D500" s="177" t="s">
        <v>1002</v>
      </c>
      <c r="E500" s="384" t="s">
        <v>14</v>
      </c>
      <c r="F500" s="410">
        <v>56699</v>
      </c>
      <c r="G500" s="10">
        <v>18000</v>
      </c>
      <c r="H500" s="167">
        <v>18000</v>
      </c>
      <c r="I500" s="10">
        <v>36000</v>
      </c>
      <c r="J500" s="76">
        <f t="shared" si="636"/>
        <v>27000</v>
      </c>
      <c r="K500" s="24">
        <f t="shared" si="637"/>
        <v>-29699</v>
      </c>
      <c r="L500" s="281">
        <f t="shared" si="638"/>
        <v>-0.52380112524030409</v>
      </c>
      <c r="M500" s="431">
        <f t="shared" si="639"/>
        <v>18000</v>
      </c>
      <c r="N500" s="443"/>
      <c r="O500" s="250"/>
      <c r="P500" s="250"/>
      <c r="Q500" s="250"/>
      <c r="R500" s="250"/>
      <c r="S500" s="250"/>
      <c r="T500" s="250"/>
      <c r="U500" s="250"/>
      <c r="V500" s="443"/>
      <c r="W500" s="410"/>
      <c r="X500" s="39"/>
      <c r="Y500" s="39"/>
      <c r="Z500" s="472"/>
      <c r="AA500" s="76"/>
      <c r="AB500" s="24"/>
      <c r="AC500" s="25"/>
      <c r="AD500" s="309"/>
      <c r="AE500" s="462"/>
      <c r="AF500" s="408"/>
      <c r="AG500" s="293"/>
      <c r="AH500" s="293"/>
      <c r="AI500" s="293"/>
      <c r="AJ500" s="293"/>
      <c r="AK500" s="293"/>
      <c r="AL500" s="327"/>
      <c r="AM500" s="463"/>
      <c r="AN500" s="513"/>
      <c r="AO500" s="88"/>
      <c r="AP500" s="116"/>
      <c r="AQ500" s="74"/>
      <c r="AR500" s="76"/>
      <c r="AS500" s="24"/>
      <c r="AT500" s="25"/>
      <c r="AU500" s="309"/>
      <c r="AV500" s="462"/>
      <c r="AW500" s="513"/>
      <c r="AX500" s="74"/>
      <c r="AY500" s="74"/>
      <c r="AZ500" s="75"/>
      <c r="BA500" s="61"/>
      <c r="BB500" s="60"/>
      <c r="BC500" s="74"/>
      <c r="BD500" s="79"/>
      <c r="BE500" s="79"/>
      <c r="BF500" s="127"/>
      <c r="BG500" s="128"/>
      <c r="BH500" s="128"/>
      <c r="BI500" s="76"/>
      <c r="BJ500" s="24"/>
      <c r="BK500" s="25"/>
      <c r="BL500" s="259"/>
      <c r="BM500" s="533"/>
    </row>
    <row r="501" spans="1:65" ht="45.95" customHeight="1">
      <c r="A501" s="91"/>
      <c r="B501" s="358" t="s">
        <v>2692</v>
      </c>
      <c r="C501" s="50" t="s">
        <v>1049</v>
      </c>
      <c r="D501" s="177" t="s">
        <v>1003</v>
      </c>
      <c r="E501" s="384" t="s">
        <v>14</v>
      </c>
      <c r="F501" s="410">
        <v>36461</v>
      </c>
      <c r="G501" s="10">
        <v>18000</v>
      </c>
      <c r="H501" s="167">
        <v>54000</v>
      </c>
      <c r="I501" s="10">
        <v>30000</v>
      </c>
      <c r="J501" s="76">
        <f t="shared" si="636"/>
        <v>24000</v>
      </c>
      <c r="K501" s="24">
        <f t="shared" si="637"/>
        <v>-12461</v>
      </c>
      <c r="L501" s="281">
        <f t="shared" si="638"/>
        <v>-0.34176243109075449</v>
      </c>
      <c r="M501" s="431">
        <f t="shared" si="639"/>
        <v>54000</v>
      </c>
      <c r="N501" s="443"/>
      <c r="O501" s="250"/>
      <c r="P501" s="250"/>
      <c r="Q501" s="250"/>
      <c r="R501" s="250"/>
      <c r="S501" s="250"/>
      <c r="T501" s="250"/>
      <c r="U501" s="250"/>
      <c r="V501" s="443"/>
      <c r="W501" s="410"/>
      <c r="X501" s="39"/>
      <c r="Y501" s="39"/>
      <c r="Z501" s="472"/>
      <c r="AA501" s="76"/>
      <c r="AB501" s="24"/>
      <c r="AC501" s="25"/>
      <c r="AD501" s="309"/>
      <c r="AE501" s="462"/>
      <c r="AF501" s="408"/>
      <c r="AG501" s="293"/>
      <c r="AH501" s="293"/>
      <c r="AI501" s="293"/>
      <c r="AJ501" s="293"/>
      <c r="AK501" s="293"/>
      <c r="AL501" s="327"/>
      <c r="AM501" s="463"/>
      <c r="AN501" s="513"/>
      <c r="AO501" s="88"/>
      <c r="AP501" s="116"/>
      <c r="AQ501" s="74"/>
      <c r="AR501" s="76"/>
      <c r="AS501" s="24"/>
      <c r="AT501" s="25"/>
      <c r="AU501" s="309"/>
      <c r="AV501" s="462"/>
      <c r="AW501" s="513"/>
      <c r="AX501" s="74"/>
      <c r="AY501" s="74"/>
      <c r="AZ501" s="75"/>
      <c r="BA501" s="61"/>
      <c r="BB501" s="60"/>
      <c r="BC501" s="74"/>
      <c r="BD501" s="79"/>
      <c r="BE501" s="79"/>
      <c r="BF501" s="127"/>
      <c r="BG501" s="128"/>
      <c r="BH501" s="128"/>
      <c r="BI501" s="76"/>
      <c r="BJ501" s="24"/>
      <c r="BK501" s="25"/>
      <c r="BL501" s="259"/>
      <c r="BM501" s="533"/>
    </row>
    <row r="502" spans="1:65" ht="45.95" customHeight="1">
      <c r="A502" s="91"/>
      <c r="B502" s="358" t="s">
        <v>2693</v>
      </c>
      <c r="C502" s="50" t="s">
        <v>1050</v>
      </c>
      <c r="D502" s="177" t="s">
        <v>1004</v>
      </c>
      <c r="E502" s="384" t="s">
        <v>10</v>
      </c>
      <c r="F502" s="410">
        <v>22100</v>
      </c>
      <c r="G502" s="10">
        <v>56000</v>
      </c>
      <c r="H502" s="167">
        <v>112000</v>
      </c>
      <c r="I502" s="10">
        <v>35000</v>
      </c>
      <c r="J502" s="76">
        <f t="shared" si="636"/>
        <v>45500</v>
      </c>
      <c r="K502" s="24">
        <f t="shared" si="637"/>
        <v>23400</v>
      </c>
      <c r="L502" s="281">
        <f t="shared" si="638"/>
        <v>1.0588235294117647</v>
      </c>
      <c r="M502" s="431">
        <f t="shared" si="639"/>
        <v>112000</v>
      </c>
      <c r="N502" s="443"/>
      <c r="O502" s="250"/>
      <c r="P502" s="250"/>
      <c r="Q502" s="250"/>
      <c r="R502" s="250"/>
      <c r="S502" s="250"/>
      <c r="T502" s="250"/>
      <c r="U502" s="250"/>
      <c r="V502" s="443"/>
      <c r="W502" s="410"/>
      <c r="X502" s="39"/>
      <c r="Y502" s="39"/>
      <c r="Z502" s="472"/>
      <c r="AA502" s="76"/>
      <c r="AB502" s="24"/>
      <c r="AC502" s="25"/>
      <c r="AD502" s="309"/>
      <c r="AE502" s="462"/>
      <c r="AF502" s="408"/>
      <c r="AG502" s="293"/>
      <c r="AH502" s="293"/>
      <c r="AI502" s="293"/>
      <c r="AJ502" s="293"/>
      <c r="AK502" s="293"/>
      <c r="AL502" s="327"/>
      <c r="AM502" s="463"/>
      <c r="AN502" s="513"/>
      <c r="AO502" s="88"/>
      <c r="AP502" s="116"/>
      <c r="AQ502" s="74"/>
      <c r="AR502" s="76"/>
      <c r="AS502" s="24"/>
      <c r="AT502" s="25"/>
      <c r="AU502" s="309"/>
      <c r="AV502" s="462"/>
      <c r="AW502" s="513"/>
      <c r="AX502" s="74"/>
      <c r="AY502" s="74"/>
      <c r="AZ502" s="75"/>
      <c r="BA502" s="61"/>
      <c r="BB502" s="60"/>
      <c r="BC502" s="74"/>
      <c r="BD502" s="79"/>
      <c r="BE502" s="79"/>
      <c r="BF502" s="127"/>
      <c r="BG502" s="128"/>
      <c r="BH502" s="128"/>
      <c r="BI502" s="76"/>
      <c r="BJ502" s="24"/>
      <c r="BK502" s="25"/>
      <c r="BL502" s="259"/>
      <c r="BM502" s="533"/>
    </row>
    <row r="503" spans="1:65" ht="45.95" customHeight="1">
      <c r="A503" s="91"/>
      <c r="B503" s="358" t="s">
        <v>2694</v>
      </c>
      <c r="C503" s="50" t="s">
        <v>1051</v>
      </c>
      <c r="D503" s="177" t="s">
        <v>1005</v>
      </c>
      <c r="E503" s="384" t="s">
        <v>13</v>
      </c>
      <c r="F503" s="410">
        <v>12142</v>
      </c>
      <c r="G503" s="10">
        <v>56265</v>
      </c>
      <c r="H503" s="167">
        <v>56265</v>
      </c>
      <c r="I503" s="10">
        <v>55600</v>
      </c>
      <c r="J503" s="76">
        <f t="shared" si="636"/>
        <v>55932.5</v>
      </c>
      <c r="K503" s="24">
        <f t="shared" si="637"/>
        <v>43790.5</v>
      </c>
      <c r="L503" s="281">
        <f t="shared" si="638"/>
        <v>3.6065310492505351</v>
      </c>
      <c r="M503" s="431">
        <f t="shared" si="639"/>
        <v>56265</v>
      </c>
      <c r="N503" s="443"/>
      <c r="O503" s="250"/>
      <c r="P503" s="250"/>
      <c r="Q503" s="250"/>
      <c r="R503" s="250"/>
      <c r="S503" s="250"/>
      <c r="T503" s="250"/>
      <c r="U503" s="250"/>
      <c r="V503" s="443"/>
      <c r="W503" s="410"/>
      <c r="X503" s="39"/>
      <c r="Y503" s="39"/>
      <c r="Z503" s="472"/>
      <c r="AA503" s="76"/>
      <c r="AB503" s="24"/>
      <c r="AC503" s="25"/>
      <c r="AD503" s="309"/>
      <c r="AE503" s="462"/>
      <c r="AF503" s="408"/>
      <c r="AG503" s="293"/>
      <c r="AH503" s="293"/>
      <c r="AI503" s="293"/>
      <c r="AJ503" s="293"/>
      <c r="AK503" s="293"/>
      <c r="AL503" s="327"/>
      <c r="AM503" s="463"/>
      <c r="AN503" s="513"/>
      <c r="AO503" s="88"/>
      <c r="AP503" s="116"/>
      <c r="AQ503" s="74"/>
      <c r="AR503" s="76"/>
      <c r="AS503" s="24"/>
      <c r="AT503" s="25"/>
      <c r="AU503" s="309"/>
      <c r="AV503" s="462"/>
      <c r="AW503" s="513"/>
      <c r="AX503" s="74"/>
      <c r="AY503" s="74"/>
      <c r="AZ503" s="75"/>
      <c r="BA503" s="61"/>
      <c r="BB503" s="60"/>
      <c r="BC503" s="74"/>
      <c r="BD503" s="79"/>
      <c r="BE503" s="79"/>
      <c r="BF503" s="127"/>
      <c r="BG503" s="128"/>
      <c r="BH503" s="128"/>
      <c r="BI503" s="76"/>
      <c r="BJ503" s="24"/>
      <c r="BK503" s="25"/>
      <c r="BL503" s="259"/>
      <c r="BM503" s="533"/>
    </row>
    <row r="504" spans="1:65" ht="45.95" customHeight="1">
      <c r="A504" s="91"/>
      <c r="B504" s="358" t="s">
        <v>2695</v>
      </c>
      <c r="C504" s="50" t="s">
        <v>1052</v>
      </c>
      <c r="D504" s="177" t="s">
        <v>1006</v>
      </c>
      <c r="E504" s="384" t="s">
        <v>13</v>
      </c>
      <c r="F504" s="410">
        <v>9000</v>
      </c>
      <c r="G504" s="10">
        <v>28101</v>
      </c>
      <c r="H504" s="167">
        <v>56202</v>
      </c>
      <c r="I504" s="10">
        <v>22500</v>
      </c>
      <c r="J504" s="76">
        <f t="shared" si="636"/>
        <v>25300.5</v>
      </c>
      <c r="K504" s="24">
        <f t="shared" si="637"/>
        <v>16300.5</v>
      </c>
      <c r="L504" s="281">
        <f t="shared" si="638"/>
        <v>1.8111666666666666</v>
      </c>
      <c r="M504" s="431">
        <f t="shared" si="639"/>
        <v>56202</v>
      </c>
      <c r="N504" s="443"/>
      <c r="O504" s="250"/>
      <c r="P504" s="250"/>
      <c r="Q504" s="250"/>
      <c r="R504" s="250"/>
      <c r="S504" s="250"/>
      <c r="T504" s="250"/>
      <c r="U504" s="250"/>
      <c r="V504" s="443"/>
      <c r="W504" s="410"/>
      <c r="X504" s="39"/>
      <c r="Y504" s="39"/>
      <c r="Z504" s="472"/>
      <c r="AA504" s="76"/>
      <c r="AB504" s="24"/>
      <c r="AC504" s="25"/>
      <c r="AD504" s="309"/>
      <c r="AE504" s="462"/>
      <c r="AF504" s="408"/>
      <c r="AG504" s="293"/>
      <c r="AH504" s="293"/>
      <c r="AI504" s="293"/>
      <c r="AJ504" s="293"/>
      <c r="AK504" s="293"/>
      <c r="AL504" s="327"/>
      <c r="AM504" s="463"/>
      <c r="AN504" s="513"/>
      <c r="AO504" s="88"/>
      <c r="AP504" s="116"/>
      <c r="AQ504" s="74"/>
      <c r="AR504" s="76"/>
      <c r="AS504" s="24"/>
      <c r="AT504" s="25"/>
      <c r="AU504" s="309"/>
      <c r="AV504" s="462"/>
      <c r="AW504" s="513"/>
      <c r="AX504" s="74"/>
      <c r="AY504" s="74"/>
      <c r="AZ504" s="75"/>
      <c r="BA504" s="61"/>
      <c r="BB504" s="60"/>
      <c r="BC504" s="74"/>
      <c r="BD504" s="79"/>
      <c r="BE504" s="79"/>
      <c r="BF504" s="127"/>
      <c r="BG504" s="128"/>
      <c r="BH504" s="128"/>
      <c r="BI504" s="76"/>
      <c r="BJ504" s="24"/>
      <c r="BK504" s="25"/>
      <c r="BL504" s="259"/>
      <c r="BM504" s="533"/>
    </row>
    <row r="505" spans="1:65" ht="45.95" customHeight="1">
      <c r="A505" s="91"/>
      <c r="B505" s="358" t="s">
        <v>2696</v>
      </c>
      <c r="C505" s="50" t="s">
        <v>1053</v>
      </c>
      <c r="D505" s="177" t="s">
        <v>1007</v>
      </c>
      <c r="E505" s="384" t="s">
        <v>14</v>
      </c>
      <c r="F505" s="410">
        <v>113360</v>
      </c>
      <c r="G505" s="10">
        <v>99000</v>
      </c>
      <c r="H505" s="167">
        <v>297000</v>
      </c>
      <c r="I505" s="10">
        <v>135600</v>
      </c>
      <c r="J505" s="76">
        <f t="shared" si="636"/>
        <v>117300</v>
      </c>
      <c r="K505" s="24">
        <f t="shared" si="637"/>
        <v>3940</v>
      </c>
      <c r="L505" s="281">
        <f t="shared" si="638"/>
        <v>3.4756527875793933E-2</v>
      </c>
      <c r="M505" s="431">
        <f t="shared" si="639"/>
        <v>297000</v>
      </c>
      <c r="N505" s="443"/>
      <c r="O505" s="250"/>
      <c r="P505" s="250"/>
      <c r="Q505" s="250"/>
      <c r="R505" s="250"/>
      <c r="S505" s="250"/>
      <c r="T505" s="250"/>
      <c r="U505" s="250"/>
      <c r="V505" s="443"/>
      <c r="W505" s="410"/>
      <c r="X505" s="39"/>
      <c r="Y505" s="39"/>
      <c r="Z505" s="472"/>
      <c r="AA505" s="76"/>
      <c r="AB505" s="24"/>
      <c r="AC505" s="25"/>
      <c r="AD505" s="309"/>
      <c r="AE505" s="462"/>
      <c r="AF505" s="408"/>
      <c r="AG505" s="293"/>
      <c r="AH505" s="293"/>
      <c r="AI505" s="293"/>
      <c r="AJ505" s="293"/>
      <c r="AK505" s="293"/>
      <c r="AL505" s="327"/>
      <c r="AM505" s="463"/>
      <c r="AN505" s="513"/>
      <c r="AO505" s="88"/>
      <c r="AP505" s="116"/>
      <c r="AQ505" s="74"/>
      <c r="AR505" s="76"/>
      <c r="AS505" s="24"/>
      <c r="AT505" s="25"/>
      <c r="AU505" s="309"/>
      <c r="AV505" s="462"/>
      <c r="AW505" s="513"/>
      <c r="AX505" s="74"/>
      <c r="AY505" s="74"/>
      <c r="AZ505" s="75"/>
      <c r="BA505" s="61"/>
      <c r="BB505" s="60"/>
      <c r="BC505" s="74"/>
      <c r="BD505" s="79"/>
      <c r="BE505" s="79"/>
      <c r="BF505" s="127"/>
      <c r="BG505" s="128"/>
      <c r="BH505" s="128"/>
      <c r="BI505" s="76"/>
      <c r="BJ505" s="24"/>
      <c r="BK505" s="25"/>
      <c r="BL505" s="259"/>
      <c r="BM505" s="533"/>
    </row>
    <row r="506" spans="1:65" ht="45.95" customHeight="1">
      <c r="A506" s="91"/>
      <c r="B506" s="358" t="s">
        <v>2697</v>
      </c>
      <c r="C506" s="50" t="s">
        <v>1054</v>
      </c>
      <c r="D506" s="177" t="s">
        <v>1008</v>
      </c>
      <c r="E506" s="384" t="s">
        <v>14</v>
      </c>
      <c r="F506" s="410">
        <v>13718</v>
      </c>
      <c r="G506" s="10">
        <v>27000</v>
      </c>
      <c r="H506" s="167">
        <v>54000</v>
      </c>
      <c r="I506" s="10">
        <v>18500</v>
      </c>
      <c r="J506" s="76">
        <f t="shared" si="636"/>
        <v>22750</v>
      </c>
      <c r="K506" s="24">
        <f t="shared" si="637"/>
        <v>9032</v>
      </c>
      <c r="L506" s="281">
        <f t="shared" si="638"/>
        <v>0.65840501530835394</v>
      </c>
      <c r="M506" s="431">
        <f t="shared" si="639"/>
        <v>54000</v>
      </c>
      <c r="N506" s="443"/>
      <c r="O506" s="250"/>
      <c r="P506" s="250"/>
      <c r="Q506" s="250"/>
      <c r="R506" s="250"/>
      <c r="S506" s="250"/>
      <c r="T506" s="250"/>
      <c r="U506" s="250"/>
      <c r="V506" s="443"/>
      <c r="W506" s="410"/>
      <c r="X506" s="39"/>
      <c r="Y506" s="39"/>
      <c r="Z506" s="472"/>
      <c r="AA506" s="76"/>
      <c r="AB506" s="24"/>
      <c r="AC506" s="25"/>
      <c r="AD506" s="309"/>
      <c r="AE506" s="462"/>
      <c r="AF506" s="408"/>
      <c r="AG506" s="293"/>
      <c r="AH506" s="293"/>
      <c r="AI506" s="293"/>
      <c r="AJ506" s="293"/>
      <c r="AK506" s="293"/>
      <c r="AL506" s="327"/>
      <c r="AM506" s="463"/>
      <c r="AN506" s="513"/>
      <c r="AO506" s="88"/>
      <c r="AP506" s="116"/>
      <c r="AQ506" s="74"/>
      <c r="AR506" s="76"/>
      <c r="AS506" s="24"/>
      <c r="AT506" s="25"/>
      <c r="AU506" s="309"/>
      <c r="AV506" s="462"/>
      <c r="AW506" s="513"/>
      <c r="AX506" s="74"/>
      <c r="AY506" s="74"/>
      <c r="AZ506" s="75"/>
      <c r="BA506" s="61"/>
      <c r="BB506" s="60"/>
      <c r="BC506" s="74"/>
      <c r="BD506" s="79"/>
      <c r="BE506" s="79"/>
      <c r="BF506" s="127"/>
      <c r="BG506" s="128"/>
      <c r="BH506" s="128"/>
      <c r="BI506" s="76"/>
      <c r="BJ506" s="24"/>
      <c r="BK506" s="25"/>
      <c r="BL506" s="259"/>
      <c r="BM506" s="533"/>
    </row>
    <row r="507" spans="1:65" ht="45.95" customHeight="1">
      <c r="A507" s="91"/>
      <c r="B507" s="358" t="s">
        <v>2698</v>
      </c>
      <c r="C507" s="50" t="s">
        <v>1055</v>
      </c>
      <c r="D507" s="177" t="s">
        <v>1009</v>
      </c>
      <c r="E507" s="384" t="s">
        <v>14</v>
      </c>
      <c r="F507" s="410">
        <v>27814</v>
      </c>
      <c r="G507" s="10">
        <v>10100</v>
      </c>
      <c r="H507" s="167">
        <v>10100</v>
      </c>
      <c r="I507" s="10">
        <v>19860</v>
      </c>
      <c r="J507" s="76">
        <f t="shared" si="636"/>
        <v>14980</v>
      </c>
      <c r="K507" s="24">
        <f t="shared" si="637"/>
        <v>-12834</v>
      </c>
      <c r="L507" s="281">
        <f t="shared" si="638"/>
        <v>-0.46142230531387074</v>
      </c>
      <c r="M507" s="431">
        <f t="shared" si="639"/>
        <v>10100</v>
      </c>
      <c r="N507" s="443"/>
      <c r="O507" s="250"/>
      <c r="P507" s="250"/>
      <c r="Q507" s="250"/>
      <c r="R507" s="250"/>
      <c r="S507" s="250"/>
      <c r="T507" s="250"/>
      <c r="U507" s="250"/>
      <c r="V507" s="443"/>
      <c r="W507" s="410"/>
      <c r="X507" s="39"/>
      <c r="Y507" s="39"/>
      <c r="Z507" s="472"/>
      <c r="AA507" s="76"/>
      <c r="AB507" s="24"/>
      <c r="AC507" s="25"/>
      <c r="AD507" s="309"/>
      <c r="AE507" s="462"/>
      <c r="AF507" s="408"/>
      <c r="AG507" s="293"/>
      <c r="AH507" s="293"/>
      <c r="AI507" s="293"/>
      <c r="AJ507" s="293"/>
      <c r="AK507" s="293"/>
      <c r="AL507" s="327"/>
      <c r="AM507" s="463"/>
      <c r="AN507" s="513"/>
      <c r="AO507" s="88"/>
      <c r="AP507" s="116"/>
      <c r="AQ507" s="74"/>
      <c r="AR507" s="76"/>
      <c r="AS507" s="24"/>
      <c r="AT507" s="25"/>
      <c r="AU507" s="309"/>
      <c r="AV507" s="462"/>
      <c r="AW507" s="513"/>
      <c r="AX507" s="74"/>
      <c r="AY507" s="74"/>
      <c r="AZ507" s="75"/>
      <c r="BA507" s="61"/>
      <c r="BB507" s="60"/>
      <c r="BC507" s="74"/>
      <c r="BD507" s="79"/>
      <c r="BE507" s="79"/>
      <c r="BF507" s="127"/>
      <c r="BG507" s="128"/>
      <c r="BH507" s="128"/>
      <c r="BI507" s="76"/>
      <c r="BJ507" s="24"/>
      <c r="BK507" s="25"/>
      <c r="BL507" s="259"/>
      <c r="BM507" s="533"/>
    </row>
    <row r="508" spans="1:65" ht="45.95" customHeight="1">
      <c r="A508" s="91"/>
      <c r="B508" s="358" t="s">
        <v>2699</v>
      </c>
      <c r="C508" s="50" t="s">
        <v>1056</v>
      </c>
      <c r="D508" s="177" t="s">
        <v>1010</v>
      </c>
      <c r="E508" s="384" t="s">
        <v>10</v>
      </c>
      <c r="F508" s="410">
        <v>11563</v>
      </c>
      <c r="G508" s="10">
        <v>11200</v>
      </c>
      <c r="H508" s="167">
        <v>33600</v>
      </c>
      <c r="I508" s="10">
        <v>19600</v>
      </c>
      <c r="J508" s="76">
        <f t="shared" si="636"/>
        <v>15400</v>
      </c>
      <c r="K508" s="24">
        <f t="shared" si="637"/>
        <v>3837</v>
      </c>
      <c r="L508" s="281">
        <f t="shared" si="638"/>
        <v>0.33183429905733808</v>
      </c>
      <c r="M508" s="431">
        <f t="shared" si="639"/>
        <v>33600</v>
      </c>
      <c r="N508" s="443"/>
      <c r="O508" s="250"/>
      <c r="P508" s="250"/>
      <c r="Q508" s="250"/>
      <c r="R508" s="250"/>
      <c r="S508" s="250"/>
      <c r="T508" s="250"/>
      <c r="U508" s="250"/>
      <c r="V508" s="443"/>
      <c r="W508" s="410"/>
      <c r="X508" s="39"/>
      <c r="Y508" s="39"/>
      <c r="Z508" s="472"/>
      <c r="AA508" s="76"/>
      <c r="AB508" s="24"/>
      <c r="AC508" s="25"/>
      <c r="AD508" s="309"/>
      <c r="AE508" s="462"/>
      <c r="AF508" s="408"/>
      <c r="AG508" s="293"/>
      <c r="AH508" s="293"/>
      <c r="AI508" s="293"/>
      <c r="AJ508" s="293"/>
      <c r="AK508" s="293"/>
      <c r="AL508" s="327"/>
      <c r="AM508" s="463"/>
      <c r="AN508" s="513"/>
      <c r="AO508" s="88"/>
      <c r="AP508" s="116"/>
      <c r="AQ508" s="74"/>
      <c r="AR508" s="76"/>
      <c r="AS508" s="24"/>
      <c r="AT508" s="25"/>
      <c r="AU508" s="309"/>
      <c r="AV508" s="462"/>
      <c r="AW508" s="513"/>
      <c r="AX508" s="74"/>
      <c r="AY508" s="74"/>
      <c r="AZ508" s="75"/>
      <c r="BA508" s="61"/>
      <c r="BB508" s="60"/>
      <c r="BC508" s="74"/>
      <c r="BD508" s="79"/>
      <c r="BE508" s="79"/>
      <c r="BF508" s="127"/>
      <c r="BG508" s="128"/>
      <c r="BH508" s="128"/>
      <c r="BI508" s="76"/>
      <c r="BJ508" s="24"/>
      <c r="BK508" s="25"/>
      <c r="BL508" s="259"/>
      <c r="BM508" s="533"/>
    </row>
    <row r="509" spans="1:65" ht="45.95" customHeight="1">
      <c r="A509" s="91"/>
      <c r="B509" s="358" t="s">
        <v>2700</v>
      </c>
      <c r="C509" s="50" t="s">
        <v>1057</v>
      </c>
      <c r="D509" s="177" t="s">
        <v>1011</v>
      </c>
      <c r="E509" s="384" t="s">
        <v>14</v>
      </c>
      <c r="F509" s="410">
        <v>259552</v>
      </c>
      <c r="G509" s="10">
        <v>330733</v>
      </c>
      <c r="H509" s="167">
        <v>661466</v>
      </c>
      <c r="I509" s="10">
        <v>286000</v>
      </c>
      <c r="J509" s="76">
        <f t="shared" si="636"/>
        <v>308366.5</v>
      </c>
      <c r="K509" s="24">
        <f t="shared" si="637"/>
        <v>48814.5</v>
      </c>
      <c r="L509" s="281">
        <f t="shared" si="638"/>
        <v>0.18807213968684502</v>
      </c>
      <c r="M509" s="431">
        <f t="shared" si="639"/>
        <v>661466</v>
      </c>
      <c r="N509" s="443"/>
      <c r="O509" s="250"/>
      <c r="P509" s="250"/>
      <c r="Q509" s="250"/>
      <c r="R509" s="250"/>
      <c r="S509" s="250"/>
      <c r="T509" s="250"/>
      <c r="U509" s="250"/>
      <c r="V509" s="443"/>
      <c r="W509" s="410"/>
      <c r="X509" s="39"/>
      <c r="Y509" s="39"/>
      <c r="Z509" s="472"/>
      <c r="AA509" s="76"/>
      <c r="AB509" s="24"/>
      <c r="AC509" s="25"/>
      <c r="AD509" s="309"/>
      <c r="AE509" s="462"/>
      <c r="AF509" s="408"/>
      <c r="AG509" s="293"/>
      <c r="AH509" s="293"/>
      <c r="AI509" s="293"/>
      <c r="AJ509" s="293"/>
      <c r="AK509" s="293"/>
      <c r="AL509" s="327"/>
      <c r="AM509" s="463"/>
      <c r="AN509" s="513"/>
      <c r="AO509" s="88"/>
      <c r="AP509" s="116"/>
      <c r="AQ509" s="74"/>
      <c r="AR509" s="76"/>
      <c r="AS509" s="24"/>
      <c r="AT509" s="25"/>
      <c r="AU509" s="309"/>
      <c r="AV509" s="462"/>
      <c r="AW509" s="513"/>
      <c r="AX509" s="74"/>
      <c r="AY509" s="74"/>
      <c r="AZ509" s="75"/>
      <c r="BA509" s="61"/>
      <c r="BB509" s="60"/>
      <c r="BC509" s="74"/>
      <c r="BD509" s="79"/>
      <c r="BE509" s="79"/>
      <c r="BF509" s="127"/>
      <c r="BG509" s="128"/>
      <c r="BH509" s="128"/>
      <c r="BI509" s="76"/>
      <c r="BJ509" s="24"/>
      <c r="BK509" s="25"/>
      <c r="BL509" s="259"/>
      <c r="BM509" s="533"/>
    </row>
    <row r="510" spans="1:65" ht="45.95" customHeight="1">
      <c r="A510" s="91"/>
      <c r="B510" s="358" t="s">
        <v>2701</v>
      </c>
      <c r="C510" s="50" t="s">
        <v>1058</v>
      </c>
      <c r="D510" s="177" t="s">
        <v>1012</v>
      </c>
      <c r="E510" s="384" t="s">
        <v>14</v>
      </c>
      <c r="F510" s="410">
        <v>259552</v>
      </c>
      <c r="G510" s="10">
        <v>65000</v>
      </c>
      <c r="H510" s="167">
        <v>130000</v>
      </c>
      <c r="I510" s="10">
        <v>78000</v>
      </c>
      <c r="J510" s="76">
        <f t="shared" si="636"/>
        <v>71500</v>
      </c>
      <c r="K510" s="24">
        <f t="shared" si="637"/>
        <v>-188052</v>
      </c>
      <c r="L510" s="281">
        <f t="shared" si="638"/>
        <v>-0.72452533596350632</v>
      </c>
      <c r="M510" s="431">
        <f t="shared" si="639"/>
        <v>130000</v>
      </c>
      <c r="N510" s="443"/>
      <c r="O510" s="250"/>
      <c r="P510" s="250"/>
      <c r="Q510" s="250"/>
      <c r="R510" s="250"/>
      <c r="S510" s="250"/>
      <c r="T510" s="250"/>
      <c r="U510" s="250"/>
      <c r="V510" s="443"/>
      <c r="W510" s="410"/>
      <c r="X510" s="39"/>
      <c r="Y510" s="39"/>
      <c r="Z510" s="472"/>
      <c r="AA510" s="76"/>
      <c r="AB510" s="24"/>
      <c r="AC510" s="25"/>
      <c r="AD510" s="309"/>
      <c r="AE510" s="462"/>
      <c r="AF510" s="408"/>
      <c r="AG510" s="293"/>
      <c r="AH510" s="293"/>
      <c r="AI510" s="293"/>
      <c r="AJ510" s="293"/>
      <c r="AK510" s="293"/>
      <c r="AL510" s="327"/>
      <c r="AM510" s="463"/>
      <c r="AN510" s="513"/>
      <c r="AO510" s="88"/>
      <c r="AP510" s="116"/>
      <c r="AQ510" s="74"/>
      <c r="AR510" s="76"/>
      <c r="AS510" s="24"/>
      <c r="AT510" s="25"/>
      <c r="AU510" s="309"/>
      <c r="AV510" s="462"/>
      <c r="AW510" s="513"/>
      <c r="AX510" s="74"/>
      <c r="AY510" s="74"/>
      <c r="AZ510" s="75"/>
      <c r="BA510" s="61"/>
      <c r="BB510" s="60"/>
      <c r="BC510" s="74"/>
      <c r="BD510" s="79"/>
      <c r="BE510" s="79"/>
      <c r="BF510" s="127"/>
      <c r="BG510" s="128"/>
      <c r="BH510" s="128"/>
      <c r="BI510" s="76"/>
      <c r="BJ510" s="24"/>
      <c r="BK510" s="25"/>
      <c r="BL510" s="259"/>
      <c r="BM510" s="533"/>
    </row>
    <row r="511" spans="1:65" ht="45.95" customHeight="1">
      <c r="A511" s="91"/>
      <c r="B511" s="358" t="s">
        <v>2702</v>
      </c>
      <c r="C511" s="50" t="s">
        <v>1059</v>
      </c>
      <c r="D511" s="177" t="s">
        <v>1013</v>
      </c>
      <c r="E511" s="384" t="s">
        <v>10</v>
      </c>
      <c r="F511" s="410">
        <v>190989</v>
      </c>
      <c r="G511" s="10">
        <v>1500</v>
      </c>
      <c r="H511" s="167">
        <v>3000</v>
      </c>
      <c r="I511" s="10">
        <v>18500</v>
      </c>
      <c r="J511" s="76">
        <f t="shared" si="636"/>
        <v>10000</v>
      </c>
      <c r="K511" s="24">
        <f t="shared" si="637"/>
        <v>-180989</v>
      </c>
      <c r="L511" s="281">
        <f t="shared" si="638"/>
        <v>-0.9476409636157056</v>
      </c>
      <c r="M511" s="431">
        <f t="shared" si="639"/>
        <v>3000</v>
      </c>
      <c r="N511" s="443"/>
      <c r="O511" s="250"/>
      <c r="P511" s="250"/>
      <c r="Q511" s="250"/>
      <c r="R511" s="250"/>
      <c r="S511" s="250"/>
      <c r="T511" s="250"/>
      <c r="U511" s="250"/>
      <c r="V511" s="443"/>
      <c r="W511" s="410"/>
      <c r="X511" s="39"/>
      <c r="Y511" s="39"/>
      <c r="Z511" s="472"/>
      <c r="AA511" s="76"/>
      <c r="AB511" s="24"/>
      <c r="AC511" s="25"/>
      <c r="AD511" s="309"/>
      <c r="AE511" s="462"/>
      <c r="AF511" s="408"/>
      <c r="AG511" s="293"/>
      <c r="AH511" s="293"/>
      <c r="AI511" s="293"/>
      <c r="AJ511" s="293"/>
      <c r="AK511" s="293"/>
      <c r="AL511" s="327"/>
      <c r="AM511" s="463"/>
      <c r="AN511" s="513"/>
      <c r="AO511" s="88"/>
      <c r="AP511" s="116"/>
      <c r="AQ511" s="74"/>
      <c r="AR511" s="76"/>
      <c r="AS511" s="24"/>
      <c r="AT511" s="25"/>
      <c r="AU511" s="309"/>
      <c r="AV511" s="462"/>
      <c r="AW511" s="513"/>
      <c r="AX511" s="74"/>
      <c r="AY511" s="74"/>
      <c r="AZ511" s="75"/>
      <c r="BA511" s="61"/>
      <c r="BB511" s="60"/>
      <c r="BC511" s="74"/>
      <c r="BD511" s="79"/>
      <c r="BE511" s="79"/>
      <c r="BF511" s="127"/>
      <c r="BG511" s="128"/>
      <c r="BH511" s="128"/>
      <c r="BI511" s="76"/>
      <c r="BJ511" s="24"/>
      <c r="BK511" s="25"/>
      <c r="BL511" s="259"/>
      <c r="BM511" s="533"/>
    </row>
    <row r="512" spans="1:65" ht="45.95" customHeight="1">
      <c r="A512" s="91"/>
      <c r="B512" s="358" t="s">
        <v>2703</v>
      </c>
      <c r="C512" s="50" t="s">
        <v>1060</v>
      </c>
      <c r="D512" s="177" t="s">
        <v>1014</v>
      </c>
      <c r="E512" s="384" t="s">
        <v>14</v>
      </c>
      <c r="F512" s="410">
        <v>416262</v>
      </c>
      <c r="G512" s="10"/>
      <c r="H512" s="167">
        <v>350000</v>
      </c>
      <c r="I512" s="10">
        <v>189000</v>
      </c>
      <c r="J512" s="76">
        <f t="shared" si="636"/>
        <v>189000</v>
      </c>
      <c r="K512" s="24">
        <f t="shared" si="637"/>
        <v>-227262</v>
      </c>
      <c r="L512" s="281">
        <f t="shared" si="638"/>
        <v>-0.54595903541519519</v>
      </c>
      <c r="M512" s="431">
        <f t="shared" si="639"/>
        <v>350000</v>
      </c>
      <c r="N512" s="443"/>
      <c r="O512" s="250"/>
      <c r="P512" s="250"/>
      <c r="Q512" s="250"/>
      <c r="R512" s="250"/>
      <c r="S512" s="250"/>
      <c r="T512" s="250"/>
      <c r="U512" s="250"/>
      <c r="V512" s="443"/>
      <c r="W512" s="410"/>
      <c r="X512" s="39"/>
      <c r="Y512" s="39"/>
      <c r="Z512" s="472"/>
      <c r="AA512" s="76"/>
      <c r="AB512" s="24"/>
      <c r="AC512" s="25"/>
      <c r="AD512" s="309"/>
      <c r="AE512" s="462"/>
      <c r="AF512" s="408"/>
      <c r="AG512" s="293"/>
      <c r="AH512" s="293"/>
      <c r="AI512" s="293"/>
      <c r="AJ512" s="293"/>
      <c r="AK512" s="293"/>
      <c r="AL512" s="327"/>
      <c r="AM512" s="463"/>
      <c r="AN512" s="513"/>
      <c r="AO512" s="88"/>
      <c r="AP512" s="116"/>
      <c r="AQ512" s="74"/>
      <c r="AR512" s="76"/>
      <c r="AS512" s="24"/>
      <c r="AT512" s="25"/>
      <c r="AU512" s="309"/>
      <c r="AV512" s="462"/>
      <c r="AW512" s="513"/>
      <c r="AX512" s="74"/>
      <c r="AY512" s="74"/>
      <c r="AZ512" s="75"/>
      <c r="BA512" s="61"/>
      <c r="BB512" s="60"/>
      <c r="BC512" s="74"/>
      <c r="BD512" s="79"/>
      <c r="BE512" s="79"/>
      <c r="BF512" s="127"/>
      <c r="BG512" s="128"/>
      <c r="BH512" s="128"/>
      <c r="BI512" s="76"/>
      <c r="BJ512" s="24"/>
      <c r="BK512" s="25"/>
      <c r="BL512" s="259"/>
      <c r="BM512" s="533"/>
    </row>
    <row r="513" spans="1:65" ht="45.95" customHeight="1">
      <c r="A513" s="91"/>
      <c r="B513" s="358" t="s">
        <v>2704</v>
      </c>
      <c r="C513" s="50" t="s">
        <v>1061</v>
      </c>
      <c r="D513" s="177" t="s">
        <v>1015</v>
      </c>
      <c r="E513" s="384" t="s">
        <v>10</v>
      </c>
      <c r="F513" s="410">
        <v>47016</v>
      </c>
      <c r="G513" s="10">
        <v>400000</v>
      </c>
      <c r="H513" s="167">
        <v>1200000</v>
      </c>
      <c r="I513" s="10">
        <v>150000</v>
      </c>
      <c r="J513" s="76">
        <f t="shared" si="636"/>
        <v>275000</v>
      </c>
      <c r="K513" s="24">
        <f t="shared" si="637"/>
        <v>227984</v>
      </c>
      <c r="L513" s="281">
        <f t="shared" si="638"/>
        <v>4.8490726561170669</v>
      </c>
      <c r="M513" s="431">
        <f t="shared" si="639"/>
        <v>1200000</v>
      </c>
      <c r="N513" s="443"/>
      <c r="O513" s="250"/>
      <c r="P513" s="250"/>
      <c r="Q513" s="250"/>
      <c r="R513" s="250"/>
      <c r="S513" s="250"/>
      <c r="T513" s="250"/>
      <c r="U513" s="250"/>
      <c r="V513" s="443"/>
      <c r="W513" s="410"/>
      <c r="X513" s="39"/>
      <c r="Y513" s="39"/>
      <c r="Z513" s="472"/>
      <c r="AA513" s="76"/>
      <c r="AB513" s="24"/>
      <c r="AC513" s="25"/>
      <c r="AD513" s="309"/>
      <c r="AE513" s="462"/>
      <c r="AF513" s="408"/>
      <c r="AG513" s="293"/>
      <c r="AH513" s="293"/>
      <c r="AI513" s="293"/>
      <c r="AJ513" s="293"/>
      <c r="AK513" s="293"/>
      <c r="AL513" s="327"/>
      <c r="AM513" s="463"/>
      <c r="AN513" s="513"/>
      <c r="AO513" s="88"/>
      <c r="AP513" s="116"/>
      <c r="AQ513" s="74"/>
      <c r="AR513" s="76"/>
      <c r="AS513" s="24"/>
      <c r="AT513" s="25"/>
      <c r="AU513" s="309"/>
      <c r="AV513" s="462"/>
      <c r="AW513" s="513"/>
      <c r="AX513" s="74"/>
      <c r="AY513" s="74"/>
      <c r="AZ513" s="75"/>
      <c r="BA513" s="61"/>
      <c r="BB513" s="60"/>
      <c r="BC513" s="74"/>
      <c r="BD513" s="79"/>
      <c r="BE513" s="79"/>
      <c r="BF513" s="127"/>
      <c r="BG513" s="128"/>
      <c r="BH513" s="128"/>
      <c r="BI513" s="76"/>
      <c r="BJ513" s="24"/>
      <c r="BK513" s="25"/>
      <c r="BL513" s="259"/>
      <c r="BM513" s="533"/>
    </row>
    <row r="514" spans="1:65" ht="45.95" customHeight="1">
      <c r="A514" s="91"/>
      <c r="B514" s="358" t="s">
        <v>2705</v>
      </c>
      <c r="C514" s="50" t="s">
        <v>1062</v>
      </c>
      <c r="D514" s="177" t="s">
        <v>1016</v>
      </c>
      <c r="E514" s="384" t="s">
        <v>14</v>
      </c>
      <c r="F514" s="410">
        <v>25659</v>
      </c>
      <c r="G514" s="10">
        <v>300506</v>
      </c>
      <c r="H514" s="167">
        <v>901518</v>
      </c>
      <c r="I514" s="10">
        <v>156000</v>
      </c>
      <c r="J514" s="76">
        <f t="shared" si="636"/>
        <v>228253</v>
      </c>
      <c r="K514" s="24">
        <f t="shared" si="637"/>
        <v>202594</v>
      </c>
      <c r="L514" s="281">
        <f t="shared" si="638"/>
        <v>7.8956311625550493</v>
      </c>
      <c r="M514" s="431">
        <f t="shared" si="639"/>
        <v>901518</v>
      </c>
      <c r="N514" s="443"/>
      <c r="O514" s="250"/>
      <c r="P514" s="250"/>
      <c r="Q514" s="250"/>
      <c r="R514" s="250"/>
      <c r="S514" s="250"/>
      <c r="T514" s="250"/>
      <c r="U514" s="250"/>
      <c r="V514" s="443"/>
      <c r="W514" s="410"/>
      <c r="X514" s="39"/>
      <c r="Y514" s="39"/>
      <c r="Z514" s="472"/>
      <c r="AA514" s="76"/>
      <c r="AB514" s="24"/>
      <c r="AC514" s="25"/>
      <c r="AD514" s="309"/>
      <c r="AE514" s="462"/>
      <c r="AF514" s="408"/>
      <c r="AG514" s="293"/>
      <c r="AH514" s="293"/>
      <c r="AI514" s="293"/>
      <c r="AJ514" s="293"/>
      <c r="AK514" s="293"/>
      <c r="AL514" s="327"/>
      <c r="AM514" s="463"/>
      <c r="AN514" s="513"/>
      <c r="AO514" s="88"/>
      <c r="AP514" s="116"/>
      <c r="AQ514" s="74"/>
      <c r="AR514" s="76"/>
      <c r="AS514" s="24"/>
      <c r="AT514" s="25"/>
      <c r="AU514" s="309"/>
      <c r="AV514" s="462"/>
      <c r="AW514" s="513"/>
      <c r="AX514" s="74"/>
      <c r="AY514" s="74"/>
      <c r="AZ514" s="75"/>
      <c r="BA514" s="61"/>
      <c r="BB514" s="60"/>
      <c r="BC514" s="74"/>
      <c r="BD514" s="79"/>
      <c r="BE514" s="79"/>
      <c r="BF514" s="127"/>
      <c r="BG514" s="128"/>
      <c r="BH514" s="128"/>
      <c r="BI514" s="76"/>
      <c r="BJ514" s="24"/>
      <c r="BK514" s="25"/>
      <c r="BL514" s="259"/>
      <c r="BM514" s="533"/>
    </row>
    <row r="515" spans="1:65" ht="45.95" customHeight="1">
      <c r="A515" s="91"/>
      <c r="B515" s="358" t="s">
        <v>2706</v>
      </c>
      <c r="C515" s="50" t="s">
        <v>1063</v>
      </c>
      <c r="D515" s="177" t="s">
        <v>1017</v>
      </c>
      <c r="E515" s="384" t="s">
        <v>13</v>
      </c>
      <c r="F515" s="410">
        <v>65081</v>
      </c>
      <c r="G515" s="10">
        <v>250000</v>
      </c>
      <c r="H515" s="167">
        <v>500000</v>
      </c>
      <c r="I515" s="10">
        <v>385000</v>
      </c>
      <c r="J515" s="76">
        <f t="shared" si="636"/>
        <v>317500</v>
      </c>
      <c r="K515" s="24">
        <f t="shared" si="637"/>
        <v>252419</v>
      </c>
      <c r="L515" s="281">
        <f t="shared" si="638"/>
        <v>3.878535978242498</v>
      </c>
      <c r="M515" s="431">
        <f t="shared" si="639"/>
        <v>500000</v>
      </c>
      <c r="N515" s="443"/>
      <c r="O515" s="250"/>
      <c r="P515" s="250"/>
      <c r="Q515" s="250"/>
      <c r="R515" s="250"/>
      <c r="S515" s="250"/>
      <c r="T515" s="250"/>
      <c r="U515" s="250"/>
      <c r="V515" s="443"/>
      <c r="W515" s="410"/>
      <c r="X515" s="39"/>
      <c r="Y515" s="39"/>
      <c r="Z515" s="472"/>
      <c r="AA515" s="76"/>
      <c r="AB515" s="24"/>
      <c r="AC515" s="25"/>
      <c r="AD515" s="309"/>
      <c r="AE515" s="462"/>
      <c r="AF515" s="408"/>
      <c r="AG515" s="293"/>
      <c r="AH515" s="293"/>
      <c r="AI515" s="293"/>
      <c r="AJ515" s="293"/>
      <c r="AK515" s="293"/>
      <c r="AL515" s="327"/>
      <c r="AM515" s="463"/>
      <c r="AN515" s="513"/>
      <c r="AO515" s="88"/>
      <c r="AP515" s="116"/>
      <c r="AQ515" s="74"/>
      <c r="AR515" s="76"/>
      <c r="AS515" s="24"/>
      <c r="AT515" s="25"/>
      <c r="AU515" s="309"/>
      <c r="AV515" s="462"/>
      <c r="AW515" s="513"/>
      <c r="AX515" s="74"/>
      <c r="AY515" s="74"/>
      <c r="AZ515" s="75"/>
      <c r="BA515" s="61"/>
      <c r="BB515" s="60"/>
      <c r="BC515" s="74"/>
      <c r="BD515" s="79"/>
      <c r="BE515" s="79"/>
      <c r="BF515" s="127"/>
      <c r="BG515" s="128"/>
      <c r="BH515" s="128"/>
      <c r="BI515" s="76"/>
      <c r="BJ515" s="24"/>
      <c r="BK515" s="25"/>
      <c r="BL515" s="259"/>
      <c r="BM515" s="533"/>
    </row>
    <row r="516" spans="1:65" ht="45.95" customHeight="1">
      <c r="A516" s="91"/>
      <c r="B516" s="358" t="s">
        <v>2707</v>
      </c>
      <c r="C516" s="50" t="s">
        <v>1064</v>
      </c>
      <c r="D516" s="177" t="s">
        <v>1018</v>
      </c>
      <c r="E516" s="384" t="s">
        <v>13</v>
      </c>
      <c r="F516" s="410">
        <v>35265</v>
      </c>
      <c r="G516" s="10"/>
      <c r="H516" s="167">
        <v>250000</v>
      </c>
      <c r="I516" s="10">
        <v>35000</v>
      </c>
      <c r="J516" s="76">
        <f t="shared" si="636"/>
        <v>35000</v>
      </c>
      <c r="K516" s="24">
        <f t="shared" si="637"/>
        <v>-265</v>
      </c>
      <c r="L516" s="281">
        <f t="shared" si="638"/>
        <v>-7.5145328229122357E-3</v>
      </c>
      <c r="M516" s="431">
        <f t="shared" si="639"/>
        <v>250000</v>
      </c>
      <c r="N516" s="443"/>
      <c r="O516" s="250"/>
      <c r="P516" s="250"/>
      <c r="Q516" s="250"/>
      <c r="R516" s="250"/>
      <c r="S516" s="250"/>
      <c r="T516" s="250"/>
      <c r="U516" s="250"/>
      <c r="V516" s="443"/>
      <c r="W516" s="410"/>
      <c r="X516" s="39"/>
      <c r="Y516" s="39"/>
      <c r="Z516" s="472"/>
      <c r="AA516" s="76"/>
      <c r="AB516" s="24"/>
      <c r="AC516" s="25"/>
      <c r="AD516" s="309"/>
      <c r="AE516" s="462"/>
      <c r="AF516" s="408"/>
      <c r="AG516" s="293"/>
      <c r="AH516" s="293"/>
      <c r="AI516" s="293"/>
      <c r="AJ516" s="293"/>
      <c r="AK516" s="293"/>
      <c r="AL516" s="327"/>
      <c r="AM516" s="463"/>
      <c r="AN516" s="513"/>
      <c r="AO516" s="88"/>
      <c r="AP516" s="116"/>
      <c r="AQ516" s="74"/>
      <c r="AR516" s="76"/>
      <c r="AS516" s="24"/>
      <c r="AT516" s="25"/>
      <c r="AU516" s="309"/>
      <c r="AV516" s="462"/>
      <c r="AW516" s="513"/>
      <c r="AX516" s="74"/>
      <c r="AY516" s="74"/>
      <c r="AZ516" s="75"/>
      <c r="BA516" s="61"/>
      <c r="BB516" s="60"/>
      <c r="BC516" s="74"/>
      <c r="BD516" s="79"/>
      <c r="BE516" s="79"/>
      <c r="BF516" s="127"/>
      <c r="BG516" s="128"/>
      <c r="BH516" s="128"/>
      <c r="BI516" s="76"/>
      <c r="BJ516" s="24"/>
      <c r="BK516" s="25"/>
      <c r="BL516" s="259"/>
      <c r="BM516" s="533"/>
    </row>
    <row r="517" spans="1:65" ht="45.95" customHeight="1">
      <c r="A517" s="91"/>
      <c r="B517" s="358" t="s">
        <v>2708</v>
      </c>
      <c r="C517" s="50" t="s">
        <v>1065</v>
      </c>
      <c r="D517" s="177" t="s">
        <v>1019</v>
      </c>
      <c r="E517" s="384" t="s">
        <v>13</v>
      </c>
      <c r="F517" s="410">
        <v>84218</v>
      </c>
      <c r="G517" s="10">
        <v>155000</v>
      </c>
      <c r="H517" s="167">
        <v>310000</v>
      </c>
      <c r="I517" s="10">
        <v>195000</v>
      </c>
      <c r="J517" s="76">
        <f t="shared" si="636"/>
        <v>175000</v>
      </c>
      <c r="K517" s="24">
        <f t="shared" si="637"/>
        <v>90782</v>
      </c>
      <c r="L517" s="281">
        <f t="shared" si="638"/>
        <v>1.0779405827732789</v>
      </c>
      <c r="M517" s="431">
        <f t="shared" si="639"/>
        <v>310000</v>
      </c>
      <c r="N517" s="443"/>
      <c r="O517" s="250"/>
      <c r="P517" s="250"/>
      <c r="Q517" s="250"/>
      <c r="R517" s="250"/>
      <c r="S517" s="250"/>
      <c r="T517" s="250"/>
      <c r="U517" s="250"/>
      <c r="V517" s="443"/>
      <c r="W517" s="410"/>
      <c r="X517" s="39"/>
      <c r="Y517" s="39"/>
      <c r="Z517" s="472"/>
      <c r="AA517" s="76"/>
      <c r="AB517" s="24"/>
      <c r="AC517" s="25"/>
      <c r="AD517" s="309"/>
      <c r="AE517" s="462"/>
      <c r="AF517" s="408"/>
      <c r="AG517" s="293"/>
      <c r="AH517" s="293"/>
      <c r="AI517" s="293"/>
      <c r="AJ517" s="293"/>
      <c r="AK517" s="293"/>
      <c r="AL517" s="327"/>
      <c r="AM517" s="463"/>
      <c r="AN517" s="513"/>
      <c r="AO517" s="88"/>
      <c r="AP517" s="116"/>
      <c r="AQ517" s="74"/>
      <c r="AR517" s="76"/>
      <c r="AS517" s="24"/>
      <c r="AT517" s="25"/>
      <c r="AU517" s="309"/>
      <c r="AV517" s="462"/>
      <c r="AW517" s="513"/>
      <c r="AX517" s="74"/>
      <c r="AY517" s="74"/>
      <c r="AZ517" s="75"/>
      <c r="BA517" s="61"/>
      <c r="BB517" s="60"/>
      <c r="BC517" s="74"/>
      <c r="BD517" s="79"/>
      <c r="BE517" s="79"/>
      <c r="BF517" s="127"/>
      <c r="BG517" s="128"/>
      <c r="BH517" s="128"/>
      <c r="BI517" s="76"/>
      <c r="BJ517" s="24"/>
      <c r="BK517" s="25"/>
      <c r="BL517" s="259"/>
      <c r="BM517" s="533"/>
    </row>
    <row r="518" spans="1:65" ht="45.95" customHeight="1">
      <c r="A518" s="91"/>
      <c r="B518" s="358" t="s">
        <v>2709</v>
      </c>
      <c r="C518" s="50" t="s">
        <v>1066</v>
      </c>
      <c r="D518" s="177" t="s">
        <v>1020</v>
      </c>
      <c r="E518" s="384" t="s">
        <v>14</v>
      </c>
      <c r="F518" s="410">
        <v>61550</v>
      </c>
      <c r="G518" s="10">
        <v>65000</v>
      </c>
      <c r="H518" s="167">
        <v>130000</v>
      </c>
      <c r="I518" s="10">
        <v>58700</v>
      </c>
      <c r="J518" s="76">
        <f t="shared" si="636"/>
        <v>61850</v>
      </c>
      <c r="K518" s="24">
        <f t="shared" si="637"/>
        <v>300</v>
      </c>
      <c r="L518" s="281">
        <f t="shared" si="638"/>
        <v>4.87408610885459E-3</v>
      </c>
      <c r="M518" s="431">
        <f t="shared" si="639"/>
        <v>130000</v>
      </c>
      <c r="N518" s="443"/>
      <c r="O518" s="250"/>
      <c r="P518" s="250"/>
      <c r="Q518" s="250"/>
      <c r="R518" s="250"/>
      <c r="S518" s="250"/>
      <c r="T518" s="250"/>
      <c r="U518" s="250"/>
      <c r="V518" s="443"/>
      <c r="W518" s="410"/>
      <c r="X518" s="39"/>
      <c r="Y518" s="39"/>
      <c r="Z518" s="472"/>
      <c r="AA518" s="76"/>
      <c r="AB518" s="24"/>
      <c r="AC518" s="25"/>
      <c r="AD518" s="309"/>
      <c r="AE518" s="462"/>
      <c r="AF518" s="408"/>
      <c r="AG518" s="293"/>
      <c r="AH518" s="293"/>
      <c r="AI518" s="293"/>
      <c r="AJ518" s="293"/>
      <c r="AK518" s="293"/>
      <c r="AL518" s="327"/>
      <c r="AM518" s="463"/>
      <c r="AN518" s="513"/>
      <c r="AO518" s="88"/>
      <c r="AP518" s="116"/>
      <c r="AQ518" s="74"/>
      <c r="AR518" s="76"/>
      <c r="AS518" s="24"/>
      <c r="AT518" s="25"/>
      <c r="AU518" s="309"/>
      <c r="AV518" s="462"/>
      <c r="AW518" s="513"/>
      <c r="AX518" s="74"/>
      <c r="AY518" s="74"/>
      <c r="AZ518" s="75"/>
      <c r="BA518" s="61"/>
      <c r="BB518" s="60"/>
      <c r="BC518" s="74"/>
      <c r="BD518" s="79"/>
      <c r="BE518" s="79"/>
      <c r="BF518" s="127"/>
      <c r="BG518" s="128"/>
      <c r="BH518" s="128"/>
      <c r="BI518" s="76"/>
      <c r="BJ518" s="24"/>
      <c r="BK518" s="25"/>
      <c r="BL518" s="259"/>
      <c r="BM518" s="533"/>
    </row>
    <row r="519" spans="1:65" ht="45.95" customHeight="1">
      <c r="A519" s="91"/>
      <c r="B519" s="358" t="s">
        <v>2710</v>
      </c>
      <c r="C519" s="50" t="s">
        <v>1067</v>
      </c>
      <c r="D519" s="177" t="s">
        <v>1021</v>
      </c>
      <c r="E519" s="384" t="s">
        <v>14</v>
      </c>
      <c r="F519" s="410">
        <v>179901</v>
      </c>
      <c r="G519" s="10">
        <v>240000</v>
      </c>
      <c r="H519" s="167">
        <v>240000</v>
      </c>
      <c r="I519" s="10">
        <v>201200</v>
      </c>
      <c r="J519" s="76">
        <f t="shared" si="636"/>
        <v>220600</v>
      </c>
      <c r="K519" s="24">
        <f t="shared" si="637"/>
        <v>40699</v>
      </c>
      <c r="L519" s="281">
        <f t="shared" si="638"/>
        <v>0.22622998204568068</v>
      </c>
      <c r="M519" s="431">
        <f t="shared" si="639"/>
        <v>240000</v>
      </c>
      <c r="N519" s="443"/>
      <c r="O519" s="250"/>
      <c r="P519" s="250"/>
      <c r="Q519" s="250"/>
      <c r="R519" s="250"/>
      <c r="S519" s="250"/>
      <c r="T519" s="250"/>
      <c r="U519" s="250"/>
      <c r="V519" s="443"/>
      <c r="W519" s="410"/>
      <c r="X519" s="39"/>
      <c r="Y519" s="39"/>
      <c r="Z519" s="472"/>
      <c r="AA519" s="76"/>
      <c r="AB519" s="24"/>
      <c r="AC519" s="25"/>
      <c r="AD519" s="309"/>
      <c r="AE519" s="462"/>
      <c r="AF519" s="408"/>
      <c r="AG519" s="293"/>
      <c r="AH519" s="293"/>
      <c r="AI519" s="293"/>
      <c r="AJ519" s="293"/>
      <c r="AK519" s="293"/>
      <c r="AL519" s="327"/>
      <c r="AM519" s="463"/>
      <c r="AN519" s="513"/>
      <c r="AO519" s="88"/>
      <c r="AP519" s="116"/>
      <c r="AQ519" s="74"/>
      <c r="AR519" s="76"/>
      <c r="AS519" s="24"/>
      <c r="AT519" s="25"/>
      <c r="AU519" s="309"/>
      <c r="AV519" s="462"/>
      <c r="AW519" s="513"/>
      <c r="AX519" s="74"/>
      <c r="AY519" s="74"/>
      <c r="AZ519" s="75"/>
      <c r="BA519" s="61"/>
      <c r="BB519" s="60"/>
      <c r="BC519" s="74"/>
      <c r="BD519" s="79"/>
      <c r="BE519" s="79"/>
      <c r="BF519" s="127"/>
      <c r="BG519" s="128"/>
      <c r="BH519" s="128"/>
      <c r="BI519" s="76"/>
      <c r="BJ519" s="24"/>
      <c r="BK519" s="25"/>
      <c r="BL519" s="259"/>
      <c r="BM519" s="533"/>
    </row>
    <row r="520" spans="1:65" ht="45.95" customHeight="1">
      <c r="A520" s="91"/>
      <c r="B520" s="358" t="s">
        <v>2711</v>
      </c>
      <c r="C520" s="50" t="s">
        <v>1068</v>
      </c>
      <c r="D520" s="177" t="s">
        <v>1022</v>
      </c>
      <c r="E520" s="384" t="s">
        <v>13</v>
      </c>
      <c r="F520" s="410">
        <v>119492</v>
      </c>
      <c r="G520" s="10">
        <v>250000</v>
      </c>
      <c r="H520" s="167">
        <v>250000</v>
      </c>
      <c r="I520" s="10">
        <v>218900</v>
      </c>
      <c r="J520" s="76">
        <f t="shared" si="636"/>
        <v>234450</v>
      </c>
      <c r="K520" s="24">
        <f t="shared" si="637"/>
        <v>114958</v>
      </c>
      <c r="L520" s="281">
        <f t="shared" si="638"/>
        <v>0.96205603722424937</v>
      </c>
      <c r="M520" s="431">
        <f t="shared" si="639"/>
        <v>250000</v>
      </c>
      <c r="N520" s="443"/>
      <c r="O520" s="250"/>
      <c r="P520" s="250"/>
      <c r="Q520" s="250"/>
      <c r="R520" s="250"/>
      <c r="S520" s="250"/>
      <c r="T520" s="250"/>
      <c r="U520" s="250"/>
      <c r="V520" s="443"/>
      <c r="W520" s="410"/>
      <c r="X520" s="39"/>
      <c r="Y520" s="39"/>
      <c r="Z520" s="472"/>
      <c r="AA520" s="76"/>
      <c r="AB520" s="24"/>
      <c r="AC520" s="25"/>
      <c r="AD520" s="309"/>
      <c r="AE520" s="462"/>
      <c r="AF520" s="408"/>
      <c r="AG520" s="293"/>
      <c r="AH520" s="293"/>
      <c r="AI520" s="293"/>
      <c r="AJ520" s="293"/>
      <c r="AK520" s="293"/>
      <c r="AL520" s="327"/>
      <c r="AM520" s="463"/>
      <c r="AN520" s="513"/>
      <c r="AO520" s="88"/>
      <c r="AP520" s="116"/>
      <c r="AQ520" s="74"/>
      <c r="AR520" s="76"/>
      <c r="AS520" s="24"/>
      <c r="AT520" s="25"/>
      <c r="AU520" s="309"/>
      <c r="AV520" s="462"/>
      <c r="AW520" s="513"/>
      <c r="AX520" s="74"/>
      <c r="AY520" s="74"/>
      <c r="AZ520" s="75"/>
      <c r="BA520" s="61"/>
      <c r="BB520" s="60"/>
      <c r="BC520" s="74"/>
      <c r="BD520" s="79"/>
      <c r="BE520" s="79"/>
      <c r="BF520" s="127"/>
      <c r="BG520" s="128"/>
      <c r="BH520" s="128"/>
      <c r="BI520" s="76"/>
      <c r="BJ520" s="24"/>
      <c r="BK520" s="25"/>
      <c r="BL520" s="259"/>
      <c r="BM520" s="533"/>
    </row>
    <row r="521" spans="1:65" ht="45.95" customHeight="1">
      <c r="A521" s="91"/>
      <c r="B521" s="358" t="s">
        <v>2712</v>
      </c>
      <c r="C521" s="50" t="s">
        <v>1069</v>
      </c>
      <c r="D521" s="177" t="s">
        <v>1023</v>
      </c>
      <c r="E521" s="384" t="s">
        <v>14</v>
      </c>
      <c r="F521" s="410">
        <v>121817</v>
      </c>
      <c r="G521" s="10">
        <v>50132</v>
      </c>
      <c r="H521" s="167">
        <v>50132</v>
      </c>
      <c r="I521" s="10">
        <v>89000</v>
      </c>
      <c r="J521" s="76">
        <f t="shared" si="636"/>
        <v>69566</v>
      </c>
      <c r="K521" s="24">
        <f t="shared" si="637"/>
        <v>-52251</v>
      </c>
      <c r="L521" s="281">
        <f t="shared" si="638"/>
        <v>-0.42893028066690198</v>
      </c>
      <c r="M521" s="431">
        <f t="shared" si="639"/>
        <v>50132</v>
      </c>
      <c r="N521" s="443"/>
      <c r="O521" s="250"/>
      <c r="P521" s="250"/>
      <c r="Q521" s="250"/>
      <c r="R521" s="250"/>
      <c r="S521" s="250"/>
      <c r="T521" s="250"/>
      <c r="U521" s="250"/>
      <c r="V521" s="443"/>
      <c r="W521" s="410"/>
      <c r="X521" s="39"/>
      <c r="Y521" s="39"/>
      <c r="Z521" s="472"/>
      <c r="AA521" s="76"/>
      <c r="AB521" s="24"/>
      <c r="AC521" s="25"/>
      <c r="AD521" s="309"/>
      <c r="AE521" s="462"/>
      <c r="AF521" s="408"/>
      <c r="AG521" s="293"/>
      <c r="AH521" s="293"/>
      <c r="AI521" s="293"/>
      <c r="AJ521" s="293"/>
      <c r="AK521" s="293"/>
      <c r="AL521" s="327"/>
      <c r="AM521" s="463"/>
      <c r="AN521" s="513"/>
      <c r="AO521" s="88"/>
      <c r="AP521" s="116"/>
      <c r="AQ521" s="74"/>
      <c r="AR521" s="76"/>
      <c r="AS521" s="24"/>
      <c r="AT521" s="25"/>
      <c r="AU521" s="309"/>
      <c r="AV521" s="462"/>
      <c r="AW521" s="513"/>
      <c r="AX521" s="74"/>
      <c r="AY521" s="74"/>
      <c r="AZ521" s="75"/>
      <c r="BA521" s="61"/>
      <c r="BB521" s="60"/>
      <c r="BC521" s="74"/>
      <c r="BD521" s="79"/>
      <c r="BE521" s="79"/>
      <c r="BF521" s="127"/>
      <c r="BG521" s="128"/>
      <c r="BH521" s="128"/>
      <c r="BI521" s="76"/>
      <c r="BJ521" s="24"/>
      <c r="BK521" s="25"/>
      <c r="BL521" s="259"/>
      <c r="BM521" s="533"/>
    </row>
    <row r="522" spans="1:65" ht="45.95" customHeight="1">
      <c r="A522" s="91"/>
      <c r="B522" s="358" t="s">
        <v>2713</v>
      </c>
      <c r="C522" s="50" t="s">
        <v>1070</v>
      </c>
      <c r="D522" s="177" t="s">
        <v>1024</v>
      </c>
      <c r="E522" s="384" t="s">
        <v>13</v>
      </c>
      <c r="F522" s="410">
        <v>57003</v>
      </c>
      <c r="G522" s="10">
        <v>65000</v>
      </c>
      <c r="H522" s="167">
        <v>195000</v>
      </c>
      <c r="I522" s="10">
        <v>55000</v>
      </c>
      <c r="J522" s="76">
        <f t="shared" si="636"/>
        <v>60000</v>
      </c>
      <c r="K522" s="24">
        <f t="shared" si="637"/>
        <v>2997</v>
      </c>
      <c r="L522" s="281">
        <f t="shared" si="638"/>
        <v>5.2576180201042051E-2</v>
      </c>
      <c r="M522" s="431">
        <f t="shared" si="639"/>
        <v>195000</v>
      </c>
      <c r="N522" s="443"/>
      <c r="O522" s="250"/>
      <c r="P522" s="250"/>
      <c r="Q522" s="250"/>
      <c r="R522" s="250"/>
      <c r="S522" s="250"/>
      <c r="T522" s="250"/>
      <c r="U522" s="250"/>
      <c r="V522" s="443"/>
      <c r="W522" s="410"/>
      <c r="X522" s="39"/>
      <c r="Y522" s="39"/>
      <c r="Z522" s="472"/>
      <c r="AA522" s="76"/>
      <c r="AB522" s="24"/>
      <c r="AC522" s="25"/>
      <c r="AD522" s="309"/>
      <c r="AE522" s="462"/>
      <c r="AF522" s="408"/>
      <c r="AG522" s="293"/>
      <c r="AH522" s="293"/>
      <c r="AI522" s="293"/>
      <c r="AJ522" s="293"/>
      <c r="AK522" s="293"/>
      <c r="AL522" s="327"/>
      <c r="AM522" s="463"/>
      <c r="AN522" s="513"/>
      <c r="AO522" s="88"/>
      <c r="AP522" s="116"/>
      <c r="AQ522" s="74"/>
      <c r="AR522" s="76"/>
      <c r="AS522" s="24"/>
      <c r="AT522" s="25"/>
      <c r="AU522" s="309"/>
      <c r="AV522" s="462"/>
      <c r="AW522" s="513"/>
      <c r="AX522" s="74"/>
      <c r="AY522" s="74"/>
      <c r="AZ522" s="75"/>
      <c r="BA522" s="61"/>
      <c r="BB522" s="60"/>
      <c r="BC522" s="74"/>
      <c r="BD522" s="79"/>
      <c r="BE522" s="79"/>
      <c r="BF522" s="127"/>
      <c r="BG522" s="128"/>
      <c r="BH522" s="128"/>
      <c r="BI522" s="76"/>
      <c r="BJ522" s="24"/>
      <c r="BK522" s="25"/>
      <c r="BL522" s="259"/>
      <c r="BM522" s="533"/>
    </row>
    <row r="523" spans="1:65" ht="45.95" customHeight="1">
      <c r="A523" s="91"/>
      <c r="B523" s="358" t="s">
        <v>2714</v>
      </c>
      <c r="C523" s="50" t="s">
        <v>1071</v>
      </c>
      <c r="D523" s="177" t="s">
        <v>1025</v>
      </c>
      <c r="E523" s="384" t="s">
        <v>13</v>
      </c>
      <c r="F523" s="410">
        <v>58959</v>
      </c>
      <c r="G523" s="10">
        <v>14000</v>
      </c>
      <c r="H523" s="167">
        <v>28000</v>
      </c>
      <c r="I523" s="10">
        <v>18700</v>
      </c>
      <c r="J523" s="76">
        <f t="shared" si="636"/>
        <v>16350</v>
      </c>
      <c r="K523" s="24">
        <f t="shared" si="637"/>
        <v>-42609</v>
      </c>
      <c r="L523" s="281">
        <f t="shared" si="638"/>
        <v>-0.7226886480435557</v>
      </c>
      <c r="M523" s="431">
        <f t="shared" si="639"/>
        <v>28000</v>
      </c>
      <c r="N523" s="443"/>
      <c r="O523" s="250"/>
      <c r="P523" s="250"/>
      <c r="Q523" s="250"/>
      <c r="R523" s="250"/>
      <c r="S523" s="250"/>
      <c r="T523" s="250"/>
      <c r="U523" s="250"/>
      <c r="V523" s="443"/>
      <c r="W523" s="410"/>
      <c r="X523" s="39"/>
      <c r="Y523" s="39"/>
      <c r="Z523" s="472"/>
      <c r="AA523" s="76"/>
      <c r="AB523" s="24"/>
      <c r="AC523" s="25"/>
      <c r="AD523" s="309"/>
      <c r="AE523" s="462"/>
      <c r="AF523" s="408"/>
      <c r="AG523" s="293"/>
      <c r="AH523" s="293"/>
      <c r="AI523" s="293"/>
      <c r="AJ523" s="293"/>
      <c r="AK523" s="293"/>
      <c r="AL523" s="327"/>
      <c r="AM523" s="463"/>
      <c r="AN523" s="513"/>
      <c r="AO523" s="88"/>
      <c r="AP523" s="116"/>
      <c r="AQ523" s="74"/>
      <c r="AR523" s="76"/>
      <c r="AS523" s="24"/>
      <c r="AT523" s="25"/>
      <c r="AU523" s="309"/>
      <c r="AV523" s="462"/>
      <c r="AW523" s="513"/>
      <c r="AX523" s="74"/>
      <c r="AY523" s="74"/>
      <c r="AZ523" s="75"/>
      <c r="BA523" s="61"/>
      <c r="BB523" s="60"/>
      <c r="BC523" s="74"/>
      <c r="BD523" s="79"/>
      <c r="BE523" s="79"/>
      <c r="BF523" s="127"/>
      <c r="BG523" s="128"/>
      <c r="BH523" s="128"/>
      <c r="BI523" s="76"/>
      <c r="BJ523" s="24"/>
      <c r="BK523" s="25"/>
      <c r="BL523" s="259"/>
      <c r="BM523" s="533"/>
    </row>
    <row r="524" spans="1:65" ht="45.95" customHeight="1">
      <c r="A524" s="91"/>
      <c r="B524" s="358" t="s">
        <v>2715</v>
      </c>
      <c r="C524" s="50" t="s">
        <v>1072</v>
      </c>
      <c r="D524" s="177" t="s">
        <v>1026</v>
      </c>
      <c r="E524" s="384" t="s">
        <v>13</v>
      </c>
      <c r="F524" s="410">
        <v>105253</v>
      </c>
      <c r="G524" s="10">
        <v>25000</v>
      </c>
      <c r="H524" s="167">
        <v>75000</v>
      </c>
      <c r="I524" s="10">
        <v>185000</v>
      </c>
      <c r="J524" s="76">
        <f t="shared" si="636"/>
        <v>105000</v>
      </c>
      <c r="K524" s="24">
        <f t="shared" si="637"/>
        <v>-253</v>
      </c>
      <c r="L524" s="281">
        <f t="shared" si="638"/>
        <v>-2.4037319601341528E-3</v>
      </c>
      <c r="M524" s="431">
        <f t="shared" si="639"/>
        <v>75000</v>
      </c>
      <c r="N524" s="443"/>
      <c r="O524" s="250"/>
      <c r="P524" s="250"/>
      <c r="Q524" s="250"/>
      <c r="R524" s="250"/>
      <c r="S524" s="250"/>
      <c r="T524" s="250"/>
      <c r="U524" s="250"/>
      <c r="V524" s="443"/>
      <c r="W524" s="410"/>
      <c r="X524" s="39"/>
      <c r="Y524" s="39"/>
      <c r="Z524" s="472"/>
      <c r="AA524" s="76"/>
      <c r="AB524" s="24"/>
      <c r="AC524" s="25"/>
      <c r="AD524" s="309"/>
      <c r="AE524" s="462"/>
      <c r="AF524" s="408"/>
      <c r="AG524" s="293"/>
      <c r="AH524" s="293"/>
      <c r="AI524" s="293"/>
      <c r="AJ524" s="293"/>
      <c r="AK524" s="293"/>
      <c r="AL524" s="327"/>
      <c r="AM524" s="463"/>
      <c r="AN524" s="513"/>
      <c r="AO524" s="88"/>
      <c r="AP524" s="116"/>
      <c r="AQ524" s="74"/>
      <c r="AR524" s="76"/>
      <c r="AS524" s="24"/>
      <c r="AT524" s="25"/>
      <c r="AU524" s="309"/>
      <c r="AV524" s="462"/>
      <c r="AW524" s="513"/>
      <c r="AX524" s="74"/>
      <c r="AY524" s="74"/>
      <c r="AZ524" s="75"/>
      <c r="BA524" s="61"/>
      <c r="BB524" s="60"/>
      <c r="BC524" s="74"/>
      <c r="BD524" s="79"/>
      <c r="BE524" s="79"/>
      <c r="BF524" s="127"/>
      <c r="BG524" s="128"/>
      <c r="BH524" s="128"/>
      <c r="BI524" s="76"/>
      <c r="BJ524" s="24"/>
      <c r="BK524" s="25"/>
      <c r="BL524" s="259"/>
      <c r="BM524" s="533"/>
    </row>
    <row r="525" spans="1:65" ht="45.95" customHeight="1">
      <c r="A525" s="91"/>
      <c r="B525" s="358" t="s">
        <v>2716</v>
      </c>
      <c r="C525" s="50" t="s">
        <v>1708</v>
      </c>
      <c r="D525" s="264" t="s">
        <v>1691</v>
      </c>
      <c r="E525" s="393" t="s">
        <v>1399</v>
      </c>
      <c r="F525" s="410"/>
      <c r="G525" s="10"/>
      <c r="H525" s="167"/>
      <c r="I525" s="10"/>
      <c r="J525" s="76"/>
      <c r="K525" s="24"/>
      <c r="L525" s="281"/>
      <c r="M525" s="431"/>
      <c r="N525" s="410">
        <v>7556</v>
      </c>
      <c r="O525" s="10">
        <v>90000</v>
      </c>
      <c r="P525" s="10"/>
      <c r="Q525" s="10"/>
      <c r="R525" s="10">
        <v>150000</v>
      </c>
      <c r="S525" s="76">
        <f t="shared" ref="S525" si="648">AVERAGE(O525,P525,Q525,R525)</f>
        <v>120000</v>
      </c>
      <c r="T525" s="24">
        <f t="shared" ref="T525" si="649">S525-N525</f>
        <v>112444</v>
      </c>
      <c r="U525" s="281">
        <f t="shared" ref="U525" si="650">+T525/N525</f>
        <v>14.881418740074114</v>
      </c>
      <c r="V525" s="462">
        <f t="shared" ref="V525" si="651">S525</f>
        <v>120000</v>
      </c>
      <c r="W525" s="410"/>
      <c r="X525" s="39"/>
      <c r="Y525" s="39"/>
      <c r="Z525" s="472"/>
      <c r="AA525" s="76"/>
      <c r="AB525" s="24"/>
      <c r="AC525" s="25"/>
      <c r="AD525" s="309"/>
      <c r="AE525" s="462"/>
      <c r="AF525" s="410">
        <v>34801</v>
      </c>
      <c r="AG525" s="325"/>
      <c r="AH525" s="325"/>
      <c r="AI525" s="325">
        <v>25200</v>
      </c>
      <c r="AJ525" s="76">
        <f t="shared" ref="AJ525" si="652">AVERAGE(AG525,AH525,AI525)</f>
        <v>25200</v>
      </c>
      <c r="AK525" s="24">
        <f t="shared" ref="AK525" si="653">AJ525-AF525</f>
        <v>-9601</v>
      </c>
      <c r="AL525" s="281">
        <f t="shared" ref="AL525" si="654">+AK525/AF525</f>
        <v>-0.27588287692882391</v>
      </c>
      <c r="AM525" s="491">
        <f>AVERAGE(AI525,AF525)</f>
        <v>30000.5</v>
      </c>
      <c r="AN525" s="513"/>
      <c r="AO525" s="88"/>
      <c r="AP525" s="116"/>
      <c r="AQ525" s="74"/>
      <c r="AR525" s="76"/>
      <c r="AS525" s="24"/>
      <c r="AT525" s="25"/>
      <c r="AU525" s="309"/>
      <c r="AV525" s="462"/>
      <c r="AW525" s="513"/>
      <c r="AX525" s="74"/>
      <c r="AY525" s="74"/>
      <c r="AZ525" s="75"/>
      <c r="BA525" s="61"/>
      <c r="BB525" s="60"/>
      <c r="BC525" s="74"/>
      <c r="BD525" s="79"/>
      <c r="BE525" s="79"/>
      <c r="BF525" s="127"/>
      <c r="BG525" s="128"/>
      <c r="BH525" s="128"/>
      <c r="BI525" s="76"/>
      <c r="BJ525" s="24"/>
      <c r="BK525" s="25"/>
      <c r="BL525" s="259"/>
      <c r="BM525" s="533"/>
    </row>
    <row r="526" spans="1:65" ht="45.95" customHeight="1">
      <c r="A526" s="91"/>
      <c r="B526" s="358" t="s">
        <v>2717</v>
      </c>
      <c r="C526" s="50" t="s">
        <v>1709</v>
      </c>
      <c r="D526" s="264" t="s">
        <v>1692</v>
      </c>
      <c r="E526" s="393" t="s">
        <v>1399</v>
      </c>
      <c r="F526" s="410"/>
      <c r="G526" s="10"/>
      <c r="H526" s="167"/>
      <c r="I526" s="10"/>
      <c r="J526" s="76"/>
      <c r="K526" s="24"/>
      <c r="L526" s="281"/>
      <c r="M526" s="431"/>
      <c r="N526" s="410">
        <v>330811</v>
      </c>
      <c r="O526" s="10"/>
      <c r="P526" s="10"/>
      <c r="Q526" s="10"/>
      <c r="R526" s="10"/>
      <c r="S526" s="76"/>
      <c r="T526" s="24"/>
      <c r="U526" s="281"/>
      <c r="V526" s="464" t="s">
        <v>807</v>
      </c>
      <c r="W526" s="410"/>
      <c r="X526" s="39"/>
      <c r="Y526" s="39"/>
      <c r="Z526" s="472"/>
      <c r="AA526" s="76"/>
      <c r="AB526" s="24"/>
      <c r="AC526" s="25"/>
      <c r="AD526" s="309"/>
      <c r="AE526" s="462"/>
      <c r="AF526" s="408"/>
      <c r="AG526" s="293"/>
      <c r="AH526" s="293"/>
      <c r="AI526" s="293"/>
      <c r="AJ526" s="293"/>
      <c r="AK526" s="293"/>
      <c r="AL526" s="327"/>
      <c r="AM526" s="463"/>
      <c r="AN526" s="513"/>
      <c r="AO526" s="88"/>
      <c r="AP526" s="116"/>
      <c r="AQ526" s="74"/>
      <c r="AR526" s="76"/>
      <c r="AS526" s="24"/>
      <c r="AT526" s="25"/>
      <c r="AU526" s="309"/>
      <c r="AV526" s="462"/>
      <c r="AW526" s="513"/>
      <c r="AX526" s="74"/>
      <c r="AY526" s="74"/>
      <c r="AZ526" s="75"/>
      <c r="BA526" s="61"/>
      <c r="BB526" s="60"/>
      <c r="BC526" s="74"/>
      <c r="BD526" s="79"/>
      <c r="BE526" s="79"/>
      <c r="BF526" s="127"/>
      <c r="BG526" s="128"/>
      <c r="BH526" s="128"/>
      <c r="BI526" s="76"/>
      <c r="BJ526" s="24"/>
      <c r="BK526" s="25"/>
      <c r="BL526" s="259"/>
      <c r="BM526" s="533"/>
    </row>
    <row r="527" spans="1:65">
      <c r="A527" s="91"/>
      <c r="B527" s="358" t="s">
        <v>2718</v>
      </c>
      <c r="C527" s="50" t="s">
        <v>1710</v>
      </c>
      <c r="D527" s="264" t="s">
        <v>1693</v>
      </c>
      <c r="E527" s="393" t="s">
        <v>1466</v>
      </c>
      <c r="F527" s="410"/>
      <c r="G527" s="10"/>
      <c r="H527" s="167"/>
      <c r="I527" s="10"/>
      <c r="J527" s="76"/>
      <c r="K527" s="24"/>
      <c r="L527" s="281"/>
      <c r="M527" s="431"/>
      <c r="N527" s="410">
        <v>52362</v>
      </c>
      <c r="O527" s="10"/>
      <c r="P527" s="10"/>
      <c r="Q527" s="10"/>
      <c r="R527" s="10">
        <v>350000</v>
      </c>
      <c r="S527" s="76">
        <f t="shared" ref="S527:S529" si="655">AVERAGE(O527,P527,Q527,R527)</f>
        <v>350000</v>
      </c>
      <c r="T527" s="24">
        <f t="shared" ref="T527:T529" si="656">S527-N527</f>
        <v>297638</v>
      </c>
      <c r="U527" s="281">
        <f t="shared" ref="U527:U529" si="657">+T527/N527</f>
        <v>5.6842366601734078</v>
      </c>
      <c r="V527" s="462">
        <f t="shared" ref="V527:V529" si="658">S527</f>
        <v>350000</v>
      </c>
      <c r="W527" s="410"/>
      <c r="X527" s="39"/>
      <c r="Y527" s="39"/>
      <c r="Z527" s="472"/>
      <c r="AA527" s="76"/>
      <c r="AB527" s="24"/>
      <c r="AC527" s="25"/>
      <c r="AD527" s="309"/>
      <c r="AE527" s="462"/>
      <c r="AF527" s="408"/>
      <c r="AG527" s="293"/>
      <c r="AH527" s="293"/>
      <c r="AI527" s="293"/>
      <c r="AJ527" s="293"/>
      <c r="AK527" s="293"/>
      <c r="AL527" s="327"/>
      <c r="AM527" s="463"/>
      <c r="AN527" s="513"/>
      <c r="AO527" s="88"/>
      <c r="AP527" s="116"/>
      <c r="AQ527" s="74"/>
      <c r="AR527" s="76"/>
      <c r="AS527" s="24"/>
      <c r="AT527" s="25"/>
      <c r="AU527" s="309"/>
      <c r="AV527" s="462"/>
      <c r="AW527" s="513"/>
      <c r="AX527" s="74"/>
      <c r="AY527" s="74"/>
      <c r="AZ527" s="75"/>
      <c r="BA527" s="61"/>
      <c r="BB527" s="60"/>
      <c r="BC527" s="74"/>
      <c r="BD527" s="79"/>
      <c r="BE527" s="79"/>
      <c r="BF527" s="127"/>
      <c r="BG527" s="128"/>
      <c r="BH527" s="128"/>
      <c r="BI527" s="76"/>
      <c r="BJ527" s="24"/>
      <c r="BK527" s="25"/>
      <c r="BL527" s="259"/>
      <c r="BM527" s="533"/>
    </row>
    <row r="528" spans="1:65">
      <c r="A528" s="91"/>
      <c r="B528" s="358" t="s">
        <v>2719</v>
      </c>
      <c r="C528" s="50" t="s">
        <v>1711</v>
      </c>
      <c r="D528" s="264" t="s">
        <v>1694</v>
      </c>
      <c r="E528" s="393" t="s">
        <v>1466</v>
      </c>
      <c r="F528" s="410"/>
      <c r="G528" s="10"/>
      <c r="H528" s="167"/>
      <c r="I528" s="10"/>
      <c r="J528" s="76"/>
      <c r="K528" s="24"/>
      <c r="L528" s="281"/>
      <c r="M528" s="431"/>
      <c r="N528" s="410">
        <v>491742</v>
      </c>
      <c r="O528" s="10"/>
      <c r="P528" s="10"/>
      <c r="Q528" s="10"/>
      <c r="R528" s="10">
        <v>600000</v>
      </c>
      <c r="S528" s="76">
        <f t="shared" si="655"/>
        <v>600000</v>
      </c>
      <c r="T528" s="24">
        <f t="shared" si="656"/>
        <v>108258</v>
      </c>
      <c r="U528" s="281">
        <f t="shared" si="657"/>
        <v>0.22015203094305549</v>
      </c>
      <c r="V528" s="462">
        <f t="shared" si="658"/>
        <v>600000</v>
      </c>
      <c r="W528" s="410"/>
      <c r="X528" s="39"/>
      <c r="Y528" s="39"/>
      <c r="Z528" s="472"/>
      <c r="AA528" s="76"/>
      <c r="AB528" s="24"/>
      <c r="AC528" s="25"/>
      <c r="AD528" s="309"/>
      <c r="AE528" s="462"/>
      <c r="AF528" s="408"/>
      <c r="AG528" s="293"/>
      <c r="AH528" s="293"/>
      <c r="AI528" s="293"/>
      <c r="AJ528" s="293"/>
      <c r="AK528" s="293"/>
      <c r="AL528" s="327"/>
      <c r="AM528" s="463"/>
      <c r="AN528" s="513"/>
      <c r="AO528" s="88"/>
      <c r="AP528" s="116"/>
      <c r="AQ528" s="74"/>
      <c r="AR528" s="76"/>
      <c r="AS528" s="24"/>
      <c r="AT528" s="25"/>
      <c r="AU528" s="309"/>
      <c r="AV528" s="462"/>
      <c r="AW528" s="513"/>
      <c r="AX528" s="74"/>
      <c r="AY528" s="74"/>
      <c r="AZ528" s="75"/>
      <c r="BA528" s="61"/>
      <c r="BB528" s="60"/>
      <c r="BC528" s="74"/>
      <c r="BD528" s="79"/>
      <c r="BE528" s="79"/>
      <c r="BF528" s="127"/>
      <c r="BG528" s="128"/>
      <c r="BH528" s="128"/>
      <c r="BI528" s="76"/>
      <c r="BJ528" s="24"/>
      <c r="BK528" s="25"/>
      <c r="BL528" s="259"/>
      <c r="BM528" s="533"/>
    </row>
    <row r="529" spans="1:65" ht="45.95" customHeight="1">
      <c r="A529" s="91"/>
      <c r="B529" s="358" t="s">
        <v>2720</v>
      </c>
      <c r="C529" s="50" t="s">
        <v>1712</v>
      </c>
      <c r="D529" s="264" t="s">
        <v>1695</v>
      </c>
      <c r="E529" s="393" t="s">
        <v>999</v>
      </c>
      <c r="F529" s="410"/>
      <c r="G529" s="10"/>
      <c r="H529" s="167"/>
      <c r="I529" s="10"/>
      <c r="J529" s="76"/>
      <c r="K529" s="24"/>
      <c r="L529" s="281"/>
      <c r="M529" s="431"/>
      <c r="N529" s="410">
        <v>2779034</v>
      </c>
      <c r="O529" s="10"/>
      <c r="P529" s="10"/>
      <c r="Q529" s="10"/>
      <c r="R529" s="10">
        <v>1550000</v>
      </c>
      <c r="S529" s="76">
        <f t="shared" si="655"/>
        <v>1550000</v>
      </c>
      <c r="T529" s="24">
        <f t="shared" si="656"/>
        <v>-1229034</v>
      </c>
      <c r="U529" s="281">
        <f t="shared" si="657"/>
        <v>-0.4422522358488597</v>
      </c>
      <c r="V529" s="462">
        <f t="shared" si="658"/>
        <v>1550000</v>
      </c>
      <c r="W529" s="410"/>
      <c r="X529" s="39"/>
      <c r="Y529" s="39"/>
      <c r="Z529" s="472"/>
      <c r="AA529" s="76"/>
      <c r="AB529" s="24"/>
      <c r="AC529" s="25"/>
      <c r="AD529" s="309"/>
      <c r="AE529" s="462"/>
      <c r="AF529" s="408"/>
      <c r="AG529" s="293"/>
      <c r="AH529" s="293"/>
      <c r="AI529" s="293"/>
      <c r="AJ529" s="293"/>
      <c r="AK529" s="293"/>
      <c r="AL529" s="327"/>
      <c r="AM529" s="463"/>
      <c r="AN529" s="513"/>
      <c r="AO529" s="88"/>
      <c r="AP529" s="116"/>
      <c r="AQ529" s="74"/>
      <c r="AR529" s="76"/>
      <c r="AS529" s="24"/>
      <c r="AT529" s="25"/>
      <c r="AU529" s="309"/>
      <c r="AV529" s="462"/>
      <c r="AW529" s="513"/>
      <c r="AX529" s="74"/>
      <c r="AY529" s="74"/>
      <c r="AZ529" s="75"/>
      <c r="BA529" s="61"/>
      <c r="BB529" s="60"/>
      <c r="BC529" s="74"/>
      <c r="BD529" s="79"/>
      <c r="BE529" s="79"/>
      <c r="BF529" s="127"/>
      <c r="BG529" s="128"/>
      <c r="BH529" s="128"/>
      <c r="BI529" s="76"/>
      <c r="BJ529" s="24"/>
      <c r="BK529" s="25"/>
      <c r="BL529" s="259"/>
      <c r="BM529" s="533"/>
    </row>
    <row r="530" spans="1:65" ht="32.1" customHeight="1">
      <c r="A530" s="91"/>
      <c r="B530" s="358" t="s">
        <v>2721</v>
      </c>
      <c r="C530" s="50" t="s">
        <v>1713</v>
      </c>
      <c r="D530" s="264" t="s">
        <v>1696</v>
      </c>
      <c r="E530" s="393" t="s">
        <v>1457</v>
      </c>
      <c r="F530" s="410"/>
      <c r="G530" s="10"/>
      <c r="H530" s="167"/>
      <c r="I530" s="10"/>
      <c r="J530" s="76"/>
      <c r="K530" s="24"/>
      <c r="L530" s="281"/>
      <c r="M530" s="431"/>
      <c r="N530" s="410">
        <v>81755</v>
      </c>
      <c r="O530" s="10"/>
      <c r="P530" s="10"/>
      <c r="Q530" s="10"/>
      <c r="R530" s="10"/>
      <c r="S530" s="76"/>
      <c r="T530" s="24"/>
      <c r="U530" s="281"/>
      <c r="V530" s="462" t="s">
        <v>894</v>
      </c>
      <c r="W530" s="410"/>
      <c r="X530" s="39"/>
      <c r="Y530" s="39"/>
      <c r="Z530" s="472"/>
      <c r="AA530" s="76"/>
      <c r="AB530" s="24"/>
      <c r="AC530" s="25"/>
      <c r="AD530" s="309"/>
      <c r="AE530" s="462"/>
      <c r="AF530" s="408"/>
      <c r="AG530" s="293"/>
      <c r="AH530" s="293"/>
      <c r="AI530" s="293"/>
      <c r="AJ530" s="293"/>
      <c r="AK530" s="293"/>
      <c r="AL530" s="327"/>
      <c r="AM530" s="463"/>
      <c r="AN530" s="513"/>
      <c r="AO530" s="88"/>
      <c r="AP530" s="116"/>
      <c r="AQ530" s="74"/>
      <c r="AR530" s="76"/>
      <c r="AS530" s="24"/>
      <c r="AT530" s="25"/>
      <c r="AU530" s="309"/>
      <c r="AV530" s="462"/>
      <c r="AW530" s="513"/>
      <c r="AX530" s="74"/>
      <c r="AY530" s="74"/>
      <c r="AZ530" s="75"/>
      <c r="BA530" s="61"/>
      <c r="BB530" s="60"/>
      <c r="BC530" s="74"/>
      <c r="BD530" s="79"/>
      <c r="BE530" s="79"/>
      <c r="BF530" s="127"/>
      <c r="BG530" s="128"/>
      <c r="BH530" s="128"/>
      <c r="BI530" s="76"/>
      <c r="BJ530" s="24"/>
      <c r="BK530" s="25"/>
      <c r="BL530" s="259"/>
      <c r="BM530" s="533"/>
    </row>
    <row r="531" spans="1:65" ht="42" customHeight="1">
      <c r="A531" s="91"/>
      <c r="B531" s="358" t="s">
        <v>2722</v>
      </c>
      <c r="C531" s="50" t="s">
        <v>1714</v>
      </c>
      <c r="D531" s="264" t="s">
        <v>1697</v>
      </c>
      <c r="E531" s="393" t="s">
        <v>1466</v>
      </c>
      <c r="F531" s="410"/>
      <c r="G531" s="10"/>
      <c r="H531" s="167"/>
      <c r="I531" s="10"/>
      <c r="J531" s="76"/>
      <c r="K531" s="24"/>
      <c r="L531" s="281"/>
      <c r="M531" s="431"/>
      <c r="N531" s="410">
        <v>16607</v>
      </c>
      <c r="O531" s="10"/>
      <c r="P531" s="10"/>
      <c r="Q531" s="10"/>
      <c r="R531" s="10"/>
      <c r="S531" s="76"/>
      <c r="T531" s="24"/>
      <c r="U531" s="281"/>
      <c r="V531" s="464" t="s">
        <v>807</v>
      </c>
      <c r="W531" s="410"/>
      <c r="X531" s="39"/>
      <c r="Y531" s="39"/>
      <c r="Z531" s="472"/>
      <c r="AA531" s="76"/>
      <c r="AB531" s="24"/>
      <c r="AC531" s="25"/>
      <c r="AD531" s="309"/>
      <c r="AE531" s="462"/>
      <c r="AF531" s="408"/>
      <c r="AG531" s="293"/>
      <c r="AH531" s="293"/>
      <c r="AI531" s="293"/>
      <c r="AJ531" s="293"/>
      <c r="AK531" s="293"/>
      <c r="AL531" s="327"/>
      <c r="AM531" s="463"/>
      <c r="AN531" s="513"/>
      <c r="AO531" s="88"/>
      <c r="AP531" s="116"/>
      <c r="AQ531" s="74"/>
      <c r="AR531" s="76"/>
      <c r="AS531" s="24"/>
      <c r="AT531" s="25"/>
      <c r="AU531" s="309"/>
      <c r="AV531" s="462"/>
      <c r="AW531" s="513"/>
      <c r="AX531" s="74"/>
      <c r="AY531" s="74"/>
      <c r="AZ531" s="75"/>
      <c r="BA531" s="61"/>
      <c r="BB531" s="60"/>
      <c r="BC531" s="74"/>
      <c r="BD531" s="79"/>
      <c r="BE531" s="79"/>
      <c r="BF531" s="127"/>
      <c r="BG531" s="128"/>
      <c r="BH531" s="128"/>
      <c r="BI531" s="76"/>
      <c r="BJ531" s="24"/>
      <c r="BK531" s="25"/>
      <c r="BL531" s="259"/>
      <c r="BM531" s="533"/>
    </row>
    <row r="532" spans="1:65" ht="39.950000000000003" customHeight="1">
      <c r="A532" s="91"/>
      <c r="B532" s="358" t="s">
        <v>2723</v>
      </c>
      <c r="C532" s="50" t="s">
        <v>1715</v>
      </c>
      <c r="D532" s="264" t="s">
        <v>1698</v>
      </c>
      <c r="E532" s="393" t="s">
        <v>999</v>
      </c>
      <c r="F532" s="410"/>
      <c r="G532" s="10"/>
      <c r="H532" s="167"/>
      <c r="I532" s="10"/>
      <c r="J532" s="76"/>
      <c r="K532" s="24"/>
      <c r="L532" s="281"/>
      <c r="M532" s="431"/>
      <c r="N532" s="410">
        <v>4628273</v>
      </c>
      <c r="O532" s="10"/>
      <c r="P532" s="10"/>
      <c r="Q532" s="10"/>
      <c r="R532" s="10"/>
      <c r="S532" s="76"/>
      <c r="T532" s="24"/>
      <c r="U532" s="281"/>
      <c r="V532" s="464" t="s">
        <v>807</v>
      </c>
      <c r="W532" s="410"/>
      <c r="X532" s="39"/>
      <c r="Y532" s="39"/>
      <c r="Z532" s="472"/>
      <c r="AA532" s="76"/>
      <c r="AB532" s="24"/>
      <c r="AC532" s="25"/>
      <c r="AD532" s="309"/>
      <c r="AE532" s="462"/>
      <c r="AF532" s="408"/>
      <c r="AG532" s="293"/>
      <c r="AH532" s="293"/>
      <c r="AI532" s="293"/>
      <c r="AJ532" s="293"/>
      <c r="AK532" s="293"/>
      <c r="AL532" s="327"/>
      <c r="AM532" s="463"/>
      <c r="AN532" s="513"/>
      <c r="AO532" s="88"/>
      <c r="AP532" s="116"/>
      <c r="AQ532" s="74"/>
      <c r="AR532" s="76"/>
      <c r="AS532" s="24"/>
      <c r="AT532" s="25"/>
      <c r="AU532" s="309"/>
      <c r="AV532" s="462"/>
      <c r="AW532" s="513"/>
      <c r="AX532" s="74"/>
      <c r="AY532" s="74"/>
      <c r="AZ532" s="75"/>
      <c r="BA532" s="61"/>
      <c r="BB532" s="60"/>
      <c r="BC532" s="74"/>
      <c r="BD532" s="79"/>
      <c r="BE532" s="79"/>
      <c r="BF532" s="127"/>
      <c r="BG532" s="128"/>
      <c r="BH532" s="128"/>
      <c r="BI532" s="76"/>
      <c r="BJ532" s="24"/>
      <c r="BK532" s="25"/>
      <c r="BL532" s="259"/>
      <c r="BM532" s="533"/>
    </row>
    <row r="533" spans="1:65" ht="30">
      <c r="A533" s="91"/>
      <c r="B533" s="358" t="s">
        <v>2724</v>
      </c>
      <c r="C533" s="50" t="s">
        <v>1716</v>
      </c>
      <c r="D533" s="264" t="s">
        <v>1699</v>
      </c>
      <c r="E533" s="393" t="s">
        <v>999</v>
      </c>
      <c r="F533" s="410"/>
      <c r="G533" s="10"/>
      <c r="H533" s="167"/>
      <c r="I533" s="10"/>
      <c r="J533" s="76"/>
      <c r="K533" s="24"/>
      <c r="L533" s="281"/>
      <c r="M533" s="431"/>
      <c r="N533" s="410">
        <v>1766905</v>
      </c>
      <c r="O533" s="10"/>
      <c r="P533" s="10"/>
      <c r="Q533" s="10"/>
      <c r="R533" s="10"/>
      <c r="S533" s="76"/>
      <c r="T533" s="24"/>
      <c r="U533" s="281"/>
      <c r="V533" s="464" t="s">
        <v>807</v>
      </c>
      <c r="W533" s="410"/>
      <c r="X533" s="39"/>
      <c r="Y533" s="39"/>
      <c r="Z533" s="472"/>
      <c r="AA533" s="76"/>
      <c r="AB533" s="24"/>
      <c r="AC533" s="25"/>
      <c r="AD533" s="309"/>
      <c r="AE533" s="462"/>
      <c r="AF533" s="408"/>
      <c r="AG533" s="293"/>
      <c r="AH533" s="293"/>
      <c r="AI533" s="293"/>
      <c r="AJ533" s="293"/>
      <c r="AK533" s="293"/>
      <c r="AL533" s="327"/>
      <c r="AM533" s="463"/>
      <c r="AN533" s="513"/>
      <c r="AO533" s="88"/>
      <c r="AP533" s="116"/>
      <c r="AQ533" s="74"/>
      <c r="AR533" s="76"/>
      <c r="AS533" s="24"/>
      <c r="AT533" s="25"/>
      <c r="AU533" s="309"/>
      <c r="AV533" s="462"/>
      <c r="AW533" s="513"/>
      <c r="AX533" s="74"/>
      <c r="AY533" s="74"/>
      <c r="AZ533" s="75"/>
      <c r="BA533" s="61"/>
      <c r="BB533" s="60"/>
      <c r="BC533" s="74"/>
      <c r="BD533" s="79"/>
      <c r="BE533" s="79"/>
      <c r="BF533" s="127"/>
      <c r="BG533" s="128"/>
      <c r="BH533" s="128"/>
      <c r="BI533" s="76"/>
      <c r="BJ533" s="24"/>
      <c r="BK533" s="25"/>
      <c r="BL533" s="259"/>
      <c r="BM533" s="533"/>
    </row>
    <row r="534" spans="1:65" ht="45.95" customHeight="1">
      <c r="A534" s="91"/>
      <c r="B534" s="358" t="s">
        <v>2725</v>
      </c>
      <c r="C534" s="50" t="s">
        <v>1717</v>
      </c>
      <c r="D534" s="264" t="s">
        <v>1700</v>
      </c>
      <c r="E534" s="393" t="s">
        <v>999</v>
      </c>
      <c r="F534" s="410"/>
      <c r="G534" s="10"/>
      <c r="H534" s="167"/>
      <c r="I534" s="10"/>
      <c r="J534" s="76"/>
      <c r="K534" s="24"/>
      <c r="L534" s="281"/>
      <c r="M534" s="431"/>
      <c r="N534" s="410">
        <v>360716</v>
      </c>
      <c r="O534" s="10"/>
      <c r="P534" s="10"/>
      <c r="Q534" s="10"/>
      <c r="R534" s="10"/>
      <c r="S534" s="76"/>
      <c r="T534" s="24"/>
      <c r="U534" s="281"/>
      <c r="V534" s="464" t="s">
        <v>807</v>
      </c>
      <c r="W534" s="410"/>
      <c r="X534" s="39"/>
      <c r="Y534" s="39"/>
      <c r="Z534" s="472"/>
      <c r="AA534" s="76"/>
      <c r="AB534" s="24"/>
      <c r="AC534" s="25"/>
      <c r="AD534" s="309"/>
      <c r="AE534" s="462"/>
      <c r="AF534" s="408"/>
      <c r="AG534" s="293"/>
      <c r="AH534" s="293"/>
      <c r="AI534" s="293"/>
      <c r="AJ534" s="293"/>
      <c r="AK534" s="293"/>
      <c r="AL534" s="327"/>
      <c r="AM534" s="463"/>
      <c r="AN534" s="513"/>
      <c r="AO534" s="88"/>
      <c r="AP534" s="116"/>
      <c r="AQ534" s="74"/>
      <c r="AR534" s="76"/>
      <c r="AS534" s="24"/>
      <c r="AT534" s="25"/>
      <c r="AU534" s="309"/>
      <c r="AV534" s="462"/>
      <c r="AW534" s="513"/>
      <c r="AX534" s="74"/>
      <c r="AY534" s="74"/>
      <c r="AZ534" s="75"/>
      <c r="BA534" s="61"/>
      <c r="BB534" s="60"/>
      <c r="BC534" s="74"/>
      <c r="BD534" s="79"/>
      <c r="BE534" s="79"/>
      <c r="BF534" s="127"/>
      <c r="BG534" s="128"/>
      <c r="BH534" s="128"/>
      <c r="BI534" s="76"/>
      <c r="BJ534" s="24"/>
      <c r="BK534" s="25"/>
      <c r="BL534" s="259"/>
      <c r="BM534" s="533"/>
    </row>
    <row r="535" spans="1:65">
      <c r="A535" s="91"/>
      <c r="B535" s="358" t="s">
        <v>2726</v>
      </c>
      <c r="C535" s="50" t="s">
        <v>1718</v>
      </c>
      <c r="D535" s="264" t="s">
        <v>1701</v>
      </c>
      <c r="E535" s="393" t="s">
        <v>1466</v>
      </c>
      <c r="F535" s="410"/>
      <c r="G535" s="10"/>
      <c r="H535" s="167"/>
      <c r="I535" s="10"/>
      <c r="J535" s="76"/>
      <c r="K535" s="24"/>
      <c r="L535" s="281"/>
      <c r="M535" s="431"/>
      <c r="N535" s="410">
        <v>145467</v>
      </c>
      <c r="O535" s="10">
        <v>200000</v>
      </c>
      <c r="P535" s="10"/>
      <c r="Q535" s="10"/>
      <c r="R535" s="10"/>
      <c r="S535" s="76">
        <f t="shared" ref="S535:S536" si="659">AVERAGE(O535,P535,Q535,R535)</f>
        <v>200000</v>
      </c>
      <c r="T535" s="24">
        <f t="shared" ref="T535:T536" si="660">S535-N535</f>
        <v>54533</v>
      </c>
      <c r="U535" s="281">
        <f t="shared" ref="U535:U536" si="661">+T535/N535</f>
        <v>0.37488227570514276</v>
      </c>
      <c r="V535" s="462">
        <f t="shared" ref="V535:V537" si="662">S535</f>
        <v>200000</v>
      </c>
      <c r="W535" s="410"/>
      <c r="X535" s="39"/>
      <c r="Y535" s="39"/>
      <c r="Z535" s="472"/>
      <c r="AA535" s="76"/>
      <c r="AB535" s="24"/>
      <c r="AC535" s="25"/>
      <c r="AD535" s="309"/>
      <c r="AE535" s="462"/>
      <c r="AF535" s="408"/>
      <c r="AG535" s="293"/>
      <c r="AH535" s="293"/>
      <c r="AI535" s="293"/>
      <c r="AJ535" s="293"/>
      <c r="AK535" s="293"/>
      <c r="AL535" s="327"/>
      <c r="AM535" s="463"/>
      <c r="AN535" s="513"/>
      <c r="AO535" s="88"/>
      <c r="AP535" s="116"/>
      <c r="AQ535" s="74"/>
      <c r="AR535" s="76"/>
      <c r="AS535" s="24"/>
      <c r="AT535" s="25"/>
      <c r="AU535" s="309"/>
      <c r="AV535" s="462"/>
      <c r="AW535" s="513"/>
      <c r="AX535" s="74"/>
      <c r="AY535" s="74"/>
      <c r="AZ535" s="75"/>
      <c r="BA535" s="61"/>
      <c r="BB535" s="60"/>
      <c r="BC535" s="74"/>
      <c r="BD535" s="79"/>
      <c r="BE535" s="79"/>
      <c r="BF535" s="127"/>
      <c r="BG535" s="128"/>
      <c r="BH535" s="128"/>
      <c r="BI535" s="76"/>
      <c r="BJ535" s="24"/>
      <c r="BK535" s="25"/>
      <c r="BL535" s="259"/>
      <c r="BM535" s="533"/>
    </row>
    <row r="536" spans="1:65" ht="86.1" customHeight="1">
      <c r="A536" s="91"/>
      <c r="B536" s="358" t="s">
        <v>2727</v>
      </c>
      <c r="C536" s="50" t="s">
        <v>1719</v>
      </c>
      <c r="D536" s="264" t="s">
        <v>1702</v>
      </c>
      <c r="E536" s="393" t="s">
        <v>827</v>
      </c>
      <c r="F536" s="410"/>
      <c r="G536" s="10"/>
      <c r="H536" s="167"/>
      <c r="I536" s="10"/>
      <c r="J536" s="76"/>
      <c r="K536" s="24"/>
      <c r="L536" s="281"/>
      <c r="M536" s="431"/>
      <c r="N536" s="410">
        <v>337906</v>
      </c>
      <c r="O536" s="10">
        <v>150000</v>
      </c>
      <c r="P536" s="10"/>
      <c r="Q536" s="10"/>
      <c r="R536" s="10"/>
      <c r="S536" s="76">
        <f t="shared" si="659"/>
        <v>150000</v>
      </c>
      <c r="T536" s="24">
        <f t="shared" si="660"/>
        <v>-187906</v>
      </c>
      <c r="U536" s="281">
        <f t="shared" si="661"/>
        <v>-0.55608956336969451</v>
      </c>
      <c r="V536" s="462">
        <f t="shared" si="662"/>
        <v>150000</v>
      </c>
      <c r="W536" s="410"/>
      <c r="X536" s="39"/>
      <c r="Y536" s="39"/>
      <c r="Z536" s="472"/>
      <c r="AA536" s="76"/>
      <c r="AB536" s="24"/>
      <c r="AC536" s="25"/>
      <c r="AD536" s="309"/>
      <c r="AE536" s="462"/>
      <c r="AF536" s="408"/>
      <c r="AG536" s="293"/>
      <c r="AH536" s="293"/>
      <c r="AI536" s="293"/>
      <c r="AJ536" s="293"/>
      <c r="AK536" s="293"/>
      <c r="AL536" s="327"/>
      <c r="AM536" s="463"/>
      <c r="AN536" s="513"/>
      <c r="AO536" s="88"/>
      <c r="AP536" s="116"/>
      <c r="AQ536" s="74"/>
      <c r="AR536" s="76"/>
      <c r="AS536" s="24"/>
      <c r="AT536" s="25"/>
      <c r="AU536" s="309"/>
      <c r="AV536" s="462"/>
      <c r="AW536" s="513"/>
      <c r="AX536" s="74"/>
      <c r="AY536" s="74"/>
      <c r="AZ536" s="75"/>
      <c r="BA536" s="61"/>
      <c r="BB536" s="60"/>
      <c r="BC536" s="74"/>
      <c r="BD536" s="79"/>
      <c r="BE536" s="79"/>
      <c r="BF536" s="127"/>
      <c r="BG536" s="128"/>
      <c r="BH536" s="128"/>
      <c r="BI536" s="76"/>
      <c r="BJ536" s="24"/>
      <c r="BK536" s="25"/>
      <c r="BL536" s="259"/>
      <c r="BM536" s="533"/>
    </row>
    <row r="537" spans="1:65">
      <c r="A537" s="91"/>
      <c r="B537" s="358" t="s">
        <v>2728</v>
      </c>
      <c r="C537" s="50" t="s">
        <v>1720</v>
      </c>
      <c r="D537" s="264" t="s">
        <v>1703</v>
      </c>
      <c r="E537" s="393" t="s">
        <v>827</v>
      </c>
      <c r="F537" s="410"/>
      <c r="G537" s="10"/>
      <c r="H537" s="167"/>
      <c r="I537" s="10"/>
      <c r="J537" s="76"/>
      <c r="K537" s="24"/>
      <c r="L537" s="281"/>
      <c r="M537" s="431"/>
      <c r="N537" s="410">
        <v>160928</v>
      </c>
      <c r="O537" s="10"/>
      <c r="P537" s="10"/>
      <c r="Q537" s="10"/>
      <c r="R537" s="10"/>
      <c r="S537" s="76"/>
      <c r="T537" s="24"/>
      <c r="U537" s="281"/>
      <c r="V537" s="462">
        <f t="shared" si="662"/>
        <v>0</v>
      </c>
      <c r="W537" s="410"/>
      <c r="X537" s="39"/>
      <c r="Y537" s="39"/>
      <c r="Z537" s="472"/>
      <c r="AA537" s="76"/>
      <c r="AB537" s="24"/>
      <c r="AC537" s="25"/>
      <c r="AD537" s="309"/>
      <c r="AE537" s="462"/>
      <c r="AF537" s="408"/>
      <c r="AG537" s="293"/>
      <c r="AH537" s="293"/>
      <c r="AI537" s="293"/>
      <c r="AJ537" s="293"/>
      <c r="AK537" s="293"/>
      <c r="AL537" s="327"/>
      <c r="AM537" s="463"/>
      <c r="AN537" s="513"/>
      <c r="AO537" s="88"/>
      <c r="AP537" s="116"/>
      <c r="AQ537" s="74"/>
      <c r="AR537" s="76"/>
      <c r="AS537" s="24"/>
      <c r="AT537" s="25"/>
      <c r="AU537" s="309"/>
      <c r="AV537" s="462"/>
      <c r="AW537" s="513"/>
      <c r="AX537" s="74"/>
      <c r="AY537" s="74"/>
      <c r="AZ537" s="75"/>
      <c r="BA537" s="61"/>
      <c r="BB537" s="60"/>
      <c r="BC537" s="74"/>
      <c r="BD537" s="79"/>
      <c r="BE537" s="79"/>
      <c r="BF537" s="127"/>
      <c r="BG537" s="128"/>
      <c r="BH537" s="128"/>
      <c r="BI537" s="76"/>
      <c r="BJ537" s="24"/>
      <c r="BK537" s="25"/>
      <c r="BL537" s="259"/>
      <c r="BM537" s="533"/>
    </row>
    <row r="538" spans="1:65" ht="45.95" customHeight="1">
      <c r="A538" s="91"/>
      <c r="B538" s="358" t="s">
        <v>2729</v>
      </c>
      <c r="C538" s="50" t="s">
        <v>1721</v>
      </c>
      <c r="D538" s="264" t="s">
        <v>1704</v>
      </c>
      <c r="E538" s="393" t="s">
        <v>1426</v>
      </c>
      <c r="F538" s="410"/>
      <c r="G538" s="10"/>
      <c r="H538" s="167"/>
      <c r="I538" s="10"/>
      <c r="J538" s="76"/>
      <c r="K538" s="24"/>
      <c r="L538" s="281"/>
      <c r="M538" s="431"/>
      <c r="N538" s="410">
        <v>1153148</v>
      </c>
      <c r="O538" s="10"/>
      <c r="P538" s="10"/>
      <c r="Q538" s="10"/>
      <c r="R538" s="10"/>
      <c r="S538" s="76"/>
      <c r="T538" s="24"/>
      <c r="U538" s="281"/>
      <c r="V538" s="464" t="s">
        <v>807</v>
      </c>
      <c r="W538" s="410"/>
      <c r="X538" s="39"/>
      <c r="Y538" s="39"/>
      <c r="Z538" s="472"/>
      <c r="AA538" s="76"/>
      <c r="AB538" s="24"/>
      <c r="AC538" s="25"/>
      <c r="AD538" s="309"/>
      <c r="AE538" s="462"/>
      <c r="AF538" s="408"/>
      <c r="AG538" s="293"/>
      <c r="AH538" s="293"/>
      <c r="AI538" s="293"/>
      <c r="AJ538" s="293"/>
      <c r="AK538" s="293"/>
      <c r="AL538" s="327"/>
      <c r="AM538" s="463"/>
      <c r="AN538" s="513"/>
      <c r="AO538" s="88"/>
      <c r="AP538" s="116"/>
      <c r="AQ538" s="74"/>
      <c r="AR538" s="76"/>
      <c r="AS538" s="24"/>
      <c r="AT538" s="25"/>
      <c r="AU538" s="309"/>
      <c r="AV538" s="462"/>
      <c r="AW538" s="513"/>
      <c r="AX538" s="74"/>
      <c r="AY538" s="74"/>
      <c r="AZ538" s="75"/>
      <c r="BA538" s="61"/>
      <c r="BB538" s="60"/>
      <c r="BC538" s="74"/>
      <c r="BD538" s="79"/>
      <c r="BE538" s="79"/>
      <c r="BF538" s="127"/>
      <c r="BG538" s="128"/>
      <c r="BH538" s="128"/>
      <c r="BI538" s="76"/>
      <c r="BJ538" s="24"/>
      <c r="BK538" s="25"/>
      <c r="BL538" s="259"/>
      <c r="BM538" s="533"/>
    </row>
    <row r="539" spans="1:65" ht="45.95" customHeight="1">
      <c r="A539" s="91"/>
      <c r="B539" s="358" t="s">
        <v>2730</v>
      </c>
      <c r="C539" s="50" t="s">
        <v>1722</v>
      </c>
      <c r="D539" s="264" t="s">
        <v>1705</v>
      </c>
      <c r="E539" s="393" t="s">
        <v>1426</v>
      </c>
      <c r="F539" s="410"/>
      <c r="G539" s="10"/>
      <c r="H539" s="167"/>
      <c r="I539" s="10"/>
      <c r="J539" s="76"/>
      <c r="K539" s="24"/>
      <c r="L539" s="281"/>
      <c r="M539" s="431"/>
      <c r="N539" s="410">
        <v>1673328</v>
      </c>
      <c r="O539" s="10"/>
      <c r="P539" s="10"/>
      <c r="Q539" s="10"/>
      <c r="R539" s="10"/>
      <c r="S539" s="76"/>
      <c r="T539" s="24"/>
      <c r="U539" s="281"/>
      <c r="V539" s="464" t="s">
        <v>807</v>
      </c>
      <c r="W539" s="410"/>
      <c r="X539" s="39"/>
      <c r="Y539" s="39"/>
      <c r="Z539" s="472"/>
      <c r="AA539" s="76"/>
      <c r="AB539" s="24"/>
      <c r="AC539" s="25"/>
      <c r="AD539" s="309"/>
      <c r="AE539" s="462"/>
      <c r="AF539" s="408"/>
      <c r="AG539" s="293"/>
      <c r="AH539" s="293"/>
      <c r="AI539" s="293"/>
      <c r="AJ539" s="293"/>
      <c r="AK539" s="293"/>
      <c r="AL539" s="327"/>
      <c r="AM539" s="463"/>
      <c r="AN539" s="513"/>
      <c r="AO539" s="88"/>
      <c r="AP539" s="116"/>
      <c r="AQ539" s="74"/>
      <c r="AR539" s="76"/>
      <c r="AS539" s="24"/>
      <c r="AT539" s="25"/>
      <c r="AU539" s="309"/>
      <c r="AV539" s="462"/>
      <c r="AW539" s="513"/>
      <c r="AX539" s="74"/>
      <c r="AY539" s="74"/>
      <c r="AZ539" s="75"/>
      <c r="BA539" s="61"/>
      <c r="BB539" s="60"/>
      <c r="BC539" s="74"/>
      <c r="BD539" s="79"/>
      <c r="BE539" s="79"/>
      <c r="BF539" s="127"/>
      <c r="BG539" s="128"/>
      <c r="BH539" s="128"/>
      <c r="BI539" s="76"/>
      <c r="BJ539" s="24"/>
      <c r="BK539" s="25"/>
      <c r="BL539" s="259"/>
      <c r="BM539" s="533"/>
    </row>
    <row r="540" spans="1:65" ht="45.95" customHeight="1">
      <c r="A540" s="91"/>
      <c r="B540" s="358" t="s">
        <v>2731</v>
      </c>
      <c r="C540" s="50" t="s">
        <v>1723</v>
      </c>
      <c r="D540" s="264" t="s">
        <v>1706</v>
      </c>
      <c r="E540" s="393" t="s">
        <v>1426</v>
      </c>
      <c r="F540" s="410"/>
      <c r="G540" s="10"/>
      <c r="H540" s="167"/>
      <c r="I540" s="10"/>
      <c r="J540" s="76"/>
      <c r="K540" s="24"/>
      <c r="L540" s="281"/>
      <c r="M540" s="431"/>
      <c r="N540" s="410">
        <v>2839559</v>
      </c>
      <c r="O540" s="10"/>
      <c r="P540" s="10"/>
      <c r="Q540" s="10"/>
      <c r="R540" s="10"/>
      <c r="S540" s="76"/>
      <c r="T540" s="24"/>
      <c r="U540" s="281"/>
      <c r="V540" s="464" t="s">
        <v>807</v>
      </c>
      <c r="W540" s="410"/>
      <c r="X540" s="39"/>
      <c r="Y540" s="39"/>
      <c r="Z540" s="472"/>
      <c r="AA540" s="76"/>
      <c r="AB540" s="24"/>
      <c r="AC540" s="25"/>
      <c r="AD540" s="309"/>
      <c r="AE540" s="462"/>
      <c r="AF540" s="408"/>
      <c r="AG540" s="293"/>
      <c r="AH540" s="293"/>
      <c r="AI540" s="293"/>
      <c r="AJ540" s="293"/>
      <c r="AK540" s="293"/>
      <c r="AL540" s="327"/>
      <c r="AM540" s="463"/>
      <c r="AN540" s="513"/>
      <c r="AO540" s="88"/>
      <c r="AP540" s="116"/>
      <c r="AQ540" s="74"/>
      <c r="AR540" s="76"/>
      <c r="AS540" s="24"/>
      <c r="AT540" s="25"/>
      <c r="AU540" s="309"/>
      <c r="AV540" s="462"/>
      <c r="AW540" s="513"/>
      <c r="AX540" s="74"/>
      <c r="AY540" s="74"/>
      <c r="AZ540" s="75"/>
      <c r="BA540" s="61"/>
      <c r="BB540" s="60"/>
      <c r="BC540" s="74"/>
      <c r="BD540" s="79"/>
      <c r="BE540" s="79"/>
      <c r="BF540" s="127"/>
      <c r="BG540" s="128"/>
      <c r="BH540" s="128"/>
      <c r="BI540" s="76"/>
      <c r="BJ540" s="24"/>
      <c r="BK540" s="25"/>
      <c r="BL540" s="259"/>
      <c r="BM540" s="533"/>
    </row>
    <row r="541" spans="1:65" ht="45.95" customHeight="1">
      <c r="A541" s="91"/>
      <c r="B541" s="358" t="s">
        <v>2732</v>
      </c>
      <c r="C541" s="50" t="s">
        <v>1724</v>
      </c>
      <c r="D541" s="264" t="s">
        <v>1707</v>
      </c>
      <c r="E541" s="393" t="s">
        <v>827</v>
      </c>
      <c r="F541" s="410"/>
      <c r="G541" s="10"/>
      <c r="H541" s="167"/>
      <c r="I541" s="10"/>
      <c r="J541" s="76"/>
      <c r="K541" s="24"/>
      <c r="L541" s="281"/>
      <c r="M541" s="431"/>
      <c r="N541" s="410">
        <v>200832</v>
      </c>
      <c r="O541" s="10">
        <v>200000</v>
      </c>
      <c r="P541" s="10"/>
      <c r="Q541" s="10"/>
      <c r="R541" s="10">
        <v>350000</v>
      </c>
      <c r="S541" s="76">
        <f t="shared" ref="S541" si="663">AVERAGE(O541,P541,Q541,R541)</f>
        <v>275000</v>
      </c>
      <c r="T541" s="24">
        <f t="shared" ref="T541" si="664">S541-N541</f>
        <v>74168</v>
      </c>
      <c r="U541" s="281">
        <f t="shared" ref="U541" si="665">+T541/N541</f>
        <v>0.36930369662205226</v>
      </c>
      <c r="V541" s="462">
        <f t="shared" ref="V541" si="666">S541</f>
        <v>275000</v>
      </c>
      <c r="W541" s="410"/>
      <c r="X541" s="39"/>
      <c r="Y541" s="39"/>
      <c r="Z541" s="472"/>
      <c r="AA541" s="76"/>
      <c r="AB541" s="24"/>
      <c r="AC541" s="25"/>
      <c r="AD541" s="309"/>
      <c r="AE541" s="462"/>
      <c r="AF541" s="408"/>
      <c r="AG541" s="293"/>
      <c r="AH541" s="293"/>
      <c r="AI541" s="293"/>
      <c r="AJ541" s="293"/>
      <c r="AK541" s="293"/>
      <c r="AL541" s="327"/>
      <c r="AM541" s="463"/>
      <c r="AN541" s="513"/>
      <c r="AO541" s="88"/>
      <c r="AP541" s="116"/>
      <c r="AQ541" s="74"/>
      <c r="AR541" s="76"/>
      <c r="AS541" s="24"/>
      <c r="AT541" s="25"/>
      <c r="AU541" s="309"/>
      <c r="AV541" s="462"/>
      <c r="AW541" s="513"/>
      <c r="AX541" s="74"/>
      <c r="AY541" s="74"/>
      <c r="AZ541" s="75"/>
      <c r="BA541" s="61"/>
      <c r="BB541" s="60"/>
      <c r="BC541" s="74"/>
      <c r="BD541" s="79"/>
      <c r="BE541" s="79"/>
      <c r="BF541" s="127"/>
      <c r="BG541" s="128"/>
      <c r="BH541" s="128"/>
      <c r="BI541" s="76"/>
      <c r="BJ541" s="24"/>
      <c r="BK541" s="25"/>
      <c r="BL541" s="259"/>
      <c r="BM541" s="533"/>
    </row>
    <row r="542" spans="1:65" ht="45.95" customHeight="1">
      <c r="A542" s="91"/>
      <c r="B542" s="358" t="s">
        <v>2733</v>
      </c>
      <c r="C542" s="50"/>
      <c r="D542" s="322" t="s">
        <v>2183</v>
      </c>
      <c r="E542" s="391" t="s">
        <v>10</v>
      </c>
      <c r="F542" s="410"/>
      <c r="G542" s="10"/>
      <c r="H542" s="167"/>
      <c r="I542" s="10"/>
      <c r="J542" s="76"/>
      <c r="K542" s="24"/>
      <c r="L542" s="281"/>
      <c r="M542" s="431"/>
      <c r="N542" s="410"/>
      <c r="O542" s="10"/>
      <c r="P542" s="10"/>
      <c r="Q542" s="10"/>
      <c r="R542" s="10"/>
      <c r="S542" s="76"/>
      <c r="T542" s="24"/>
      <c r="U542" s="281"/>
      <c r="V542" s="462"/>
      <c r="W542" s="410"/>
      <c r="X542" s="39"/>
      <c r="Y542" s="39"/>
      <c r="Z542" s="472"/>
      <c r="AA542" s="76"/>
      <c r="AB542" s="24"/>
      <c r="AC542" s="25"/>
      <c r="AD542" s="309"/>
      <c r="AE542" s="462"/>
      <c r="AF542" s="410">
        <v>395847</v>
      </c>
      <c r="AG542" s="325"/>
      <c r="AH542" s="325"/>
      <c r="AI542" s="325">
        <v>260000</v>
      </c>
      <c r="AJ542" s="76">
        <f t="shared" ref="AJ542:AJ546" si="667">AVERAGE(AG542,AH542,AI542)</f>
        <v>260000</v>
      </c>
      <c r="AK542" s="24">
        <f t="shared" ref="AK542:AK546" si="668">AJ542-AF542</f>
        <v>-135847</v>
      </c>
      <c r="AL542" s="281">
        <f t="shared" ref="AL542:AL546" si="669">+AK542/AF542</f>
        <v>-0.34318057229181981</v>
      </c>
      <c r="AM542" s="491">
        <f t="shared" ref="AM542:AM546" si="670">AVERAGE(AI542,AF542)</f>
        <v>327923.5</v>
      </c>
      <c r="AN542" s="513"/>
      <c r="AO542" s="88"/>
      <c r="AP542" s="116"/>
      <c r="AQ542" s="74"/>
      <c r="AR542" s="76"/>
      <c r="AS542" s="24"/>
      <c r="AT542" s="25"/>
      <c r="AU542" s="309"/>
      <c r="AV542" s="462"/>
      <c r="AW542" s="513"/>
      <c r="AX542" s="74"/>
      <c r="AY542" s="74"/>
      <c r="AZ542" s="75"/>
      <c r="BA542" s="61"/>
      <c r="BB542" s="60"/>
      <c r="BC542" s="74"/>
      <c r="BD542" s="79"/>
      <c r="BE542" s="79"/>
      <c r="BF542" s="127"/>
      <c r="BG542" s="128"/>
      <c r="BH542" s="128"/>
      <c r="BI542" s="76"/>
      <c r="BJ542" s="24"/>
      <c r="BK542" s="25"/>
      <c r="BL542" s="259"/>
      <c r="BM542" s="533"/>
    </row>
    <row r="543" spans="1:65" ht="45.95" customHeight="1">
      <c r="A543" s="91"/>
      <c r="B543" s="358" t="s">
        <v>2734</v>
      </c>
      <c r="C543" s="50"/>
      <c r="D543" s="322" t="s">
        <v>2184</v>
      </c>
      <c r="E543" s="391" t="s">
        <v>10</v>
      </c>
      <c r="F543" s="410"/>
      <c r="G543" s="10"/>
      <c r="H543" s="167"/>
      <c r="I543" s="10"/>
      <c r="J543" s="76"/>
      <c r="K543" s="24"/>
      <c r="L543" s="281"/>
      <c r="M543" s="431"/>
      <c r="N543" s="410"/>
      <c r="O543" s="10"/>
      <c r="P543" s="10"/>
      <c r="Q543" s="10"/>
      <c r="R543" s="10"/>
      <c r="S543" s="76"/>
      <c r="T543" s="24"/>
      <c r="U543" s="281"/>
      <c r="V543" s="462"/>
      <c r="W543" s="410"/>
      <c r="X543" s="39"/>
      <c r="Y543" s="39"/>
      <c r="Z543" s="472"/>
      <c r="AA543" s="76"/>
      <c r="AB543" s="24"/>
      <c r="AC543" s="25"/>
      <c r="AD543" s="309"/>
      <c r="AE543" s="462"/>
      <c r="AF543" s="410">
        <v>553393</v>
      </c>
      <c r="AG543" s="325"/>
      <c r="AH543" s="325"/>
      <c r="AI543" s="325">
        <v>250000</v>
      </c>
      <c r="AJ543" s="76">
        <f t="shared" si="667"/>
        <v>250000</v>
      </c>
      <c r="AK543" s="24">
        <f t="shared" si="668"/>
        <v>-303393</v>
      </c>
      <c r="AL543" s="281">
        <f t="shared" si="669"/>
        <v>-0.54824148480374701</v>
      </c>
      <c r="AM543" s="491">
        <f t="shared" si="670"/>
        <v>401696.5</v>
      </c>
      <c r="AN543" s="513"/>
      <c r="AO543" s="88"/>
      <c r="AP543" s="116"/>
      <c r="AQ543" s="74"/>
      <c r="AR543" s="76"/>
      <c r="AS543" s="24"/>
      <c r="AT543" s="25"/>
      <c r="AU543" s="309"/>
      <c r="AV543" s="462"/>
      <c r="AW543" s="513"/>
      <c r="AX543" s="74"/>
      <c r="AY543" s="74"/>
      <c r="AZ543" s="75"/>
      <c r="BA543" s="61"/>
      <c r="BB543" s="60"/>
      <c r="BC543" s="74"/>
      <c r="BD543" s="79"/>
      <c r="BE543" s="79"/>
      <c r="BF543" s="127"/>
      <c r="BG543" s="128"/>
      <c r="BH543" s="128"/>
      <c r="BI543" s="76"/>
      <c r="BJ543" s="24"/>
      <c r="BK543" s="25"/>
      <c r="BL543" s="259"/>
      <c r="BM543" s="533"/>
    </row>
    <row r="544" spans="1:65" ht="45.95" customHeight="1">
      <c r="A544" s="91"/>
      <c r="B544" s="358" t="s">
        <v>2735</v>
      </c>
      <c r="C544" s="50"/>
      <c r="D544" s="322" t="s">
        <v>2185</v>
      </c>
      <c r="E544" s="391" t="s">
        <v>13</v>
      </c>
      <c r="F544" s="410"/>
      <c r="G544" s="10"/>
      <c r="H544" s="167"/>
      <c r="I544" s="10"/>
      <c r="J544" s="76"/>
      <c r="K544" s="24"/>
      <c r="L544" s="281"/>
      <c r="M544" s="431"/>
      <c r="N544" s="410"/>
      <c r="O544" s="10"/>
      <c r="P544" s="10"/>
      <c r="Q544" s="10"/>
      <c r="R544" s="10"/>
      <c r="S544" s="76"/>
      <c r="T544" s="24"/>
      <c r="U544" s="281"/>
      <c r="V544" s="462"/>
      <c r="W544" s="410"/>
      <c r="X544" s="39"/>
      <c r="Y544" s="39"/>
      <c r="Z544" s="472"/>
      <c r="AA544" s="76"/>
      <c r="AB544" s="24"/>
      <c r="AC544" s="25"/>
      <c r="AD544" s="309"/>
      <c r="AE544" s="462"/>
      <c r="AF544" s="410">
        <v>433452</v>
      </c>
      <c r="AG544" s="325"/>
      <c r="AH544" s="325"/>
      <c r="AI544" s="325">
        <v>170000</v>
      </c>
      <c r="AJ544" s="76">
        <f t="shared" si="667"/>
        <v>170000</v>
      </c>
      <c r="AK544" s="24">
        <f t="shared" si="668"/>
        <v>-263452</v>
      </c>
      <c r="AL544" s="281">
        <f t="shared" si="669"/>
        <v>-0.60779971023319768</v>
      </c>
      <c r="AM544" s="491">
        <f t="shared" si="670"/>
        <v>301726</v>
      </c>
      <c r="AN544" s="513"/>
      <c r="AO544" s="88"/>
      <c r="AP544" s="116"/>
      <c r="AQ544" s="74"/>
      <c r="AR544" s="76"/>
      <c r="AS544" s="24"/>
      <c r="AT544" s="25"/>
      <c r="AU544" s="309"/>
      <c r="AV544" s="462"/>
      <c r="AW544" s="513"/>
      <c r="AX544" s="74"/>
      <c r="AY544" s="74"/>
      <c r="AZ544" s="75"/>
      <c r="BA544" s="61"/>
      <c r="BB544" s="60"/>
      <c r="BC544" s="74"/>
      <c r="BD544" s="79"/>
      <c r="BE544" s="79"/>
      <c r="BF544" s="127"/>
      <c r="BG544" s="128"/>
      <c r="BH544" s="128"/>
      <c r="BI544" s="76"/>
      <c r="BJ544" s="24"/>
      <c r="BK544" s="25"/>
      <c r="BL544" s="259"/>
      <c r="BM544" s="533"/>
    </row>
    <row r="545" spans="1:65" ht="45.95" customHeight="1">
      <c r="A545" s="91"/>
      <c r="B545" s="358" t="s">
        <v>2736</v>
      </c>
      <c r="C545" s="50"/>
      <c r="D545" s="322" t="s">
        <v>2186</v>
      </c>
      <c r="E545" s="391" t="s">
        <v>827</v>
      </c>
      <c r="F545" s="410"/>
      <c r="G545" s="10"/>
      <c r="H545" s="167"/>
      <c r="I545" s="10"/>
      <c r="J545" s="76"/>
      <c r="K545" s="24"/>
      <c r="L545" s="281"/>
      <c r="M545" s="431"/>
      <c r="N545" s="410"/>
      <c r="O545" s="10"/>
      <c r="P545" s="10"/>
      <c r="Q545" s="10"/>
      <c r="R545" s="10"/>
      <c r="S545" s="76"/>
      <c r="T545" s="24"/>
      <c r="U545" s="281"/>
      <c r="V545" s="462"/>
      <c r="W545" s="410"/>
      <c r="X545" s="39"/>
      <c r="Y545" s="39"/>
      <c r="Z545" s="472"/>
      <c r="AA545" s="76"/>
      <c r="AB545" s="24"/>
      <c r="AC545" s="25"/>
      <c r="AD545" s="309"/>
      <c r="AE545" s="462"/>
      <c r="AF545" s="410">
        <v>76433</v>
      </c>
      <c r="AG545" s="325"/>
      <c r="AH545" s="325"/>
      <c r="AI545" s="325">
        <v>95000</v>
      </c>
      <c r="AJ545" s="76">
        <f t="shared" si="667"/>
        <v>95000</v>
      </c>
      <c r="AK545" s="24">
        <f t="shared" si="668"/>
        <v>18567</v>
      </c>
      <c r="AL545" s="281">
        <f t="shared" si="669"/>
        <v>0.24291863462117147</v>
      </c>
      <c r="AM545" s="491">
        <f t="shared" si="670"/>
        <v>85716.5</v>
      </c>
      <c r="AN545" s="513"/>
      <c r="AO545" s="88"/>
      <c r="AP545" s="116"/>
      <c r="AQ545" s="74"/>
      <c r="AR545" s="76"/>
      <c r="AS545" s="24"/>
      <c r="AT545" s="25"/>
      <c r="AU545" s="309"/>
      <c r="AV545" s="462"/>
      <c r="AW545" s="513"/>
      <c r="AX545" s="74"/>
      <c r="AY545" s="74"/>
      <c r="AZ545" s="75"/>
      <c r="BA545" s="61"/>
      <c r="BB545" s="60"/>
      <c r="BC545" s="74"/>
      <c r="BD545" s="79"/>
      <c r="BE545" s="79"/>
      <c r="BF545" s="127"/>
      <c r="BG545" s="128"/>
      <c r="BH545" s="128"/>
      <c r="BI545" s="76"/>
      <c r="BJ545" s="24"/>
      <c r="BK545" s="25"/>
      <c r="BL545" s="259"/>
      <c r="BM545" s="533"/>
    </row>
    <row r="546" spans="1:65" ht="45.95" customHeight="1">
      <c r="A546" s="91"/>
      <c r="B546" s="358" t="s">
        <v>2737</v>
      </c>
      <c r="C546" s="50"/>
      <c r="D546" s="322" t="s">
        <v>2187</v>
      </c>
      <c r="E546" s="391" t="s">
        <v>1466</v>
      </c>
      <c r="F546" s="410"/>
      <c r="G546" s="10"/>
      <c r="H546" s="167"/>
      <c r="I546" s="10"/>
      <c r="J546" s="76"/>
      <c r="K546" s="24"/>
      <c r="L546" s="281"/>
      <c r="M546" s="431"/>
      <c r="N546" s="410"/>
      <c r="O546" s="10"/>
      <c r="P546" s="10"/>
      <c r="Q546" s="10"/>
      <c r="R546" s="10"/>
      <c r="S546" s="76"/>
      <c r="T546" s="24"/>
      <c r="U546" s="281"/>
      <c r="V546" s="462"/>
      <c r="W546" s="410"/>
      <c r="X546" s="39"/>
      <c r="Y546" s="39"/>
      <c r="Z546" s="472"/>
      <c r="AA546" s="76"/>
      <c r="AB546" s="24"/>
      <c r="AC546" s="25"/>
      <c r="AD546" s="309"/>
      <c r="AE546" s="462"/>
      <c r="AF546" s="410">
        <v>113688</v>
      </c>
      <c r="AG546" s="325"/>
      <c r="AH546" s="325"/>
      <c r="AI546" s="325">
        <v>65000</v>
      </c>
      <c r="AJ546" s="76">
        <f t="shared" si="667"/>
        <v>65000</v>
      </c>
      <c r="AK546" s="24">
        <f t="shared" si="668"/>
        <v>-48688</v>
      </c>
      <c r="AL546" s="281">
        <f t="shared" si="669"/>
        <v>-0.42825979874744918</v>
      </c>
      <c r="AM546" s="491">
        <f t="shared" si="670"/>
        <v>89344</v>
      </c>
      <c r="AN546" s="513"/>
      <c r="AO546" s="88"/>
      <c r="AP546" s="116"/>
      <c r="AQ546" s="74"/>
      <c r="AR546" s="76"/>
      <c r="AS546" s="24"/>
      <c r="AT546" s="25"/>
      <c r="AU546" s="309"/>
      <c r="AV546" s="462"/>
      <c r="AW546" s="513"/>
      <c r="AX546" s="74"/>
      <c r="AY546" s="74"/>
      <c r="AZ546" s="75"/>
      <c r="BA546" s="61"/>
      <c r="BB546" s="60"/>
      <c r="BC546" s="74"/>
      <c r="BD546" s="79"/>
      <c r="BE546" s="79"/>
      <c r="BF546" s="127"/>
      <c r="BG546" s="128"/>
      <c r="BH546" s="128"/>
      <c r="BI546" s="76"/>
      <c r="BJ546" s="24"/>
      <c r="BK546" s="25"/>
      <c r="BL546" s="259"/>
      <c r="BM546" s="533"/>
    </row>
    <row r="547" spans="1:65" ht="36" customHeight="1">
      <c r="A547" s="91" t="s">
        <v>29</v>
      </c>
      <c r="B547" s="358" t="s">
        <v>2738</v>
      </c>
      <c r="C547" s="252" t="s">
        <v>758</v>
      </c>
      <c r="D547" s="47" t="s">
        <v>29</v>
      </c>
      <c r="E547" s="91"/>
      <c r="F547" s="411"/>
      <c r="G547" s="173"/>
      <c r="H547" s="174"/>
      <c r="I547" s="173"/>
      <c r="J547" s="76"/>
      <c r="K547" s="67"/>
      <c r="L547" s="421"/>
      <c r="M547" s="435"/>
      <c r="N547" s="411"/>
      <c r="O547" s="173"/>
      <c r="P547" s="173"/>
      <c r="Q547" s="274"/>
      <c r="R547" s="173"/>
      <c r="S547" s="76"/>
      <c r="T547" s="24"/>
      <c r="U547" s="281"/>
      <c r="V547" s="462"/>
      <c r="W547" s="413"/>
      <c r="X547" s="47"/>
      <c r="Y547" s="47"/>
      <c r="Z547" s="47"/>
      <c r="AA547" s="47"/>
      <c r="AB547" s="47"/>
      <c r="AC547" s="47"/>
      <c r="AD547" s="91"/>
      <c r="AE547" s="467"/>
      <c r="AF547" s="501"/>
      <c r="AG547" s="324"/>
      <c r="AH547" s="324"/>
      <c r="AI547" s="323"/>
      <c r="AJ547" s="76"/>
      <c r="AK547" s="24"/>
      <c r="AL547" s="281"/>
      <c r="AM547" s="462"/>
      <c r="AN547" s="413"/>
      <c r="AO547" s="47"/>
      <c r="AP547" s="47"/>
      <c r="AQ547" s="47"/>
      <c r="AR547" s="47"/>
      <c r="AS547" s="47"/>
      <c r="AT547" s="47"/>
      <c r="AU547" s="91"/>
      <c r="AV547" s="467"/>
      <c r="AW547" s="413"/>
      <c r="AX547" s="47"/>
      <c r="AY547" s="47"/>
      <c r="AZ547" s="47"/>
      <c r="BA547" s="47"/>
      <c r="BB547" s="47"/>
      <c r="BC547" s="47"/>
      <c r="BD547" s="148"/>
      <c r="BE547" s="148"/>
      <c r="BF547" s="149"/>
      <c r="BG547" s="148"/>
      <c r="BH547" s="148"/>
      <c r="BI547" s="47"/>
      <c r="BJ547" s="47"/>
      <c r="BK547" s="47"/>
      <c r="BL547" s="414"/>
      <c r="BM547" s="457"/>
    </row>
    <row r="548" spans="1:65">
      <c r="A548" s="91" t="s">
        <v>29</v>
      </c>
      <c r="B548" s="358" t="s">
        <v>2739</v>
      </c>
      <c r="C548" s="50" t="s">
        <v>267</v>
      </c>
      <c r="D548" s="99" t="s">
        <v>607</v>
      </c>
      <c r="E548" s="391" t="s">
        <v>13</v>
      </c>
      <c r="F548" s="408"/>
      <c r="G548" s="293"/>
      <c r="H548" s="293"/>
      <c r="I548" s="293"/>
      <c r="J548" s="293"/>
      <c r="K548" s="293"/>
      <c r="L548" s="327"/>
      <c r="M548" s="432"/>
      <c r="N548" s="410">
        <v>28819</v>
      </c>
      <c r="O548" s="10"/>
      <c r="P548" s="10"/>
      <c r="Q548" s="10"/>
      <c r="R548" s="279">
        <f>+R549*0.4</f>
        <v>30000</v>
      </c>
      <c r="S548" s="76">
        <f t="shared" ref="S548:S550" si="671">AVERAGE(O548,P548,Q548,R548)</f>
        <v>30000</v>
      </c>
      <c r="T548" s="24">
        <f t="shared" ref="T548:T550" si="672">S548-N548</f>
        <v>1181</v>
      </c>
      <c r="U548" s="281">
        <f t="shared" ref="U548:U550" si="673">+T548/N548</f>
        <v>4.0979909087754604E-2</v>
      </c>
      <c r="V548" s="462">
        <f t="shared" ref="V548:V550" si="674">S548</f>
        <v>30000</v>
      </c>
      <c r="W548" s="410">
        <v>60474</v>
      </c>
      <c r="X548" s="33">
        <v>78651</v>
      </c>
      <c r="Y548" s="31">
        <v>102246</v>
      </c>
      <c r="Z548" s="472">
        <v>68746.8</v>
      </c>
      <c r="AA548" s="76">
        <f t="shared" ref="AA548:AA565" si="675">AVERAGE(X548,Y548,Z548)</f>
        <v>83214.599999999991</v>
      </c>
      <c r="AB548" s="24">
        <f t="shared" ref="AB548:AB565" si="676">AA548-W548</f>
        <v>22740.599999999991</v>
      </c>
      <c r="AC548" s="25">
        <f t="shared" ref="AC548:AC565" si="677">+AB548/W548</f>
        <v>0.37603928961206456</v>
      </c>
      <c r="AD548" s="309" t="str">
        <f t="shared" ref="AD548:AD565" si="678">+IF(AC548&lt;35%,AA548,"REVISAR PRECIO")</f>
        <v>REVISAR PRECIO</v>
      </c>
      <c r="AE548" s="462">
        <f t="shared" ref="AE548:AE565" si="679">AA548</f>
        <v>83214.599999999991</v>
      </c>
      <c r="AF548" s="410">
        <v>32179</v>
      </c>
      <c r="AG548" s="45">
        <v>25000</v>
      </c>
      <c r="AH548" s="45">
        <v>37412</v>
      </c>
      <c r="AI548" s="45">
        <v>30000</v>
      </c>
      <c r="AJ548" s="76">
        <f t="shared" ref="AJ548:AJ556" si="680">AVERAGE(AG548,AH548,AI548)</f>
        <v>30804</v>
      </c>
      <c r="AK548" s="24">
        <f t="shared" ref="AK548:AK556" si="681">AJ548-AF548</f>
        <v>-1375</v>
      </c>
      <c r="AL548" s="281">
        <f t="shared" ref="AL548:AL556" si="682">+AK548/AF548</f>
        <v>-4.2729730569626152E-2</v>
      </c>
      <c r="AM548" s="462">
        <f t="shared" ref="AM548:AM556" si="683">AJ548</f>
        <v>30804</v>
      </c>
      <c r="AN548" s="513">
        <v>32340</v>
      </c>
      <c r="AO548" s="88">
        <v>32000</v>
      </c>
      <c r="AP548" s="116">
        <v>32000</v>
      </c>
      <c r="AQ548" s="74">
        <v>26011.128000000004</v>
      </c>
      <c r="AR548" s="76">
        <f t="shared" ref="AR548:AR565" si="684">AVERAGE(AO548,AP548,AQ548)</f>
        <v>30003.709333333332</v>
      </c>
      <c r="AS548" s="24">
        <f t="shared" ref="AS548:AS565" si="685">AR548-AN548</f>
        <v>-2336.2906666666677</v>
      </c>
      <c r="AT548" s="25">
        <f t="shared" ref="AT548:AT565" si="686">+AS548/AN548</f>
        <v>-7.2241517212945819E-2</v>
      </c>
      <c r="AU548" s="309">
        <f t="shared" ref="AU548:AU565" si="687">+IF(AT548&lt;35%,AR548,"REVISAR PRECIO")</f>
        <v>30003.709333333332</v>
      </c>
      <c r="AV548" s="462">
        <f t="shared" ref="AV548:AV565" si="688">AR548</f>
        <v>30003.709333333332</v>
      </c>
      <c r="AW548" s="513">
        <v>32340</v>
      </c>
      <c r="AX548" s="74">
        <v>27193.452000000005</v>
      </c>
      <c r="AY548" s="74">
        <v>45000</v>
      </c>
      <c r="AZ548" s="75">
        <v>31331.586000000003</v>
      </c>
      <c r="BA548" s="61">
        <v>52439.999999999993</v>
      </c>
      <c r="BB548" s="60">
        <v>32000</v>
      </c>
      <c r="BC548" s="74">
        <v>60305.999999999985</v>
      </c>
      <c r="BD548" s="79">
        <v>31331.586000000003</v>
      </c>
      <c r="BE548" s="79">
        <f>+BE549*0.4</f>
        <v>23646.480000000003</v>
      </c>
      <c r="BF548" s="127">
        <v>28375.776000000005</v>
      </c>
      <c r="BG548" s="128">
        <v>25000</v>
      </c>
      <c r="BH548" s="128">
        <v>25000</v>
      </c>
      <c r="BI548" s="76">
        <f t="shared" ref="BI548:BI565" si="689">AVERAGE(AX548,AY548,AZ548,BA548,BB548,BC548)</f>
        <v>41378.506333333331</v>
      </c>
      <c r="BJ548" s="24">
        <f t="shared" ref="BJ548:BJ565" si="690">BI548-AW548</f>
        <v>9038.506333333331</v>
      </c>
      <c r="BK548" s="25">
        <f t="shared" ref="BK548:BK565" si="691">+BJ548/AW548</f>
        <v>0.27948380746237883</v>
      </c>
      <c r="BL548" s="259">
        <f t="shared" ref="BL548:BL565" si="692">+IF(BK548&lt;35%,BI548,"REVISAR PRECIO")</f>
        <v>41378.506333333331</v>
      </c>
      <c r="BM548" s="533">
        <f t="shared" ref="BM548:BM565" si="693">BI548</f>
        <v>41378.506333333331</v>
      </c>
    </row>
    <row r="549" spans="1:65" ht="38.1" customHeight="1">
      <c r="A549" s="91" t="s">
        <v>29</v>
      </c>
      <c r="B549" s="358" t="s">
        <v>2740</v>
      </c>
      <c r="C549" s="50" t="s">
        <v>268</v>
      </c>
      <c r="D549" s="99" t="s">
        <v>608</v>
      </c>
      <c r="E549" s="391" t="s">
        <v>13</v>
      </c>
      <c r="F549" s="408"/>
      <c r="G549" s="293"/>
      <c r="H549" s="293"/>
      <c r="I549" s="293"/>
      <c r="J549" s="293"/>
      <c r="K549" s="293"/>
      <c r="L549" s="327"/>
      <c r="M549" s="432"/>
      <c r="N549" s="410">
        <v>45345</v>
      </c>
      <c r="O549" s="10">
        <v>75000</v>
      </c>
      <c r="P549" s="10">
        <v>81000</v>
      </c>
      <c r="Q549" s="268">
        <v>81000</v>
      </c>
      <c r="R549" s="10">
        <v>75000</v>
      </c>
      <c r="S549" s="76">
        <f t="shared" si="671"/>
        <v>78000</v>
      </c>
      <c r="T549" s="24">
        <f t="shared" si="672"/>
        <v>32655</v>
      </c>
      <c r="U549" s="281">
        <f t="shared" si="673"/>
        <v>0.72014555077737352</v>
      </c>
      <c r="V549" s="462">
        <f t="shared" si="674"/>
        <v>78000</v>
      </c>
      <c r="W549" s="410">
        <v>156842</v>
      </c>
      <c r="X549" s="31">
        <v>203985</v>
      </c>
      <c r="Y549" s="31">
        <v>265181</v>
      </c>
      <c r="Z549" s="472">
        <v>178298</v>
      </c>
      <c r="AA549" s="76">
        <f t="shared" si="675"/>
        <v>215821.33333333334</v>
      </c>
      <c r="AB549" s="24">
        <f t="shared" si="676"/>
        <v>58979.333333333343</v>
      </c>
      <c r="AC549" s="25">
        <f t="shared" si="677"/>
        <v>0.37604298168432782</v>
      </c>
      <c r="AD549" s="309" t="str">
        <f t="shared" si="678"/>
        <v>REVISAR PRECIO</v>
      </c>
      <c r="AE549" s="462">
        <f t="shared" si="679"/>
        <v>215821.33333333334</v>
      </c>
      <c r="AF549" s="410">
        <v>50642</v>
      </c>
      <c r="AG549" s="45">
        <v>58000</v>
      </c>
      <c r="AH549" s="45">
        <v>58867</v>
      </c>
      <c r="AI549" s="45">
        <v>140000</v>
      </c>
      <c r="AJ549" s="76">
        <f t="shared" si="680"/>
        <v>85622.333333333328</v>
      </c>
      <c r="AK549" s="24">
        <f t="shared" si="681"/>
        <v>34980.333333333328</v>
      </c>
      <c r="AL549" s="281">
        <f t="shared" si="682"/>
        <v>0.69073759593486295</v>
      </c>
      <c r="AM549" s="462">
        <f t="shared" si="683"/>
        <v>85622.333333333328</v>
      </c>
      <c r="AN549" s="513">
        <v>73253</v>
      </c>
      <c r="AO549" s="88">
        <v>86000</v>
      </c>
      <c r="AP549" s="116">
        <v>86000</v>
      </c>
      <c r="AQ549" s="74">
        <v>65027.820000000007</v>
      </c>
      <c r="AR549" s="76">
        <f t="shared" si="684"/>
        <v>79009.273333333331</v>
      </c>
      <c r="AS549" s="24">
        <f t="shared" si="685"/>
        <v>5756.2733333333308</v>
      </c>
      <c r="AT549" s="25">
        <f t="shared" si="686"/>
        <v>7.8580717968319808E-2</v>
      </c>
      <c r="AU549" s="309">
        <f t="shared" si="687"/>
        <v>79009.273333333331</v>
      </c>
      <c r="AV549" s="462">
        <f t="shared" si="688"/>
        <v>79009.273333333331</v>
      </c>
      <c r="AW549" s="513">
        <v>73253</v>
      </c>
      <c r="AX549" s="74">
        <v>67983.63</v>
      </c>
      <c r="AY549" s="74">
        <v>85000</v>
      </c>
      <c r="AZ549" s="75">
        <v>78328.964999999997</v>
      </c>
      <c r="BA549" s="61">
        <v>75210</v>
      </c>
      <c r="BB549" s="60">
        <v>70000</v>
      </c>
      <c r="BC549" s="74">
        <v>86491.5</v>
      </c>
      <c r="BD549" s="79">
        <v>78328.964999999997</v>
      </c>
      <c r="BE549" s="79">
        <f>45474*1.3</f>
        <v>59116.200000000004</v>
      </c>
      <c r="BF549" s="127">
        <v>70939.44</v>
      </c>
      <c r="BG549" s="128">
        <v>68000</v>
      </c>
      <c r="BH549" s="128">
        <v>75000</v>
      </c>
      <c r="BI549" s="76">
        <f t="shared" si="689"/>
        <v>77169.015833333324</v>
      </c>
      <c r="BJ549" s="24">
        <f t="shared" si="690"/>
        <v>3916.0158333333238</v>
      </c>
      <c r="BK549" s="25">
        <f t="shared" si="691"/>
        <v>5.3458777569974254E-2</v>
      </c>
      <c r="BL549" s="259">
        <f t="shared" si="692"/>
        <v>77169.015833333324</v>
      </c>
      <c r="BM549" s="533">
        <f t="shared" si="693"/>
        <v>77169.015833333324</v>
      </c>
    </row>
    <row r="550" spans="1:65" ht="36" customHeight="1">
      <c r="A550" s="91" t="s">
        <v>29</v>
      </c>
      <c r="B550" s="358" t="s">
        <v>2741</v>
      </c>
      <c r="C550" s="50" t="s">
        <v>269</v>
      </c>
      <c r="D550" s="99" t="s">
        <v>609</v>
      </c>
      <c r="E550" s="391" t="s">
        <v>13</v>
      </c>
      <c r="F550" s="408"/>
      <c r="G550" s="293"/>
      <c r="H550" s="293"/>
      <c r="I550" s="293"/>
      <c r="J550" s="293"/>
      <c r="K550" s="293"/>
      <c r="L550" s="327"/>
      <c r="M550" s="432"/>
      <c r="N550" s="410">
        <v>68117</v>
      </c>
      <c r="O550" s="10">
        <v>115000</v>
      </c>
      <c r="P550" s="10">
        <v>120000</v>
      </c>
      <c r="Q550" s="268">
        <v>120000</v>
      </c>
      <c r="R550" s="10">
        <v>115000</v>
      </c>
      <c r="S550" s="76">
        <f t="shared" si="671"/>
        <v>117500</v>
      </c>
      <c r="T550" s="24">
        <f t="shared" si="672"/>
        <v>49383</v>
      </c>
      <c r="U550" s="281">
        <f t="shared" si="673"/>
        <v>0.72497320786294173</v>
      </c>
      <c r="V550" s="462">
        <f t="shared" si="674"/>
        <v>117500</v>
      </c>
      <c r="W550" s="410">
        <v>141521</v>
      </c>
      <c r="X550" s="31">
        <v>184059</v>
      </c>
      <c r="Y550" s="31">
        <v>239277</v>
      </c>
      <c r="Z550" s="472">
        <v>160881.20000000001</v>
      </c>
      <c r="AA550" s="76">
        <f t="shared" si="675"/>
        <v>194739.06666666665</v>
      </c>
      <c r="AB550" s="24">
        <f t="shared" si="676"/>
        <v>53218.066666666651</v>
      </c>
      <c r="AC550" s="25">
        <f t="shared" si="677"/>
        <v>0.37604360248066826</v>
      </c>
      <c r="AD550" s="309" t="str">
        <f t="shared" si="678"/>
        <v>REVISAR PRECIO</v>
      </c>
      <c r="AE550" s="462">
        <f t="shared" si="679"/>
        <v>194739.06666666665</v>
      </c>
      <c r="AF550" s="410">
        <v>75683</v>
      </c>
      <c r="AG550" s="45">
        <v>98000</v>
      </c>
      <c r="AH550" s="45">
        <v>89301</v>
      </c>
      <c r="AI550" s="45">
        <v>110000</v>
      </c>
      <c r="AJ550" s="76">
        <f t="shared" si="680"/>
        <v>99100.333333333328</v>
      </c>
      <c r="AK550" s="24">
        <f t="shared" si="681"/>
        <v>23417.333333333328</v>
      </c>
      <c r="AL550" s="281">
        <f t="shared" si="682"/>
        <v>0.30941338653770767</v>
      </c>
      <c r="AM550" s="462">
        <f t="shared" si="683"/>
        <v>99100.333333333328</v>
      </c>
      <c r="AN550" s="513">
        <v>50888</v>
      </c>
      <c r="AO550" s="88">
        <v>105000</v>
      </c>
      <c r="AP550" s="116">
        <v>105000</v>
      </c>
      <c r="AQ550" s="74">
        <v>103101.23999999999</v>
      </c>
      <c r="AR550" s="76">
        <f t="shared" si="684"/>
        <v>104367.08</v>
      </c>
      <c r="AS550" s="24">
        <f t="shared" si="685"/>
        <v>53479.08</v>
      </c>
      <c r="AT550" s="25">
        <f t="shared" si="686"/>
        <v>1.0509173085992769</v>
      </c>
      <c r="AU550" s="309" t="str">
        <f t="shared" si="687"/>
        <v>REVISAR PRECIO</v>
      </c>
      <c r="AV550" s="462">
        <f t="shared" si="688"/>
        <v>104367.08</v>
      </c>
      <c r="AW550" s="513">
        <v>50888</v>
      </c>
      <c r="AX550" s="74">
        <v>107787.65999999999</v>
      </c>
      <c r="AY550" s="74">
        <v>120000</v>
      </c>
      <c r="AZ550" s="75">
        <v>124190.12999999999</v>
      </c>
      <c r="BA550" s="61">
        <v>138575</v>
      </c>
      <c r="BB550" s="60">
        <v>90000</v>
      </c>
      <c r="BC550" s="74">
        <v>159361.25</v>
      </c>
      <c r="BD550" s="79">
        <v>124190.12999999999</v>
      </c>
      <c r="BE550" s="79">
        <f>78107*1.2</f>
        <v>93728.4</v>
      </c>
      <c r="BF550" s="127">
        <v>112474.07999999999</v>
      </c>
      <c r="BG550" s="128">
        <v>104000</v>
      </c>
      <c r="BH550" s="128">
        <v>115000</v>
      </c>
      <c r="BI550" s="76">
        <f t="shared" si="689"/>
        <v>123319.00666666667</v>
      </c>
      <c r="BJ550" s="24">
        <f t="shared" si="690"/>
        <v>72431.006666666668</v>
      </c>
      <c r="BK550" s="25">
        <f t="shared" si="691"/>
        <v>1.4233415867526071</v>
      </c>
      <c r="BL550" s="259" t="str">
        <f t="shared" si="692"/>
        <v>REVISAR PRECIO</v>
      </c>
      <c r="BM550" s="533">
        <f t="shared" si="693"/>
        <v>123319.00666666667</v>
      </c>
    </row>
    <row r="551" spans="1:65" ht="31.35" customHeight="1">
      <c r="A551" s="91" t="s">
        <v>29</v>
      </c>
      <c r="B551" s="358" t="s">
        <v>2742</v>
      </c>
      <c r="C551" s="50" t="s">
        <v>270</v>
      </c>
      <c r="D551" s="99" t="s">
        <v>610</v>
      </c>
      <c r="E551" s="391" t="s">
        <v>13</v>
      </c>
      <c r="F551" s="408"/>
      <c r="G551" s="293"/>
      <c r="H551" s="293"/>
      <c r="I551" s="293"/>
      <c r="J551" s="293"/>
      <c r="K551" s="293"/>
      <c r="L551" s="327"/>
      <c r="M551" s="432"/>
      <c r="N551" s="443"/>
      <c r="O551" s="250"/>
      <c r="P551" s="250"/>
      <c r="Q551" s="250"/>
      <c r="R551" s="250"/>
      <c r="S551" s="250"/>
      <c r="T551" s="250"/>
      <c r="U551" s="250"/>
      <c r="V551" s="443"/>
      <c r="W551" s="410">
        <v>74539</v>
      </c>
      <c r="X551" s="31">
        <v>96944</v>
      </c>
      <c r="Y551" s="31">
        <v>126027</v>
      </c>
      <c r="Z551" s="472">
        <v>84735.8</v>
      </c>
      <c r="AA551" s="76">
        <f t="shared" si="675"/>
        <v>102568.93333333333</v>
      </c>
      <c r="AB551" s="24">
        <f t="shared" si="676"/>
        <v>28029.933333333334</v>
      </c>
      <c r="AC551" s="25">
        <f t="shared" si="677"/>
        <v>0.37604386070826457</v>
      </c>
      <c r="AD551" s="309" t="str">
        <f t="shared" si="678"/>
        <v>REVISAR PRECIO</v>
      </c>
      <c r="AE551" s="462">
        <f t="shared" si="679"/>
        <v>102568.93333333333</v>
      </c>
      <c r="AF551" s="410">
        <v>39868</v>
      </c>
      <c r="AG551" s="45"/>
      <c r="AH551" s="45">
        <v>47036</v>
      </c>
      <c r="AI551" s="45">
        <v>56000</v>
      </c>
      <c r="AJ551" s="76">
        <f t="shared" si="680"/>
        <v>51518</v>
      </c>
      <c r="AK551" s="24">
        <f t="shared" si="681"/>
        <v>11650</v>
      </c>
      <c r="AL551" s="281">
        <f t="shared" si="682"/>
        <v>0.29221430721380554</v>
      </c>
      <c r="AM551" s="462">
        <f t="shared" si="683"/>
        <v>51518</v>
      </c>
      <c r="AN551" s="513">
        <v>75683</v>
      </c>
      <c r="AO551" s="88">
        <v>55000</v>
      </c>
      <c r="AP551" s="116">
        <v>55000</v>
      </c>
      <c r="AQ551" s="74">
        <v>56912.625</v>
      </c>
      <c r="AR551" s="76">
        <f t="shared" si="684"/>
        <v>55637.541666666664</v>
      </c>
      <c r="AS551" s="24">
        <f t="shared" si="685"/>
        <v>-20045.458333333336</v>
      </c>
      <c r="AT551" s="25">
        <f t="shared" si="686"/>
        <v>-0.26486077895079918</v>
      </c>
      <c r="AU551" s="309">
        <f t="shared" si="687"/>
        <v>55637.541666666664</v>
      </c>
      <c r="AV551" s="462">
        <f t="shared" si="688"/>
        <v>55637.541666666664</v>
      </c>
      <c r="AW551" s="513">
        <v>75683</v>
      </c>
      <c r="AX551" s="74">
        <v>59499.5625</v>
      </c>
      <c r="AY551" s="74">
        <v>80000</v>
      </c>
      <c r="AZ551" s="75">
        <v>68553.84375</v>
      </c>
      <c r="BA551" s="61">
        <v>138000</v>
      </c>
      <c r="BB551" s="60">
        <v>160000</v>
      </c>
      <c r="BC551" s="74">
        <v>158700</v>
      </c>
      <c r="BD551" s="79">
        <v>68553.84375</v>
      </c>
      <c r="BE551" s="79">
        <f>41391*1.25</f>
        <v>51738.75</v>
      </c>
      <c r="BF551" s="127">
        <v>62086.5</v>
      </c>
      <c r="BG551" s="128">
        <v>70000</v>
      </c>
      <c r="BH551" s="128">
        <v>70000</v>
      </c>
      <c r="BI551" s="76">
        <f t="shared" si="689"/>
        <v>110792.234375</v>
      </c>
      <c r="BJ551" s="24">
        <f t="shared" si="690"/>
        <v>35109.234375</v>
      </c>
      <c r="BK551" s="25">
        <f t="shared" si="691"/>
        <v>0.46389855548802239</v>
      </c>
      <c r="BL551" s="259" t="str">
        <f t="shared" si="692"/>
        <v>REVISAR PRECIO</v>
      </c>
      <c r="BM551" s="533">
        <f t="shared" si="693"/>
        <v>110792.234375</v>
      </c>
    </row>
    <row r="552" spans="1:65" ht="31.35" customHeight="1">
      <c r="A552" s="91" t="s">
        <v>29</v>
      </c>
      <c r="B552" s="358" t="s">
        <v>2743</v>
      </c>
      <c r="C552" s="50" t="s">
        <v>271</v>
      </c>
      <c r="D552" s="99" t="s">
        <v>611</v>
      </c>
      <c r="E552" s="391" t="s">
        <v>13</v>
      </c>
      <c r="F552" s="408"/>
      <c r="G552" s="293"/>
      <c r="H552" s="293"/>
      <c r="I552" s="293"/>
      <c r="J552" s="293"/>
      <c r="K552" s="293"/>
      <c r="L552" s="327"/>
      <c r="M552" s="432"/>
      <c r="N552" s="410">
        <v>58131</v>
      </c>
      <c r="O552" s="10"/>
      <c r="P552" s="10"/>
      <c r="Q552" s="268"/>
      <c r="R552" s="10">
        <v>120000</v>
      </c>
      <c r="S552" s="76">
        <f t="shared" ref="S552:S553" si="694">AVERAGE(O552,P552,Q552,R552)</f>
        <v>120000</v>
      </c>
      <c r="T552" s="24">
        <f t="shared" ref="T552:T553" si="695">S552-N552</f>
        <v>61869</v>
      </c>
      <c r="U552" s="281">
        <f t="shared" ref="U552:U553" si="696">+T552/N552</f>
        <v>1.0643030396862259</v>
      </c>
      <c r="V552" s="462">
        <f t="shared" ref="V552:V553" si="697">S552</f>
        <v>120000</v>
      </c>
      <c r="W552" s="410">
        <v>172412</v>
      </c>
      <c r="X552" s="31">
        <v>224235</v>
      </c>
      <c r="Y552" s="31">
        <v>291506</v>
      </c>
      <c r="Z552" s="472">
        <v>195998</v>
      </c>
      <c r="AA552" s="76">
        <f t="shared" si="675"/>
        <v>237246.33333333334</v>
      </c>
      <c r="AB552" s="24">
        <f t="shared" si="676"/>
        <v>64834.333333333343</v>
      </c>
      <c r="AC552" s="25">
        <f t="shared" si="677"/>
        <v>0.37604304418099288</v>
      </c>
      <c r="AD552" s="309" t="str">
        <f t="shared" si="678"/>
        <v>REVISAR PRECIO</v>
      </c>
      <c r="AE552" s="462">
        <f t="shared" si="679"/>
        <v>237246.33333333334</v>
      </c>
      <c r="AF552" s="410">
        <v>65203</v>
      </c>
      <c r="AG552" s="45">
        <v>75000</v>
      </c>
      <c r="AH552" s="45">
        <v>76929</v>
      </c>
      <c r="AI552" s="45">
        <v>95000</v>
      </c>
      <c r="AJ552" s="76">
        <f t="shared" si="680"/>
        <v>82309.666666666672</v>
      </c>
      <c r="AK552" s="24">
        <f t="shared" si="681"/>
        <v>17106.666666666672</v>
      </c>
      <c r="AL552" s="281">
        <f t="shared" si="682"/>
        <v>0.26236011635456452</v>
      </c>
      <c r="AM552" s="462">
        <f t="shared" si="683"/>
        <v>82309.666666666672</v>
      </c>
      <c r="AN552" s="513">
        <v>65203</v>
      </c>
      <c r="AO552" s="88">
        <v>90000</v>
      </c>
      <c r="AP552" s="116">
        <v>90000</v>
      </c>
      <c r="AQ552" s="74">
        <v>95345.25</v>
      </c>
      <c r="AR552" s="76">
        <f t="shared" si="684"/>
        <v>91781.75</v>
      </c>
      <c r="AS552" s="24">
        <f t="shared" si="685"/>
        <v>26578.75</v>
      </c>
      <c r="AT552" s="25">
        <f t="shared" si="686"/>
        <v>0.40763078385963836</v>
      </c>
      <c r="AU552" s="309" t="str">
        <f t="shared" si="687"/>
        <v>REVISAR PRECIO</v>
      </c>
      <c r="AV552" s="462">
        <f t="shared" si="688"/>
        <v>91781.75</v>
      </c>
      <c r="AW552" s="513">
        <v>65203</v>
      </c>
      <c r="AX552" s="74">
        <v>99679.125</v>
      </c>
      <c r="AY552" s="74">
        <v>110000</v>
      </c>
      <c r="AZ552" s="75">
        <v>114847.6875</v>
      </c>
      <c r="BA552" s="61">
        <v>99679.124999999985</v>
      </c>
      <c r="BB552" s="60">
        <v>70000</v>
      </c>
      <c r="BC552" s="74">
        <v>114630.99374999998</v>
      </c>
      <c r="BD552" s="79">
        <v>114847.6875</v>
      </c>
      <c r="BE552" s="79">
        <f>69342*1.25</f>
        <v>86677.5</v>
      </c>
      <c r="BF552" s="127">
        <v>104013</v>
      </c>
      <c r="BG552" s="128">
        <v>86000</v>
      </c>
      <c r="BH552" s="128">
        <v>90000</v>
      </c>
      <c r="BI552" s="76">
        <f t="shared" si="689"/>
        <v>101472.82187500001</v>
      </c>
      <c r="BJ552" s="24">
        <f t="shared" si="690"/>
        <v>36269.821875000009</v>
      </c>
      <c r="BK552" s="25">
        <f t="shared" si="691"/>
        <v>0.55626001679370596</v>
      </c>
      <c r="BL552" s="259" t="str">
        <f t="shared" si="692"/>
        <v>REVISAR PRECIO</v>
      </c>
      <c r="BM552" s="533">
        <f t="shared" si="693"/>
        <v>101472.82187500001</v>
      </c>
    </row>
    <row r="553" spans="1:65" ht="31.35" customHeight="1">
      <c r="A553" s="91" t="s">
        <v>29</v>
      </c>
      <c r="B553" s="358" t="s">
        <v>2744</v>
      </c>
      <c r="C553" s="50" t="s">
        <v>272</v>
      </c>
      <c r="D553" s="99" t="s">
        <v>612</v>
      </c>
      <c r="E553" s="391" t="s">
        <v>13</v>
      </c>
      <c r="F553" s="408"/>
      <c r="G553" s="293"/>
      <c r="H553" s="293"/>
      <c r="I553" s="293"/>
      <c r="J553" s="293"/>
      <c r="K553" s="293"/>
      <c r="L553" s="327"/>
      <c r="M553" s="432"/>
      <c r="N553" s="410">
        <v>48146</v>
      </c>
      <c r="O553" s="10">
        <v>70000</v>
      </c>
      <c r="P553" s="10">
        <v>75000</v>
      </c>
      <c r="Q553" s="268">
        <v>75000</v>
      </c>
      <c r="R553" s="10">
        <v>120000</v>
      </c>
      <c r="S553" s="76">
        <f t="shared" si="694"/>
        <v>85000</v>
      </c>
      <c r="T553" s="24">
        <f t="shared" si="695"/>
        <v>36854</v>
      </c>
      <c r="U553" s="281">
        <f t="shared" si="696"/>
        <v>0.76546338221243715</v>
      </c>
      <c r="V553" s="462">
        <f t="shared" si="697"/>
        <v>85000</v>
      </c>
      <c r="W553" s="410">
        <v>101018</v>
      </c>
      <c r="X553" s="31">
        <v>131382</v>
      </c>
      <c r="Y553" s="31">
        <v>170797</v>
      </c>
      <c r="Z553" s="472">
        <v>114837.6</v>
      </c>
      <c r="AA553" s="76">
        <f t="shared" si="675"/>
        <v>139005.53333333333</v>
      </c>
      <c r="AB553" s="24">
        <f t="shared" si="676"/>
        <v>37987.533333333326</v>
      </c>
      <c r="AC553" s="25">
        <f t="shared" si="677"/>
        <v>0.37604717311106262</v>
      </c>
      <c r="AD553" s="309" t="str">
        <f t="shared" si="678"/>
        <v>REVISAR PRECIO</v>
      </c>
      <c r="AE553" s="462">
        <f t="shared" si="679"/>
        <v>139005.53333333333</v>
      </c>
      <c r="AF553" s="410">
        <v>53756</v>
      </c>
      <c r="AG553" s="45"/>
      <c r="AH553" s="45">
        <v>62494</v>
      </c>
      <c r="AI553" s="45">
        <v>45000</v>
      </c>
      <c r="AJ553" s="76">
        <f t="shared" si="680"/>
        <v>53747</v>
      </c>
      <c r="AK553" s="24">
        <f t="shared" si="681"/>
        <v>-9</v>
      </c>
      <c r="AL553" s="281">
        <f t="shared" si="682"/>
        <v>-1.6742317136691717E-4</v>
      </c>
      <c r="AM553" s="462">
        <f t="shared" si="683"/>
        <v>53747</v>
      </c>
      <c r="AN553" s="513">
        <v>54021</v>
      </c>
      <c r="AO553" s="88">
        <v>23000</v>
      </c>
      <c r="AP553" s="116">
        <v>23000</v>
      </c>
      <c r="AQ553" s="74">
        <v>24200</v>
      </c>
      <c r="AR553" s="76">
        <f t="shared" si="684"/>
        <v>23400</v>
      </c>
      <c r="AS553" s="24">
        <f t="shared" si="685"/>
        <v>-30621</v>
      </c>
      <c r="AT553" s="25">
        <f t="shared" si="686"/>
        <v>-0.56683511967568168</v>
      </c>
      <c r="AU553" s="309">
        <f t="shared" si="687"/>
        <v>23400</v>
      </c>
      <c r="AV553" s="462">
        <f t="shared" si="688"/>
        <v>23400</v>
      </c>
      <c r="AW553" s="513">
        <v>54021</v>
      </c>
      <c r="AX553" s="74">
        <v>25300</v>
      </c>
      <c r="AY553" s="74">
        <v>50000</v>
      </c>
      <c r="AZ553" s="75">
        <v>29150</v>
      </c>
      <c r="BA553" s="61">
        <v>39100</v>
      </c>
      <c r="BB553" s="60">
        <v>25000</v>
      </c>
      <c r="BC553" s="74">
        <v>44965</v>
      </c>
      <c r="BD553" s="79">
        <v>29150</v>
      </c>
      <c r="BE553" s="79">
        <v>22000</v>
      </c>
      <c r="BF553" s="127">
        <v>26400</v>
      </c>
      <c r="BG553" s="128">
        <v>27000</v>
      </c>
      <c r="BH553" s="128">
        <v>25000</v>
      </c>
      <c r="BI553" s="76">
        <f t="shared" si="689"/>
        <v>35585.833333333336</v>
      </c>
      <c r="BJ553" s="24">
        <f t="shared" si="690"/>
        <v>-18435.166666666664</v>
      </c>
      <c r="BK553" s="25">
        <f t="shared" si="691"/>
        <v>-0.34125926337288581</v>
      </c>
      <c r="BL553" s="259">
        <f t="shared" si="692"/>
        <v>35585.833333333336</v>
      </c>
      <c r="BM553" s="533">
        <f t="shared" si="693"/>
        <v>35585.833333333336</v>
      </c>
    </row>
    <row r="554" spans="1:65" ht="31.35" customHeight="1">
      <c r="A554" s="91" t="s">
        <v>29</v>
      </c>
      <c r="B554" s="358" t="s">
        <v>2745</v>
      </c>
      <c r="C554" s="50" t="s">
        <v>273</v>
      </c>
      <c r="D554" s="99" t="s">
        <v>613</v>
      </c>
      <c r="E554" s="391" t="s">
        <v>13</v>
      </c>
      <c r="F554" s="408"/>
      <c r="G554" s="293"/>
      <c r="H554" s="293"/>
      <c r="I554" s="293"/>
      <c r="J554" s="293"/>
      <c r="K554" s="293"/>
      <c r="L554" s="327"/>
      <c r="M554" s="432"/>
      <c r="N554" s="443"/>
      <c r="O554" s="250"/>
      <c r="P554" s="250"/>
      <c r="Q554" s="250"/>
      <c r="R554" s="250"/>
      <c r="S554" s="250"/>
      <c r="T554" s="250"/>
      <c r="U554" s="250"/>
      <c r="V554" s="443"/>
      <c r="W554" s="410">
        <v>156831</v>
      </c>
      <c r="X554" s="31">
        <v>203972</v>
      </c>
      <c r="Y554" s="33">
        <v>265163</v>
      </c>
      <c r="Z554" s="472">
        <v>178286.2</v>
      </c>
      <c r="AA554" s="76">
        <f t="shared" si="675"/>
        <v>215807.06666666665</v>
      </c>
      <c r="AB554" s="24">
        <f t="shared" si="676"/>
        <v>58976.066666666651</v>
      </c>
      <c r="AC554" s="25">
        <f t="shared" si="677"/>
        <v>0.37604852782081766</v>
      </c>
      <c r="AD554" s="309" t="str">
        <f t="shared" si="678"/>
        <v>REVISAR PRECIO</v>
      </c>
      <c r="AE554" s="462">
        <f t="shared" si="679"/>
        <v>215807.06666666665</v>
      </c>
      <c r="AF554" s="410">
        <v>78587</v>
      </c>
      <c r="AG554" s="45"/>
      <c r="AH554" s="45">
        <v>91357</v>
      </c>
      <c r="AI554" s="45">
        <v>45000</v>
      </c>
      <c r="AJ554" s="76">
        <f t="shared" si="680"/>
        <v>68178.5</v>
      </c>
      <c r="AK554" s="24">
        <f t="shared" si="681"/>
        <v>-10408.5</v>
      </c>
      <c r="AL554" s="281">
        <f t="shared" si="682"/>
        <v>-0.13244556987796963</v>
      </c>
      <c r="AM554" s="462">
        <f t="shared" si="683"/>
        <v>68178.5</v>
      </c>
      <c r="AN554" s="513">
        <v>78976</v>
      </c>
      <c r="AO554" s="88">
        <v>38000</v>
      </c>
      <c r="AP554" s="116">
        <v>38000</v>
      </c>
      <c r="AQ554" s="74">
        <v>38500</v>
      </c>
      <c r="AR554" s="76">
        <f t="shared" si="684"/>
        <v>38166.666666666664</v>
      </c>
      <c r="AS554" s="24">
        <f t="shared" si="685"/>
        <v>-40809.333333333336</v>
      </c>
      <c r="AT554" s="25">
        <f t="shared" si="686"/>
        <v>-0.51673082117774183</v>
      </c>
      <c r="AU554" s="309">
        <f t="shared" si="687"/>
        <v>38166.666666666664</v>
      </c>
      <c r="AV554" s="462">
        <f t="shared" si="688"/>
        <v>38166.666666666664</v>
      </c>
      <c r="AW554" s="513">
        <v>78976</v>
      </c>
      <c r="AX554" s="74">
        <v>40250</v>
      </c>
      <c r="AY554" s="74">
        <v>70000</v>
      </c>
      <c r="AZ554" s="75">
        <v>46375</v>
      </c>
      <c r="BA554" s="61">
        <v>43700</v>
      </c>
      <c r="BB554" s="60">
        <v>60000</v>
      </c>
      <c r="BC554" s="74">
        <v>50254.999999999993</v>
      </c>
      <c r="BD554" s="79">
        <v>46375</v>
      </c>
      <c r="BE554" s="79">
        <v>35000</v>
      </c>
      <c r="BF554" s="127">
        <v>42000</v>
      </c>
      <c r="BG554" s="128">
        <v>34000</v>
      </c>
      <c r="BH554" s="128">
        <v>35000</v>
      </c>
      <c r="BI554" s="76">
        <f t="shared" si="689"/>
        <v>51763.333333333336</v>
      </c>
      <c r="BJ554" s="24">
        <f t="shared" si="690"/>
        <v>-27212.666666666664</v>
      </c>
      <c r="BK554" s="25">
        <f t="shared" si="691"/>
        <v>-0.34456881415451107</v>
      </c>
      <c r="BL554" s="259">
        <f t="shared" si="692"/>
        <v>51763.333333333336</v>
      </c>
      <c r="BM554" s="533">
        <f t="shared" si="693"/>
        <v>51763.333333333336</v>
      </c>
    </row>
    <row r="555" spans="1:65" ht="27.6" customHeight="1">
      <c r="A555" s="91" t="s">
        <v>29</v>
      </c>
      <c r="B555" s="358" t="s">
        <v>2746</v>
      </c>
      <c r="C555" s="50" t="s">
        <v>274</v>
      </c>
      <c r="D555" s="99" t="s">
        <v>614</v>
      </c>
      <c r="E555" s="391" t="s">
        <v>13</v>
      </c>
      <c r="F555" s="410">
        <v>43875</v>
      </c>
      <c r="G555" s="10">
        <v>11500</v>
      </c>
      <c r="H555" s="167">
        <v>46000</v>
      </c>
      <c r="I555" s="10">
        <v>35670</v>
      </c>
      <c r="J555" s="76">
        <f t="shared" ref="J555" si="698">AVERAGE(G555,I555)</f>
        <v>23585</v>
      </c>
      <c r="K555" s="24">
        <f t="shared" ref="K555" si="699">J555-F555</f>
        <v>-20290</v>
      </c>
      <c r="L555" s="281">
        <f t="shared" ref="L555" si="700">+K555/F555</f>
        <v>-0.46245014245014243</v>
      </c>
      <c r="M555" s="431">
        <f t="shared" ref="M555" si="701">H555</f>
        <v>46000</v>
      </c>
      <c r="N555" s="410">
        <v>39878</v>
      </c>
      <c r="O555" s="10">
        <v>115000</v>
      </c>
      <c r="P555" s="10">
        <v>120000</v>
      </c>
      <c r="Q555" s="268">
        <v>120000</v>
      </c>
      <c r="R555" s="10">
        <v>120000</v>
      </c>
      <c r="S555" s="76">
        <f t="shared" ref="S555:S557" si="702">AVERAGE(O555,P555,Q555,R555)</f>
        <v>118750</v>
      </c>
      <c r="T555" s="24">
        <f t="shared" ref="T555:T557" si="703">S555-N555</f>
        <v>78872</v>
      </c>
      <c r="U555" s="281">
        <f t="shared" ref="U555:U557" si="704">+T555/N555</f>
        <v>1.9778323887857967</v>
      </c>
      <c r="V555" s="462">
        <f t="shared" ref="V555:V557" si="705">S555</f>
        <v>118750</v>
      </c>
      <c r="W555" s="410">
        <v>78400</v>
      </c>
      <c r="X555" s="33">
        <v>101966</v>
      </c>
      <c r="Y555" s="31">
        <v>132555</v>
      </c>
      <c r="Z555" s="472">
        <v>89125.4</v>
      </c>
      <c r="AA555" s="76">
        <f t="shared" si="675"/>
        <v>107882.13333333335</v>
      </c>
      <c r="AB555" s="24">
        <f t="shared" si="676"/>
        <v>29482.133333333346</v>
      </c>
      <c r="AC555" s="25">
        <f t="shared" si="677"/>
        <v>0.37604761904761919</v>
      </c>
      <c r="AD555" s="309" t="str">
        <f t="shared" si="678"/>
        <v>REVISAR PRECIO</v>
      </c>
      <c r="AE555" s="462">
        <f t="shared" si="679"/>
        <v>107882.13333333335</v>
      </c>
      <c r="AF555" s="410">
        <v>44529</v>
      </c>
      <c r="AG555" s="45"/>
      <c r="AH555" s="45">
        <v>51766</v>
      </c>
      <c r="AI555" s="45">
        <v>65000</v>
      </c>
      <c r="AJ555" s="76">
        <f t="shared" si="680"/>
        <v>58383</v>
      </c>
      <c r="AK555" s="24">
        <f t="shared" si="681"/>
        <v>13854</v>
      </c>
      <c r="AL555" s="281">
        <f t="shared" si="682"/>
        <v>0.31112308832446273</v>
      </c>
      <c r="AM555" s="462">
        <f t="shared" si="683"/>
        <v>58383</v>
      </c>
      <c r="AN555" s="513">
        <v>44747</v>
      </c>
      <c r="AO555" s="88">
        <v>13000</v>
      </c>
      <c r="AP555" s="116">
        <v>13000</v>
      </c>
      <c r="AQ555" s="74">
        <v>12650</v>
      </c>
      <c r="AR555" s="76">
        <f t="shared" si="684"/>
        <v>12883.333333333334</v>
      </c>
      <c r="AS555" s="24">
        <f t="shared" si="685"/>
        <v>-31863.666666666664</v>
      </c>
      <c r="AT555" s="25">
        <f t="shared" si="686"/>
        <v>-0.71208498148851684</v>
      </c>
      <c r="AU555" s="309">
        <f t="shared" si="687"/>
        <v>12883.333333333334</v>
      </c>
      <c r="AV555" s="462">
        <f t="shared" si="688"/>
        <v>12883.333333333334</v>
      </c>
      <c r="AW555" s="513">
        <v>44747</v>
      </c>
      <c r="AX555" s="74">
        <v>13225</v>
      </c>
      <c r="AY555" s="74">
        <v>95000</v>
      </c>
      <c r="AZ555" s="75">
        <v>15237.5</v>
      </c>
      <c r="BA555" s="61">
        <v>110399.99999999999</v>
      </c>
      <c r="BB555" s="60">
        <v>210000</v>
      </c>
      <c r="BC555" s="74">
        <v>126959.99999999997</v>
      </c>
      <c r="BD555" s="79">
        <v>15237.5</v>
      </c>
      <c r="BE555" s="79">
        <v>11500</v>
      </c>
      <c r="BF555" s="127">
        <v>13800</v>
      </c>
      <c r="BG555" s="128">
        <v>11200</v>
      </c>
      <c r="BH555" s="128">
        <v>12000</v>
      </c>
      <c r="BI555" s="76">
        <f t="shared" si="689"/>
        <v>95137.083333333328</v>
      </c>
      <c r="BJ555" s="24">
        <f t="shared" si="690"/>
        <v>50390.083333333328</v>
      </c>
      <c r="BK555" s="25">
        <f t="shared" si="691"/>
        <v>1.1261108752169604</v>
      </c>
      <c r="BL555" s="259" t="str">
        <f t="shared" si="692"/>
        <v>REVISAR PRECIO</v>
      </c>
      <c r="BM555" s="533">
        <f t="shared" si="693"/>
        <v>95137.083333333328</v>
      </c>
    </row>
    <row r="556" spans="1:65" ht="30.6" customHeight="1">
      <c r="A556" s="91" t="s">
        <v>29</v>
      </c>
      <c r="B556" s="358" t="s">
        <v>2747</v>
      </c>
      <c r="C556" s="50" t="s">
        <v>275</v>
      </c>
      <c r="D556" s="99" t="s">
        <v>615</v>
      </c>
      <c r="E556" s="391" t="s">
        <v>13</v>
      </c>
      <c r="F556" s="408"/>
      <c r="G556" s="293"/>
      <c r="H556" s="293"/>
      <c r="I556" s="293"/>
      <c r="J556" s="293"/>
      <c r="K556" s="293"/>
      <c r="L556" s="327"/>
      <c r="M556" s="432"/>
      <c r="N556" s="410">
        <v>75968</v>
      </c>
      <c r="O556" s="10">
        <v>125000</v>
      </c>
      <c r="P556" s="10">
        <v>105000</v>
      </c>
      <c r="Q556" s="268">
        <v>100000</v>
      </c>
      <c r="R556" s="10">
        <v>120000</v>
      </c>
      <c r="S556" s="76">
        <f t="shared" si="702"/>
        <v>112500</v>
      </c>
      <c r="T556" s="24">
        <f t="shared" si="703"/>
        <v>36532</v>
      </c>
      <c r="U556" s="281">
        <f t="shared" si="704"/>
        <v>0.48088668913226623</v>
      </c>
      <c r="V556" s="462">
        <f t="shared" si="705"/>
        <v>112500</v>
      </c>
      <c r="W556" s="410">
        <v>149337</v>
      </c>
      <c r="X556" s="31">
        <v>194225</v>
      </c>
      <c r="Y556" s="31">
        <v>194225</v>
      </c>
      <c r="Z556" s="472">
        <v>169766.6</v>
      </c>
      <c r="AA556" s="76">
        <f t="shared" si="675"/>
        <v>186072.19999999998</v>
      </c>
      <c r="AB556" s="24">
        <f t="shared" si="676"/>
        <v>36735.199999999983</v>
      </c>
      <c r="AC556" s="25">
        <f t="shared" si="677"/>
        <v>0.24598860295840938</v>
      </c>
      <c r="AD556" s="309">
        <f t="shared" si="678"/>
        <v>186072.19999999998</v>
      </c>
      <c r="AE556" s="462">
        <f t="shared" si="679"/>
        <v>186072.19999999998</v>
      </c>
      <c r="AF556" s="410">
        <v>84824</v>
      </c>
      <c r="AG556" s="45"/>
      <c r="AH556" s="45">
        <v>98613</v>
      </c>
      <c r="AI556" s="45">
        <v>130000</v>
      </c>
      <c r="AJ556" s="76">
        <f t="shared" si="680"/>
        <v>114306.5</v>
      </c>
      <c r="AK556" s="24">
        <f t="shared" si="681"/>
        <v>29482.5</v>
      </c>
      <c r="AL556" s="281">
        <f t="shared" si="682"/>
        <v>0.34757262095633312</v>
      </c>
      <c r="AM556" s="462">
        <f t="shared" si="683"/>
        <v>114306.5</v>
      </c>
      <c r="AN556" s="513">
        <v>106135</v>
      </c>
      <c r="AO556" s="88">
        <v>126000</v>
      </c>
      <c r="AP556" s="116">
        <v>126000</v>
      </c>
      <c r="AQ556" s="74">
        <v>132000</v>
      </c>
      <c r="AR556" s="76">
        <f t="shared" si="684"/>
        <v>128000</v>
      </c>
      <c r="AS556" s="24">
        <f t="shared" si="685"/>
        <v>21865</v>
      </c>
      <c r="AT556" s="25">
        <f t="shared" si="686"/>
        <v>0.20601121213548781</v>
      </c>
      <c r="AU556" s="309">
        <f t="shared" si="687"/>
        <v>128000</v>
      </c>
      <c r="AV556" s="462">
        <f t="shared" si="688"/>
        <v>128000</v>
      </c>
      <c r="AW556" s="513">
        <v>106135</v>
      </c>
      <c r="AX556" s="74">
        <v>138000</v>
      </c>
      <c r="AY556" s="74">
        <v>140000</v>
      </c>
      <c r="AZ556" s="75">
        <v>159000</v>
      </c>
      <c r="BA556" s="61">
        <v>138000</v>
      </c>
      <c r="BB556" s="60">
        <v>270000</v>
      </c>
      <c r="BC556" s="74">
        <v>158700</v>
      </c>
      <c r="BD556" s="79">
        <v>159000</v>
      </c>
      <c r="BE556" s="79">
        <v>120000</v>
      </c>
      <c r="BF556" s="127">
        <v>144000</v>
      </c>
      <c r="BG556" s="128">
        <v>150000</v>
      </c>
      <c r="BH556" s="128">
        <v>125000</v>
      </c>
      <c r="BI556" s="76">
        <f t="shared" si="689"/>
        <v>167283.33333333334</v>
      </c>
      <c r="BJ556" s="24">
        <f t="shared" si="690"/>
        <v>61148.333333333343</v>
      </c>
      <c r="BK556" s="25">
        <f t="shared" si="691"/>
        <v>0.57613730940154839</v>
      </c>
      <c r="BL556" s="259" t="str">
        <f t="shared" si="692"/>
        <v>REVISAR PRECIO</v>
      </c>
      <c r="BM556" s="533">
        <f t="shared" si="693"/>
        <v>167283.33333333334</v>
      </c>
    </row>
    <row r="557" spans="1:65" ht="30.6" customHeight="1">
      <c r="A557" s="91" t="s">
        <v>29</v>
      </c>
      <c r="B557" s="358" t="s">
        <v>2748</v>
      </c>
      <c r="C557" s="50" t="s">
        <v>276</v>
      </c>
      <c r="D557" s="99" t="s">
        <v>616</v>
      </c>
      <c r="E557" s="391" t="s">
        <v>13</v>
      </c>
      <c r="F557" s="408"/>
      <c r="G557" s="293"/>
      <c r="H557" s="293"/>
      <c r="I557" s="293"/>
      <c r="J557" s="293"/>
      <c r="K557" s="293"/>
      <c r="L557" s="327"/>
      <c r="M557" s="432"/>
      <c r="N557" s="410">
        <v>47794</v>
      </c>
      <c r="O557" s="10">
        <v>145000</v>
      </c>
      <c r="P557" s="10">
        <v>160000</v>
      </c>
      <c r="Q557" s="268">
        <v>155000</v>
      </c>
      <c r="R557" s="10">
        <v>145000</v>
      </c>
      <c r="S557" s="76">
        <f t="shared" si="702"/>
        <v>151250</v>
      </c>
      <c r="T557" s="24">
        <f t="shared" si="703"/>
        <v>103456</v>
      </c>
      <c r="U557" s="281">
        <f t="shared" si="704"/>
        <v>2.164623174457045</v>
      </c>
      <c r="V557" s="462">
        <f t="shared" si="705"/>
        <v>151250</v>
      </c>
      <c r="W557" s="410">
        <v>93960</v>
      </c>
      <c r="X557" s="31">
        <v>122202</v>
      </c>
      <c r="Y557" s="31">
        <v>158863</v>
      </c>
      <c r="Z557" s="472">
        <v>106813.6</v>
      </c>
      <c r="AA557" s="76">
        <f t="shared" si="675"/>
        <v>129292.86666666665</v>
      </c>
      <c r="AB557" s="24">
        <f t="shared" si="676"/>
        <v>35332.866666666654</v>
      </c>
      <c r="AC557" s="25">
        <f t="shared" si="677"/>
        <v>0.37604157797644372</v>
      </c>
      <c r="AD557" s="309" t="str">
        <f t="shared" si="678"/>
        <v>REVISAR PRECIO</v>
      </c>
      <c r="AE557" s="462">
        <f t="shared" si="679"/>
        <v>129292.86666666665</v>
      </c>
      <c r="AF557" s="408"/>
      <c r="AG557" s="293"/>
      <c r="AH557" s="293"/>
      <c r="AI557" s="293"/>
      <c r="AJ557" s="293"/>
      <c r="AK557" s="293"/>
      <c r="AL557" s="327"/>
      <c r="AM557" s="463"/>
      <c r="AN557" s="513">
        <v>53632</v>
      </c>
      <c r="AO557" s="88">
        <v>195000</v>
      </c>
      <c r="AP557" s="116">
        <v>195000</v>
      </c>
      <c r="AQ557" s="74">
        <v>203500</v>
      </c>
      <c r="AR557" s="76">
        <f t="shared" si="684"/>
        <v>197833.33333333334</v>
      </c>
      <c r="AS557" s="24">
        <f t="shared" si="685"/>
        <v>144201.33333333334</v>
      </c>
      <c r="AT557" s="25">
        <f t="shared" si="686"/>
        <v>2.6887181782020684</v>
      </c>
      <c r="AU557" s="309" t="str">
        <f t="shared" si="687"/>
        <v>REVISAR PRECIO</v>
      </c>
      <c r="AV557" s="462">
        <f t="shared" si="688"/>
        <v>197833.33333333334</v>
      </c>
      <c r="AW557" s="513">
        <v>53632</v>
      </c>
      <c r="AX557" s="74">
        <v>212750</v>
      </c>
      <c r="AY557" s="74">
        <v>220000</v>
      </c>
      <c r="AZ557" s="75">
        <v>245125</v>
      </c>
      <c r="BA557" s="61">
        <v>212749.99999999997</v>
      </c>
      <c r="BB557" s="60"/>
      <c r="BC557" s="74">
        <v>244662.49999999994</v>
      </c>
      <c r="BD557" s="79">
        <v>245125</v>
      </c>
      <c r="BE557" s="79">
        <v>185000</v>
      </c>
      <c r="BF557" s="127">
        <v>185000</v>
      </c>
      <c r="BG557" s="128">
        <v>219000</v>
      </c>
      <c r="BH557" s="128">
        <v>200000</v>
      </c>
      <c r="BI557" s="76">
        <f t="shared" si="689"/>
        <v>227057.5</v>
      </c>
      <c r="BJ557" s="24">
        <f t="shared" si="690"/>
        <v>173425.5</v>
      </c>
      <c r="BK557" s="25">
        <f t="shared" si="691"/>
        <v>3.2336198538186158</v>
      </c>
      <c r="BL557" s="259" t="str">
        <f t="shared" si="692"/>
        <v>REVISAR PRECIO</v>
      </c>
      <c r="BM557" s="533">
        <f t="shared" si="693"/>
        <v>227057.5</v>
      </c>
    </row>
    <row r="558" spans="1:65" ht="30.6" customHeight="1">
      <c r="A558" s="91" t="s">
        <v>29</v>
      </c>
      <c r="B558" s="358" t="s">
        <v>2749</v>
      </c>
      <c r="C558" s="50" t="s">
        <v>277</v>
      </c>
      <c r="D558" s="99" t="s">
        <v>617</v>
      </c>
      <c r="E558" s="391" t="s">
        <v>13</v>
      </c>
      <c r="F558" s="408"/>
      <c r="G558" s="293"/>
      <c r="H558" s="293"/>
      <c r="I558" s="293"/>
      <c r="J558" s="293"/>
      <c r="K558" s="293"/>
      <c r="L558" s="327"/>
      <c r="M558" s="432"/>
      <c r="N558" s="443"/>
      <c r="O558" s="250"/>
      <c r="P558" s="250"/>
      <c r="Q558" s="250"/>
      <c r="R558" s="250"/>
      <c r="S558" s="250"/>
      <c r="T558" s="250"/>
      <c r="U558" s="250"/>
      <c r="V558" s="443"/>
      <c r="W558" s="410">
        <v>50447</v>
      </c>
      <c r="X558" s="31">
        <v>65610</v>
      </c>
      <c r="Y558" s="31">
        <v>85293</v>
      </c>
      <c r="Z558" s="472">
        <v>57348</v>
      </c>
      <c r="AA558" s="76">
        <f t="shared" si="675"/>
        <v>69417</v>
      </c>
      <c r="AB558" s="24">
        <f t="shared" si="676"/>
        <v>18970</v>
      </c>
      <c r="AC558" s="25">
        <f t="shared" si="677"/>
        <v>0.37603821832814638</v>
      </c>
      <c r="AD558" s="309" t="str">
        <f t="shared" si="678"/>
        <v>REVISAR PRECIO</v>
      </c>
      <c r="AE558" s="462">
        <f t="shared" si="679"/>
        <v>69417</v>
      </c>
      <c r="AF558" s="408"/>
      <c r="AG558" s="293"/>
      <c r="AH558" s="293"/>
      <c r="AI558" s="293"/>
      <c r="AJ558" s="293"/>
      <c r="AK558" s="293"/>
      <c r="AL558" s="327"/>
      <c r="AM558" s="463"/>
      <c r="AN558" s="513">
        <v>28800</v>
      </c>
      <c r="AO558" s="88">
        <v>60000</v>
      </c>
      <c r="AP558" s="116">
        <v>60000</v>
      </c>
      <c r="AQ558" s="74">
        <v>61721.88</v>
      </c>
      <c r="AR558" s="76">
        <f t="shared" si="684"/>
        <v>60573.96</v>
      </c>
      <c r="AS558" s="24">
        <f t="shared" si="685"/>
        <v>31773.96</v>
      </c>
      <c r="AT558" s="25">
        <f t="shared" si="686"/>
        <v>1.1032625</v>
      </c>
      <c r="AU558" s="309" t="str">
        <f t="shared" si="687"/>
        <v>REVISAR PRECIO</v>
      </c>
      <c r="AV558" s="462">
        <f t="shared" si="688"/>
        <v>60573.96</v>
      </c>
      <c r="AW558" s="513">
        <v>28800</v>
      </c>
      <c r="AX558" s="74">
        <v>64527.42</v>
      </c>
      <c r="AY558" s="74">
        <v>65000</v>
      </c>
      <c r="AZ558" s="75">
        <v>74346.81</v>
      </c>
      <c r="BA558" s="61">
        <v>86710</v>
      </c>
      <c r="BB558" s="60"/>
      <c r="BC558" s="74">
        <v>99716.499999999985</v>
      </c>
      <c r="BD558" s="79">
        <v>74346.81</v>
      </c>
      <c r="BE558" s="79">
        <f>48792*1.15</f>
        <v>56110.799999999996</v>
      </c>
      <c r="BF558" s="127">
        <v>56110.799999999996</v>
      </c>
      <c r="BG558" s="128">
        <v>67900</v>
      </c>
      <c r="BH558" s="128">
        <v>60000</v>
      </c>
      <c r="BI558" s="76">
        <f t="shared" si="689"/>
        <v>78060.145999999993</v>
      </c>
      <c r="BJ558" s="24">
        <f t="shared" si="690"/>
        <v>49260.145999999993</v>
      </c>
      <c r="BK558" s="25">
        <f t="shared" si="691"/>
        <v>1.7104217361111109</v>
      </c>
      <c r="BL558" s="259" t="str">
        <f t="shared" si="692"/>
        <v>REVISAR PRECIO</v>
      </c>
      <c r="BM558" s="533">
        <f t="shared" si="693"/>
        <v>78060.145999999993</v>
      </c>
    </row>
    <row r="559" spans="1:65" ht="27" customHeight="1">
      <c r="A559" s="91" t="s">
        <v>29</v>
      </c>
      <c r="B559" s="358" t="s">
        <v>2750</v>
      </c>
      <c r="C559" s="50" t="s">
        <v>278</v>
      </c>
      <c r="D559" s="99" t="s">
        <v>618</v>
      </c>
      <c r="E559" s="391" t="s">
        <v>25</v>
      </c>
      <c r="F559" s="408"/>
      <c r="G559" s="293"/>
      <c r="H559" s="293"/>
      <c r="I559" s="293"/>
      <c r="J559" s="293"/>
      <c r="K559" s="293"/>
      <c r="L559" s="327"/>
      <c r="M559" s="432"/>
      <c r="N559" s="410">
        <v>17960</v>
      </c>
      <c r="O559" s="10"/>
      <c r="P559" s="10"/>
      <c r="Q559" s="10"/>
      <c r="R559" s="10"/>
      <c r="S559" s="76"/>
      <c r="T559" s="24"/>
      <c r="U559" s="281">
        <f t="shared" ref="U559" si="706">+T559/N559</f>
        <v>0</v>
      </c>
      <c r="V559" s="462" t="s">
        <v>894</v>
      </c>
      <c r="W559" s="410">
        <v>35302</v>
      </c>
      <c r="X559" s="33">
        <v>45914</v>
      </c>
      <c r="Y559" s="31">
        <v>59688</v>
      </c>
      <c r="Z559" s="472">
        <v>40131.800000000003</v>
      </c>
      <c r="AA559" s="76">
        <f t="shared" si="675"/>
        <v>48577.933333333327</v>
      </c>
      <c r="AB559" s="24">
        <f t="shared" si="676"/>
        <v>13275.933333333327</v>
      </c>
      <c r="AC559" s="25">
        <f t="shared" si="677"/>
        <v>0.37606745604592734</v>
      </c>
      <c r="AD559" s="309" t="str">
        <f t="shared" si="678"/>
        <v>REVISAR PRECIO</v>
      </c>
      <c r="AE559" s="462">
        <f t="shared" si="679"/>
        <v>48577.933333333327</v>
      </c>
      <c r="AF559" s="408"/>
      <c r="AG559" s="293"/>
      <c r="AH559" s="293"/>
      <c r="AI559" s="293"/>
      <c r="AJ559" s="293"/>
      <c r="AK559" s="293"/>
      <c r="AL559" s="327"/>
      <c r="AM559" s="463"/>
      <c r="AN559" s="513">
        <v>20152</v>
      </c>
      <c r="AO559" s="88">
        <v>70000</v>
      </c>
      <c r="AP559" s="116">
        <v>70000</v>
      </c>
      <c r="AQ559" s="74">
        <v>73150</v>
      </c>
      <c r="AR559" s="76">
        <f t="shared" si="684"/>
        <v>71050</v>
      </c>
      <c r="AS559" s="24">
        <f t="shared" si="685"/>
        <v>50898</v>
      </c>
      <c r="AT559" s="25">
        <f t="shared" si="686"/>
        <v>2.5257046447002778</v>
      </c>
      <c r="AU559" s="309" t="str">
        <f t="shared" si="687"/>
        <v>REVISAR PRECIO</v>
      </c>
      <c r="AV559" s="462">
        <f t="shared" si="688"/>
        <v>71050</v>
      </c>
      <c r="AW559" s="513">
        <v>20152</v>
      </c>
      <c r="AX559" s="74">
        <v>76475</v>
      </c>
      <c r="AY559" s="74">
        <v>70000</v>
      </c>
      <c r="AZ559" s="75">
        <v>88112.5</v>
      </c>
      <c r="BA559" s="61">
        <v>76475</v>
      </c>
      <c r="BB559" s="60">
        <v>45000</v>
      </c>
      <c r="BC559" s="74">
        <v>87946.25</v>
      </c>
      <c r="BD559" s="79">
        <v>88112.5</v>
      </c>
      <c r="BE559" s="79">
        <v>66500</v>
      </c>
      <c r="BF559" s="127">
        <v>66500</v>
      </c>
      <c r="BG559" s="128">
        <v>64000</v>
      </c>
      <c r="BH559" s="128">
        <v>65000</v>
      </c>
      <c r="BI559" s="76">
        <f t="shared" si="689"/>
        <v>74001.458333333328</v>
      </c>
      <c r="BJ559" s="24">
        <f t="shared" si="690"/>
        <v>53849.458333333328</v>
      </c>
      <c r="BK559" s="25">
        <f t="shared" si="691"/>
        <v>2.6721644667195976</v>
      </c>
      <c r="BL559" s="259" t="str">
        <f t="shared" si="692"/>
        <v>REVISAR PRECIO</v>
      </c>
      <c r="BM559" s="533">
        <f t="shared" si="693"/>
        <v>74001.458333333328</v>
      </c>
    </row>
    <row r="560" spans="1:65" ht="27" customHeight="1">
      <c r="A560" s="91" t="s">
        <v>29</v>
      </c>
      <c r="B560" s="358" t="s">
        <v>2751</v>
      </c>
      <c r="C560" s="50" t="s">
        <v>279</v>
      </c>
      <c r="D560" s="99" t="s">
        <v>619</v>
      </c>
      <c r="E560" s="391" t="s">
        <v>11</v>
      </c>
      <c r="F560" s="408"/>
      <c r="G560" s="293"/>
      <c r="H560" s="293"/>
      <c r="I560" s="293"/>
      <c r="J560" s="293"/>
      <c r="K560" s="293"/>
      <c r="L560" s="327"/>
      <c r="M560" s="432"/>
      <c r="N560" s="443"/>
      <c r="O560" s="250"/>
      <c r="P560" s="250"/>
      <c r="Q560" s="250"/>
      <c r="R560" s="250"/>
      <c r="S560" s="250"/>
      <c r="T560" s="250"/>
      <c r="U560" s="250"/>
      <c r="V560" s="443"/>
      <c r="W560" s="410">
        <v>138573</v>
      </c>
      <c r="X560" s="33">
        <v>180225</v>
      </c>
      <c r="Y560" s="33">
        <v>234293</v>
      </c>
      <c r="Z560" s="472">
        <v>157530</v>
      </c>
      <c r="AA560" s="76">
        <f t="shared" si="675"/>
        <v>190682.66666666666</v>
      </c>
      <c r="AB560" s="24">
        <f t="shared" si="676"/>
        <v>52109.666666666657</v>
      </c>
      <c r="AC560" s="25">
        <f t="shared" si="677"/>
        <v>0.37604487646703655</v>
      </c>
      <c r="AD560" s="309" t="str">
        <f t="shared" si="678"/>
        <v>REVISAR PRECIO</v>
      </c>
      <c r="AE560" s="462">
        <f t="shared" si="679"/>
        <v>190682.66666666666</v>
      </c>
      <c r="AF560" s="408"/>
      <c r="AG560" s="293"/>
      <c r="AH560" s="293"/>
      <c r="AI560" s="293"/>
      <c r="AJ560" s="293"/>
      <c r="AK560" s="293"/>
      <c r="AL560" s="327"/>
      <c r="AM560" s="463"/>
      <c r="AN560" s="513">
        <v>71193</v>
      </c>
      <c r="AO560" s="88">
        <v>98000</v>
      </c>
      <c r="AP560" s="116">
        <v>98000</v>
      </c>
      <c r="AQ560" s="74">
        <v>80682.964999999997</v>
      </c>
      <c r="AR560" s="76">
        <f t="shared" si="684"/>
        <v>92227.654999999984</v>
      </c>
      <c r="AS560" s="24">
        <f t="shared" si="685"/>
        <v>21034.654999999984</v>
      </c>
      <c r="AT560" s="25">
        <f t="shared" si="686"/>
        <v>0.29545959574677266</v>
      </c>
      <c r="AU560" s="309">
        <f t="shared" si="687"/>
        <v>92227.654999999984</v>
      </c>
      <c r="AV560" s="462">
        <f t="shared" si="688"/>
        <v>92227.654999999984</v>
      </c>
      <c r="AW560" s="513">
        <v>71193</v>
      </c>
      <c r="AX560" s="74">
        <v>84350.372499999998</v>
      </c>
      <c r="AY560" s="74">
        <v>100000</v>
      </c>
      <c r="AZ560" s="75">
        <v>97186.298749999987</v>
      </c>
      <c r="BA560" s="61">
        <v>84350.372499999983</v>
      </c>
      <c r="BB560" s="60"/>
      <c r="BC560" s="74">
        <v>97002.928374999974</v>
      </c>
      <c r="BD560" s="79">
        <v>97186.298749999987</v>
      </c>
      <c r="BE560" s="79">
        <f>63781*1.15</f>
        <v>73348.149999999994</v>
      </c>
      <c r="BF560" s="127">
        <v>88017.78</v>
      </c>
      <c r="BG560" s="128">
        <v>70000</v>
      </c>
      <c r="BH560" s="128">
        <v>80000</v>
      </c>
      <c r="BI560" s="76">
        <f t="shared" si="689"/>
        <v>92577.994424999997</v>
      </c>
      <c r="BJ560" s="24">
        <f t="shared" si="690"/>
        <v>21384.994424999997</v>
      </c>
      <c r="BK560" s="25">
        <f t="shared" si="691"/>
        <v>0.3003805770932535</v>
      </c>
      <c r="BL560" s="259">
        <f t="shared" si="692"/>
        <v>92577.994424999997</v>
      </c>
      <c r="BM560" s="533">
        <f t="shared" si="693"/>
        <v>92577.994424999997</v>
      </c>
    </row>
    <row r="561" spans="1:65" ht="27" customHeight="1">
      <c r="A561" s="91" t="s">
        <v>29</v>
      </c>
      <c r="B561" s="358" t="s">
        <v>2752</v>
      </c>
      <c r="C561" s="50" t="s">
        <v>280</v>
      </c>
      <c r="D561" s="99" t="s">
        <v>620</v>
      </c>
      <c r="E561" s="391" t="s">
        <v>740</v>
      </c>
      <c r="F561" s="408"/>
      <c r="G561" s="293"/>
      <c r="H561" s="293"/>
      <c r="I561" s="293"/>
      <c r="J561" s="293"/>
      <c r="K561" s="293"/>
      <c r="L561" s="327"/>
      <c r="M561" s="432"/>
      <c r="N561" s="443"/>
      <c r="O561" s="250"/>
      <c r="P561" s="250"/>
      <c r="Q561" s="250"/>
      <c r="R561" s="250"/>
      <c r="S561" s="250"/>
      <c r="T561" s="250"/>
      <c r="U561" s="250"/>
      <c r="V561" s="443"/>
      <c r="W561" s="410">
        <v>114803</v>
      </c>
      <c r="X561" s="33">
        <v>149310</v>
      </c>
      <c r="Y561" s="33">
        <v>194103</v>
      </c>
      <c r="Z561" s="472">
        <v>130508</v>
      </c>
      <c r="AA561" s="76">
        <f t="shared" si="675"/>
        <v>157973.66666666666</v>
      </c>
      <c r="AB561" s="24">
        <f t="shared" si="676"/>
        <v>43170.666666666657</v>
      </c>
      <c r="AC561" s="25">
        <f t="shared" si="677"/>
        <v>0.37604127650555003</v>
      </c>
      <c r="AD561" s="309" t="str">
        <f t="shared" si="678"/>
        <v>REVISAR PRECIO</v>
      </c>
      <c r="AE561" s="462">
        <f t="shared" si="679"/>
        <v>157973.66666666666</v>
      </c>
      <c r="AF561" s="408"/>
      <c r="AG561" s="293"/>
      <c r="AH561" s="293"/>
      <c r="AI561" s="293"/>
      <c r="AJ561" s="293"/>
      <c r="AK561" s="293"/>
      <c r="AL561" s="327"/>
      <c r="AM561" s="463"/>
      <c r="AN561" s="513">
        <v>33223</v>
      </c>
      <c r="AO561" s="88">
        <v>125000</v>
      </c>
      <c r="AP561" s="116">
        <v>125000</v>
      </c>
      <c r="AQ561" s="74">
        <v>121000</v>
      </c>
      <c r="AR561" s="76">
        <f t="shared" si="684"/>
        <v>123666.66666666667</v>
      </c>
      <c r="AS561" s="24">
        <f t="shared" si="685"/>
        <v>90443.666666666672</v>
      </c>
      <c r="AT561" s="25">
        <f t="shared" si="686"/>
        <v>2.7223208821198166</v>
      </c>
      <c r="AU561" s="309" t="str">
        <f t="shared" si="687"/>
        <v>REVISAR PRECIO</v>
      </c>
      <c r="AV561" s="462">
        <f t="shared" si="688"/>
        <v>123666.66666666667</v>
      </c>
      <c r="AW561" s="513">
        <v>33223</v>
      </c>
      <c r="AX561" s="74">
        <v>126500</v>
      </c>
      <c r="AY561" s="74">
        <v>130000</v>
      </c>
      <c r="AZ561" s="75">
        <v>145750</v>
      </c>
      <c r="BA561" s="61">
        <v>126499.99999999999</v>
      </c>
      <c r="BB561" s="60"/>
      <c r="BC561" s="74">
        <v>145474.99999999997</v>
      </c>
      <c r="BD561" s="79">
        <v>145750</v>
      </c>
      <c r="BE561" s="79">
        <v>110000</v>
      </c>
      <c r="BF561" s="127">
        <v>110000</v>
      </c>
      <c r="BG561" s="128">
        <v>127800</v>
      </c>
      <c r="BH561" s="128">
        <v>120000</v>
      </c>
      <c r="BI561" s="76">
        <f t="shared" si="689"/>
        <v>134845</v>
      </c>
      <c r="BJ561" s="24">
        <f t="shared" si="690"/>
        <v>101622</v>
      </c>
      <c r="BK561" s="25">
        <f t="shared" si="691"/>
        <v>3.0587845769497037</v>
      </c>
      <c r="BL561" s="259" t="str">
        <f t="shared" si="692"/>
        <v>REVISAR PRECIO</v>
      </c>
      <c r="BM561" s="533">
        <f t="shared" si="693"/>
        <v>134845</v>
      </c>
    </row>
    <row r="562" spans="1:65" ht="27" customHeight="1">
      <c r="A562" s="91" t="s">
        <v>29</v>
      </c>
      <c r="B562" s="358" t="s">
        <v>2753</v>
      </c>
      <c r="C562" s="50" t="s">
        <v>281</v>
      </c>
      <c r="D562" s="99" t="s">
        <v>621</v>
      </c>
      <c r="E562" s="391" t="s">
        <v>740</v>
      </c>
      <c r="F562" s="408"/>
      <c r="G562" s="293"/>
      <c r="H562" s="293"/>
      <c r="I562" s="293"/>
      <c r="J562" s="293"/>
      <c r="K562" s="293"/>
      <c r="L562" s="327"/>
      <c r="M562" s="432"/>
      <c r="N562" s="443"/>
      <c r="O562" s="250"/>
      <c r="P562" s="250"/>
      <c r="Q562" s="250"/>
      <c r="R562" s="250"/>
      <c r="S562" s="250"/>
      <c r="T562" s="250"/>
      <c r="U562" s="250"/>
      <c r="V562" s="443"/>
      <c r="W562" s="410">
        <v>111969</v>
      </c>
      <c r="X562" s="33">
        <v>145625</v>
      </c>
      <c r="Y562" s="31">
        <v>189312</v>
      </c>
      <c r="Z562" s="472">
        <v>127286.6</v>
      </c>
      <c r="AA562" s="76">
        <f t="shared" si="675"/>
        <v>154074.53333333333</v>
      </c>
      <c r="AB562" s="24">
        <f t="shared" si="676"/>
        <v>42105.533333333326</v>
      </c>
      <c r="AC562" s="25">
        <f t="shared" si="677"/>
        <v>0.37604634616128862</v>
      </c>
      <c r="AD562" s="309" t="str">
        <f t="shared" si="678"/>
        <v>REVISAR PRECIO</v>
      </c>
      <c r="AE562" s="462">
        <f t="shared" si="679"/>
        <v>154074.53333333333</v>
      </c>
      <c r="AF562" s="408"/>
      <c r="AG562" s="293"/>
      <c r="AH562" s="293"/>
      <c r="AI562" s="293"/>
      <c r="AJ562" s="293"/>
      <c r="AK562" s="293"/>
      <c r="AL562" s="327"/>
      <c r="AM562" s="463"/>
      <c r="AN562" s="513">
        <v>53898</v>
      </c>
      <c r="AO562" s="88">
        <v>200000</v>
      </c>
      <c r="AP562" s="116">
        <v>200000</v>
      </c>
      <c r="AQ562" s="74">
        <v>198000</v>
      </c>
      <c r="AR562" s="76">
        <f t="shared" si="684"/>
        <v>199333.33333333334</v>
      </c>
      <c r="AS562" s="24">
        <f t="shared" si="685"/>
        <v>145435.33333333334</v>
      </c>
      <c r="AT562" s="25">
        <f t="shared" si="686"/>
        <v>2.6983437851744654</v>
      </c>
      <c r="AU562" s="309" t="str">
        <f t="shared" si="687"/>
        <v>REVISAR PRECIO</v>
      </c>
      <c r="AV562" s="462">
        <f t="shared" si="688"/>
        <v>199333.33333333334</v>
      </c>
      <c r="AW562" s="513">
        <v>53898</v>
      </c>
      <c r="AX562" s="74">
        <v>207000</v>
      </c>
      <c r="AY562" s="74">
        <v>220000</v>
      </c>
      <c r="AZ562" s="75">
        <v>238500</v>
      </c>
      <c r="BA562" s="61">
        <v>206999.99999999997</v>
      </c>
      <c r="BB562" s="60"/>
      <c r="BC562" s="74">
        <v>238049.99999999994</v>
      </c>
      <c r="BD562" s="79">
        <v>238500</v>
      </c>
      <c r="BE562" s="79">
        <v>180000</v>
      </c>
      <c r="BF562" s="127">
        <v>180000</v>
      </c>
      <c r="BG562" s="128">
        <v>170000</v>
      </c>
      <c r="BH562" s="128">
        <v>180000</v>
      </c>
      <c r="BI562" s="76">
        <f t="shared" si="689"/>
        <v>222110</v>
      </c>
      <c r="BJ562" s="24">
        <f t="shared" si="690"/>
        <v>168212</v>
      </c>
      <c r="BK562" s="25">
        <f t="shared" si="691"/>
        <v>3.1209321310623772</v>
      </c>
      <c r="BL562" s="259" t="str">
        <f t="shared" si="692"/>
        <v>REVISAR PRECIO</v>
      </c>
      <c r="BM562" s="533">
        <f t="shared" si="693"/>
        <v>222110</v>
      </c>
    </row>
    <row r="563" spans="1:65" ht="27" customHeight="1">
      <c r="A563" s="91" t="s">
        <v>29</v>
      </c>
      <c r="B563" s="358" t="s">
        <v>2754</v>
      </c>
      <c r="C563" s="50" t="s">
        <v>282</v>
      </c>
      <c r="D563" s="99" t="s">
        <v>622</v>
      </c>
      <c r="E563" s="391" t="s">
        <v>740</v>
      </c>
      <c r="F563" s="408"/>
      <c r="G563" s="293"/>
      <c r="H563" s="293"/>
      <c r="I563" s="293"/>
      <c r="J563" s="293"/>
      <c r="K563" s="293"/>
      <c r="L563" s="327"/>
      <c r="M563" s="432"/>
      <c r="N563" s="443"/>
      <c r="O563" s="250"/>
      <c r="P563" s="250"/>
      <c r="Q563" s="250"/>
      <c r="R563" s="250"/>
      <c r="S563" s="250"/>
      <c r="T563" s="250"/>
      <c r="U563" s="250"/>
      <c r="V563" s="443"/>
      <c r="W563" s="410">
        <v>158160</v>
      </c>
      <c r="X563" s="33">
        <v>205700</v>
      </c>
      <c r="Y563" s="31">
        <v>267409</v>
      </c>
      <c r="Z563" s="472">
        <v>179796.6</v>
      </c>
      <c r="AA563" s="76">
        <f t="shared" si="675"/>
        <v>217635.19999999998</v>
      </c>
      <c r="AB563" s="24">
        <f t="shared" si="676"/>
        <v>59475.199999999983</v>
      </c>
      <c r="AC563" s="25">
        <f t="shared" si="677"/>
        <v>0.37604451188669691</v>
      </c>
      <c r="AD563" s="309" t="str">
        <f t="shared" si="678"/>
        <v>REVISAR PRECIO</v>
      </c>
      <c r="AE563" s="462">
        <f t="shared" si="679"/>
        <v>217635.19999999998</v>
      </c>
      <c r="AF563" s="408"/>
      <c r="AG563" s="293"/>
      <c r="AH563" s="293"/>
      <c r="AI563" s="293"/>
      <c r="AJ563" s="293"/>
      <c r="AK563" s="293"/>
      <c r="AL563" s="327"/>
      <c r="AM563" s="463"/>
      <c r="AN563" s="513">
        <v>81255</v>
      </c>
      <c r="AO563" s="88">
        <v>25000</v>
      </c>
      <c r="AP563" s="116">
        <v>25000</v>
      </c>
      <c r="AQ563" s="74">
        <v>22715</v>
      </c>
      <c r="AR563" s="76">
        <f t="shared" si="684"/>
        <v>24238.333333333332</v>
      </c>
      <c r="AS563" s="24">
        <f t="shared" si="685"/>
        <v>-57016.666666666672</v>
      </c>
      <c r="AT563" s="25">
        <f t="shared" si="686"/>
        <v>-0.70170040818000945</v>
      </c>
      <c r="AU563" s="309">
        <f t="shared" si="687"/>
        <v>24238.333333333332</v>
      </c>
      <c r="AV563" s="462">
        <f t="shared" si="688"/>
        <v>24238.333333333332</v>
      </c>
      <c r="AW563" s="513">
        <v>81255</v>
      </c>
      <c r="AX563" s="74">
        <v>23747.5</v>
      </c>
      <c r="AY563" s="74">
        <v>45000</v>
      </c>
      <c r="AZ563" s="75">
        <v>27361.25</v>
      </c>
      <c r="BA563" s="61">
        <v>62444.999999999993</v>
      </c>
      <c r="BB563" s="60"/>
      <c r="BC563" s="74">
        <v>71811.749999999985</v>
      </c>
      <c r="BD563" s="79">
        <v>27361.25</v>
      </c>
      <c r="BE563" s="79">
        <v>20650</v>
      </c>
      <c r="BF563" s="127">
        <v>24780</v>
      </c>
      <c r="BG563" s="128">
        <v>21000</v>
      </c>
      <c r="BH563" s="128">
        <v>25000</v>
      </c>
      <c r="BI563" s="76">
        <f t="shared" si="689"/>
        <v>46073.1</v>
      </c>
      <c r="BJ563" s="24">
        <f t="shared" si="690"/>
        <v>-35181.9</v>
      </c>
      <c r="BK563" s="25">
        <f t="shared" si="691"/>
        <v>-0.4329813549935389</v>
      </c>
      <c r="BL563" s="259">
        <f t="shared" si="692"/>
        <v>46073.1</v>
      </c>
      <c r="BM563" s="533">
        <f t="shared" si="693"/>
        <v>46073.1</v>
      </c>
    </row>
    <row r="564" spans="1:65" ht="27" customHeight="1">
      <c r="A564" s="91" t="s">
        <v>29</v>
      </c>
      <c r="B564" s="358" t="s">
        <v>2755</v>
      </c>
      <c r="C564" s="50" t="s">
        <v>283</v>
      </c>
      <c r="D564" s="99" t="s">
        <v>623</v>
      </c>
      <c r="E564" s="391" t="s">
        <v>740</v>
      </c>
      <c r="F564" s="408"/>
      <c r="G564" s="293"/>
      <c r="H564" s="293"/>
      <c r="I564" s="293"/>
      <c r="J564" s="293"/>
      <c r="K564" s="293"/>
      <c r="L564" s="327"/>
      <c r="M564" s="432"/>
      <c r="N564" s="443"/>
      <c r="O564" s="250"/>
      <c r="P564" s="250"/>
      <c r="Q564" s="250"/>
      <c r="R564" s="250"/>
      <c r="S564" s="250"/>
      <c r="T564" s="250"/>
      <c r="U564" s="250"/>
      <c r="V564" s="443"/>
      <c r="W564" s="410">
        <v>288159</v>
      </c>
      <c r="X564" s="33">
        <v>374774</v>
      </c>
      <c r="Y564" s="33">
        <v>487206</v>
      </c>
      <c r="Z564" s="472">
        <v>327579.8</v>
      </c>
      <c r="AA564" s="76">
        <f t="shared" si="675"/>
        <v>396519.93333333335</v>
      </c>
      <c r="AB564" s="24">
        <f t="shared" si="676"/>
        <v>108360.93333333335</v>
      </c>
      <c r="AC564" s="25">
        <f t="shared" si="677"/>
        <v>0.37604563221462228</v>
      </c>
      <c r="AD564" s="309" t="str">
        <f t="shared" si="678"/>
        <v>REVISAR PRECIO</v>
      </c>
      <c r="AE564" s="462">
        <f t="shared" si="679"/>
        <v>396519.93333333335</v>
      </c>
      <c r="AF564" s="408"/>
      <c r="AG564" s="293"/>
      <c r="AH564" s="293"/>
      <c r="AI564" s="293"/>
      <c r="AJ564" s="293"/>
      <c r="AK564" s="293"/>
      <c r="AL564" s="327"/>
      <c r="AM564" s="463"/>
      <c r="AN564" s="513">
        <v>96225</v>
      </c>
      <c r="AO564" s="88">
        <v>95000</v>
      </c>
      <c r="AP564" s="116">
        <v>95000</v>
      </c>
      <c r="AQ564" s="74">
        <v>71280</v>
      </c>
      <c r="AR564" s="76">
        <f t="shared" si="684"/>
        <v>87093.333333333328</v>
      </c>
      <c r="AS564" s="24">
        <f t="shared" si="685"/>
        <v>-9131.6666666666715</v>
      </c>
      <c r="AT564" s="25">
        <f t="shared" si="686"/>
        <v>-9.4899107993418261E-2</v>
      </c>
      <c r="AU564" s="309">
        <f t="shared" si="687"/>
        <v>87093.333333333328</v>
      </c>
      <c r="AV564" s="462">
        <f t="shared" si="688"/>
        <v>87093.333333333328</v>
      </c>
      <c r="AW564" s="513">
        <v>96225</v>
      </c>
      <c r="AX564" s="74">
        <v>74520</v>
      </c>
      <c r="AY564" s="74">
        <v>80000</v>
      </c>
      <c r="AZ564" s="75">
        <v>85860</v>
      </c>
      <c r="BA564" s="61"/>
      <c r="BB564" s="60"/>
      <c r="BC564" s="74"/>
      <c r="BD564" s="79">
        <v>85860</v>
      </c>
      <c r="BE564" s="79">
        <v>64800</v>
      </c>
      <c r="BF564" s="127">
        <v>77760</v>
      </c>
      <c r="BG564" s="128">
        <v>65000</v>
      </c>
      <c r="BH564" s="128">
        <v>65000</v>
      </c>
      <c r="BI564" s="76">
        <f t="shared" si="689"/>
        <v>80126.666666666672</v>
      </c>
      <c r="BJ564" s="24">
        <f t="shared" si="690"/>
        <v>-16098.333333333328</v>
      </c>
      <c r="BK564" s="25">
        <f t="shared" si="691"/>
        <v>-0.16729886550619202</v>
      </c>
      <c r="BL564" s="259">
        <f t="shared" si="692"/>
        <v>80126.666666666672</v>
      </c>
      <c r="BM564" s="533">
        <f t="shared" si="693"/>
        <v>80126.666666666672</v>
      </c>
    </row>
    <row r="565" spans="1:65" ht="34.35" customHeight="1">
      <c r="A565" s="91" t="s">
        <v>29</v>
      </c>
      <c r="B565" s="358" t="s">
        <v>2756</v>
      </c>
      <c r="C565" s="50" t="s">
        <v>284</v>
      </c>
      <c r="D565" s="99" t="s">
        <v>624</v>
      </c>
      <c r="E565" s="391" t="s">
        <v>11</v>
      </c>
      <c r="F565" s="408"/>
      <c r="G565" s="293"/>
      <c r="H565" s="293"/>
      <c r="I565" s="293"/>
      <c r="J565" s="293"/>
      <c r="K565" s="293"/>
      <c r="L565" s="327"/>
      <c r="M565" s="432"/>
      <c r="N565" s="443"/>
      <c r="O565" s="250"/>
      <c r="P565" s="250"/>
      <c r="Q565" s="250"/>
      <c r="R565" s="250"/>
      <c r="S565" s="250"/>
      <c r="T565" s="250"/>
      <c r="U565" s="250"/>
      <c r="V565" s="443"/>
      <c r="W565" s="410">
        <v>73968</v>
      </c>
      <c r="X565" s="31">
        <v>96201</v>
      </c>
      <c r="Y565" s="33">
        <v>96201</v>
      </c>
      <c r="Z565" s="472">
        <v>84086.8</v>
      </c>
      <c r="AA565" s="76">
        <f t="shared" si="675"/>
        <v>92162.933333333334</v>
      </c>
      <c r="AB565" s="24">
        <f t="shared" si="676"/>
        <v>18194.933333333334</v>
      </c>
      <c r="AC565" s="25">
        <f t="shared" si="677"/>
        <v>0.24598384887158412</v>
      </c>
      <c r="AD565" s="309">
        <f t="shared" si="678"/>
        <v>92162.933333333334</v>
      </c>
      <c r="AE565" s="462">
        <f t="shared" si="679"/>
        <v>92162.933333333334</v>
      </c>
      <c r="AF565" s="408"/>
      <c r="AG565" s="293"/>
      <c r="AH565" s="293"/>
      <c r="AI565" s="293"/>
      <c r="AJ565" s="293"/>
      <c r="AK565" s="293"/>
      <c r="AL565" s="327"/>
      <c r="AM565" s="463"/>
      <c r="AN565" s="513">
        <v>38007</v>
      </c>
      <c r="AO565" s="88">
        <v>90000</v>
      </c>
      <c r="AP565" s="116">
        <v>90000</v>
      </c>
      <c r="AQ565" s="74">
        <v>62920</v>
      </c>
      <c r="AR565" s="76">
        <f t="shared" si="684"/>
        <v>80973.333333333328</v>
      </c>
      <c r="AS565" s="24">
        <f t="shared" si="685"/>
        <v>42966.333333333328</v>
      </c>
      <c r="AT565" s="25">
        <f t="shared" si="686"/>
        <v>1.1304847352680645</v>
      </c>
      <c r="AU565" s="309" t="str">
        <f t="shared" si="687"/>
        <v>REVISAR PRECIO</v>
      </c>
      <c r="AV565" s="462">
        <f t="shared" si="688"/>
        <v>80973.333333333328</v>
      </c>
      <c r="AW565" s="513">
        <v>38007</v>
      </c>
      <c r="AX565" s="74">
        <v>65780</v>
      </c>
      <c r="AY565" s="74">
        <v>65000</v>
      </c>
      <c r="AZ565" s="75">
        <v>75790</v>
      </c>
      <c r="BA565" s="61">
        <v>100739.99999999999</v>
      </c>
      <c r="BB565" s="60"/>
      <c r="BC565" s="74">
        <v>115850.99999999997</v>
      </c>
      <c r="BD565" s="79">
        <v>75790</v>
      </c>
      <c r="BE565" s="79">
        <v>57200</v>
      </c>
      <c r="BF565" s="127">
        <v>68640</v>
      </c>
      <c r="BG565" s="128">
        <v>67000</v>
      </c>
      <c r="BH565" s="128">
        <v>60000</v>
      </c>
      <c r="BI565" s="76">
        <f t="shared" si="689"/>
        <v>84632.2</v>
      </c>
      <c r="BJ565" s="24">
        <f t="shared" si="690"/>
        <v>46625.2</v>
      </c>
      <c r="BK565" s="25">
        <f t="shared" si="691"/>
        <v>1.2267529665587917</v>
      </c>
      <c r="BL565" s="259" t="str">
        <f t="shared" si="692"/>
        <v>REVISAR PRECIO</v>
      </c>
      <c r="BM565" s="533">
        <f t="shared" si="693"/>
        <v>84632.2</v>
      </c>
    </row>
    <row r="566" spans="1:65" ht="60" customHeight="1">
      <c r="A566" s="91"/>
      <c r="B566" s="358" t="s">
        <v>2757</v>
      </c>
      <c r="C566" s="50" t="s">
        <v>1118</v>
      </c>
      <c r="D566" s="177" t="s">
        <v>1073</v>
      </c>
      <c r="E566" s="396" t="s">
        <v>13</v>
      </c>
      <c r="F566" s="410">
        <v>31706</v>
      </c>
      <c r="G566" s="10">
        <v>23646</v>
      </c>
      <c r="H566" s="167">
        <v>23646</v>
      </c>
      <c r="I566" s="10">
        <v>22300</v>
      </c>
      <c r="J566" s="76">
        <f t="shared" ref="J566:J589" si="707">AVERAGE(G566,I566)</f>
        <v>22973</v>
      </c>
      <c r="K566" s="24">
        <f t="shared" ref="K566:K589" si="708">J566-F566</f>
        <v>-8733</v>
      </c>
      <c r="L566" s="281">
        <f t="shared" ref="L566:L589" si="709">+K566/F566</f>
        <v>-0.27543682583738094</v>
      </c>
      <c r="M566" s="431">
        <f t="shared" ref="M566:M589" si="710">H566</f>
        <v>23646</v>
      </c>
      <c r="N566" s="443"/>
      <c r="O566" s="250"/>
      <c r="P566" s="250"/>
      <c r="Q566" s="250"/>
      <c r="R566" s="250"/>
      <c r="S566" s="250"/>
      <c r="T566" s="250"/>
      <c r="U566" s="250"/>
      <c r="V566" s="443"/>
      <c r="W566" s="410"/>
      <c r="X566" s="31"/>
      <c r="Y566" s="33"/>
      <c r="Z566" s="472"/>
      <c r="AA566" s="76"/>
      <c r="AB566" s="24"/>
      <c r="AC566" s="25"/>
      <c r="AD566" s="309"/>
      <c r="AE566" s="462"/>
      <c r="AF566" s="408"/>
      <c r="AG566" s="293"/>
      <c r="AH566" s="293"/>
      <c r="AI566" s="293"/>
      <c r="AJ566" s="293"/>
      <c r="AK566" s="293"/>
      <c r="AL566" s="327"/>
      <c r="AM566" s="463"/>
      <c r="AN566" s="513"/>
      <c r="AO566" s="88"/>
      <c r="AP566" s="116"/>
      <c r="AQ566" s="74"/>
      <c r="AR566" s="76"/>
      <c r="AS566" s="24"/>
      <c r="AT566" s="25"/>
      <c r="AU566" s="309"/>
      <c r="AV566" s="462"/>
      <c r="AW566" s="513"/>
      <c r="AX566" s="74"/>
      <c r="AY566" s="74"/>
      <c r="AZ566" s="75"/>
      <c r="BA566" s="61"/>
      <c r="BB566" s="60"/>
      <c r="BC566" s="74"/>
      <c r="BD566" s="79"/>
      <c r="BE566" s="79"/>
      <c r="BF566" s="127"/>
      <c r="BG566" s="128"/>
      <c r="BH566" s="128"/>
      <c r="BI566" s="76"/>
      <c r="BJ566" s="24"/>
      <c r="BK566" s="25"/>
      <c r="BL566" s="259"/>
      <c r="BM566" s="533"/>
    </row>
    <row r="567" spans="1:65" ht="60" customHeight="1">
      <c r="A567" s="91"/>
      <c r="B567" s="358" t="s">
        <v>2758</v>
      </c>
      <c r="C567" s="50" t="s">
        <v>1119</v>
      </c>
      <c r="D567" s="205" t="s">
        <v>1074</v>
      </c>
      <c r="E567" s="397" t="s">
        <v>13</v>
      </c>
      <c r="F567" s="410">
        <v>29304</v>
      </c>
      <c r="G567" s="10">
        <v>44240</v>
      </c>
      <c r="H567" s="167">
        <v>88480</v>
      </c>
      <c r="I567" s="10">
        <v>40000</v>
      </c>
      <c r="J567" s="76">
        <f t="shared" si="707"/>
        <v>42120</v>
      </c>
      <c r="K567" s="24">
        <f t="shared" si="708"/>
        <v>12816</v>
      </c>
      <c r="L567" s="281">
        <f t="shared" si="709"/>
        <v>0.43734643734643736</v>
      </c>
      <c r="M567" s="431">
        <f t="shared" si="710"/>
        <v>88480</v>
      </c>
      <c r="N567" s="443"/>
      <c r="O567" s="250"/>
      <c r="P567" s="250"/>
      <c r="Q567" s="250"/>
      <c r="R567" s="250"/>
      <c r="S567" s="250"/>
      <c r="T567" s="250"/>
      <c r="U567" s="250"/>
      <c r="V567" s="443"/>
      <c r="W567" s="410"/>
      <c r="X567" s="31"/>
      <c r="Y567" s="33"/>
      <c r="Z567" s="472"/>
      <c r="AA567" s="76"/>
      <c r="AB567" s="24"/>
      <c r="AC567" s="25"/>
      <c r="AD567" s="309"/>
      <c r="AE567" s="462"/>
      <c r="AF567" s="408"/>
      <c r="AG567" s="293"/>
      <c r="AH567" s="293"/>
      <c r="AI567" s="293"/>
      <c r="AJ567" s="293"/>
      <c r="AK567" s="293"/>
      <c r="AL567" s="327"/>
      <c r="AM567" s="463"/>
      <c r="AN567" s="513"/>
      <c r="AO567" s="88"/>
      <c r="AP567" s="116"/>
      <c r="AQ567" s="74"/>
      <c r="AR567" s="76"/>
      <c r="AS567" s="24"/>
      <c r="AT567" s="25"/>
      <c r="AU567" s="309"/>
      <c r="AV567" s="462"/>
      <c r="AW567" s="513"/>
      <c r="AX567" s="74"/>
      <c r="AY567" s="74"/>
      <c r="AZ567" s="75"/>
      <c r="BA567" s="61"/>
      <c r="BB567" s="60"/>
      <c r="BC567" s="74"/>
      <c r="BD567" s="79"/>
      <c r="BE567" s="79"/>
      <c r="BF567" s="127"/>
      <c r="BG567" s="128"/>
      <c r="BH567" s="128"/>
      <c r="BI567" s="76"/>
      <c r="BJ567" s="24"/>
      <c r="BK567" s="25"/>
      <c r="BL567" s="259"/>
      <c r="BM567" s="533"/>
    </row>
    <row r="568" spans="1:65" ht="60" customHeight="1">
      <c r="A568" s="91"/>
      <c r="B568" s="358" t="s">
        <v>2759</v>
      </c>
      <c r="C568" s="50" t="s">
        <v>1120</v>
      </c>
      <c r="D568" s="205" t="s">
        <v>1075</v>
      </c>
      <c r="E568" s="397" t="s">
        <v>13</v>
      </c>
      <c r="F568" s="410">
        <v>73254</v>
      </c>
      <c r="G568" s="10">
        <v>73529.03</v>
      </c>
      <c r="H568" s="167">
        <v>220587.09</v>
      </c>
      <c r="I568" s="10">
        <v>70340</v>
      </c>
      <c r="J568" s="76">
        <f t="shared" si="707"/>
        <v>71934.514999999999</v>
      </c>
      <c r="K568" s="24">
        <f t="shared" si="708"/>
        <v>-1319.4850000000006</v>
      </c>
      <c r="L568" s="281">
        <f t="shared" si="709"/>
        <v>-1.8012463483222767E-2</v>
      </c>
      <c r="M568" s="431">
        <f t="shared" si="710"/>
        <v>220587.09</v>
      </c>
      <c r="N568" s="443"/>
      <c r="O568" s="250"/>
      <c r="P568" s="250"/>
      <c r="Q568" s="250"/>
      <c r="R568" s="250"/>
      <c r="S568" s="250"/>
      <c r="T568" s="250"/>
      <c r="U568" s="250"/>
      <c r="V568" s="443"/>
      <c r="W568" s="410"/>
      <c r="X568" s="31"/>
      <c r="Y568" s="33"/>
      <c r="Z568" s="472"/>
      <c r="AA568" s="76"/>
      <c r="AB568" s="24"/>
      <c r="AC568" s="25"/>
      <c r="AD568" s="309"/>
      <c r="AE568" s="462"/>
      <c r="AF568" s="408"/>
      <c r="AG568" s="293"/>
      <c r="AH568" s="293"/>
      <c r="AI568" s="293"/>
      <c r="AJ568" s="293"/>
      <c r="AK568" s="293"/>
      <c r="AL568" s="327"/>
      <c r="AM568" s="463"/>
      <c r="AN568" s="513"/>
      <c r="AO568" s="88"/>
      <c r="AP568" s="116"/>
      <c r="AQ568" s="74"/>
      <c r="AR568" s="76"/>
      <c r="AS568" s="24"/>
      <c r="AT568" s="25"/>
      <c r="AU568" s="309"/>
      <c r="AV568" s="462"/>
      <c r="AW568" s="513"/>
      <c r="AX568" s="74"/>
      <c r="AY568" s="74"/>
      <c r="AZ568" s="75"/>
      <c r="BA568" s="61"/>
      <c r="BB568" s="60"/>
      <c r="BC568" s="74"/>
      <c r="BD568" s="79"/>
      <c r="BE568" s="79"/>
      <c r="BF568" s="127"/>
      <c r="BG568" s="128"/>
      <c r="BH568" s="128"/>
      <c r="BI568" s="76"/>
      <c r="BJ568" s="24"/>
      <c r="BK568" s="25"/>
      <c r="BL568" s="259"/>
      <c r="BM568" s="533"/>
    </row>
    <row r="569" spans="1:65" ht="60" customHeight="1">
      <c r="A569" s="91"/>
      <c r="B569" s="358" t="s">
        <v>2760</v>
      </c>
      <c r="C569" s="50" t="s">
        <v>1121</v>
      </c>
      <c r="D569" s="205" t="s">
        <v>1076</v>
      </c>
      <c r="E569" s="397" t="s">
        <v>13</v>
      </c>
      <c r="F569" s="410">
        <v>49893</v>
      </c>
      <c r="G569" s="10">
        <v>73529.03</v>
      </c>
      <c r="H569" s="167">
        <v>294116.12</v>
      </c>
      <c r="I569" s="10">
        <v>70450</v>
      </c>
      <c r="J569" s="76">
        <f t="shared" si="707"/>
        <v>71989.514999999999</v>
      </c>
      <c r="K569" s="24">
        <f t="shared" si="708"/>
        <v>22096.514999999999</v>
      </c>
      <c r="L569" s="281">
        <f t="shared" si="709"/>
        <v>0.44287805904635918</v>
      </c>
      <c r="M569" s="431">
        <f t="shared" si="710"/>
        <v>294116.12</v>
      </c>
      <c r="N569" s="443"/>
      <c r="O569" s="250"/>
      <c r="P569" s="250"/>
      <c r="Q569" s="250"/>
      <c r="R569" s="250"/>
      <c r="S569" s="250"/>
      <c r="T569" s="250"/>
      <c r="U569" s="250"/>
      <c r="V569" s="443"/>
      <c r="W569" s="410"/>
      <c r="X569" s="31"/>
      <c r="Y569" s="33"/>
      <c r="Z569" s="472"/>
      <c r="AA569" s="76"/>
      <c r="AB569" s="24"/>
      <c r="AC569" s="25"/>
      <c r="AD569" s="309"/>
      <c r="AE569" s="462"/>
      <c r="AF569" s="408"/>
      <c r="AG569" s="293"/>
      <c r="AH569" s="293"/>
      <c r="AI569" s="293"/>
      <c r="AJ569" s="293"/>
      <c r="AK569" s="293"/>
      <c r="AL569" s="327"/>
      <c r="AM569" s="463"/>
      <c r="AN569" s="513"/>
      <c r="AO569" s="88"/>
      <c r="AP569" s="116"/>
      <c r="AQ569" s="74"/>
      <c r="AR569" s="76"/>
      <c r="AS569" s="24"/>
      <c r="AT569" s="25"/>
      <c r="AU569" s="309"/>
      <c r="AV569" s="462"/>
      <c r="AW569" s="513"/>
      <c r="AX569" s="74"/>
      <c r="AY569" s="74"/>
      <c r="AZ569" s="75"/>
      <c r="BA569" s="61"/>
      <c r="BB569" s="60"/>
      <c r="BC569" s="74"/>
      <c r="BD569" s="79"/>
      <c r="BE569" s="79"/>
      <c r="BF569" s="127"/>
      <c r="BG569" s="128"/>
      <c r="BH569" s="128"/>
      <c r="BI569" s="76"/>
      <c r="BJ569" s="24"/>
      <c r="BK569" s="25"/>
      <c r="BL569" s="259"/>
      <c r="BM569" s="533"/>
    </row>
    <row r="570" spans="1:65" ht="60" customHeight="1">
      <c r="A570" s="91"/>
      <c r="B570" s="358" t="s">
        <v>2761</v>
      </c>
      <c r="C570" s="50" t="s">
        <v>1122</v>
      </c>
      <c r="D570" s="205" t="s">
        <v>1077</v>
      </c>
      <c r="E570" s="397" t="s">
        <v>13</v>
      </c>
      <c r="F570" s="410">
        <v>75684</v>
      </c>
      <c r="G570" s="10">
        <v>93077</v>
      </c>
      <c r="H570" s="167">
        <v>93077</v>
      </c>
      <c r="I570" s="10">
        <v>89800</v>
      </c>
      <c r="J570" s="76">
        <f t="shared" si="707"/>
        <v>91438.5</v>
      </c>
      <c r="K570" s="24">
        <f t="shared" si="708"/>
        <v>15754.5</v>
      </c>
      <c r="L570" s="281">
        <f t="shared" si="709"/>
        <v>0.20816156651339782</v>
      </c>
      <c r="M570" s="431">
        <f t="shared" si="710"/>
        <v>93077</v>
      </c>
      <c r="N570" s="443"/>
      <c r="O570" s="250"/>
      <c r="P570" s="250"/>
      <c r="Q570" s="250"/>
      <c r="R570" s="250"/>
      <c r="S570" s="250"/>
      <c r="T570" s="250"/>
      <c r="U570" s="250"/>
      <c r="V570" s="443"/>
      <c r="W570" s="410"/>
      <c r="X570" s="31"/>
      <c r="Y570" s="33"/>
      <c r="Z570" s="472"/>
      <c r="AA570" s="76"/>
      <c r="AB570" s="24"/>
      <c r="AC570" s="25"/>
      <c r="AD570" s="309"/>
      <c r="AE570" s="462"/>
      <c r="AF570" s="408"/>
      <c r="AG570" s="293"/>
      <c r="AH570" s="293"/>
      <c r="AI570" s="293"/>
      <c r="AJ570" s="293"/>
      <c r="AK570" s="293"/>
      <c r="AL570" s="327"/>
      <c r="AM570" s="463"/>
      <c r="AN570" s="513"/>
      <c r="AO570" s="88"/>
      <c r="AP570" s="116"/>
      <c r="AQ570" s="74"/>
      <c r="AR570" s="76"/>
      <c r="AS570" s="24"/>
      <c r="AT570" s="25"/>
      <c r="AU570" s="309"/>
      <c r="AV570" s="462"/>
      <c r="AW570" s="513"/>
      <c r="AX570" s="74"/>
      <c r="AY570" s="74"/>
      <c r="AZ570" s="75"/>
      <c r="BA570" s="61"/>
      <c r="BB570" s="60"/>
      <c r="BC570" s="74"/>
      <c r="BD570" s="79"/>
      <c r="BE570" s="79"/>
      <c r="BF570" s="127"/>
      <c r="BG570" s="128"/>
      <c r="BH570" s="128"/>
      <c r="BI570" s="76"/>
      <c r="BJ570" s="24"/>
      <c r="BK570" s="25"/>
      <c r="BL570" s="259"/>
      <c r="BM570" s="533"/>
    </row>
    <row r="571" spans="1:65" ht="60" customHeight="1">
      <c r="A571" s="91"/>
      <c r="B571" s="358" t="s">
        <v>2762</v>
      </c>
      <c r="C571" s="50" t="s">
        <v>1123</v>
      </c>
      <c r="D571" s="205" t="s">
        <v>1078</v>
      </c>
      <c r="E571" s="397" t="s">
        <v>13</v>
      </c>
      <c r="F571" s="410">
        <v>104294</v>
      </c>
      <c r="G571" s="10"/>
      <c r="H571" s="167">
        <v>45000</v>
      </c>
      <c r="I571" s="10">
        <v>135900</v>
      </c>
      <c r="J571" s="76">
        <f t="shared" si="707"/>
        <v>135900</v>
      </c>
      <c r="K571" s="24">
        <f t="shared" si="708"/>
        <v>31606</v>
      </c>
      <c r="L571" s="281">
        <f t="shared" si="709"/>
        <v>0.30304715515753544</v>
      </c>
      <c r="M571" s="431">
        <f t="shared" si="710"/>
        <v>45000</v>
      </c>
      <c r="N571" s="443"/>
      <c r="O571" s="250"/>
      <c r="P571" s="250"/>
      <c r="Q571" s="250"/>
      <c r="R571" s="250"/>
      <c r="S571" s="250"/>
      <c r="T571" s="250"/>
      <c r="U571" s="250"/>
      <c r="V571" s="443"/>
      <c r="W571" s="410"/>
      <c r="X571" s="31"/>
      <c r="Y571" s="33"/>
      <c r="Z571" s="472"/>
      <c r="AA571" s="76"/>
      <c r="AB571" s="24"/>
      <c r="AC571" s="25"/>
      <c r="AD571" s="309"/>
      <c r="AE571" s="462"/>
      <c r="AF571" s="408"/>
      <c r="AG571" s="293"/>
      <c r="AH571" s="293"/>
      <c r="AI571" s="293"/>
      <c r="AJ571" s="293"/>
      <c r="AK571" s="293"/>
      <c r="AL571" s="327"/>
      <c r="AM571" s="463"/>
      <c r="AN571" s="513"/>
      <c r="AO571" s="88"/>
      <c r="AP571" s="116"/>
      <c r="AQ571" s="74"/>
      <c r="AR571" s="76"/>
      <c r="AS571" s="24"/>
      <c r="AT571" s="25"/>
      <c r="AU571" s="309"/>
      <c r="AV571" s="462"/>
      <c r="AW571" s="513"/>
      <c r="AX571" s="74"/>
      <c r="AY571" s="74"/>
      <c r="AZ571" s="75"/>
      <c r="BA571" s="61"/>
      <c r="BB571" s="60"/>
      <c r="BC571" s="74"/>
      <c r="BD571" s="79"/>
      <c r="BE571" s="79"/>
      <c r="BF571" s="127"/>
      <c r="BG571" s="128"/>
      <c r="BH571" s="128"/>
      <c r="BI571" s="76"/>
      <c r="BJ571" s="24"/>
      <c r="BK571" s="25"/>
      <c r="BL571" s="259"/>
      <c r="BM571" s="533"/>
    </row>
    <row r="572" spans="1:65" ht="60" customHeight="1">
      <c r="A572" s="91"/>
      <c r="B572" s="358" t="s">
        <v>2763</v>
      </c>
      <c r="C572" s="50" t="s">
        <v>1124</v>
      </c>
      <c r="D572" s="205" t="s">
        <v>1079</v>
      </c>
      <c r="E572" s="397" t="s">
        <v>13</v>
      </c>
      <c r="F572" s="410">
        <v>39869</v>
      </c>
      <c r="G572" s="10">
        <v>68467</v>
      </c>
      <c r="H572" s="167">
        <v>205401</v>
      </c>
      <c r="I572" s="10">
        <v>70000</v>
      </c>
      <c r="J572" s="76">
        <f t="shared" si="707"/>
        <v>69233.5</v>
      </c>
      <c r="K572" s="24">
        <f t="shared" si="708"/>
        <v>29364.5</v>
      </c>
      <c r="L572" s="281">
        <f t="shared" si="709"/>
        <v>0.73652461812435732</v>
      </c>
      <c r="M572" s="431">
        <f t="shared" si="710"/>
        <v>205401</v>
      </c>
      <c r="N572" s="443"/>
      <c r="O572" s="250"/>
      <c r="P572" s="250"/>
      <c r="Q572" s="250"/>
      <c r="R572" s="250"/>
      <c r="S572" s="250"/>
      <c r="T572" s="250"/>
      <c r="U572" s="250"/>
      <c r="V572" s="443"/>
      <c r="W572" s="410"/>
      <c r="X572" s="31"/>
      <c r="Y572" s="33"/>
      <c r="Z572" s="472"/>
      <c r="AA572" s="76"/>
      <c r="AB572" s="24"/>
      <c r="AC572" s="25"/>
      <c r="AD572" s="309"/>
      <c r="AE572" s="462"/>
      <c r="AF572" s="408"/>
      <c r="AG572" s="293"/>
      <c r="AH572" s="293"/>
      <c r="AI572" s="293"/>
      <c r="AJ572" s="293"/>
      <c r="AK572" s="293"/>
      <c r="AL572" s="327"/>
      <c r="AM572" s="463"/>
      <c r="AN572" s="513"/>
      <c r="AO572" s="88"/>
      <c r="AP572" s="116"/>
      <c r="AQ572" s="74"/>
      <c r="AR572" s="76"/>
      <c r="AS572" s="24"/>
      <c r="AT572" s="25"/>
      <c r="AU572" s="309"/>
      <c r="AV572" s="462"/>
      <c r="AW572" s="513"/>
      <c r="AX572" s="74"/>
      <c r="AY572" s="74"/>
      <c r="AZ572" s="75"/>
      <c r="BA572" s="61"/>
      <c r="BB572" s="60"/>
      <c r="BC572" s="74"/>
      <c r="BD572" s="79"/>
      <c r="BE572" s="79"/>
      <c r="BF572" s="127"/>
      <c r="BG572" s="128"/>
      <c r="BH572" s="128"/>
      <c r="BI572" s="76"/>
      <c r="BJ572" s="24"/>
      <c r="BK572" s="25"/>
      <c r="BL572" s="259"/>
      <c r="BM572" s="533"/>
    </row>
    <row r="573" spans="1:65" ht="60" customHeight="1">
      <c r="A573" s="91"/>
      <c r="B573" s="358" t="s">
        <v>2764</v>
      </c>
      <c r="C573" s="50" t="s">
        <v>1125</v>
      </c>
      <c r="D573" s="205" t="s">
        <v>1080</v>
      </c>
      <c r="E573" s="397" t="s">
        <v>13</v>
      </c>
      <c r="F573" s="410">
        <v>65205</v>
      </c>
      <c r="G573" s="10">
        <v>58900</v>
      </c>
      <c r="H573" s="167">
        <v>32000</v>
      </c>
      <c r="I573" s="10">
        <v>176000</v>
      </c>
      <c r="J573" s="76">
        <f t="shared" si="707"/>
        <v>117450</v>
      </c>
      <c r="K573" s="24">
        <f t="shared" si="708"/>
        <v>52245</v>
      </c>
      <c r="L573" s="281">
        <f t="shared" si="709"/>
        <v>0.80124223602484468</v>
      </c>
      <c r="M573" s="431">
        <f t="shared" si="710"/>
        <v>32000</v>
      </c>
      <c r="N573" s="443"/>
      <c r="O573" s="250"/>
      <c r="P573" s="250"/>
      <c r="Q573" s="250"/>
      <c r="R573" s="250"/>
      <c r="S573" s="250"/>
      <c r="T573" s="250"/>
      <c r="U573" s="250"/>
      <c r="V573" s="443"/>
      <c r="W573" s="410"/>
      <c r="X573" s="31"/>
      <c r="Y573" s="33"/>
      <c r="Z573" s="472"/>
      <c r="AA573" s="76"/>
      <c r="AB573" s="24"/>
      <c r="AC573" s="25"/>
      <c r="AD573" s="309"/>
      <c r="AE573" s="462"/>
      <c r="AF573" s="408"/>
      <c r="AG573" s="293"/>
      <c r="AH573" s="293"/>
      <c r="AI573" s="293"/>
      <c r="AJ573" s="293"/>
      <c r="AK573" s="293"/>
      <c r="AL573" s="327"/>
      <c r="AM573" s="463"/>
      <c r="AN573" s="513"/>
      <c r="AO573" s="88"/>
      <c r="AP573" s="116"/>
      <c r="AQ573" s="74"/>
      <c r="AR573" s="76"/>
      <c r="AS573" s="24"/>
      <c r="AT573" s="25"/>
      <c r="AU573" s="309"/>
      <c r="AV573" s="462"/>
      <c r="AW573" s="513"/>
      <c r="AX573" s="74"/>
      <c r="AY573" s="74"/>
      <c r="AZ573" s="75"/>
      <c r="BA573" s="61"/>
      <c r="BB573" s="60"/>
      <c r="BC573" s="74"/>
      <c r="BD573" s="79"/>
      <c r="BE573" s="79"/>
      <c r="BF573" s="127"/>
      <c r="BG573" s="128"/>
      <c r="BH573" s="128"/>
      <c r="BI573" s="76"/>
      <c r="BJ573" s="24"/>
      <c r="BK573" s="25"/>
      <c r="BL573" s="259"/>
      <c r="BM573" s="533"/>
    </row>
    <row r="574" spans="1:65" ht="60" customHeight="1">
      <c r="A574" s="91"/>
      <c r="B574" s="358" t="s">
        <v>2765</v>
      </c>
      <c r="C574" s="50" t="s">
        <v>1126</v>
      </c>
      <c r="D574" s="205" t="s">
        <v>1081</v>
      </c>
      <c r="E574" s="397" t="s">
        <v>13</v>
      </c>
      <c r="F574" s="410">
        <v>52969</v>
      </c>
      <c r="G574" s="10">
        <v>35000</v>
      </c>
      <c r="H574" s="167">
        <v>70000</v>
      </c>
      <c r="I574" s="10">
        <v>35000</v>
      </c>
      <c r="J574" s="76">
        <f t="shared" si="707"/>
        <v>35000</v>
      </c>
      <c r="K574" s="24">
        <f t="shared" si="708"/>
        <v>-17969</v>
      </c>
      <c r="L574" s="281">
        <f t="shared" si="709"/>
        <v>-0.3392361569974891</v>
      </c>
      <c r="M574" s="431">
        <f t="shared" si="710"/>
        <v>70000</v>
      </c>
      <c r="N574" s="443"/>
      <c r="O574" s="250"/>
      <c r="P574" s="250"/>
      <c r="Q574" s="250"/>
      <c r="R574" s="250"/>
      <c r="S574" s="250"/>
      <c r="T574" s="250"/>
      <c r="U574" s="250"/>
      <c r="V574" s="443"/>
      <c r="W574" s="410"/>
      <c r="X574" s="31"/>
      <c r="Y574" s="33"/>
      <c r="Z574" s="472"/>
      <c r="AA574" s="76"/>
      <c r="AB574" s="24"/>
      <c r="AC574" s="25"/>
      <c r="AD574" s="309"/>
      <c r="AE574" s="462"/>
      <c r="AF574" s="408"/>
      <c r="AG574" s="293"/>
      <c r="AH574" s="293"/>
      <c r="AI574" s="293"/>
      <c r="AJ574" s="293"/>
      <c r="AK574" s="293"/>
      <c r="AL574" s="327"/>
      <c r="AM574" s="463"/>
      <c r="AN574" s="513"/>
      <c r="AO574" s="88"/>
      <c r="AP574" s="116"/>
      <c r="AQ574" s="74"/>
      <c r="AR574" s="76"/>
      <c r="AS574" s="24"/>
      <c r="AT574" s="25"/>
      <c r="AU574" s="309"/>
      <c r="AV574" s="462"/>
      <c r="AW574" s="513"/>
      <c r="AX574" s="74"/>
      <c r="AY574" s="74"/>
      <c r="AZ574" s="75"/>
      <c r="BA574" s="61"/>
      <c r="BB574" s="60"/>
      <c r="BC574" s="74"/>
      <c r="BD574" s="79"/>
      <c r="BE574" s="79"/>
      <c r="BF574" s="127"/>
      <c r="BG574" s="128"/>
      <c r="BH574" s="128"/>
      <c r="BI574" s="76"/>
      <c r="BJ574" s="24"/>
      <c r="BK574" s="25"/>
      <c r="BL574" s="259"/>
      <c r="BM574" s="533"/>
    </row>
    <row r="575" spans="1:65" ht="60" customHeight="1">
      <c r="A575" s="91"/>
      <c r="B575" s="358" t="s">
        <v>2766</v>
      </c>
      <c r="C575" s="50" t="s">
        <v>1127</v>
      </c>
      <c r="D575" s="205" t="s">
        <v>1082</v>
      </c>
      <c r="E575" s="397" t="s">
        <v>13</v>
      </c>
      <c r="F575" s="410">
        <v>77430</v>
      </c>
      <c r="G575" s="10">
        <v>22000</v>
      </c>
      <c r="H575" s="167">
        <v>66000</v>
      </c>
      <c r="I575" s="10">
        <v>22000</v>
      </c>
      <c r="J575" s="76">
        <f t="shared" si="707"/>
        <v>22000</v>
      </c>
      <c r="K575" s="24">
        <f t="shared" si="708"/>
        <v>-55430</v>
      </c>
      <c r="L575" s="281">
        <f t="shared" si="709"/>
        <v>-0.71587240087821258</v>
      </c>
      <c r="M575" s="431">
        <f t="shared" si="710"/>
        <v>66000</v>
      </c>
      <c r="N575" s="443"/>
      <c r="O575" s="250"/>
      <c r="P575" s="250"/>
      <c r="Q575" s="250"/>
      <c r="R575" s="250"/>
      <c r="S575" s="250"/>
      <c r="T575" s="250"/>
      <c r="U575" s="250"/>
      <c r="V575" s="443"/>
      <c r="W575" s="410"/>
      <c r="X575" s="31"/>
      <c r="Y575" s="33"/>
      <c r="Z575" s="472"/>
      <c r="AA575" s="76"/>
      <c r="AB575" s="24"/>
      <c r="AC575" s="25"/>
      <c r="AD575" s="309"/>
      <c r="AE575" s="462"/>
      <c r="AF575" s="408"/>
      <c r="AG575" s="293"/>
      <c r="AH575" s="293"/>
      <c r="AI575" s="293"/>
      <c r="AJ575" s="293"/>
      <c r="AK575" s="293"/>
      <c r="AL575" s="327"/>
      <c r="AM575" s="463"/>
      <c r="AN575" s="513"/>
      <c r="AO575" s="88"/>
      <c r="AP575" s="116"/>
      <c r="AQ575" s="74"/>
      <c r="AR575" s="76"/>
      <c r="AS575" s="24"/>
      <c r="AT575" s="25"/>
      <c r="AU575" s="309"/>
      <c r="AV575" s="462"/>
      <c r="AW575" s="513"/>
      <c r="AX575" s="74"/>
      <c r="AY575" s="74"/>
      <c r="AZ575" s="75"/>
      <c r="BA575" s="61"/>
      <c r="BB575" s="60"/>
      <c r="BC575" s="74"/>
      <c r="BD575" s="79"/>
      <c r="BE575" s="79"/>
      <c r="BF575" s="127"/>
      <c r="BG575" s="128"/>
      <c r="BH575" s="128"/>
      <c r="BI575" s="76"/>
      <c r="BJ575" s="24"/>
      <c r="BK575" s="25"/>
      <c r="BL575" s="259"/>
      <c r="BM575" s="533"/>
    </row>
    <row r="576" spans="1:65" ht="60" customHeight="1">
      <c r="A576" s="91"/>
      <c r="B576" s="358" t="s">
        <v>2767</v>
      </c>
      <c r="C576" s="50" t="s">
        <v>1128</v>
      </c>
      <c r="D576" s="177" t="s">
        <v>1083</v>
      </c>
      <c r="E576" s="384" t="s">
        <v>13</v>
      </c>
      <c r="F576" s="410">
        <v>83582</v>
      </c>
      <c r="G576" s="10">
        <v>120000</v>
      </c>
      <c r="H576" s="167">
        <v>360000</v>
      </c>
      <c r="I576" s="10">
        <v>110600</v>
      </c>
      <c r="J576" s="76">
        <f t="shared" si="707"/>
        <v>115300</v>
      </c>
      <c r="K576" s="24">
        <f t="shared" si="708"/>
        <v>31718</v>
      </c>
      <c r="L576" s="281">
        <f t="shared" si="709"/>
        <v>0.37948362087530807</v>
      </c>
      <c r="M576" s="431">
        <f t="shared" si="710"/>
        <v>360000</v>
      </c>
      <c r="N576" s="443"/>
      <c r="O576" s="250"/>
      <c r="P576" s="250"/>
      <c r="Q576" s="250"/>
      <c r="R576" s="250"/>
      <c r="S576" s="250"/>
      <c r="T576" s="250"/>
      <c r="U576" s="250"/>
      <c r="V576" s="443"/>
      <c r="W576" s="410"/>
      <c r="X576" s="31"/>
      <c r="Y576" s="33"/>
      <c r="Z576" s="472"/>
      <c r="AA576" s="76"/>
      <c r="AB576" s="24"/>
      <c r="AC576" s="25"/>
      <c r="AD576" s="309"/>
      <c r="AE576" s="462"/>
      <c r="AF576" s="408"/>
      <c r="AG576" s="293"/>
      <c r="AH576" s="293"/>
      <c r="AI576" s="293"/>
      <c r="AJ576" s="293"/>
      <c r="AK576" s="293"/>
      <c r="AL576" s="327"/>
      <c r="AM576" s="463"/>
      <c r="AN576" s="513"/>
      <c r="AO576" s="88"/>
      <c r="AP576" s="116"/>
      <c r="AQ576" s="74"/>
      <c r="AR576" s="76"/>
      <c r="AS576" s="24"/>
      <c r="AT576" s="25"/>
      <c r="AU576" s="309"/>
      <c r="AV576" s="462"/>
      <c r="AW576" s="513"/>
      <c r="AX576" s="74"/>
      <c r="AY576" s="74"/>
      <c r="AZ576" s="75"/>
      <c r="BA576" s="61"/>
      <c r="BB576" s="60"/>
      <c r="BC576" s="74"/>
      <c r="BD576" s="79"/>
      <c r="BE576" s="79"/>
      <c r="BF576" s="127"/>
      <c r="BG576" s="128"/>
      <c r="BH576" s="128"/>
      <c r="BI576" s="76"/>
      <c r="BJ576" s="24"/>
      <c r="BK576" s="25"/>
      <c r="BL576" s="259"/>
      <c r="BM576" s="533"/>
    </row>
    <row r="577" spans="1:65" ht="60" customHeight="1">
      <c r="A577" s="91"/>
      <c r="B577" s="358" t="s">
        <v>2768</v>
      </c>
      <c r="C577" s="50" t="s">
        <v>1129</v>
      </c>
      <c r="D577" s="177" t="s">
        <v>1084</v>
      </c>
      <c r="E577" s="384" t="s">
        <v>13</v>
      </c>
      <c r="F577" s="410">
        <v>38492</v>
      </c>
      <c r="G577" s="10">
        <v>64800</v>
      </c>
      <c r="H577" s="167">
        <v>259200</v>
      </c>
      <c r="I577" s="10">
        <v>56700</v>
      </c>
      <c r="J577" s="76">
        <f t="shared" si="707"/>
        <v>60750</v>
      </c>
      <c r="K577" s="24">
        <f t="shared" si="708"/>
        <v>22258</v>
      </c>
      <c r="L577" s="281">
        <f t="shared" si="709"/>
        <v>0.57825002597942432</v>
      </c>
      <c r="M577" s="431">
        <f t="shared" si="710"/>
        <v>259200</v>
      </c>
      <c r="N577" s="443"/>
      <c r="O577" s="250"/>
      <c r="P577" s="250"/>
      <c r="Q577" s="250"/>
      <c r="R577" s="250"/>
      <c r="S577" s="250"/>
      <c r="T577" s="250"/>
      <c r="U577" s="250"/>
      <c r="V577" s="443"/>
      <c r="W577" s="410"/>
      <c r="X577" s="31"/>
      <c r="Y577" s="33"/>
      <c r="Z577" s="472"/>
      <c r="AA577" s="76"/>
      <c r="AB577" s="24"/>
      <c r="AC577" s="25"/>
      <c r="AD577" s="309"/>
      <c r="AE577" s="462"/>
      <c r="AF577" s="408"/>
      <c r="AG577" s="293"/>
      <c r="AH577" s="293"/>
      <c r="AI577" s="293"/>
      <c r="AJ577" s="293"/>
      <c r="AK577" s="293"/>
      <c r="AL577" s="327"/>
      <c r="AM577" s="463"/>
      <c r="AN577" s="513"/>
      <c r="AO577" s="88"/>
      <c r="AP577" s="116"/>
      <c r="AQ577" s="74"/>
      <c r="AR577" s="76"/>
      <c r="AS577" s="24"/>
      <c r="AT577" s="25"/>
      <c r="AU577" s="309"/>
      <c r="AV577" s="462"/>
      <c r="AW577" s="513"/>
      <c r="AX577" s="74"/>
      <c r="AY577" s="74"/>
      <c r="AZ577" s="75"/>
      <c r="BA577" s="61"/>
      <c r="BB577" s="60"/>
      <c r="BC577" s="74"/>
      <c r="BD577" s="79"/>
      <c r="BE577" s="79"/>
      <c r="BF577" s="127"/>
      <c r="BG577" s="128"/>
      <c r="BH577" s="128"/>
      <c r="BI577" s="76"/>
      <c r="BJ577" s="24"/>
      <c r="BK577" s="25"/>
      <c r="BL577" s="259"/>
      <c r="BM577" s="533"/>
    </row>
    <row r="578" spans="1:65" ht="60" customHeight="1">
      <c r="A578" s="91"/>
      <c r="B578" s="358" t="s">
        <v>2769</v>
      </c>
      <c r="C578" s="50" t="s">
        <v>1130</v>
      </c>
      <c r="D578" s="177" t="s">
        <v>1085</v>
      </c>
      <c r="E578" s="384" t="s">
        <v>13</v>
      </c>
      <c r="F578" s="410">
        <v>300360</v>
      </c>
      <c r="G578" s="10">
        <v>103883</v>
      </c>
      <c r="H578" s="167">
        <v>311649</v>
      </c>
      <c r="I578" s="10">
        <v>101200</v>
      </c>
      <c r="J578" s="76">
        <f t="shared" si="707"/>
        <v>102541.5</v>
      </c>
      <c r="K578" s="24">
        <f t="shared" si="708"/>
        <v>-197818.5</v>
      </c>
      <c r="L578" s="281">
        <f t="shared" si="709"/>
        <v>-0.65860467439073112</v>
      </c>
      <c r="M578" s="431">
        <f t="shared" si="710"/>
        <v>311649</v>
      </c>
      <c r="N578" s="443"/>
      <c r="O578" s="250"/>
      <c r="P578" s="250"/>
      <c r="Q578" s="250"/>
      <c r="R578" s="250"/>
      <c r="S578" s="250"/>
      <c r="T578" s="250"/>
      <c r="U578" s="250"/>
      <c r="V578" s="443"/>
      <c r="W578" s="410"/>
      <c r="X578" s="31"/>
      <c r="Y578" s="33"/>
      <c r="Z578" s="472"/>
      <c r="AA578" s="76"/>
      <c r="AB578" s="24"/>
      <c r="AC578" s="25"/>
      <c r="AD578" s="309"/>
      <c r="AE578" s="462"/>
      <c r="AF578" s="408"/>
      <c r="AG578" s="293"/>
      <c r="AH578" s="293"/>
      <c r="AI578" s="293"/>
      <c r="AJ578" s="293"/>
      <c r="AK578" s="293"/>
      <c r="AL578" s="327"/>
      <c r="AM578" s="463"/>
      <c r="AN578" s="513"/>
      <c r="AO578" s="88"/>
      <c r="AP578" s="116"/>
      <c r="AQ578" s="74"/>
      <c r="AR578" s="76"/>
      <c r="AS578" s="24"/>
      <c r="AT578" s="25"/>
      <c r="AU578" s="309"/>
      <c r="AV578" s="462"/>
      <c r="AW578" s="513"/>
      <c r="AX578" s="74"/>
      <c r="AY578" s="74"/>
      <c r="AZ578" s="75"/>
      <c r="BA578" s="61"/>
      <c r="BB578" s="60"/>
      <c r="BC578" s="74"/>
      <c r="BD578" s="79"/>
      <c r="BE578" s="79"/>
      <c r="BF578" s="127"/>
      <c r="BG578" s="128"/>
      <c r="BH578" s="128"/>
      <c r="BI578" s="76"/>
      <c r="BJ578" s="24"/>
      <c r="BK578" s="25"/>
      <c r="BL578" s="259"/>
      <c r="BM578" s="533"/>
    </row>
    <row r="579" spans="1:65" ht="60" customHeight="1">
      <c r="A579" s="91"/>
      <c r="B579" s="358" t="s">
        <v>2770</v>
      </c>
      <c r="C579" s="50" t="s">
        <v>1131</v>
      </c>
      <c r="D579" s="177" t="s">
        <v>1086</v>
      </c>
      <c r="E579" s="384" t="s">
        <v>13</v>
      </c>
      <c r="F579" s="410">
        <v>52580</v>
      </c>
      <c r="G579" s="10">
        <v>185000</v>
      </c>
      <c r="H579" s="167">
        <v>740000</v>
      </c>
      <c r="I579" s="10">
        <v>134000</v>
      </c>
      <c r="J579" s="76">
        <f t="shared" si="707"/>
        <v>159500</v>
      </c>
      <c r="K579" s="24">
        <f t="shared" si="708"/>
        <v>106920</v>
      </c>
      <c r="L579" s="281">
        <f t="shared" si="709"/>
        <v>2.0334728033472804</v>
      </c>
      <c r="M579" s="431">
        <f t="shared" si="710"/>
        <v>740000</v>
      </c>
      <c r="N579" s="443"/>
      <c r="O579" s="250"/>
      <c r="P579" s="250"/>
      <c r="Q579" s="250"/>
      <c r="R579" s="250"/>
      <c r="S579" s="250"/>
      <c r="T579" s="250"/>
      <c r="U579" s="250"/>
      <c r="V579" s="443"/>
      <c r="W579" s="410"/>
      <c r="X579" s="31"/>
      <c r="Y579" s="33"/>
      <c r="Z579" s="472"/>
      <c r="AA579" s="76"/>
      <c r="AB579" s="24"/>
      <c r="AC579" s="25"/>
      <c r="AD579" s="309"/>
      <c r="AE579" s="462"/>
      <c r="AF579" s="408"/>
      <c r="AG579" s="293"/>
      <c r="AH579" s="293"/>
      <c r="AI579" s="293"/>
      <c r="AJ579" s="293"/>
      <c r="AK579" s="293"/>
      <c r="AL579" s="327"/>
      <c r="AM579" s="463"/>
      <c r="AN579" s="513"/>
      <c r="AO579" s="88"/>
      <c r="AP579" s="116"/>
      <c r="AQ579" s="74"/>
      <c r="AR579" s="76"/>
      <c r="AS579" s="24"/>
      <c r="AT579" s="25"/>
      <c r="AU579" s="309"/>
      <c r="AV579" s="462"/>
      <c r="AW579" s="513"/>
      <c r="AX579" s="74"/>
      <c r="AY579" s="74"/>
      <c r="AZ579" s="75"/>
      <c r="BA579" s="61"/>
      <c r="BB579" s="60"/>
      <c r="BC579" s="74"/>
      <c r="BD579" s="79"/>
      <c r="BE579" s="79"/>
      <c r="BF579" s="127"/>
      <c r="BG579" s="128"/>
      <c r="BH579" s="128"/>
      <c r="BI579" s="76"/>
      <c r="BJ579" s="24"/>
      <c r="BK579" s="25"/>
      <c r="BL579" s="259"/>
      <c r="BM579" s="533"/>
    </row>
    <row r="580" spans="1:65" ht="60" customHeight="1">
      <c r="A580" s="91"/>
      <c r="B580" s="358" t="s">
        <v>2771</v>
      </c>
      <c r="C580" s="50" t="s">
        <v>1132</v>
      </c>
      <c r="D580" s="177" t="s">
        <v>1087</v>
      </c>
      <c r="E580" s="384" t="s">
        <v>13</v>
      </c>
      <c r="F580" s="410">
        <v>28801</v>
      </c>
      <c r="G580" s="10">
        <v>185000</v>
      </c>
      <c r="H580" s="167">
        <v>555000</v>
      </c>
      <c r="I580" s="10">
        <v>157000</v>
      </c>
      <c r="J580" s="76">
        <f t="shared" si="707"/>
        <v>171000</v>
      </c>
      <c r="K580" s="24">
        <f t="shared" si="708"/>
        <v>142199</v>
      </c>
      <c r="L580" s="281">
        <f t="shared" si="709"/>
        <v>4.9372938439637508</v>
      </c>
      <c r="M580" s="431">
        <f t="shared" si="710"/>
        <v>555000</v>
      </c>
      <c r="N580" s="443"/>
      <c r="O580" s="250"/>
      <c r="P580" s="250"/>
      <c r="Q580" s="250"/>
      <c r="R580" s="250"/>
      <c r="S580" s="250"/>
      <c r="T580" s="250"/>
      <c r="U580" s="250"/>
      <c r="V580" s="443"/>
      <c r="W580" s="410"/>
      <c r="X580" s="31"/>
      <c r="Y580" s="33"/>
      <c r="Z580" s="472"/>
      <c r="AA580" s="76"/>
      <c r="AB580" s="24"/>
      <c r="AC580" s="25"/>
      <c r="AD580" s="309"/>
      <c r="AE580" s="462"/>
      <c r="AF580" s="408"/>
      <c r="AG580" s="293"/>
      <c r="AH580" s="293"/>
      <c r="AI580" s="293"/>
      <c r="AJ580" s="293"/>
      <c r="AK580" s="293"/>
      <c r="AL580" s="327"/>
      <c r="AM580" s="463"/>
      <c r="AN580" s="513"/>
      <c r="AO580" s="88"/>
      <c r="AP580" s="116"/>
      <c r="AQ580" s="74"/>
      <c r="AR580" s="76"/>
      <c r="AS580" s="24"/>
      <c r="AT580" s="25"/>
      <c r="AU580" s="309"/>
      <c r="AV580" s="462"/>
      <c r="AW580" s="513"/>
      <c r="AX580" s="74"/>
      <c r="AY580" s="74"/>
      <c r="AZ580" s="75"/>
      <c r="BA580" s="61"/>
      <c r="BB580" s="60"/>
      <c r="BC580" s="74"/>
      <c r="BD580" s="79"/>
      <c r="BE580" s="79"/>
      <c r="BF580" s="127"/>
      <c r="BG580" s="128"/>
      <c r="BH580" s="128"/>
      <c r="BI580" s="76"/>
      <c r="BJ580" s="24"/>
      <c r="BK580" s="25"/>
      <c r="BL580" s="259"/>
      <c r="BM580" s="533"/>
    </row>
    <row r="581" spans="1:65" ht="60" customHeight="1">
      <c r="A581" s="91"/>
      <c r="B581" s="358" t="s">
        <v>2772</v>
      </c>
      <c r="C581" s="50" t="s">
        <v>1133</v>
      </c>
      <c r="D581" s="177" t="s">
        <v>1088</v>
      </c>
      <c r="E581" s="384" t="s">
        <v>13</v>
      </c>
      <c r="F581" s="410">
        <v>152440</v>
      </c>
      <c r="G581" s="10">
        <v>85488</v>
      </c>
      <c r="H581" s="167">
        <v>170976</v>
      </c>
      <c r="I581" s="10">
        <v>86600</v>
      </c>
      <c r="J581" s="76">
        <f t="shared" si="707"/>
        <v>86044</v>
      </c>
      <c r="K581" s="24">
        <f t="shared" si="708"/>
        <v>-66396</v>
      </c>
      <c r="L581" s="281">
        <f t="shared" si="709"/>
        <v>-0.43555497244817631</v>
      </c>
      <c r="M581" s="431">
        <f t="shared" si="710"/>
        <v>170976</v>
      </c>
      <c r="N581" s="443"/>
      <c r="O581" s="250"/>
      <c r="P581" s="250"/>
      <c r="Q581" s="250"/>
      <c r="R581" s="250"/>
      <c r="S581" s="250"/>
      <c r="T581" s="250"/>
      <c r="U581" s="250"/>
      <c r="V581" s="443"/>
      <c r="W581" s="410"/>
      <c r="X581" s="31"/>
      <c r="Y581" s="33"/>
      <c r="Z581" s="472"/>
      <c r="AA581" s="76"/>
      <c r="AB581" s="24"/>
      <c r="AC581" s="25"/>
      <c r="AD581" s="309"/>
      <c r="AE581" s="462"/>
      <c r="AF581" s="408"/>
      <c r="AG581" s="293"/>
      <c r="AH581" s="293"/>
      <c r="AI581" s="293"/>
      <c r="AJ581" s="293"/>
      <c r="AK581" s="293"/>
      <c r="AL581" s="327"/>
      <c r="AM581" s="463"/>
      <c r="AN581" s="513"/>
      <c r="AO581" s="88"/>
      <c r="AP581" s="116"/>
      <c r="AQ581" s="74"/>
      <c r="AR581" s="76"/>
      <c r="AS581" s="24"/>
      <c r="AT581" s="25"/>
      <c r="AU581" s="309"/>
      <c r="AV581" s="462"/>
      <c r="AW581" s="513"/>
      <c r="AX581" s="74"/>
      <c r="AY581" s="74"/>
      <c r="AZ581" s="75"/>
      <c r="BA581" s="61"/>
      <c r="BB581" s="60"/>
      <c r="BC581" s="74"/>
      <c r="BD581" s="79"/>
      <c r="BE581" s="79"/>
      <c r="BF581" s="127"/>
      <c r="BG581" s="128"/>
      <c r="BH581" s="128"/>
      <c r="BI581" s="76"/>
      <c r="BJ581" s="24"/>
      <c r="BK581" s="25"/>
      <c r="BL581" s="259"/>
      <c r="BM581" s="533"/>
    </row>
    <row r="582" spans="1:65" ht="60" customHeight="1">
      <c r="A582" s="91"/>
      <c r="B582" s="358" t="s">
        <v>2773</v>
      </c>
      <c r="C582" s="50" t="s">
        <v>1134</v>
      </c>
      <c r="D582" s="177" t="s">
        <v>1089</v>
      </c>
      <c r="E582" s="384" t="s">
        <v>14</v>
      </c>
      <c r="F582" s="410">
        <v>19755</v>
      </c>
      <c r="G582" s="10">
        <v>66500</v>
      </c>
      <c r="H582" s="167">
        <v>66500</v>
      </c>
      <c r="I582" s="10">
        <v>60000</v>
      </c>
      <c r="J582" s="76">
        <f t="shared" si="707"/>
        <v>63250</v>
      </c>
      <c r="K582" s="24">
        <f t="shared" si="708"/>
        <v>43495</v>
      </c>
      <c r="L582" s="281">
        <f t="shared" si="709"/>
        <v>2.201721083270058</v>
      </c>
      <c r="M582" s="431">
        <f t="shared" si="710"/>
        <v>66500</v>
      </c>
      <c r="N582" s="443"/>
      <c r="O582" s="250"/>
      <c r="P582" s="250"/>
      <c r="Q582" s="250"/>
      <c r="R582" s="250"/>
      <c r="S582" s="250"/>
      <c r="T582" s="250"/>
      <c r="U582" s="250"/>
      <c r="V582" s="443"/>
      <c r="W582" s="410"/>
      <c r="X582" s="31"/>
      <c r="Y582" s="33"/>
      <c r="Z582" s="472"/>
      <c r="AA582" s="76"/>
      <c r="AB582" s="24"/>
      <c r="AC582" s="25"/>
      <c r="AD582" s="309"/>
      <c r="AE582" s="462"/>
      <c r="AF582" s="408"/>
      <c r="AG582" s="293"/>
      <c r="AH582" s="293"/>
      <c r="AI582" s="293"/>
      <c r="AJ582" s="293"/>
      <c r="AK582" s="293"/>
      <c r="AL582" s="327"/>
      <c r="AM582" s="463"/>
      <c r="AN582" s="513"/>
      <c r="AO582" s="88"/>
      <c r="AP582" s="116"/>
      <c r="AQ582" s="74"/>
      <c r="AR582" s="76"/>
      <c r="AS582" s="24"/>
      <c r="AT582" s="25"/>
      <c r="AU582" s="309"/>
      <c r="AV582" s="462"/>
      <c r="AW582" s="513"/>
      <c r="AX582" s="74"/>
      <c r="AY582" s="74"/>
      <c r="AZ582" s="75"/>
      <c r="BA582" s="61"/>
      <c r="BB582" s="60"/>
      <c r="BC582" s="74"/>
      <c r="BD582" s="79"/>
      <c r="BE582" s="79"/>
      <c r="BF582" s="127"/>
      <c r="BG582" s="128"/>
      <c r="BH582" s="128"/>
      <c r="BI582" s="76"/>
      <c r="BJ582" s="24"/>
      <c r="BK582" s="25"/>
      <c r="BL582" s="259"/>
      <c r="BM582" s="533"/>
    </row>
    <row r="583" spans="1:65" ht="57" customHeight="1">
      <c r="A583" s="91"/>
      <c r="B583" s="358" t="s">
        <v>2774</v>
      </c>
      <c r="C583" s="50" t="s">
        <v>1135</v>
      </c>
      <c r="D583" s="177" t="s">
        <v>1090</v>
      </c>
      <c r="E583" s="384" t="s">
        <v>10</v>
      </c>
      <c r="F583" s="410">
        <v>65081</v>
      </c>
      <c r="G583" s="10">
        <v>93077</v>
      </c>
      <c r="H583" s="167">
        <v>372308</v>
      </c>
      <c r="I583" s="10">
        <v>78900</v>
      </c>
      <c r="J583" s="76">
        <f t="shared" si="707"/>
        <v>85988.5</v>
      </c>
      <c r="K583" s="24">
        <f t="shared" si="708"/>
        <v>20907.5</v>
      </c>
      <c r="L583" s="281">
        <f t="shared" si="709"/>
        <v>0.32125351485072451</v>
      </c>
      <c r="M583" s="431">
        <f t="shared" si="710"/>
        <v>372308</v>
      </c>
      <c r="N583" s="443"/>
      <c r="O583" s="250"/>
      <c r="P583" s="250"/>
      <c r="Q583" s="250"/>
      <c r="R583" s="250"/>
      <c r="S583" s="250"/>
      <c r="T583" s="250"/>
      <c r="U583" s="250"/>
      <c r="V583" s="443"/>
      <c r="W583" s="410"/>
      <c r="X583" s="31"/>
      <c r="Y583" s="33"/>
      <c r="Z583" s="472"/>
      <c r="AA583" s="76"/>
      <c r="AB583" s="24"/>
      <c r="AC583" s="25"/>
      <c r="AD583" s="309"/>
      <c r="AE583" s="462"/>
      <c r="AF583" s="408"/>
      <c r="AG583" s="293"/>
      <c r="AH583" s="293"/>
      <c r="AI583" s="293"/>
      <c r="AJ583" s="293"/>
      <c r="AK583" s="293"/>
      <c r="AL583" s="327"/>
      <c r="AM583" s="463"/>
      <c r="AN583" s="513"/>
      <c r="AO583" s="88"/>
      <c r="AP583" s="116"/>
      <c r="AQ583" s="74"/>
      <c r="AR583" s="76"/>
      <c r="AS583" s="24"/>
      <c r="AT583" s="25"/>
      <c r="AU583" s="309"/>
      <c r="AV583" s="462"/>
      <c r="AW583" s="513"/>
      <c r="AX583" s="74"/>
      <c r="AY583" s="74"/>
      <c r="AZ583" s="75"/>
      <c r="BA583" s="61"/>
      <c r="BB583" s="60"/>
      <c r="BC583" s="74"/>
      <c r="BD583" s="79"/>
      <c r="BE583" s="79"/>
      <c r="BF583" s="127"/>
      <c r="BG583" s="128"/>
      <c r="BH583" s="128"/>
      <c r="BI583" s="76"/>
      <c r="BJ583" s="24"/>
      <c r="BK583" s="25"/>
      <c r="BL583" s="259"/>
      <c r="BM583" s="533"/>
    </row>
    <row r="584" spans="1:65" ht="51" customHeight="1">
      <c r="A584" s="91"/>
      <c r="B584" s="358" t="s">
        <v>2775</v>
      </c>
      <c r="C584" s="50" t="s">
        <v>1136</v>
      </c>
      <c r="D584" s="177" t="s">
        <v>1091</v>
      </c>
      <c r="E584" s="384" t="s">
        <v>13</v>
      </c>
      <c r="F584" s="410">
        <v>122396</v>
      </c>
      <c r="G584" s="10"/>
      <c r="H584" s="167">
        <v>45000</v>
      </c>
      <c r="I584" s="10">
        <v>245000</v>
      </c>
      <c r="J584" s="76">
        <f t="shared" si="707"/>
        <v>245000</v>
      </c>
      <c r="K584" s="24">
        <f t="shared" si="708"/>
        <v>122604</v>
      </c>
      <c r="L584" s="281">
        <f t="shared" si="709"/>
        <v>1.00169940194124</v>
      </c>
      <c r="M584" s="431">
        <f t="shared" si="710"/>
        <v>45000</v>
      </c>
      <c r="N584" s="443"/>
      <c r="O584" s="250"/>
      <c r="P584" s="250"/>
      <c r="Q584" s="250"/>
      <c r="R584" s="250"/>
      <c r="S584" s="250"/>
      <c r="T584" s="250"/>
      <c r="U584" s="250"/>
      <c r="V584" s="443"/>
      <c r="W584" s="410"/>
      <c r="X584" s="31"/>
      <c r="Y584" s="33"/>
      <c r="Z584" s="472"/>
      <c r="AA584" s="76"/>
      <c r="AB584" s="24"/>
      <c r="AC584" s="25"/>
      <c r="AD584" s="309"/>
      <c r="AE584" s="462"/>
      <c r="AF584" s="408"/>
      <c r="AG584" s="293"/>
      <c r="AH584" s="293"/>
      <c r="AI584" s="293"/>
      <c r="AJ584" s="293"/>
      <c r="AK584" s="293"/>
      <c r="AL584" s="327"/>
      <c r="AM584" s="463"/>
      <c r="AN584" s="513"/>
      <c r="AO584" s="88"/>
      <c r="AP584" s="116"/>
      <c r="AQ584" s="74"/>
      <c r="AR584" s="76"/>
      <c r="AS584" s="24"/>
      <c r="AT584" s="25"/>
      <c r="AU584" s="309"/>
      <c r="AV584" s="462"/>
      <c r="AW584" s="513"/>
      <c r="AX584" s="74"/>
      <c r="AY584" s="74"/>
      <c r="AZ584" s="75"/>
      <c r="BA584" s="61"/>
      <c r="BB584" s="60"/>
      <c r="BC584" s="74"/>
      <c r="BD584" s="79"/>
      <c r="BE584" s="79"/>
      <c r="BF584" s="127"/>
      <c r="BG584" s="128"/>
      <c r="BH584" s="128"/>
      <c r="BI584" s="76"/>
      <c r="BJ584" s="24"/>
      <c r="BK584" s="25"/>
      <c r="BL584" s="259"/>
      <c r="BM584" s="533"/>
    </row>
    <row r="585" spans="1:65" ht="34.35" customHeight="1">
      <c r="A585" s="91"/>
      <c r="B585" s="358" t="s">
        <v>2776</v>
      </c>
      <c r="C585" s="50" t="s">
        <v>1137</v>
      </c>
      <c r="D585" s="177" t="s">
        <v>1092</v>
      </c>
      <c r="E585" s="384" t="s">
        <v>13</v>
      </c>
      <c r="F585" s="410">
        <v>29057</v>
      </c>
      <c r="G585" s="10">
        <v>35963</v>
      </c>
      <c r="H585" s="167">
        <v>71926</v>
      </c>
      <c r="I585" s="10">
        <v>35000</v>
      </c>
      <c r="J585" s="76">
        <f t="shared" si="707"/>
        <v>35481.5</v>
      </c>
      <c r="K585" s="24">
        <f t="shared" si="708"/>
        <v>6424.5</v>
      </c>
      <c r="L585" s="281">
        <f t="shared" si="709"/>
        <v>0.22109990707918917</v>
      </c>
      <c r="M585" s="431">
        <f t="shared" si="710"/>
        <v>71926</v>
      </c>
      <c r="N585" s="443"/>
      <c r="O585" s="250"/>
      <c r="P585" s="250"/>
      <c r="Q585" s="250"/>
      <c r="R585" s="250"/>
      <c r="S585" s="250"/>
      <c r="T585" s="250"/>
      <c r="U585" s="250"/>
      <c r="V585" s="443"/>
      <c r="W585" s="410"/>
      <c r="X585" s="31"/>
      <c r="Y585" s="33"/>
      <c r="Z585" s="472"/>
      <c r="AA585" s="76"/>
      <c r="AB585" s="24"/>
      <c r="AC585" s="25"/>
      <c r="AD585" s="309"/>
      <c r="AE585" s="462"/>
      <c r="AF585" s="408"/>
      <c r="AG585" s="293"/>
      <c r="AH585" s="293"/>
      <c r="AI585" s="293"/>
      <c r="AJ585" s="293"/>
      <c r="AK585" s="293"/>
      <c r="AL585" s="327"/>
      <c r="AM585" s="463"/>
      <c r="AN585" s="513"/>
      <c r="AO585" s="88"/>
      <c r="AP585" s="116"/>
      <c r="AQ585" s="74"/>
      <c r="AR585" s="76"/>
      <c r="AS585" s="24"/>
      <c r="AT585" s="25"/>
      <c r="AU585" s="309"/>
      <c r="AV585" s="462"/>
      <c r="AW585" s="513"/>
      <c r="AX585" s="74"/>
      <c r="AY585" s="74"/>
      <c r="AZ585" s="75"/>
      <c r="BA585" s="61"/>
      <c r="BB585" s="60"/>
      <c r="BC585" s="74"/>
      <c r="BD585" s="79"/>
      <c r="BE585" s="79"/>
      <c r="BF585" s="127"/>
      <c r="BG585" s="128"/>
      <c r="BH585" s="128"/>
      <c r="BI585" s="76"/>
      <c r="BJ585" s="24"/>
      <c r="BK585" s="25"/>
      <c r="BL585" s="259"/>
      <c r="BM585" s="533"/>
    </row>
    <row r="586" spans="1:65" ht="34.35" customHeight="1">
      <c r="A586" s="91"/>
      <c r="B586" s="358" t="s">
        <v>2777</v>
      </c>
      <c r="C586" s="50" t="s">
        <v>1138</v>
      </c>
      <c r="D586" s="177" t="s">
        <v>1093</v>
      </c>
      <c r="E586" s="384" t="s">
        <v>14</v>
      </c>
      <c r="F586" s="410">
        <v>37810</v>
      </c>
      <c r="G586" s="10">
        <v>266706.21999999997</v>
      </c>
      <c r="H586" s="167">
        <v>266706.21999999997</v>
      </c>
      <c r="I586" s="10">
        <v>245900</v>
      </c>
      <c r="J586" s="76">
        <f t="shared" si="707"/>
        <v>256303.11</v>
      </c>
      <c r="K586" s="24">
        <f t="shared" si="708"/>
        <v>218493.11</v>
      </c>
      <c r="L586" s="281">
        <f t="shared" si="709"/>
        <v>5.7787122454377142</v>
      </c>
      <c r="M586" s="431">
        <f t="shared" si="710"/>
        <v>266706.21999999997</v>
      </c>
      <c r="N586" s="443"/>
      <c r="O586" s="250"/>
      <c r="P586" s="250"/>
      <c r="Q586" s="250"/>
      <c r="R586" s="250"/>
      <c r="S586" s="250"/>
      <c r="T586" s="250"/>
      <c r="U586" s="250"/>
      <c r="V586" s="443"/>
      <c r="W586" s="410"/>
      <c r="X586" s="31"/>
      <c r="Y586" s="33"/>
      <c r="Z586" s="472"/>
      <c r="AA586" s="76"/>
      <c r="AB586" s="24"/>
      <c r="AC586" s="25"/>
      <c r="AD586" s="309"/>
      <c r="AE586" s="462"/>
      <c r="AF586" s="408"/>
      <c r="AG586" s="293"/>
      <c r="AH586" s="293"/>
      <c r="AI586" s="293"/>
      <c r="AJ586" s="293"/>
      <c r="AK586" s="293"/>
      <c r="AL586" s="327"/>
      <c r="AM586" s="463"/>
      <c r="AN586" s="513"/>
      <c r="AO586" s="88"/>
      <c r="AP586" s="116"/>
      <c r="AQ586" s="74"/>
      <c r="AR586" s="76"/>
      <c r="AS586" s="24"/>
      <c r="AT586" s="25"/>
      <c r="AU586" s="309"/>
      <c r="AV586" s="462"/>
      <c r="AW586" s="513"/>
      <c r="AX586" s="74"/>
      <c r="AY586" s="74"/>
      <c r="AZ586" s="75"/>
      <c r="BA586" s="61"/>
      <c r="BB586" s="60"/>
      <c r="BC586" s="74"/>
      <c r="BD586" s="79"/>
      <c r="BE586" s="79"/>
      <c r="BF586" s="127"/>
      <c r="BG586" s="128"/>
      <c r="BH586" s="128"/>
      <c r="BI586" s="76"/>
      <c r="BJ586" s="24"/>
      <c r="BK586" s="25"/>
      <c r="BL586" s="259"/>
      <c r="BM586" s="533"/>
    </row>
    <row r="587" spans="1:65" ht="34.35" customHeight="1">
      <c r="A587" s="91"/>
      <c r="B587" s="358" t="s">
        <v>2778</v>
      </c>
      <c r="C587" s="50" t="s">
        <v>1139</v>
      </c>
      <c r="D587" s="177" t="s">
        <v>1094</v>
      </c>
      <c r="E587" s="384"/>
      <c r="F587" s="410">
        <v>41625</v>
      </c>
      <c r="G587" s="10">
        <v>52720</v>
      </c>
      <c r="H587" s="167">
        <v>105440</v>
      </c>
      <c r="I587" s="10">
        <v>50500</v>
      </c>
      <c r="J587" s="76">
        <f t="shared" si="707"/>
        <v>51610</v>
      </c>
      <c r="K587" s="24">
        <f t="shared" si="708"/>
        <v>9985</v>
      </c>
      <c r="L587" s="281">
        <f t="shared" si="709"/>
        <v>0.23987987987987988</v>
      </c>
      <c r="M587" s="431">
        <f t="shared" si="710"/>
        <v>105440</v>
      </c>
      <c r="N587" s="443"/>
      <c r="O587" s="250"/>
      <c r="P587" s="250"/>
      <c r="Q587" s="250"/>
      <c r="R587" s="250"/>
      <c r="S587" s="250"/>
      <c r="T587" s="250"/>
      <c r="U587" s="250"/>
      <c r="V587" s="443"/>
      <c r="W587" s="410"/>
      <c r="X587" s="31"/>
      <c r="Y587" s="33"/>
      <c r="Z587" s="472"/>
      <c r="AA587" s="76"/>
      <c r="AB587" s="24"/>
      <c r="AC587" s="25"/>
      <c r="AD587" s="309"/>
      <c r="AE587" s="462"/>
      <c r="AF587" s="408"/>
      <c r="AG587" s="293"/>
      <c r="AH587" s="293"/>
      <c r="AI587" s="293"/>
      <c r="AJ587" s="293"/>
      <c r="AK587" s="293"/>
      <c r="AL587" s="327"/>
      <c r="AM587" s="463"/>
      <c r="AN587" s="513"/>
      <c r="AO587" s="88"/>
      <c r="AP587" s="116"/>
      <c r="AQ587" s="74"/>
      <c r="AR587" s="76"/>
      <c r="AS587" s="24"/>
      <c r="AT587" s="25"/>
      <c r="AU587" s="309"/>
      <c r="AV587" s="462"/>
      <c r="AW587" s="513"/>
      <c r="AX587" s="74"/>
      <c r="AY587" s="74"/>
      <c r="AZ587" s="75"/>
      <c r="BA587" s="61"/>
      <c r="BB587" s="60"/>
      <c r="BC587" s="74"/>
      <c r="BD587" s="79"/>
      <c r="BE587" s="79"/>
      <c r="BF587" s="127"/>
      <c r="BG587" s="128"/>
      <c r="BH587" s="128"/>
      <c r="BI587" s="76"/>
      <c r="BJ587" s="24"/>
      <c r="BK587" s="25"/>
      <c r="BL587" s="259"/>
      <c r="BM587" s="533"/>
    </row>
    <row r="588" spans="1:65" ht="34.35" customHeight="1">
      <c r="A588" s="91"/>
      <c r="B588" s="358" t="s">
        <v>2779</v>
      </c>
      <c r="C588" s="50" t="s">
        <v>1140</v>
      </c>
      <c r="D588" s="177" t="s">
        <v>1095</v>
      </c>
      <c r="E588" s="384" t="s">
        <v>13</v>
      </c>
      <c r="F588" s="410">
        <v>10386</v>
      </c>
      <c r="G588" s="10">
        <v>28234.54</v>
      </c>
      <c r="H588" s="167">
        <v>84703.62</v>
      </c>
      <c r="I588" s="10">
        <v>23000</v>
      </c>
      <c r="J588" s="76">
        <f t="shared" si="707"/>
        <v>25617.27</v>
      </c>
      <c r="K588" s="24">
        <f t="shared" si="708"/>
        <v>15231.27</v>
      </c>
      <c r="L588" s="281">
        <f t="shared" si="709"/>
        <v>1.466519352975159</v>
      </c>
      <c r="M588" s="431">
        <f t="shared" si="710"/>
        <v>84703.62</v>
      </c>
      <c r="N588" s="443"/>
      <c r="O588" s="250"/>
      <c r="P588" s="250"/>
      <c r="Q588" s="250"/>
      <c r="R588" s="250"/>
      <c r="S588" s="250"/>
      <c r="T588" s="250"/>
      <c r="U588" s="250"/>
      <c r="V588" s="443"/>
      <c r="W588" s="410"/>
      <c r="X588" s="31"/>
      <c r="Y588" s="33"/>
      <c r="Z588" s="472"/>
      <c r="AA588" s="76"/>
      <c r="AB588" s="24"/>
      <c r="AC588" s="25"/>
      <c r="AD588" s="309"/>
      <c r="AE588" s="462"/>
      <c r="AF588" s="408"/>
      <c r="AG588" s="293"/>
      <c r="AH588" s="293"/>
      <c r="AI588" s="293"/>
      <c r="AJ588" s="293"/>
      <c r="AK588" s="293"/>
      <c r="AL588" s="327"/>
      <c r="AM588" s="463"/>
      <c r="AN588" s="513"/>
      <c r="AO588" s="88"/>
      <c r="AP588" s="116"/>
      <c r="AQ588" s="74"/>
      <c r="AR588" s="76"/>
      <c r="AS588" s="24"/>
      <c r="AT588" s="25"/>
      <c r="AU588" s="309"/>
      <c r="AV588" s="462"/>
      <c r="AW588" s="513"/>
      <c r="AX588" s="74"/>
      <c r="AY588" s="74"/>
      <c r="AZ588" s="75"/>
      <c r="BA588" s="61"/>
      <c r="BB588" s="60"/>
      <c r="BC588" s="74"/>
      <c r="BD588" s="79"/>
      <c r="BE588" s="79"/>
      <c r="BF588" s="127"/>
      <c r="BG588" s="128"/>
      <c r="BH588" s="128"/>
      <c r="BI588" s="76"/>
      <c r="BJ588" s="24"/>
      <c r="BK588" s="25"/>
      <c r="BL588" s="259"/>
      <c r="BM588" s="533"/>
    </row>
    <row r="589" spans="1:65" ht="34.35" customHeight="1">
      <c r="A589" s="91"/>
      <c r="B589" s="358" t="s">
        <v>2780</v>
      </c>
      <c r="C589" s="50" t="s">
        <v>1141</v>
      </c>
      <c r="D589" s="177" t="s">
        <v>1096</v>
      </c>
      <c r="E589" s="384" t="s">
        <v>13</v>
      </c>
      <c r="F589" s="410">
        <v>45261</v>
      </c>
      <c r="G589" s="10">
        <v>149900</v>
      </c>
      <c r="H589" s="167">
        <v>599600</v>
      </c>
      <c r="I589" s="10">
        <v>102300</v>
      </c>
      <c r="J589" s="76">
        <f t="shared" si="707"/>
        <v>126100</v>
      </c>
      <c r="K589" s="24">
        <f t="shared" si="708"/>
        <v>80839</v>
      </c>
      <c r="L589" s="281">
        <f t="shared" si="709"/>
        <v>1.7860630564945539</v>
      </c>
      <c r="M589" s="431">
        <f t="shared" si="710"/>
        <v>599600</v>
      </c>
      <c r="N589" s="443"/>
      <c r="O589" s="250"/>
      <c r="P589" s="250"/>
      <c r="Q589" s="250"/>
      <c r="R589" s="250"/>
      <c r="S589" s="250"/>
      <c r="T589" s="250"/>
      <c r="U589" s="250"/>
      <c r="V589" s="443"/>
      <c r="W589" s="410"/>
      <c r="X589" s="31"/>
      <c r="Y589" s="33"/>
      <c r="Z589" s="472"/>
      <c r="AA589" s="76"/>
      <c r="AB589" s="24"/>
      <c r="AC589" s="25"/>
      <c r="AD589" s="309"/>
      <c r="AE589" s="462"/>
      <c r="AF589" s="408"/>
      <c r="AG589" s="293"/>
      <c r="AH589" s="293"/>
      <c r="AI589" s="293"/>
      <c r="AJ589" s="293"/>
      <c r="AK589" s="293"/>
      <c r="AL589" s="327"/>
      <c r="AM589" s="463"/>
      <c r="AN589" s="513"/>
      <c r="AO589" s="88"/>
      <c r="AP589" s="116"/>
      <c r="AQ589" s="74"/>
      <c r="AR589" s="76"/>
      <c r="AS589" s="24"/>
      <c r="AT589" s="25"/>
      <c r="AU589" s="309"/>
      <c r="AV589" s="462"/>
      <c r="AW589" s="513"/>
      <c r="AX589" s="74"/>
      <c r="AY589" s="74"/>
      <c r="AZ589" s="75"/>
      <c r="BA589" s="61"/>
      <c r="BB589" s="60"/>
      <c r="BC589" s="74"/>
      <c r="BD589" s="79"/>
      <c r="BE589" s="79"/>
      <c r="BF589" s="127"/>
      <c r="BG589" s="128"/>
      <c r="BH589" s="128"/>
      <c r="BI589" s="76"/>
      <c r="BJ589" s="24"/>
      <c r="BK589" s="25"/>
      <c r="BL589" s="259"/>
      <c r="BM589" s="533"/>
    </row>
    <row r="590" spans="1:65" ht="34.35" customHeight="1">
      <c r="A590" s="91"/>
      <c r="B590" s="358" t="s">
        <v>2781</v>
      </c>
      <c r="C590" s="50" t="s">
        <v>1757</v>
      </c>
      <c r="D590" s="264" t="s">
        <v>1725</v>
      </c>
      <c r="E590" s="393" t="s">
        <v>1399</v>
      </c>
      <c r="F590" s="410"/>
      <c r="G590" s="10"/>
      <c r="H590" s="167"/>
      <c r="I590" s="10"/>
      <c r="J590" s="76"/>
      <c r="K590" s="24"/>
      <c r="L590" s="281"/>
      <c r="M590" s="431"/>
      <c r="N590" s="410">
        <v>26636</v>
      </c>
      <c r="O590" s="10">
        <v>18000</v>
      </c>
      <c r="P590" s="10">
        <v>21000</v>
      </c>
      <c r="Q590" s="268">
        <v>21000</v>
      </c>
      <c r="R590" s="10">
        <v>18000</v>
      </c>
      <c r="S590" s="76">
        <f t="shared" ref="S590:S591" si="711">AVERAGE(O590,P590,Q590,R590)</f>
        <v>19500</v>
      </c>
      <c r="T590" s="24">
        <f t="shared" ref="T590:T591" si="712">S590-N590</f>
        <v>-7136</v>
      </c>
      <c r="U590" s="281">
        <f t="shared" ref="U590:U599" si="713">+T590/N590</f>
        <v>-0.26790809430845475</v>
      </c>
      <c r="V590" s="462">
        <f t="shared" ref="V590:V591" si="714">S590</f>
        <v>19500</v>
      </c>
      <c r="W590" s="410"/>
      <c r="X590" s="31"/>
      <c r="Y590" s="33"/>
      <c r="Z590" s="472"/>
      <c r="AA590" s="76"/>
      <c r="AB590" s="24"/>
      <c r="AC590" s="25"/>
      <c r="AD590" s="309"/>
      <c r="AE590" s="462"/>
      <c r="AF590" s="410">
        <v>29739</v>
      </c>
      <c r="AG590" s="45"/>
      <c r="AH590" s="45">
        <v>34577</v>
      </c>
      <c r="AI590" s="45">
        <v>35000</v>
      </c>
      <c r="AJ590" s="76">
        <f t="shared" ref="AJ590:AJ592" si="715">AVERAGE(AG590,AH590,AI590)</f>
        <v>34788.5</v>
      </c>
      <c r="AK590" s="24">
        <f t="shared" ref="AK590:AK592" si="716">AJ590-AF590</f>
        <v>5049.5</v>
      </c>
      <c r="AL590" s="281">
        <f t="shared" ref="AL590:AL592" si="717">+AK590/AF590</f>
        <v>0.16979387336494167</v>
      </c>
      <c r="AM590" s="462">
        <f t="shared" ref="AM590:AM592" si="718">AJ590</f>
        <v>34788.5</v>
      </c>
      <c r="AN590" s="513"/>
      <c r="AO590" s="88"/>
      <c r="AP590" s="116"/>
      <c r="AQ590" s="74"/>
      <c r="AR590" s="76"/>
      <c r="AS590" s="24"/>
      <c r="AT590" s="25"/>
      <c r="AU590" s="309"/>
      <c r="AV590" s="462"/>
      <c r="AW590" s="513"/>
      <c r="AX590" s="74"/>
      <c r="AY590" s="74"/>
      <c r="AZ590" s="75"/>
      <c r="BA590" s="61"/>
      <c r="BB590" s="60"/>
      <c r="BC590" s="74"/>
      <c r="BD590" s="79"/>
      <c r="BE590" s="79"/>
      <c r="BF590" s="127"/>
      <c r="BG590" s="128"/>
      <c r="BH590" s="128"/>
      <c r="BI590" s="76"/>
      <c r="BJ590" s="24"/>
      <c r="BK590" s="25"/>
      <c r="BL590" s="259"/>
      <c r="BM590" s="533"/>
    </row>
    <row r="591" spans="1:65" ht="34.35" customHeight="1">
      <c r="A591" s="91"/>
      <c r="B591" s="358" t="s">
        <v>2782</v>
      </c>
      <c r="C591" s="50" t="s">
        <v>1758</v>
      </c>
      <c r="D591" s="264" t="s">
        <v>1726</v>
      </c>
      <c r="E591" s="393" t="s">
        <v>1399</v>
      </c>
      <c r="F591" s="410"/>
      <c r="G591" s="10"/>
      <c r="H591" s="167"/>
      <c r="I591" s="10"/>
      <c r="J591" s="76"/>
      <c r="K591" s="24"/>
      <c r="L591" s="281"/>
      <c r="M591" s="431"/>
      <c r="N591" s="410">
        <v>65925</v>
      </c>
      <c r="O591" s="10">
        <v>75000</v>
      </c>
      <c r="P591" s="10">
        <v>81000</v>
      </c>
      <c r="Q591" s="268">
        <v>78000</v>
      </c>
      <c r="R591" s="10">
        <v>75000</v>
      </c>
      <c r="S591" s="76">
        <f t="shared" si="711"/>
        <v>77250</v>
      </c>
      <c r="T591" s="24">
        <f t="shared" si="712"/>
        <v>11325</v>
      </c>
      <c r="U591" s="281">
        <f t="shared" si="713"/>
        <v>0.17178612059158135</v>
      </c>
      <c r="V591" s="462">
        <f t="shared" si="714"/>
        <v>77250</v>
      </c>
      <c r="W591" s="410"/>
      <c r="X591" s="31"/>
      <c r="Y591" s="33"/>
      <c r="Z591" s="472"/>
      <c r="AA591" s="76"/>
      <c r="AB591" s="24"/>
      <c r="AC591" s="25"/>
      <c r="AD591" s="309"/>
      <c r="AE591" s="462"/>
      <c r="AF591" s="499">
        <v>73253</v>
      </c>
      <c r="AG591" s="317">
        <v>62000</v>
      </c>
      <c r="AH591" s="317">
        <v>86433</v>
      </c>
      <c r="AI591" s="45">
        <v>65000</v>
      </c>
      <c r="AJ591" s="76">
        <f t="shared" si="715"/>
        <v>71144.333333333328</v>
      </c>
      <c r="AK591" s="24">
        <f t="shared" si="716"/>
        <v>-2108.6666666666715</v>
      </c>
      <c r="AL591" s="281">
        <f t="shared" si="717"/>
        <v>-2.8786079295956092E-2</v>
      </c>
      <c r="AM591" s="462">
        <f t="shared" si="718"/>
        <v>71144.333333333328</v>
      </c>
      <c r="AN591" s="513"/>
      <c r="AO591" s="88"/>
      <c r="AP591" s="116"/>
      <c r="AQ591" s="74"/>
      <c r="AR591" s="76"/>
      <c r="AS591" s="24"/>
      <c r="AT591" s="25"/>
      <c r="AU591" s="309"/>
      <c r="AV591" s="462"/>
      <c r="AW591" s="513"/>
      <c r="AX591" s="74"/>
      <c r="AY591" s="74"/>
      <c r="AZ591" s="75"/>
      <c r="BA591" s="61"/>
      <c r="BB591" s="60"/>
      <c r="BC591" s="74"/>
      <c r="BD591" s="79"/>
      <c r="BE591" s="79"/>
      <c r="BF591" s="127"/>
      <c r="BG591" s="128"/>
      <c r="BH591" s="128"/>
      <c r="BI591" s="76"/>
      <c r="BJ591" s="24"/>
      <c r="BK591" s="25"/>
      <c r="BL591" s="259"/>
      <c r="BM591" s="533"/>
    </row>
    <row r="592" spans="1:65" ht="34.35" customHeight="1">
      <c r="A592" s="91"/>
      <c r="B592" s="358" t="s">
        <v>2783</v>
      </c>
      <c r="C592" s="50" t="s">
        <v>1759</v>
      </c>
      <c r="D592" s="264" t="s">
        <v>1727</v>
      </c>
      <c r="E592" s="393" t="s">
        <v>1399</v>
      </c>
      <c r="F592" s="410"/>
      <c r="G592" s="10"/>
      <c r="H592" s="167"/>
      <c r="I592" s="10"/>
      <c r="J592" s="76"/>
      <c r="K592" s="24"/>
      <c r="L592" s="281"/>
      <c r="M592" s="431"/>
      <c r="N592" s="410">
        <v>93861</v>
      </c>
      <c r="O592" s="10"/>
      <c r="P592" s="10"/>
      <c r="Q592" s="268"/>
      <c r="R592" s="10"/>
      <c r="S592" s="76"/>
      <c r="T592" s="24"/>
      <c r="U592" s="281">
        <f t="shared" si="713"/>
        <v>0</v>
      </c>
      <c r="V592" s="462" t="s">
        <v>894</v>
      </c>
      <c r="W592" s="410"/>
      <c r="X592" s="31"/>
      <c r="Y592" s="33"/>
      <c r="Z592" s="472"/>
      <c r="AA592" s="76"/>
      <c r="AB592" s="24"/>
      <c r="AC592" s="25"/>
      <c r="AD592" s="309"/>
      <c r="AE592" s="462"/>
      <c r="AF592" s="410">
        <v>104294</v>
      </c>
      <c r="AG592" s="45"/>
      <c r="AH592" s="45">
        <v>123054</v>
      </c>
      <c r="AI592" s="45">
        <v>95000</v>
      </c>
      <c r="AJ592" s="76">
        <f t="shared" si="715"/>
        <v>109027</v>
      </c>
      <c r="AK592" s="24">
        <f t="shared" si="716"/>
        <v>4733</v>
      </c>
      <c r="AL592" s="281">
        <f t="shared" si="717"/>
        <v>4.5381325867259861E-2</v>
      </c>
      <c r="AM592" s="462">
        <f t="shared" si="718"/>
        <v>109027</v>
      </c>
      <c r="AN592" s="513"/>
      <c r="AO592" s="88"/>
      <c r="AP592" s="116"/>
      <c r="AQ592" s="74"/>
      <c r="AR592" s="76"/>
      <c r="AS592" s="24"/>
      <c r="AT592" s="25"/>
      <c r="AU592" s="309"/>
      <c r="AV592" s="462"/>
      <c r="AW592" s="513"/>
      <c r="AX592" s="74"/>
      <c r="AY592" s="74"/>
      <c r="AZ592" s="75"/>
      <c r="BA592" s="61"/>
      <c r="BB592" s="60"/>
      <c r="BC592" s="74"/>
      <c r="BD592" s="79"/>
      <c r="BE592" s="79"/>
      <c r="BF592" s="127"/>
      <c r="BG592" s="128"/>
      <c r="BH592" s="128"/>
      <c r="BI592" s="76"/>
      <c r="BJ592" s="24"/>
      <c r="BK592" s="25"/>
      <c r="BL592" s="259"/>
      <c r="BM592" s="533"/>
    </row>
    <row r="593" spans="1:65" ht="34.35" customHeight="1">
      <c r="A593" s="91"/>
      <c r="B593" s="358" t="s">
        <v>2784</v>
      </c>
      <c r="C593" s="50" t="s">
        <v>1760</v>
      </c>
      <c r="D593" s="264" t="s">
        <v>1728</v>
      </c>
      <c r="E593" s="393" t="s">
        <v>1399</v>
      </c>
      <c r="F593" s="410"/>
      <c r="G593" s="10"/>
      <c r="H593" s="167"/>
      <c r="I593" s="10"/>
      <c r="J593" s="76"/>
      <c r="K593" s="24"/>
      <c r="L593" s="281"/>
      <c r="M593" s="431"/>
      <c r="N593" s="410">
        <v>35882</v>
      </c>
      <c r="O593" s="10"/>
      <c r="P593" s="10"/>
      <c r="Q593" s="268"/>
      <c r="R593" s="10">
        <v>120000</v>
      </c>
      <c r="S593" s="76">
        <f t="shared" ref="S593:S597" si="719">AVERAGE(O593,P593,Q593,R593)</f>
        <v>120000</v>
      </c>
      <c r="T593" s="24">
        <f t="shared" ref="T593:T597" si="720">S593-N593</f>
        <v>84118</v>
      </c>
      <c r="U593" s="281">
        <f t="shared" si="713"/>
        <v>2.3442951897887521</v>
      </c>
      <c r="V593" s="462">
        <f t="shared" ref="V593:V597" si="721">S593</f>
        <v>120000</v>
      </c>
      <c r="W593" s="410"/>
      <c r="X593" s="31"/>
      <c r="Y593" s="33"/>
      <c r="Z593" s="472"/>
      <c r="AA593" s="76"/>
      <c r="AB593" s="24"/>
      <c r="AC593" s="25"/>
      <c r="AD593" s="309"/>
      <c r="AE593" s="462"/>
      <c r="AF593" s="408"/>
      <c r="AG593" s="293"/>
      <c r="AH593" s="293"/>
      <c r="AI593" s="293"/>
      <c r="AJ593" s="293"/>
      <c r="AK593" s="293"/>
      <c r="AL593" s="327"/>
      <c r="AM593" s="463"/>
      <c r="AN593" s="513"/>
      <c r="AO593" s="88"/>
      <c r="AP593" s="116"/>
      <c r="AQ593" s="74"/>
      <c r="AR593" s="76"/>
      <c r="AS593" s="24"/>
      <c r="AT593" s="25"/>
      <c r="AU593" s="309"/>
      <c r="AV593" s="462"/>
      <c r="AW593" s="513"/>
      <c r="AX593" s="74"/>
      <c r="AY593" s="74"/>
      <c r="AZ593" s="75"/>
      <c r="BA593" s="61"/>
      <c r="BB593" s="60"/>
      <c r="BC593" s="74"/>
      <c r="BD593" s="79"/>
      <c r="BE593" s="79"/>
      <c r="BF593" s="127"/>
      <c r="BG593" s="128"/>
      <c r="BH593" s="128"/>
      <c r="BI593" s="76"/>
      <c r="BJ593" s="24"/>
      <c r="BK593" s="25"/>
      <c r="BL593" s="259"/>
      <c r="BM593" s="533"/>
    </row>
    <row r="594" spans="1:65" ht="34.35" customHeight="1">
      <c r="A594" s="91"/>
      <c r="B594" s="358" t="s">
        <v>2785</v>
      </c>
      <c r="C594" s="50" t="s">
        <v>1761</v>
      </c>
      <c r="D594" s="264" t="s">
        <v>1729</v>
      </c>
      <c r="E594" s="393" t="s">
        <v>1399</v>
      </c>
      <c r="F594" s="410"/>
      <c r="G594" s="10"/>
      <c r="H594" s="167"/>
      <c r="I594" s="10"/>
      <c r="J594" s="76"/>
      <c r="K594" s="24"/>
      <c r="L594" s="281"/>
      <c r="M594" s="431"/>
      <c r="N594" s="410">
        <v>70377</v>
      </c>
      <c r="O594" s="10">
        <v>100000</v>
      </c>
      <c r="P594" s="10">
        <v>100000</v>
      </c>
      <c r="Q594" s="268">
        <v>105000</v>
      </c>
      <c r="R594" s="10">
        <v>120000</v>
      </c>
      <c r="S594" s="76">
        <f t="shared" si="719"/>
        <v>106250</v>
      </c>
      <c r="T594" s="24">
        <f t="shared" si="720"/>
        <v>35873</v>
      </c>
      <c r="U594" s="281">
        <f t="shared" si="713"/>
        <v>0.50972618895377753</v>
      </c>
      <c r="V594" s="462">
        <f t="shared" si="721"/>
        <v>106250</v>
      </c>
      <c r="W594" s="410"/>
      <c r="X594" s="31"/>
      <c r="Y594" s="33"/>
      <c r="Z594" s="472"/>
      <c r="AA594" s="76"/>
      <c r="AB594" s="24"/>
      <c r="AC594" s="25"/>
      <c r="AD594" s="309"/>
      <c r="AE594" s="462"/>
      <c r="AF594" s="408"/>
      <c r="AG594" s="293"/>
      <c r="AH594" s="293"/>
      <c r="AI594" s="293"/>
      <c r="AJ594" s="293"/>
      <c r="AK594" s="293"/>
      <c r="AL594" s="327"/>
      <c r="AM594" s="463"/>
      <c r="AN594" s="513"/>
      <c r="AO594" s="88"/>
      <c r="AP594" s="116"/>
      <c r="AQ594" s="74"/>
      <c r="AR594" s="76"/>
      <c r="AS594" s="24"/>
      <c r="AT594" s="25"/>
      <c r="AU594" s="309"/>
      <c r="AV594" s="462"/>
      <c r="AW594" s="513"/>
      <c r="AX594" s="74"/>
      <c r="AY594" s="74"/>
      <c r="AZ594" s="75"/>
      <c r="BA594" s="61"/>
      <c r="BB594" s="60"/>
      <c r="BC594" s="74"/>
      <c r="BD594" s="79"/>
      <c r="BE594" s="79"/>
      <c r="BF594" s="127"/>
      <c r="BG594" s="128"/>
      <c r="BH594" s="128"/>
      <c r="BI594" s="76"/>
      <c r="BJ594" s="24"/>
      <c r="BK594" s="25"/>
      <c r="BL594" s="259"/>
      <c r="BM594" s="533"/>
    </row>
    <row r="595" spans="1:65" ht="34.35" customHeight="1">
      <c r="A595" s="91"/>
      <c r="B595" s="358" t="s">
        <v>2786</v>
      </c>
      <c r="C595" s="50" t="s">
        <v>1762</v>
      </c>
      <c r="D595" s="264" t="s">
        <v>1730</v>
      </c>
      <c r="E595" s="393" t="s">
        <v>1399</v>
      </c>
      <c r="F595" s="410"/>
      <c r="G595" s="10"/>
      <c r="H595" s="167"/>
      <c r="I595" s="10"/>
      <c r="J595" s="76"/>
      <c r="K595" s="24"/>
      <c r="L595" s="281"/>
      <c r="M595" s="431"/>
      <c r="N595" s="410">
        <v>34979</v>
      </c>
      <c r="O595" s="10">
        <v>95000</v>
      </c>
      <c r="P595" s="10"/>
      <c r="Q595" s="268"/>
      <c r="R595" s="10">
        <v>120000</v>
      </c>
      <c r="S595" s="76">
        <f t="shared" si="719"/>
        <v>107500</v>
      </c>
      <c r="T595" s="24">
        <f t="shared" si="720"/>
        <v>72521</v>
      </c>
      <c r="U595" s="281">
        <f t="shared" si="713"/>
        <v>2.0732725349495413</v>
      </c>
      <c r="V595" s="462">
        <f t="shared" si="721"/>
        <v>107500</v>
      </c>
      <c r="W595" s="410"/>
      <c r="X595" s="31"/>
      <c r="Y595" s="33"/>
      <c r="Z595" s="472"/>
      <c r="AA595" s="76"/>
      <c r="AB595" s="24"/>
      <c r="AC595" s="25"/>
      <c r="AD595" s="309"/>
      <c r="AE595" s="462"/>
      <c r="AF595" s="410">
        <v>39061</v>
      </c>
      <c r="AG595" s="45"/>
      <c r="AH595" s="45">
        <v>45412</v>
      </c>
      <c r="AI595" s="45">
        <v>70000</v>
      </c>
      <c r="AJ595" s="76">
        <f t="shared" ref="AJ595:AJ600" si="722">AVERAGE(AG595,AH595,AI595)</f>
        <v>57706</v>
      </c>
      <c r="AK595" s="24">
        <f t="shared" ref="AK595:AK600" si="723">AJ595-AF595</f>
        <v>18645</v>
      </c>
      <c r="AL595" s="281">
        <f t="shared" ref="AL595:AL600" si="724">+AK595/AF595</f>
        <v>0.4773303294846522</v>
      </c>
      <c r="AM595" s="462">
        <f t="shared" ref="AM595:AM600" si="725">AJ595</f>
        <v>57706</v>
      </c>
      <c r="AN595" s="513"/>
      <c r="AO595" s="88"/>
      <c r="AP595" s="116"/>
      <c r="AQ595" s="74"/>
      <c r="AR595" s="76"/>
      <c r="AS595" s="24"/>
      <c r="AT595" s="25"/>
      <c r="AU595" s="309"/>
      <c r="AV595" s="462"/>
      <c r="AW595" s="513"/>
      <c r="AX595" s="74"/>
      <c r="AY595" s="74"/>
      <c r="AZ595" s="75"/>
      <c r="BA595" s="61"/>
      <c r="BB595" s="60"/>
      <c r="BC595" s="74"/>
      <c r="BD595" s="79"/>
      <c r="BE595" s="79"/>
      <c r="BF595" s="127"/>
      <c r="BG595" s="128"/>
      <c r="BH595" s="128"/>
      <c r="BI595" s="76"/>
      <c r="BJ595" s="24"/>
      <c r="BK595" s="25"/>
      <c r="BL595" s="259"/>
      <c r="BM595" s="533"/>
    </row>
    <row r="596" spans="1:65" ht="50.1" customHeight="1">
      <c r="A596" s="91"/>
      <c r="B596" s="358" t="s">
        <v>2787</v>
      </c>
      <c r="C596" s="50" t="s">
        <v>1763</v>
      </c>
      <c r="D596" s="264" t="s">
        <v>1731</v>
      </c>
      <c r="E596" s="393" t="s">
        <v>1399</v>
      </c>
      <c r="F596" s="410"/>
      <c r="G596" s="10"/>
      <c r="H596" s="167"/>
      <c r="I596" s="10"/>
      <c r="J596" s="76"/>
      <c r="K596" s="24"/>
      <c r="L596" s="281"/>
      <c r="M596" s="431"/>
      <c r="N596" s="410">
        <v>273002</v>
      </c>
      <c r="O596" s="10"/>
      <c r="P596" s="10"/>
      <c r="Q596" s="268"/>
      <c r="R596" s="10">
        <v>120000</v>
      </c>
      <c r="S596" s="76">
        <f t="shared" si="719"/>
        <v>120000</v>
      </c>
      <c r="T596" s="24">
        <f t="shared" si="720"/>
        <v>-153002</v>
      </c>
      <c r="U596" s="281">
        <f t="shared" si="713"/>
        <v>-0.56044278063896968</v>
      </c>
      <c r="V596" s="462">
        <f t="shared" si="721"/>
        <v>120000</v>
      </c>
      <c r="W596" s="410"/>
      <c r="X596" s="31"/>
      <c r="Y596" s="33"/>
      <c r="Z596" s="472"/>
      <c r="AA596" s="76"/>
      <c r="AB596" s="24"/>
      <c r="AC596" s="25"/>
      <c r="AD596" s="309"/>
      <c r="AE596" s="462"/>
      <c r="AF596" s="410">
        <v>304839</v>
      </c>
      <c r="AG596" s="45"/>
      <c r="AH596" s="45">
        <v>354387</v>
      </c>
      <c r="AI596" s="45">
        <v>85000</v>
      </c>
      <c r="AJ596" s="76">
        <f t="shared" si="722"/>
        <v>219693.5</v>
      </c>
      <c r="AK596" s="24">
        <f t="shared" si="723"/>
        <v>-85145.5</v>
      </c>
      <c r="AL596" s="281">
        <f t="shared" si="724"/>
        <v>-0.27931301441088574</v>
      </c>
      <c r="AM596" s="462">
        <f t="shared" si="725"/>
        <v>219693.5</v>
      </c>
      <c r="AN596" s="513"/>
      <c r="AO596" s="88"/>
      <c r="AP596" s="116"/>
      <c r="AQ596" s="74"/>
      <c r="AR596" s="76"/>
      <c r="AS596" s="24"/>
      <c r="AT596" s="25"/>
      <c r="AU596" s="309"/>
      <c r="AV596" s="462"/>
      <c r="AW596" s="513"/>
      <c r="AX596" s="74"/>
      <c r="AY596" s="74"/>
      <c r="AZ596" s="75"/>
      <c r="BA596" s="61"/>
      <c r="BB596" s="60"/>
      <c r="BC596" s="74"/>
      <c r="BD596" s="79"/>
      <c r="BE596" s="79"/>
      <c r="BF596" s="127"/>
      <c r="BG596" s="128"/>
      <c r="BH596" s="128"/>
      <c r="BI596" s="76"/>
      <c r="BJ596" s="24"/>
      <c r="BK596" s="25"/>
      <c r="BL596" s="259"/>
      <c r="BM596" s="533"/>
    </row>
    <row r="597" spans="1:65" ht="34.35" customHeight="1">
      <c r="A597" s="91"/>
      <c r="B597" s="358" t="s">
        <v>2788</v>
      </c>
      <c r="C597" s="50" t="s">
        <v>1764</v>
      </c>
      <c r="D597" s="264" t="s">
        <v>1732</v>
      </c>
      <c r="E597" s="393" t="s">
        <v>1399</v>
      </c>
      <c r="F597" s="410"/>
      <c r="G597" s="10"/>
      <c r="H597" s="167"/>
      <c r="I597" s="10"/>
      <c r="J597" s="76"/>
      <c r="K597" s="24"/>
      <c r="L597" s="281"/>
      <c r="M597" s="431"/>
      <c r="N597" s="410">
        <v>25943</v>
      </c>
      <c r="O597" s="10">
        <v>110000</v>
      </c>
      <c r="P597" s="10">
        <v>120000</v>
      </c>
      <c r="Q597" s="268">
        <v>120000</v>
      </c>
      <c r="R597" s="10">
        <v>120000</v>
      </c>
      <c r="S597" s="76">
        <f t="shared" si="719"/>
        <v>117500</v>
      </c>
      <c r="T597" s="24">
        <f t="shared" si="720"/>
        <v>91557</v>
      </c>
      <c r="U597" s="281">
        <f t="shared" si="713"/>
        <v>3.5291600817176119</v>
      </c>
      <c r="V597" s="462">
        <f t="shared" si="721"/>
        <v>117500</v>
      </c>
      <c r="W597" s="410"/>
      <c r="X597" s="31"/>
      <c r="Y597" s="33"/>
      <c r="Z597" s="472"/>
      <c r="AA597" s="76"/>
      <c r="AB597" s="24"/>
      <c r="AC597" s="25"/>
      <c r="AD597" s="309"/>
      <c r="AE597" s="462"/>
      <c r="AF597" s="410">
        <v>28800</v>
      </c>
      <c r="AG597" s="45">
        <v>80000</v>
      </c>
      <c r="AH597" s="45">
        <v>33976</v>
      </c>
      <c r="AI597" s="45">
        <v>65000</v>
      </c>
      <c r="AJ597" s="76">
        <f t="shared" si="722"/>
        <v>59658.666666666664</v>
      </c>
      <c r="AK597" s="24">
        <f t="shared" si="723"/>
        <v>30858.666666666664</v>
      </c>
      <c r="AL597" s="281">
        <f t="shared" si="724"/>
        <v>1.0714814814814815</v>
      </c>
      <c r="AM597" s="462">
        <f t="shared" si="725"/>
        <v>59658.666666666664</v>
      </c>
      <c r="AN597" s="513"/>
      <c r="AO597" s="88"/>
      <c r="AP597" s="116"/>
      <c r="AQ597" s="74"/>
      <c r="AR597" s="76"/>
      <c r="AS597" s="24"/>
      <c r="AT597" s="25"/>
      <c r="AU597" s="309"/>
      <c r="AV597" s="462"/>
      <c r="AW597" s="513"/>
      <c r="AX597" s="74"/>
      <c r="AY597" s="74"/>
      <c r="AZ597" s="75"/>
      <c r="BA597" s="61"/>
      <c r="BB597" s="60"/>
      <c r="BC597" s="74"/>
      <c r="BD597" s="79"/>
      <c r="BE597" s="79"/>
      <c r="BF597" s="127"/>
      <c r="BG597" s="128"/>
      <c r="BH597" s="128"/>
      <c r="BI597" s="76"/>
      <c r="BJ597" s="24"/>
      <c r="BK597" s="25"/>
      <c r="BL597" s="259"/>
      <c r="BM597" s="533"/>
    </row>
    <row r="598" spans="1:65" ht="34.35" customHeight="1">
      <c r="A598" s="91"/>
      <c r="B598" s="358" t="s">
        <v>2789</v>
      </c>
      <c r="C598" s="50" t="s">
        <v>1765</v>
      </c>
      <c r="D598" s="264" t="s">
        <v>1733</v>
      </c>
      <c r="E598" s="393" t="s">
        <v>1399</v>
      </c>
      <c r="F598" s="410"/>
      <c r="G598" s="10"/>
      <c r="H598" s="167"/>
      <c r="I598" s="10"/>
      <c r="J598" s="76"/>
      <c r="K598" s="24"/>
      <c r="L598" s="281"/>
      <c r="M598" s="431"/>
      <c r="N598" s="410">
        <v>138551</v>
      </c>
      <c r="O598" s="10"/>
      <c r="P598" s="10"/>
      <c r="Q598" s="10"/>
      <c r="R598" s="10" t="s">
        <v>1421</v>
      </c>
      <c r="S598" s="76"/>
      <c r="T598" s="24"/>
      <c r="U598" s="281">
        <f t="shared" si="713"/>
        <v>0</v>
      </c>
      <c r="V598" s="464" t="s">
        <v>807</v>
      </c>
      <c r="W598" s="410"/>
      <c r="X598" s="31"/>
      <c r="Y598" s="33"/>
      <c r="Z598" s="472"/>
      <c r="AA598" s="76"/>
      <c r="AB598" s="24"/>
      <c r="AC598" s="25"/>
      <c r="AD598" s="309"/>
      <c r="AE598" s="462"/>
      <c r="AF598" s="410">
        <v>154716</v>
      </c>
      <c r="AG598" s="45"/>
      <c r="AH598" s="45">
        <v>179864</v>
      </c>
      <c r="AI598" s="45">
        <v>24000</v>
      </c>
      <c r="AJ598" s="76">
        <f t="shared" si="722"/>
        <v>101932</v>
      </c>
      <c r="AK598" s="24">
        <f t="shared" si="723"/>
        <v>-52784</v>
      </c>
      <c r="AL598" s="281">
        <f t="shared" si="724"/>
        <v>-0.34116704154709276</v>
      </c>
      <c r="AM598" s="462">
        <f t="shared" si="725"/>
        <v>101932</v>
      </c>
      <c r="AN598" s="513"/>
      <c r="AO598" s="88"/>
      <c r="AP598" s="116"/>
      <c r="AQ598" s="74"/>
      <c r="AR598" s="76"/>
      <c r="AS598" s="24"/>
      <c r="AT598" s="25"/>
      <c r="AU598" s="309"/>
      <c r="AV598" s="462"/>
      <c r="AW598" s="513"/>
      <c r="AX598" s="74"/>
      <c r="AY598" s="74"/>
      <c r="AZ598" s="75"/>
      <c r="BA598" s="61"/>
      <c r="BB598" s="60"/>
      <c r="BC598" s="74"/>
      <c r="BD598" s="79"/>
      <c r="BE598" s="79"/>
      <c r="BF598" s="127"/>
      <c r="BG598" s="128"/>
      <c r="BH598" s="128"/>
      <c r="BI598" s="76"/>
      <c r="BJ598" s="24"/>
      <c r="BK598" s="25"/>
      <c r="BL598" s="259"/>
      <c r="BM598" s="533"/>
    </row>
    <row r="599" spans="1:65" ht="34.35" customHeight="1">
      <c r="A599" s="91"/>
      <c r="B599" s="358" t="s">
        <v>2790</v>
      </c>
      <c r="C599" s="50" t="s">
        <v>1766</v>
      </c>
      <c r="D599" s="264" t="s">
        <v>1734</v>
      </c>
      <c r="E599" s="393" t="s">
        <v>827</v>
      </c>
      <c r="F599" s="410"/>
      <c r="G599" s="10"/>
      <c r="H599" s="167"/>
      <c r="I599" s="10"/>
      <c r="J599" s="76"/>
      <c r="K599" s="24"/>
      <c r="L599" s="281"/>
      <c r="M599" s="431"/>
      <c r="N599" s="410">
        <v>59156</v>
      </c>
      <c r="O599" s="10"/>
      <c r="P599" s="10"/>
      <c r="Q599" s="10"/>
      <c r="R599" s="10">
        <v>120000</v>
      </c>
      <c r="S599" s="76">
        <f t="shared" ref="S599" si="726">AVERAGE(O599,P599,Q599,R599)</f>
        <v>120000</v>
      </c>
      <c r="T599" s="24">
        <f t="shared" ref="T599" si="727">S599-N599</f>
        <v>60844</v>
      </c>
      <c r="U599" s="281">
        <f t="shared" si="713"/>
        <v>1.0285347217526539</v>
      </c>
      <c r="V599" s="462">
        <f t="shared" ref="V599" si="728">S599</f>
        <v>120000</v>
      </c>
      <c r="W599" s="410"/>
      <c r="X599" s="31"/>
      <c r="Y599" s="33"/>
      <c r="Z599" s="472"/>
      <c r="AA599" s="76"/>
      <c r="AB599" s="24"/>
      <c r="AC599" s="25"/>
      <c r="AD599" s="309"/>
      <c r="AE599" s="462"/>
      <c r="AF599" s="410">
        <v>66058</v>
      </c>
      <c r="AG599" s="45"/>
      <c r="AH599" s="45">
        <v>76792</v>
      </c>
      <c r="AI599" s="45">
        <v>110000</v>
      </c>
      <c r="AJ599" s="76">
        <f t="shared" si="722"/>
        <v>93396</v>
      </c>
      <c r="AK599" s="24">
        <f t="shared" si="723"/>
        <v>27338</v>
      </c>
      <c r="AL599" s="281">
        <f t="shared" si="724"/>
        <v>0.41384843622271339</v>
      </c>
      <c r="AM599" s="462">
        <f t="shared" si="725"/>
        <v>93396</v>
      </c>
      <c r="AN599" s="513"/>
      <c r="AO599" s="88"/>
      <c r="AP599" s="116"/>
      <c r="AQ599" s="74"/>
      <c r="AR599" s="76"/>
      <c r="AS599" s="24"/>
      <c r="AT599" s="25"/>
      <c r="AU599" s="309"/>
      <c r="AV599" s="462"/>
      <c r="AW599" s="513"/>
      <c r="AX599" s="74"/>
      <c r="AY599" s="74"/>
      <c r="AZ599" s="75"/>
      <c r="BA599" s="61"/>
      <c r="BB599" s="60"/>
      <c r="BC599" s="74"/>
      <c r="BD599" s="79"/>
      <c r="BE599" s="79"/>
      <c r="BF599" s="127"/>
      <c r="BG599" s="128"/>
      <c r="BH599" s="128"/>
      <c r="BI599" s="76"/>
      <c r="BJ599" s="24"/>
      <c r="BK599" s="25"/>
      <c r="BL599" s="259"/>
      <c r="BM599" s="533"/>
    </row>
    <row r="600" spans="1:65" ht="34.35" customHeight="1">
      <c r="A600" s="91"/>
      <c r="B600" s="358" t="s">
        <v>2791</v>
      </c>
      <c r="C600" s="50" t="s">
        <v>1767</v>
      </c>
      <c r="D600" s="264" t="s">
        <v>1735</v>
      </c>
      <c r="E600" s="393" t="s">
        <v>1399</v>
      </c>
      <c r="F600" s="410"/>
      <c r="G600" s="10"/>
      <c r="H600" s="167"/>
      <c r="I600" s="10"/>
      <c r="J600" s="76"/>
      <c r="K600" s="24"/>
      <c r="L600" s="281"/>
      <c r="M600" s="431"/>
      <c r="N600" s="410">
        <v>111242</v>
      </c>
      <c r="O600" s="10"/>
      <c r="P600" s="10"/>
      <c r="Q600" s="10"/>
      <c r="R600" s="10"/>
      <c r="S600" s="76"/>
      <c r="T600" s="24"/>
      <c r="U600" s="281"/>
      <c r="V600" s="462" t="s">
        <v>894</v>
      </c>
      <c r="W600" s="410"/>
      <c r="X600" s="31"/>
      <c r="Y600" s="33"/>
      <c r="Z600" s="472"/>
      <c r="AA600" s="76"/>
      <c r="AB600" s="24"/>
      <c r="AC600" s="25"/>
      <c r="AD600" s="309"/>
      <c r="AE600" s="462"/>
      <c r="AF600" s="410">
        <v>124217</v>
      </c>
      <c r="AG600" s="45"/>
      <c r="AH600" s="45">
        <v>76792</v>
      </c>
      <c r="AI600" s="45">
        <v>190000</v>
      </c>
      <c r="AJ600" s="76">
        <f t="shared" si="722"/>
        <v>133396</v>
      </c>
      <c r="AK600" s="24">
        <f t="shared" si="723"/>
        <v>9179</v>
      </c>
      <c r="AL600" s="281">
        <f t="shared" si="724"/>
        <v>7.3894877512739807E-2</v>
      </c>
      <c r="AM600" s="462">
        <f t="shared" si="725"/>
        <v>133396</v>
      </c>
      <c r="AN600" s="513"/>
      <c r="AO600" s="88"/>
      <c r="AP600" s="116"/>
      <c r="AQ600" s="74"/>
      <c r="AR600" s="76"/>
      <c r="AS600" s="24"/>
      <c r="AT600" s="25"/>
      <c r="AU600" s="309"/>
      <c r="AV600" s="462"/>
      <c r="AW600" s="513"/>
      <c r="AX600" s="74"/>
      <c r="AY600" s="74"/>
      <c r="AZ600" s="75"/>
      <c r="BA600" s="61"/>
      <c r="BB600" s="60"/>
      <c r="BC600" s="74"/>
      <c r="BD600" s="79"/>
      <c r="BE600" s="79"/>
      <c r="BF600" s="127"/>
      <c r="BG600" s="128"/>
      <c r="BH600" s="128"/>
      <c r="BI600" s="76"/>
      <c r="BJ600" s="24"/>
      <c r="BK600" s="25"/>
      <c r="BL600" s="259"/>
      <c r="BM600" s="533"/>
    </row>
    <row r="601" spans="1:65" ht="34.35" customHeight="1">
      <c r="A601" s="91"/>
      <c r="B601" s="358" t="s">
        <v>2792</v>
      </c>
      <c r="C601" s="50" t="s">
        <v>1768</v>
      </c>
      <c r="D601" s="264" t="s">
        <v>1736</v>
      </c>
      <c r="E601" s="393" t="s">
        <v>1399</v>
      </c>
      <c r="F601" s="410"/>
      <c r="G601" s="10"/>
      <c r="H601" s="167"/>
      <c r="I601" s="10"/>
      <c r="J601" s="76"/>
      <c r="K601" s="24"/>
      <c r="L601" s="281"/>
      <c r="M601" s="431"/>
      <c r="N601" s="410">
        <v>63618</v>
      </c>
      <c r="O601" s="10"/>
      <c r="P601" s="10"/>
      <c r="Q601" s="10"/>
      <c r="R601" s="10"/>
      <c r="S601" s="76"/>
      <c r="T601" s="24"/>
      <c r="U601" s="281"/>
      <c r="V601" s="462" t="s">
        <v>894</v>
      </c>
      <c r="W601" s="410"/>
      <c r="X601" s="31"/>
      <c r="Y601" s="33"/>
      <c r="Z601" s="472"/>
      <c r="AA601" s="76"/>
      <c r="AB601" s="24"/>
      <c r="AC601" s="25"/>
      <c r="AD601" s="309"/>
      <c r="AE601" s="462"/>
      <c r="AF601" s="408"/>
      <c r="AG601" s="293"/>
      <c r="AH601" s="293"/>
      <c r="AI601" s="293"/>
      <c r="AJ601" s="293"/>
      <c r="AK601" s="293"/>
      <c r="AL601" s="327"/>
      <c r="AM601" s="463"/>
      <c r="AN601" s="513"/>
      <c r="AO601" s="88"/>
      <c r="AP601" s="116"/>
      <c r="AQ601" s="74"/>
      <c r="AR601" s="76"/>
      <c r="AS601" s="24"/>
      <c r="AT601" s="25"/>
      <c r="AU601" s="309"/>
      <c r="AV601" s="462"/>
      <c r="AW601" s="513"/>
      <c r="AX601" s="74"/>
      <c r="AY601" s="74"/>
      <c r="AZ601" s="75"/>
      <c r="BA601" s="61"/>
      <c r="BB601" s="60"/>
      <c r="BC601" s="74"/>
      <c r="BD601" s="79"/>
      <c r="BE601" s="79"/>
      <c r="BF601" s="127"/>
      <c r="BG601" s="128"/>
      <c r="BH601" s="128"/>
      <c r="BI601" s="76"/>
      <c r="BJ601" s="24"/>
      <c r="BK601" s="25"/>
      <c r="BL601" s="259"/>
      <c r="BM601" s="533"/>
    </row>
    <row r="602" spans="1:65" ht="34.35" customHeight="1">
      <c r="A602" s="91"/>
      <c r="B602" s="358" t="s">
        <v>2793</v>
      </c>
      <c r="C602" s="50" t="s">
        <v>1769</v>
      </c>
      <c r="D602" s="264" t="s">
        <v>1737</v>
      </c>
      <c r="E602" s="393" t="s">
        <v>827</v>
      </c>
      <c r="F602" s="410"/>
      <c r="G602" s="10"/>
      <c r="H602" s="167"/>
      <c r="I602" s="10"/>
      <c r="J602" s="76"/>
      <c r="K602" s="24"/>
      <c r="L602" s="281"/>
      <c r="M602" s="431"/>
      <c r="N602" s="410">
        <v>41691</v>
      </c>
      <c r="O602" s="10"/>
      <c r="P602" s="10"/>
      <c r="Q602" s="10"/>
      <c r="R602" s="10"/>
      <c r="S602" s="76"/>
      <c r="T602" s="24"/>
      <c r="U602" s="281"/>
      <c r="V602" s="462" t="s">
        <v>894</v>
      </c>
      <c r="W602" s="410"/>
      <c r="X602" s="31"/>
      <c r="Y602" s="33"/>
      <c r="Z602" s="472"/>
      <c r="AA602" s="76"/>
      <c r="AB602" s="24"/>
      <c r="AC602" s="25"/>
      <c r="AD602" s="309"/>
      <c r="AE602" s="462"/>
      <c r="AF602" s="408"/>
      <c r="AG602" s="293"/>
      <c r="AH602" s="293"/>
      <c r="AI602" s="293"/>
      <c r="AJ602" s="293"/>
      <c r="AK602" s="293"/>
      <c r="AL602" s="327"/>
      <c r="AM602" s="463"/>
      <c r="AN602" s="513"/>
      <c r="AO602" s="88"/>
      <c r="AP602" s="116"/>
      <c r="AQ602" s="74"/>
      <c r="AR602" s="76"/>
      <c r="AS602" s="24"/>
      <c r="AT602" s="25"/>
      <c r="AU602" s="309"/>
      <c r="AV602" s="462"/>
      <c r="AW602" s="513"/>
      <c r="AX602" s="74"/>
      <c r="AY602" s="74"/>
      <c r="AZ602" s="75"/>
      <c r="BA602" s="61"/>
      <c r="BB602" s="60"/>
      <c r="BC602" s="74"/>
      <c r="BD602" s="79"/>
      <c r="BE602" s="79"/>
      <c r="BF602" s="127"/>
      <c r="BG602" s="128"/>
      <c r="BH602" s="128"/>
      <c r="BI602" s="76"/>
      <c r="BJ602" s="24"/>
      <c r="BK602" s="25"/>
      <c r="BL602" s="259"/>
      <c r="BM602" s="533"/>
    </row>
    <row r="603" spans="1:65" ht="34.35" customHeight="1">
      <c r="A603" s="91"/>
      <c r="B603" s="358" t="s">
        <v>2794</v>
      </c>
      <c r="C603" s="50" t="s">
        <v>1770</v>
      </c>
      <c r="D603" s="264" t="s">
        <v>1738</v>
      </c>
      <c r="E603" s="393" t="s">
        <v>1399</v>
      </c>
      <c r="F603" s="410"/>
      <c r="G603" s="10"/>
      <c r="H603" s="167"/>
      <c r="I603" s="10"/>
      <c r="J603" s="76"/>
      <c r="K603" s="24"/>
      <c r="L603" s="281"/>
      <c r="M603" s="431"/>
      <c r="N603" s="410">
        <v>72730</v>
      </c>
      <c r="O603" s="10"/>
      <c r="P603" s="10"/>
      <c r="Q603" s="10"/>
      <c r="R603" s="10"/>
      <c r="S603" s="76"/>
      <c r="T603" s="24"/>
      <c r="U603" s="281"/>
      <c r="V603" s="464" t="s">
        <v>807</v>
      </c>
      <c r="W603" s="410"/>
      <c r="X603" s="31"/>
      <c r="Y603" s="33"/>
      <c r="Z603" s="472"/>
      <c r="AA603" s="76"/>
      <c r="AB603" s="24"/>
      <c r="AC603" s="25"/>
      <c r="AD603" s="309"/>
      <c r="AE603" s="462"/>
      <c r="AF603" s="408"/>
      <c r="AG603" s="293"/>
      <c r="AH603" s="293"/>
      <c r="AI603" s="293"/>
      <c r="AJ603" s="293"/>
      <c r="AK603" s="293"/>
      <c r="AL603" s="327"/>
      <c r="AM603" s="463"/>
      <c r="AN603" s="513"/>
      <c r="AO603" s="88"/>
      <c r="AP603" s="116"/>
      <c r="AQ603" s="74"/>
      <c r="AR603" s="76"/>
      <c r="AS603" s="24"/>
      <c r="AT603" s="25"/>
      <c r="AU603" s="309"/>
      <c r="AV603" s="462"/>
      <c r="AW603" s="513"/>
      <c r="AX603" s="74"/>
      <c r="AY603" s="74"/>
      <c r="AZ603" s="75"/>
      <c r="BA603" s="61"/>
      <c r="BB603" s="60"/>
      <c r="BC603" s="74"/>
      <c r="BD603" s="79"/>
      <c r="BE603" s="79"/>
      <c r="BF603" s="127"/>
      <c r="BG603" s="128"/>
      <c r="BH603" s="128"/>
      <c r="BI603" s="76"/>
      <c r="BJ603" s="24"/>
      <c r="BK603" s="25"/>
      <c r="BL603" s="259"/>
      <c r="BM603" s="533"/>
    </row>
    <row r="604" spans="1:65" ht="34.35" customHeight="1">
      <c r="A604" s="91"/>
      <c r="B604" s="358" t="s">
        <v>2795</v>
      </c>
      <c r="C604" s="50" t="s">
        <v>1771</v>
      </c>
      <c r="D604" s="264" t="s">
        <v>1739</v>
      </c>
      <c r="E604" s="393" t="s">
        <v>1399</v>
      </c>
      <c r="F604" s="410"/>
      <c r="G604" s="10"/>
      <c r="H604" s="167"/>
      <c r="I604" s="10"/>
      <c r="J604" s="76"/>
      <c r="K604" s="24"/>
      <c r="L604" s="281"/>
      <c r="M604" s="431"/>
      <c r="N604" s="410">
        <v>15283</v>
      </c>
      <c r="O604" s="10"/>
      <c r="P604" s="10"/>
      <c r="Q604" s="10"/>
      <c r="R604" s="10"/>
      <c r="S604" s="76"/>
      <c r="T604" s="24"/>
      <c r="U604" s="281"/>
      <c r="V604" s="464" t="s">
        <v>807</v>
      </c>
      <c r="W604" s="410"/>
      <c r="X604" s="31"/>
      <c r="Y604" s="33"/>
      <c r="Z604" s="472"/>
      <c r="AA604" s="76"/>
      <c r="AB604" s="24"/>
      <c r="AC604" s="25"/>
      <c r="AD604" s="309"/>
      <c r="AE604" s="462"/>
      <c r="AF604" s="408"/>
      <c r="AG604" s="293"/>
      <c r="AH604" s="293"/>
      <c r="AI604" s="293"/>
      <c r="AJ604" s="293"/>
      <c r="AK604" s="293"/>
      <c r="AL604" s="327"/>
      <c r="AM604" s="463"/>
      <c r="AN604" s="513"/>
      <c r="AO604" s="88"/>
      <c r="AP604" s="116"/>
      <c r="AQ604" s="74"/>
      <c r="AR604" s="76"/>
      <c r="AS604" s="24"/>
      <c r="AT604" s="25"/>
      <c r="AU604" s="309"/>
      <c r="AV604" s="462"/>
      <c r="AW604" s="513"/>
      <c r="AX604" s="74"/>
      <c r="AY604" s="74"/>
      <c r="AZ604" s="75"/>
      <c r="BA604" s="61"/>
      <c r="BB604" s="60"/>
      <c r="BC604" s="74"/>
      <c r="BD604" s="79"/>
      <c r="BE604" s="79"/>
      <c r="BF604" s="127"/>
      <c r="BG604" s="128"/>
      <c r="BH604" s="128"/>
      <c r="BI604" s="76"/>
      <c r="BJ604" s="24"/>
      <c r="BK604" s="25"/>
      <c r="BL604" s="259"/>
      <c r="BM604" s="533"/>
    </row>
    <row r="605" spans="1:65" ht="34.35" customHeight="1">
      <c r="A605" s="91"/>
      <c r="B605" s="358" t="s">
        <v>2796</v>
      </c>
      <c r="C605" s="50" t="s">
        <v>1772</v>
      </c>
      <c r="D605" s="264" t="s">
        <v>1740</v>
      </c>
      <c r="E605" s="393" t="s">
        <v>1399</v>
      </c>
      <c r="F605" s="410"/>
      <c r="G605" s="10"/>
      <c r="H605" s="167"/>
      <c r="I605" s="10"/>
      <c r="J605" s="76"/>
      <c r="K605" s="24"/>
      <c r="L605" s="281"/>
      <c r="M605" s="431"/>
      <c r="N605" s="410">
        <v>22933</v>
      </c>
      <c r="O605" s="10"/>
      <c r="P605" s="10"/>
      <c r="Q605" s="10"/>
      <c r="R605" s="10"/>
      <c r="S605" s="76"/>
      <c r="T605" s="24"/>
      <c r="U605" s="281"/>
      <c r="V605" s="464" t="s">
        <v>807</v>
      </c>
      <c r="W605" s="410"/>
      <c r="X605" s="31"/>
      <c r="Y605" s="33"/>
      <c r="Z605" s="472"/>
      <c r="AA605" s="76"/>
      <c r="AB605" s="24"/>
      <c r="AC605" s="25"/>
      <c r="AD605" s="309"/>
      <c r="AE605" s="462"/>
      <c r="AF605" s="408"/>
      <c r="AG605" s="293"/>
      <c r="AH605" s="293"/>
      <c r="AI605" s="293"/>
      <c r="AJ605" s="293"/>
      <c r="AK605" s="293"/>
      <c r="AL605" s="327"/>
      <c r="AM605" s="463"/>
      <c r="AN605" s="513"/>
      <c r="AO605" s="88"/>
      <c r="AP605" s="116"/>
      <c r="AQ605" s="74"/>
      <c r="AR605" s="76"/>
      <c r="AS605" s="24"/>
      <c r="AT605" s="25"/>
      <c r="AU605" s="309"/>
      <c r="AV605" s="462"/>
      <c r="AW605" s="513"/>
      <c r="AX605" s="74"/>
      <c r="AY605" s="74"/>
      <c r="AZ605" s="75"/>
      <c r="BA605" s="61"/>
      <c r="BB605" s="60"/>
      <c r="BC605" s="74"/>
      <c r="BD605" s="79"/>
      <c r="BE605" s="79"/>
      <c r="BF605" s="127"/>
      <c r="BG605" s="128"/>
      <c r="BH605" s="128"/>
      <c r="BI605" s="76"/>
      <c r="BJ605" s="24"/>
      <c r="BK605" s="25"/>
      <c r="BL605" s="259"/>
      <c r="BM605" s="533"/>
    </row>
    <row r="606" spans="1:65" ht="34.35" customHeight="1">
      <c r="A606" s="91"/>
      <c r="B606" s="358" t="s">
        <v>2797</v>
      </c>
      <c r="C606" s="50" t="s">
        <v>1773</v>
      </c>
      <c r="D606" s="264" t="s">
        <v>1741</v>
      </c>
      <c r="E606" s="393" t="s">
        <v>1399</v>
      </c>
      <c r="F606" s="410"/>
      <c r="G606" s="10"/>
      <c r="H606" s="167"/>
      <c r="I606" s="10"/>
      <c r="J606" s="76"/>
      <c r="K606" s="24"/>
      <c r="L606" s="281"/>
      <c r="M606" s="431"/>
      <c r="N606" s="410">
        <v>49646</v>
      </c>
      <c r="O606" s="10"/>
      <c r="P606" s="10"/>
      <c r="Q606" s="10"/>
      <c r="R606" s="10"/>
      <c r="S606" s="76"/>
      <c r="T606" s="24"/>
      <c r="U606" s="281"/>
      <c r="V606" s="462" t="s">
        <v>894</v>
      </c>
      <c r="W606" s="410"/>
      <c r="X606" s="31"/>
      <c r="Y606" s="33"/>
      <c r="Z606" s="472"/>
      <c r="AA606" s="76"/>
      <c r="AB606" s="24"/>
      <c r="AC606" s="25"/>
      <c r="AD606" s="309"/>
      <c r="AE606" s="462"/>
      <c r="AF606" s="408"/>
      <c r="AG606" s="293"/>
      <c r="AH606" s="293"/>
      <c r="AI606" s="293"/>
      <c r="AJ606" s="293"/>
      <c r="AK606" s="293"/>
      <c r="AL606" s="327"/>
      <c r="AM606" s="463"/>
      <c r="AN606" s="513"/>
      <c r="AO606" s="88"/>
      <c r="AP606" s="116"/>
      <c r="AQ606" s="74"/>
      <c r="AR606" s="76"/>
      <c r="AS606" s="24"/>
      <c r="AT606" s="25"/>
      <c r="AU606" s="309"/>
      <c r="AV606" s="462"/>
      <c r="AW606" s="513"/>
      <c r="AX606" s="74"/>
      <c r="AY606" s="74"/>
      <c r="AZ606" s="75"/>
      <c r="BA606" s="61"/>
      <c r="BB606" s="60"/>
      <c r="BC606" s="74"/>
      <c r="BD606" s="79"/>
      <c r="BE606" s="79"/>
      <c r="BF606" s="127"/>
      <c r="BG606" s="128"/>
      <c r="BH606" s="128"/>
      <c r="BI606" s="76"/>
      <c r="BJ606" s="24"/>
      <c r="BK606" s="25"/>
      <c r="BL606" s="259"/>
      <c r="BM606" s="533"/>
    </row>
    <row r="607" spans="1:65" ht="34.35" customHeight="1">
      <c r="A607" s="91"/>
      <c r="B607" s="358" t="s">
        <v>2798</v>
      </c>
      <c r="C607" s="50" t="s">
        <v>1774</v>
      </c>
      <c r="D607" s="264" t="s">
        <v>1742</v>
      </c>
      <c r="E607" s="393" t="s">
        <v>1399</v>
      </c>
      <c r="F607" s="410"/>
      <c r="G607" s="10"/>
      <c r="H607" s="167"/>
      <c r="I607" s="10"/>
      <c r="J607" s="76"/>
      <c r="K607" s="24"/>
      <c r="L607" s="281"/>
      <c r="M607" s="431"/>
      <c r="N607" s="410">
        <v>55435</v>
      </c>
      <c r="O607" s="10"/>
      <c r="P607" s="10"/>
      <c r="Q607" s="10"/>
      <c r="R607" s="10"/>
      <c r="S607" s="76"/>
      <c r="T607" s="24"/>
      <c r="U607" s="281"/>
      <c r="V607" s="462" t="s">
        <v>894</v>
      </c>
      <c r="W607" s="410"/>
      <c r="X607" s="31"/>
      <c r="Y607" s="33"/>
      <c r="Z607" s="472"/>
      <c r="AA607" s="76"/>
      <c r="AB607" s="24"/>
      <c r="AC607" s="25"/>
      <c r="AD607" s="309"/>
      <c r="AE607" s="462"/>
      <c r="AF607" s="408"/>
      <c r="AG607" s="293"/>
      <c r="AH607" s="293"/>
      <c r="AI607" s="293"/>
      <c r="AJ607" s="293"/>
      <c r="AK607" s="293"/>
      <c r="AL607" s="327"/>
      <c r="AM607" s="463"/>
      <c r="AN607" s="513"/>
      <c r="AO607" s="88"/>
      <c r="AP607" s="116"/>
      <c r="AQ607" s="74"/>
      <c r="AR607" s="76"/>
      <c r="AS607" s="24"/>
      <c r="AT607" s="25"/>
      <c r="AU607" s="309"/>
      <c r="AV607" s="462"/>
      <c r="AW607" s="513"/>
      <c r="AX607" s="74"/>
      <c r="AY607" s="74"/>
      <c r="AZ607" s="75"/>
      <c r="BA607" s="61"/>
      <c r="BB607" s="60"/>
      <c r="BC607" s="74"/>
      <c r="BD607" s="79"/>
      <c r="BE607" s="79"/>
      <c r="BF607" s="127"/>
      <c r="BG607" s="128"/>
      <c r="BH607" s="128"/>
      <c r="BI607" s="76"/>
      <c r="BJ607" s="24"/>
      <c r="BK607" s="25"/>
      <c r="BL607" s="259"/>
      <c r="BM607" s="533"/>
    </row>
    <row r="608" spans="1:65" ht="34.35" customHeight="1">
      <c r="A608" s="91"/>
      <c r="B608" s="358" t="s">
        <v>2799</v>
      </c>
      <c r="C608" s="50" t="s">
        <v>1775</v>
      </c>
      <c r="D608" s="264" t="s">
        <v>1743</v>
      </c>
      <c r="E608" s="393" t="s">
        <v>827</v>
      </c>
      <c r="F608" s="410"/>
      <c r="G608" s="10"/>
      <c r="H608" s="167"/>
      <c r="I608" s="10"/>
      <c r="J608" s="76"/>
      <c r="K608" s="24"/>
      <c r="L608" s="281"/>
      <c r="M608" s="431"/>
      <c r="N608" s="410">
        <v>37068</v>
      </c>
      <c r="O608" s="10"/>
      <c r="P608" s="10"/>
      <c r="Q608" s="10"/>
      <c r="R608" s="10"/>
      <c r="S608" s="76"/>
      <c r="T608" s="24"/>
      <c r="U608" s="281"/>
      <c r="V608" s="462" t="s">
        <v>894</v>
      </c>
      <c r="W608" s="410"/>
      <c r="X608" s="31"/>
      <c r="Y608" s="33"/>
      <c r="Z608" s="472"/>
      <c r="AA608" s="76"/>
      <c r="AB608" s="24"/>
      <c r="AC608" s="25"/>
      <c r="AD608" s="309"/>
      <c r="AE608" s="462"/>
      <c r="AF608" s="408"/>
      <c r="AG608" s="293"/>
      <c r="AH608" s="293"/>
      <c r="AI608" s="293"/>
      <c r="AJ608" s="293"/>
      <c r="AK608" s="293"/>
      <c r="AL608" s="327"/>
      <c r="AM608" s="463"/>
      <c r="AN608" s="513"/>
      <c r="AO608" s="88"/>
      <c r="AP608" s="116"/>
      <c r="AQ608" s="74"/>
      <c r="AR608" s="76"/>
      <c r="AS608" s="24"/>
      <c r="AT608" s="25"/>
      <c r="AU608" s="309"/>
      <c r="AV608" s="462"/>
      <c r="AW608" s="513"/>
      <c r="AX608" s="74"/>
      <c r="AY608" s="74"/>
      <c r="AZ608" s="75"/>
      <c r="BA608" s="61"/>
      <c r="BB608" s="60"/>
      <c r="BC608" s="74"/>
      <c r="BD608" s="79"/>
      <c r="BE608" s="79"/>
      <c r="BF608" s="127"/>
      <c r="BG608" s="128"/>
      <c r="BH608" s="128"/>
      <c r="BI608" s="76"/>
      <c r="BJ608" s="24"/>
      <c r="BK608" s="25"/>
      <c r="BL608" s="259"/>
      <c r="BM608" s="533"/>
    </row>
    <row r="609" spans="1:65" ht="34.35" customHeight="1">
      <c r="A609" s="91"/>
      <c r="B609" s="358" t="s">
        <v>2800</v>
      </c>
      <c r="C609" s="50" t="s">
        <v>1776</v>
      </c>
      <c r="D609" s="264" t="s">
        <v>1744</v>
      </c>
      <c r="E609" s="393" t="s">
        <v>827</v>
      </c>
      <c r="F609" s="410"/>
      <c r="G609" s="10"/>
      <c r="H609" s="167"/>
      <c r="I609" s="10"/>
      <c r="J609" s="76"/>
      <c r="K609" s="24"/>
      <c r="L609" s="281"/>
      <c r="M609" s="431"/>
      <c r="N609" s="410">
        <v>43798</v>
      </c>
      <c r="O609" s="10"/>
      <c r="P609" s="10"/>
      <c r="Q609" s="10"/>
      <c r="R609" s="10"/>
      <c r="S609" s="76"/>
      <c r="T609" s="24"/>
      <c r="U609" s="281"/>
      <c r="V609" s="462" t="s">
        <v>894</v>
      </c>
      <c r="W609" s="410"/>
      <c r="X609" s="31"/>
      <c r="Y609" s="33"/>
      <c r="Z609" s="472"/>
      <c r="AA609" s="76"/>
      <c r="AB609" s="24"/>
      <c r="AC609" s="25"/>
      <c r="AD609" s="309"/>
      <c r="AE609" s="462"/>
      <c r="AF609" s="410">
        <v>67842</v>
      </c>
      <c r="AG609" s="45"/>
      <c r="AH609" s="45"/>
      <c r="AI609" s="45">
        <v>120000</v>
      </c>
      <c r="AJ609" s="76">
        <f t="shared" ref="AJ609" si="729">AVERAGE(AG609,AH609,AI609)</f>
        <v>120000</v>
      </c>
      <c r="AK609" s="24">
        <f t="shared" ref="AK609" si="730">AJ609-AF609</f>
        <v>52158</v>
      </c>
      <c r="AL609" s="281">
        <f t="shared" ref="AL609" si="731">+AK609/AF609</f>
        <v>0.76881577783673827</v>
      </c>
      <c r="AM609" s="491">
        <f t="shared" ref="AM609" si="732">AI609</f>
        <v>120000</v>
      </c>
      <c r="AN609" s="513"/>
      <c r="AO609" s="88"/>
      <c r="AP609" s="116"/>
      <c r="AQ609" s="74"/>
      <c r="AR609" s="76"/>
      <c r="AS609" s="24"/>
      <c r="AT609" s="25"/>
      <c r="AU609" s="309"/>
      <c r="AV609" s="462"/>
      <c r="AW609" s="513"/>
      <c r="AX609" s="74"/>
      <c r="AY609" s="74"/>
      <c r="AZ609" s="75"/>
      <c r="BA609" s="61"/>
      <c r="BB609" s="60"/>
      <c r="BC609" s="74"/>
      <c r="BD609" s="79"/>
      <c r="BE609" s="79"/>
      <c r="BF609" s="127"/>
      <c r="BG609" s="128"/>
      <c r="BH609" s="128"/>
      <c r="BI609" s="76"/>
      <c r="BJ609" s="24"/>
      <c r="BK609" s="25"/>
      <c r="BL609" s="259"/>
      <c r="BM609" s="533"/>
    </row>
    <row r="610" spans="1:65" ht="34.35" customHeight="1">
      <c r="A610" s="91"/>
      <c r="B610" s="358" t="s">
        <v>2801</v>
      </c>
      <c r="C610" s="50" t="s">
        <v>1777</v>
      </c>
      <c r="D610" s="264" t="s">
        <v>1745</v>
      </c>
      <c r="E610" s="393" t="s">
        <v>1399</v>
      </c>
      <c r="F610" s="410"/>
      <c r="G610" s="10"/>
      <c r="H610" s="167"/>
      <c r="I610" s="10"/>
      <c r="J610" s="76"/>
      <c r="K610" s="24"/>
      <c r="L610" s="281"/>
      <c r="M610" s="431"/>
      <c r="N610" s="410">
        <v>61862</v>
      </c>
      <c r="O610" s="10"/>
      <c r="P610" s="10"/>
      <c r="Q610" s="10"/>
      <c r="R610" s="10"/>
      <c r="S610" s="76"/>
      <c r="T610" s="24"/>
      <c r="U610" s="281"/>
      <c r="V610" s="462" t="s">
        <v>894</v>
      </c>
      <c r="W610" s="410"/>
      <c r="X610" s="31"/>
      <c r="Y610" s="33"/>
      <c r="Z610" s="472"/>
      <c r="AA610" s="76"/>
      <c r="AB610" s="24"/>
      <c r="AC610" s="25"/>
      <c r="AD610" s="309"/>
      <c r="AE610" s="462"/>
      <c r="AF610" s="408"/>
      <c r="AG610" s="293"/>
      <c r="AH610" s="293"/>
      <c r="AI610" s="293"/>
      <c r="AJ610" s="293"/>
      <c r="AK610" s="293"/>
      <c r="AL610" s="327"/>
      <c r="AM610" s="463"/>
      <c r="AN610" s="513"/>
      <c r="AO610" s="88"/>
      <c r="AP610" s="116"/>
      <c r="AQ610" s="74"/>
      <c r="AR610" s="76"/>
      <c r="AS610" s="24"/>
      <c r="AT610" s="25"/>
      <c r="AU610" s="309"/>
      <c r="AV610" s="462"/>
      <c r="AW610" s="513"/>
      <c r="AX610" s="74"/>
      <c r="AY610" s="74"/>
      <c r="AZ610" s="75"/>
      <c r="BA610" s="61"/>
      <c r="BB610" s="60"/>
      <c r="BC610" s="74"/>
      <c r="BD610" s="79"/>
      <c r="BE610" s="79"/>
      <c r="BF610" s="127"/>
      <c r="BG610" s="128"/>
      <c r="BH610" s="128"/>
      <c r="BI610" s="76"/>
      <c r="BJ610" s="24"/>
      <c r="BK610" s="25"/>
      <c r="BL610" s="259"/>
      <c r="BM610" s="533"/>
    </row>
    <row r="611" spans="1:65" ht="34.35" customHeight="1">
      <c r="A611" s="91"/>
      <c r="B611" s="358" t="s">
        <v>2802</v>
      </c>
      <c r="C611" s="50" t="s">
        <v>1778</v>
      </c>
      <c r="D611" s="264" t="s">
        <v>1746</v>
      </c>
      <c r="E611" s="393" t="s">
        <v>1399</v>
      </c>
      <c r="F611" s="410"/>
      <c r="G611" s="10"/>
      <c r="H611" s="167"/>
      <c r="I611" s="10"/>
      <c r="J611" s="76"/>
      <c r="K611" s="24"/>
      <c r="L611" s="281"/>
      <c r="M611" s="431"/>
      <c r="N611" s="410">
        <v>55435</v>
      </c>
      <c r="O611" s="10"/>
      <c r="P611" s="10"/>
      <c r="Q611" s="10"/>
      <c r="R611" s="10"/>
      <c r="S611" s="76"/>
      <c r="T611" s="24"/>
      <c r="U611" s="281"/>
      <c r="V611" s="462" t="s">
        <v>894</v>
      </c>
      <c r="W611" s="410"/>
      <c r="X611" s="31"/>
      <c r="Y611" s="33"/>
      <c r="Z611" s="472"/>
      <c r="AA611" s="76"/>
      <c r="AB611" s="24"/>
      <c r="AC611" s="25"/>
      <c r="AD611" s="309"/>
      <c r="AE611" s="462"/>
      <c r="AF611" s="408"/>
      <c r="AG611" s="293"/>
      <c r="AH611" s="293"/>
      <c r="AI611" s="293"/>
      <c r="AJ611" s="293"/>
      <c r="AK611" s="293"/>
      <c r="AL611" s="327"/>
      <c r="AM611" s="463"/>
      <c r="AN611" s="513"/>
      <c r="AO611" s="88"/>
      <c r="AP611" s="116"/>
      <c r="AQ611" s="74"/>
      <c r="AR611" s="76"/>
      <c r="AS611" s="24"/>
      <c r="AT611" s="25"/>
      <c r="AU611" s="309"/>
      <c r="AV611" s="462"/>
      <c r="AW611" s="513"/>
      <c r="AX611" s="74"/>
      <c r="AY611" s="74"/>
      <c r="AZ611" s="75"/>
      <c r="BA611" s="61"/>
      <c r="BB611" s="60"/>
      <c r="BC611" s="74"/>
      <c r="BD611" s="79"/>
      <c r="BE611" s="79"/>
      <c r="BF611" s="127"/>
      <c r="BG611" s="128"/>
      <c r="BH611" s="128"/>
      <c r="BI611" s="76"/>
      <c r="BJ611" s="24"/>
      <c r="BK611" s="25"/>
      <c r="BL611" s="259"/>
      <c r="BM611" s="533"/>
    </row>
    <row r="612" spans="1:65" ht="34.35" customHeight="1">
      <c r="A612" s="91"/>
      <c r="B612" s="358" t="s">
        <v>2803</v>
      </c>
      <c r="C612" s="50" t="s">
        <v>1779</v>
      </c>
      <c r="D612" s="264" t="s">
        <v>1747</v>
      </c>
      <c r="E612" s="393" t="s">
        <v>1399</v>
      </c>
      <c r="F612" s="410"/>
      <c r="G612" s="10"/>
      <c r="H612" s="167"/>
      <c r="I612" s="10"/>
      <c r="J612" s="76"/>
      <c r="K612" s="24"/>
      <c r="L612" s="281"/>
      <c r="M612" s="431"/>
      <c r="N612" s="410">
        <v>35635</v>
      </c>
      <c r="O612" s="10"/>
      <c r="P612" s="10"/>
      <c r="Q612" s="10"/>
      <c r="R612" s="10"/>
      <c r="S612" s="76"/>
      <c r="T612" s="24"/>
      <c r="U612" s="281"/>
      <c r="V612" s="462" t="s">
        <v>894</v>
      </c>
      <c r="W612" s="410"/>
      <c r="X612" s="31"/>
      <c r="Y612" s="33"/>
      <c r="Z612" s="472"/>
      <c r="AA612" s="76"/>
      <c r="AB612" s="24"/>
      <c r="AC612" s="25"/>
      <c r="AD612" s="309"/>
      <c r="AE612" s="462"/>
      <c r="AF612" s="408"/>
      <c r="AG612" s="293"/>
      <c r="AH612" s="293"/>
      <c r="AI612" s="293"/>
      <c r="AJ612" s="293"/>
      <c r="AK612" s="293"/>
      <c r="AL612" s="327"/>
      <c r="AM612" s="463"/>
      <c r="AN612" s="513"/>
      <c r="AO612" s="88"/>
      <c r="AP612" s="116"/>
      <c r="AQ612" s="74"/>
      <c r="AR612" s="76"/>
      <c r="AS612" s="24"/>
      <c r="AT612" s="25"/>
      <c r="AU612" s="309"/>
      <c r="AV612" s="462"/>
      <c r="AW612" s="513"/>
      <c r="AX612" s="74"/>
      <c r="AY612" s="74"/>
      <c r="AZ612" s="75"/>
      <c r="BA612" s="61"/>
      <c r="BB612" s="60"/>
      <c r="BC612" s="74"/>
      <c r="BD612" s="79"/>
      <c r="BE612" s="79"/>
      <c r="BF612" s="127"/>
      <c r="BG612" s="128"/>
      <c r="BH612" s="128"/>
      <c r="BI612" s="76"/>
      <c r="BJ612" s="24"/>
      <c r="BK612" s="25"/>
      <c r="BL612" s="259"/>
      <c r="BM612" s="533"/>
    </row>
    <row r="613" spans="1:65" ht="34.35" customHeight="1">
      <c r="A613" s="91"/>
      <c r="B613" s="358" t="s">
        <v>2804</v>
      </c>
      <c r="C613" s="50" t="s">
        <v>1780</v>
      </c>
      <c r="D613" s="264" t="s">
        <v>1748</v>
      </c>
      <c r="E613" s="393" t="s">
        <v>1399</v>
      </c>
      <c r="F613" s="410"/>
      <c r="G613" s="10"/>
      <c r="H613" s="167"/>
      <c r="I613" s="10"/>
      <c r="J613" s="76"/>
      <c r="K613" s="24"/>
      <c r="L613" s="281"/>
      <c r="M613" s="431"/>
      <c r="N613" s="410">
        <v>56954</v>
      </c>
      <c r="O613" s="10"/>
      <c r="P613" s="10"/>
      <c r="Q613" s="10"/>
      <c r="R613" s="10"/>
      <c r="S613" s="76"/>
      <c r="T613" s="24"/>
      <c r="U613" s="281"/>
      <c r="V613" s="464" t="s">
        <v>807</v>
      </c>
      <c r="W613" s="410"/>
      <c r="X613" s="31"/>
      <c r="Y613" s="33"/>
      <c r="Z613" s="472"/>
      <c r="AA613" s="76"/>
      <c r="AB613" s="24"/>
      <c r="AC613" s="25"/>
      <c r="AD613" s="309"/>
      <c r="AE613" s="462"/>
      <c r="AF613" s="408"/>
      <c r="AG613" s="293"/>
      <c r="AH613" s="293"/>
      <c r="AI613" s="293"/>
      <c r="AJ613" s="293"/>
      <c r="AK613" s="293"/>
      <c r="AL613" s="327"/>
      <c r="AM613" s="463"/>
      <c r="AN613" s="513"/>
      <c r="AO613" s="88"/>
      <c r="AP613" s="116"/>
      <c r="AQ613" s="74"/>
      <c r="AR613" s="76"/>
      <c r="AS613" s="24"/>
      <c r="AT613" s="25"/>
      <c r="AU613" s="309"/>
      <c r="AV613" s="462"/>
      <c r="AW613" s="513"/>
      <c r="AX613" s="74"/>
      <c r="AY613" s="74"/>
      <c r="AZ613" s="75"/>
      <c r="BA613" s="61"/>
      <c r="BB613" s="60"/>
      <c r="BC613" s="74"/>
      <c r="BD613" s="79"/>
      <c r="BE613" s="79"/>
      <c r="BF613" s="127"/>
      <c r="BG613" s="128"/>
      <c r="BH613" s="128"/>
      <c r="BI613" s="76"/>
      <c r="BJ613" s="24"/>
      <c r="BK613" s="25"/>
      <c r="BL613" s="259"/>
      <c r="BM613" s="533"/>
    </row>
    <row r="614" spans="1:65" ht="34.35" customHeight="1">
      <c r="A614" s="91"/>
      <c r="B614" s="358" t="s">
        <v>2805</v>
      </c>
      <c r="C614" s="50" t="s">
        <v>1781</v>
      </c>
      <c r="D614" s="264" t="s">
        <v>1749</v>
      </c>
      <c r="E614" s="393" t="s">
        <v>1399</v>
      </c>
      <c r="F614" s="410"/>
      <c r="G614" s="10"/>
      <c r="H614" s="167"/>
      <c r="I614" s="10"/>
      <c r="J614" s="76"/>
      <c r="K614" s="24"/>
      <c r="L614" s="281"/>
      <c r="M614" s="431"/>
      <c r="N614" s="410">
        <v>132419</v>
      </c>
      <c r="O614" s="10"/>
      <c r="P614" s="10"/>
      <c r="Q614" s="10"/>
      <c r="R614" s="10"/>
      <c r="S614" s="76"/>
      <c r="T614" s="24"/>
      <c r="U614" s="281"/>
      <c r="V614" s="464" t="s">
        <v>807</v>
      </c>
      <c r="W614" s="410"/>
      <c r="X614" s="31"/>
      <c r="Y614" s="33"/>
      <c r="Z614" s="472"/>
      <c r="AA614" s="76"/>
      <c r="AB614" s="24"/>
      <c r="AC614" s="25"/>
      <c r="AD614" s="309"/>
      <c r="AE614" s="462"/>
      <c r="AF614" s="408"/>
      <c r="AG614" s="293"/>
      <c r="AH614" s="293"/>
      <c r="AI614" s="293"/>
      <c r="AJ614" s="293"/>
      <c r="AK614" s="293"/>
      <c r="AL614" s="327"/>
      <c r="AM614" s="463"/>
      <c r="AN614" s="513"/>
      <c r="AO614" s="88"/>
      <c r="AP614" s="116"/>
      <c r="AQ614" s="74"/>
      <c r="AR614" s="76"/>
      <c r="AS614" s="24"/>
      <c r="AT614" s="25"/>
      <c r="AU614" s="309"/>
      <c r="AV614" s="462"/>
      <c r="AW614" s="513"/>
      <c r="AX614" s="74"/>
      <c r="AY614" s="74"/>
      <c r="AZ614" s="75"/>
      <c r="BA614" s="61"/>
      <c r="BB614" s="60"/>
      <c r="BC614" s="74"/>
      <c r="BD614" s="79"/>
      <c r="BE614" s="79"/>
      <c r="BF614" s="127"/>
      <c r="BG614" s="128"/>
      <c r="BH614" s="128"/>
      <c r="BI614" s="76"/>
      <c r="BJ614" s="24"/>
      <c r="BK614" s="25"/>
      <c r="BL614" s="259"/>
      <c r="BM614" s="533"/>
    </row>
    <row r="615" spans="1:65" ht="34.35" customHeight="1">
      <c r="A615" s="91"/>
      <c r="B615" s="358" t="s">
        <v>2806</v>
      </c>
      <c r="C615" s="50" t="s">
        <v>1782</v>
      </c>
      <c r="D615" s="264" t="s">
        <v>1749</v>
      </c>
      <c r="E615" s="393" t="s">
        <v>827</v>
      </c>
      <c r="F615" s="410"/>
      <c r="G615" s="10"/>
      <c r="H615" s="167"/>
      <c r="I615" s="10"/>
      <c r="J615" s="76"/>
      <c r="K615" s="24"/>
      <c r="L615" s="281"/>
      <c r="M615" s="431"/>
      <c r="N615" s="410">
        <v>35834</v>
      </c>
      <c r="O615" s="10"/>
      <c r="P615" s="10"/>
      <c r="Q615" s="10"/>
      <c r="R615" s="10"/>
      <c r="S615" s="76"/>
      <c r="T615" s="24"/>
      <c r="U615" s="281"/>
      <c r="V615" s="464" t="s">
        <v>807</v>
      </c>
      <c r="W615" s="410"/>
      <c r="X615" s="31"/>
      <c r="Y615" s="33"/>
      <c r="Z615" s="472"/>
      <c r="AA615" s="76"/>
      <c r="AB615" s="24"/>
      <c r="AC615" s="25"/>
      <c r="AD615" s="309"/>
      <c r="AE615" s="462"/>
      <c r="AF615" s="408"/>
      <c r="AG615" s="293"/>
      <c r="AH615" s="293"/>
      <c r="AI615" s="293"/>
      <c r="AJ615" s="293"/>
      <c r="AK615" s="293"/>
      <c r="AL615" s="327"/>
      <c r="AM615" s="463"/>
      <c r="AN615" s="513"/>
      <c r="AO615" s="88"/>
      <c r="AP615" s="116"/>
      <c r="AQ615" s="74"/>
      <c r="AR615" s="76"/>
      <c r="AS615" s="24"/>
      <c r="AT615" s="25"/>
      <c r="AU615" s="309"/>
      <c r="AV615" s="462"/>
      <c r="AW615" s="513"/>
      <c r="AX615" s="74"/>
      <c r="AY615" s="74"/>
      <c r="AZ615" s="75"/>
      <c r="BA615" s="61"/>
      <c r="BB615" s="60"/>
      <c r="BC615" s="74"/>
      <c r="BD615" s="79"/>
      <c r="BE615" s="79"/>
      <c r="BF615" s="127"/>
      <c r="BG615" s="128"/>
      <c r="BH615" s="128"/>
      <c r="BI615" s="76"/>
      <c r="BJ615" s="24"/>
      <c r="BK615" s="25"/>
      <c r="BL615" s="259"/>
      <c r="BM615" s="533"/>
    </row>
    <row r="616" spans="1:65" ht="34.35" customHeight="1">
      <c r="A616" s="91"/>
      <c r="B616" s="358" t="s">
        <v>2807</v>
      </c>
      <c r="C616" s="50" t="s">
        <v>1783</v>
      </c>
      <c r="D616" s="264" t="s">
        <v>1750</v>
      </c>
      <c r="E616" s="393" t="s">
        <v>1399</v>
      </c>
      <c r="F616" s="410"/>
      <c r="G616" s="10"/>
      <c r="H616" s="167"/>
      <c r="I616" s="10"/>
      <c r="J616" s="76"/>
      <c r="K616" s="24"/>
      <c r="L616" s="281"/>
      <c r="M616" s="431"/>
      <c r="N616" s="410">
        <v>78027</v>
      </c>
      <c r="O616" s="10"/>
      <c r="P616" s="10"/>
      <c r="Q616" s="10"/>
      <c r="R616" s="10">
        <v>380000</v>
      </c>
      <c r="S616" s="76">
        <f t="shared" ref="S616" si="733">AVERAGE(O616,P616,Q616,R616)</f>
        <v>380000</v>
      </c>
      <c r="T616" s="24">
        <f t="shared" ref="T616" si="734">S616-N616</f>
        <v>301973</v>
      </c>
      <c r="U616" s="281">
        <f t="shared" ref="U616" si="735">+T616/N616</f>
        <v>3.8701090648108987</v>
      </c>
      <c r="V616" s="462">
        <f t="shared" ref="V616" si="736">S616</f>
        <v>380000</v>
      </c>
      <c r="W616" s="410"/>
      <c r="X616" s="31"/>
      <c r="Y616" s="33"/>
      <c r="Z616" s="472"/>
      <c r="AA616" s="76"/>
      <c r="AB616" s="24"/>
      <c r="AC616" s="25"/>
      <c r="AD616" s="309"/>
      <c r="AE616" s="462"/>
      <c r="AF616" s="408"/>
      <c r="AG616" s="293"/>
      <c r="AH616" s="293"/>
      <c r="AI616" s="293"/>
      <c r="AJ616" s="293"/>
      <c r="AK616" s="293"/>
      <c r="AL616" s="327"/>
      <c r="AM616" s="463"/>
      <c r="AN616" s="513"/>
      <c r="AO616" s="88"/>
      <c r="AP616" s="116"/>
      <c r="AQ616" s="74"/>
      <c r="AR616" s="76"/>
      <c r="AS616" s="24"/>
      <c r="AT616" s="25"/>
      <c r="AU616" s="309"/>
      <c r="AV616" s="462"/>
      <c r="AW616" s="513"/>
      <c r="AX616" s="74"/>
      <c r="AY616" s="74"/>
      <c r="AZ616" s="75"/>
      <c r="BA616" s="61"/>
      <c r="BB616" s="60"/>
      <c r="BC616" s="74"/>
      <c r="BD616" s="79"/>
      <c r="BE616" s="79"/>
      <c r="BF616" s="127"/>
      <c r="BG616" s="128"/>
      <c r="BH616" s="128"/>
      <c r="BI616" s="76"/>
      <c r="BJ616" s="24"/>
      <c r="BK616" s="25"/>
      <c r="BL616" s="259"/>
      <c r="BM616" s="533"/>
    </row>
    <row r="617" spans="1:65" ht="34.35" customHeight="1">
      <c r="A617" s="91"/>
      <c r="B617" s="358" t="s">
        <v>2808</v>
      </c>
      <c r="C617" s="50" t="s">
        <v>1784</v>
      </c>
      <c r="D617" s="264" t="s">
        <v>1751</v>
      </c>
      <c r="E617" s="393" t="s">
        <v>1399</v>
      </c>
      <c r="F617" s="410"/>
      <c r="G617" s="10"/>
      <c r="H617" s="167"/>
      <c r="I617" s="10"/>
      <c r="J617" s="76"/>
      <c r="K617" s="24"/>
      <c r="L617" s="281"/>
      <c r="M617" s="431"/>
      <c r="N617" s="410">
        <v>72854</v>
      </c>
      <c r="O617" s="10"/>
      <c r="P617" s="10"/>
      <c r="Q617" s="10"/>
      <c r="R617" s="10"/>
      <c r="S617" s="76"/>
      <c r="T617" s="24"/>
      <c r="U617" s="281"/>
      <c r="V617" s="462" t="s">
        <v>894</v>
      </c>
      <c r="W617" s="410"/>
      <c r="X617" s="31"/>
      <c r="Y617" s="33"/>
      <c r="Z617" s="472"/>
      <c r="AA617" s="76"/>
      <c r="AB617" s="24"/>
      <c r="AC617" s="25"/>
      <c r="AD617" s="309"/>
      <c r="AE617" s="462"/>
      <c r="AF617" s="408"/>
      <c r="AG617" s="293"/>
      <c r="AH617" s="293"/>
      <c r="AI617" s="293"/>
      <c r="AJ617" s="293"/>
      <c r="AK617" s="293"/>
      <c r="AL617" s="327"/>
      <c r="AM617" s="463"/>
      <c r="AN617" s="513"/>
      <c r="AO617" s="88"/>
      <c r="AP617" s="116"/>
      <c r="AQ617" s="74"/>
      <c r="AR617" s="76"/>
      <c r="AS617" s="24"/>
      <c r="AT617" s="25"/>
      <c r="AU617" s="309"/>
      <c r="AV617" s="462"/>
      <c r="AW617" s="513"/>
      <c r="AX617" s="74"/>
      <c r="AY617" s="74"/>
      <c r="AZ617" s="75"/>
      <c r="BA617" s="61"/>
      <c r="BB617" s="60"/>
      <c r="BC617" s="74"/>
      <c r="BD617" s="79"/>
      <c r="BE617" s="79"/>
      <c r="BF617" s="127"/>
      <c r="BG617" s="128"/>
      <c r="BH617" s="128"/>
      <c r="BI617" s="76"/>
      <c r="BJ617" s="24"/>
      <c r="BK617" s="25"/>
      <c r="BL617" s="259"/>
      <c r="BM617" s="533"/>
    </row>
    <row r="618" spans="1:65" ht="34.35" customHeight="1">
      <c r="A618" s="91"/>
      <c r="B618" s="358" t="s">
        <v>2809</v>
      </c>
      <c r="C618" s="50" t="s">
        <v>1785</v>
      </c>
      <c r="D618" s="264" t="s">
        <v>1752</v>
      </c>
      <c r="E618" s="393" t="s">
        <v>1466</v>
      </c>
      <c r="F618" s="410"/>
      <c r="G618" s="10"/>
      <c r="H618" s="167"/>
      <c r="I618" s="10"/>
      <c r="J618" s="76"/>
      <c r="K618" s="24"/>
      <c r="L618" s="281"/>
      <c r="M618" s="431"/>
      <c r="N618" s="410">
        <v>143106</v>
      </c>
      <c r="O618" s="10"/>
      <c r="P618" s="10"/>
      <c r="Q618" s="10"/>
      <c r="R618" s="10"/>
      <c r="S618" s="76"/>
      <c r="T618" s="24"/>
      <c r="U618" s="281"/>
      <c r="V618" s="464" t="s">
        <v>807</v>
      </c>
      <c r="W618" s="410"/>
      <c r="X618" s="31"/>
      <c r="Y618" s="33"/>
      <c r="Z618" s="472"/>
      <c r="AA618" s="76"/>
      <c r="AB618" s="24"/>
      <c r="AC618" s="25"/>
      <c r="AD618" s="309"/>
      <c r="AE618" s="462"/>
      <c r="AF618" s="408"/>
      <c r="AG618" s="293"/>
      <c r="AH618" s="293"/>
      <c r="AI618" s="293"/>
      <c r="AJ618" s="293"/>
      <c r="AK618" s="293"/>
      <c r="AL618" s="327"/>
      <c r="AM618" s="463"/>
      <c r="AN618" s="513"/>
      <c r="AO618" s="88"/>
      <c r="AP618" s="116"/>
      <c r="AQ618" s="74"/>
      <c r="AR618" s="76"/>
      <c r="AS618" s="24"/>
      <c r="AT618" s="25"/>
      <c r="AU618" s="309"/>
      <c r="AV618" s="462"/>
      <c r="AW618" s="513"/>
      <c r="AX618" s="74"/>
      <c r="AY618" s="74"/>
      <c r="AZ618" s="75"/>
      <c r="BA618" s="61"/>
      <c r="BB618" s="60"/>
      <c r="BC618" s="74"/>
      <c r="BD618" s="79"/>
      <c r="BE618" s="79"/>
      <c r="BF618" s="127"/>
      <c r="BG618" s="128"/>
      <c r="BH618" s="128"/>
      <c r="BI618" s="76"/>
      <c r="BJ618" s="24"/>
      <c r="BK618" s="25"/>
      <c r="BL618" s="259"/>
      <c r="BM618" s="533"/>
    </row>
    <row r="619" spans="1:65" ht="34.35" customHeight="1">
      <c r="A619" s="91"/>
      <c r="B619" s="358" t="s">
        <v>2810</v>
      </c>
      <c r="C619" s="50" t="s">
        <v>1786</v>
      </c>
      <c r="D619" s="264" t="s">
        <v>1753</v>
      </c>
      <c r="E619" s="393" t="s">
        <v>1466</v>
      </c>
      <c r="F619" s="410"/>
      <c r="G619" s="10"/>
      <c r="H619" s="167"/>
      <c r="I619" s="10"/>
      <c r="J619" s="76"/>
      <c r="K619" s="24"/>
      <c r="L619" s="281"/>
      <c r="M619" s="431"/>
      <c r="N619" s="410">
        <v>166535</v>
      </c>
      <c r="O619" s="10"/>
      <c r="P619" s="10"/>
      <c r="Q619" s="10"/>
      <c r="R619" s="10"/>
      <c r="S619" s="76"/>
      <c r="T619" s="24"/>
      <c r="U619" s="281"/>
      <c r="V619" s="464" t="s">
        <v>807</v>
      </c>
      <c r="W619" s="410"/>
      <c r="X619" s="31"/>
      <c r="Y619" s="33"/>
      <c r="Z619" s="472"/>
      <c r="AA619" s="76"/>
      <c r="AB619" s="24"/>
      <c r="AC619" s="25"/>
      <c r="AD619" s="309"/>
      <c r="AE619" s="462"/>
      <c r="AF619" s="408"/>
      <c r="AG619" s="293"/>
      <c r="AH619" s="293"/>
      <c r="AI619" s="293"/>
      <c r="AJ619" s="293"/>
      <c r="AK619" s="293"/>
      <c r="AL619" s="327"/>
      <c r="AM619" s="463"/>
      <c r="AN619" s="513"/>
      <c r="AO619" s="88"/>
      <c r="AP619" s="116"/>
      <c r="AQ619" s="74"/>
      <c r="AR619" s="76"/>
      <c r="AS619" s="24"/>
      <c r="AT619" s="25"/>
      <c r="AU619" s="309"/>
      <c r="AV619" s="462"/>
      <c r="AW619" s="513"/>
      <c r="AX619" s="74"/>
      <c r="AY619" s="74"/>
      <c r="AZ619" s="75"/>
      <c r="BA619" s="61"/>
      <c r="BB619" s="60"/>
      <c r="BC619" s="74"/>
      <c r="BD619" s="79"/>
      <c r="BE619" s="79"/>
      <c r="BF619" s="127"/>
      <c r="BG619" s="128"/>
      <c r="BH619" s="128"/>
      <c r="BI619" s="76"/>
      <c r="BJ619" s="24"/>
      <c r="BK619" s="25"/>
      <c r="BL619" s="259"/>
      <c r="BM619" s="533"/>
    </row>
    <row r="620" spans="1:65" ht="34.35" customHeight="1">
      <c r="A620" s="91"/>
      <c r="B620" s="358" t="s">
        <v>2811</v>
      </c>
      <c r="C620" s="50" t="s">
        <v>1787</v>
      </c>
      <c r="D620" s="264" t="s">
        <v>1754</v>
      </c>
      <c r="E620" s="393" t="s">
        <v>1466</v>
      </c>
      <c r="F620" s="410"/>
      <c r="G620" s="10"/>
      <c r="H620" s="167"/>
      <c r="I620" s="10"/>
      <c r="J620" s="76"/>
      <c r="K620" s="24"/>
      <c r="L620" s="281"/>
      <c r="M620" s="431"/>
      <c r="N620" s="410">
        <v>165215</v>
      </c>
      <c r="O620" s="10"/>
      <c r="P620" s="10"/>
      <c r="Q620" s="10"/>
      <c r="R620" s="10">
        <v>450000</v>
      </c>
      <c r="S620" s="76">
        <f t="shared" ref="S620" si="737">AVERAGE(O620,P620,Q620,R620)</f>
        <v>450000</v>
      </c>
      <c r="T620" s="24">
        <f t="shared" ref="T620" si="738">S620-N620</f>
        <v>284785</v>
      </c>
      <c r="U620" s="281">
        <f t="shared" ref="U620" si="739">+T620/N620</f>
        <v>1.7237236328420542</v>
      </c>
      <c r="V620" s="464" t="s">
        <v>807</v>
      </c>
      <c r="W620" s="410"/>
      <c r="X620" s="31"/>
      <c r="Y620" s="33"/>
      <c r="Z620" s="472"/>
      <c r="AA620" s="76"/>
      <c r="AB620" s="24"/>
      <c r="AC620" s="25"/>
      <c r="AD620" s="309"/>
      <c r="AE620" s="462"/>
      <c r="AF620" s="408"/>
      <c r="AG620" s="293"/>
      <c r="AH620" s="293"/>
      <c r="AI620" s="293"/>
      <c r="AJ620" s="293"/>
      <c r="AK620" s="293"/>
      <c r="AL620" s="327"/>
      <c r="AM620" s="463"/>
      <c r="AN620" s="513"/>
      <c r="AO620" s="88"/>
      <c r="AP620" s="116"/>
      <c r="AQ620" s="74"/>
      <c r="AR620" s="76"/>
      <c r="AS620" s="24"/>
      <c r="AT620" s="25"/>
      <c r="AU620" s="309"/>
      <c r="AV620" s="462"/>
      <c r="AW620" s="513"/>
      <c r="AX620" s="74"/>
      <c r="AY620" s="74"/>
      <c r="AZ620" s="75"/>
      <c r="BA620" s="61"/>
      <c r="BB620" s="60"/>
      <c r="BC620" s="74"/>
      <c r="BD620" s="79"/>
      <c r="BE620" s="79"/>
      <c r="BF620" s="127"/>
      <c r="BG620" s="128"/>
      <c r="BH620" s="128"/>
      <c r="BI620" s="76"/>
      <c r="BJ620" s="24"/>
      <c r="BK620" s="25"/>
      <c r="BL620" s="259"/>
      <c r="BM620" s="533"/>
    </row>
    <row r="621" spans="1:65" ht="34.35" customHeight="1">
      <c r="A621" s="91"/>
      <c r="B621" s="358" t="s">
        <v>2812</v>
      </c>
      <c r="C621" s="50" t="s">
        <v>1788</v>
      </c>
      <c r="D621" s="264" t="s">
        <v>1755</v>
      </c>
      <c r="E621" s="393" t="s">
        <v>1466</v>
      </c>
      <c r="F621" s="410"/>
      <c r="G621" s="10"/>
      <c r="H621" s="167"/>
      <c r="I621" s="10"/>
      <c r="J621" s="76"/>
      <c r="K621" s="24"/>
      <c r="L621" s="281"/>
      <c r="M621" s="431"/>
      <c r="N621" s="410">
        <v>136505</v>
      </c>
      <c r="O621" s="10"/>
      <c r="P621" s="10"/>
      <c r="Q621" s="10"/>
      <c r="R621" s="10"/>
      <c r="S621" s="76"/>
      <c r="T621" s="24"/>
      <c r="U621" s="281"/>
      <c r="V621" s="464" t="s">
        <v>807</v>
      </c>
      <c r="W621" s="410"/>
      <c r="X621" s="31"/>
      <c r="Y621" s="33"/>
      <c r="Z621" s="472"/>
      <c r="AA621" s="76"/>
      <c r="AB621" s="24"/>
      <c r="AC621" s="25"/>
      <c r="AD621" s="309"/>
      <c r="AE621" s="462"/>
      <c r="AF621" s="408"/>
      <c r="AG621" s="293"/>
      <c r="AH621" s="293"/>
      <c r="AI621" s="293"/>
      <c r="AJ621" s="293"/>
      <c r="AK621" s="293"/>
      <c r="AL621" s="327"/>
      <c r="AM621" s="463"/>
      <c r="AN621" s="513"/>
      <c r="AO621" s="88"/>
      <c r="AP621" s="116"/>
      <c r="AQ621" s="74"/>
      <c r="AR621" s="76"/>
      <c r="AS621" s="24"/>
      <c r="AT621" s="25"/>
      <c r="AU621" s="309"/>
      <c r="AV621" s="462"/>
      <c r="AW621" s="513"/>
      <c r="AX621" s="74"/>
      <c r="AY621" s="74"/>
      <c r="AZ621" s="75"/>
      <c r="BA621" s="61"/>
      <c r="BB621" s="60"/>
      <c r="BC621" s="74"/>
      <c r="BD621" s="79"/>
      <c r="BE621" s="79"/>
      <c r="BF621" s="127"/>
      <c r="BG621" s="128"/>
      <c r="BH621" s="128"/>
      <c r="BI621" s="76"/>
      <c r="BJ621" s="24"/>
      <c r="BK621" s="25"/>
      <c r="BL621" s="259"/>
      <c r="BM621" s="533"/>
    </row>
    <row r="622" spans="1:65" ht="30">
      <c r="A622" s="91"/>
      <c r="B622" s="358" t="s">
        <v>2813</v>
      </c>
      <c r="C622" s="50" t="s">
        <v>1789</v>
      </c>
      <c r="D622" s="264" t="s">
        <v>1756</v>
      </c>
      <c r="E622" s="393" t="s">
        <v>1466</v>
      </c>
      <c r="F622" s="410"/>
      <c r="G622" s="10"/>
      <c r="H622" s="167"/>
      <c r="I622" s="10"/>
      <c r="J622" s="76"/>
      <c r="K622" s="24"/>
      <c r="L622" s="281"/>
      <c r="M622" s="431"/>
      <c r="N622" s="410">
        <v>49380</v>
      </c>
      <c r="O622" s="10"/>
      <c r="P622" s="10"/>
      <c r="Q622" s="10"/>
      <c r="R622" s="10"/>
      <c r="S622" s="76"/>
      <c r="T622" s="24"/>
      <c r="U622" s="281"/>
      <c r="V622" s="462" t="s">
        <v>894</v>
      </c>
      <c r="W622" s="410"/>
      <c r="X622" s="31"/>
      <c r="Y622" s="33"/>
      <c r="Z622" s="472"/>
      <c r="AA622" s="76"/>
      <c r="AB622" s="24"/>
      <c r="AC622" s="25"/>
      <c r="AD622" s="309"/>
      <c r="AE622" s="462"/>
      <c r="AF622" s="408"/>
      <c r="AG622" s="293"/>
      <c r="AH622" s="293"/>
      <c r="AI622" s="293"/>
      <c r="AJ622" s="293"/>
      <c r="AK622" s="293"/>
      <c r="AL622" s="327"/>
      <c r="AM622" s="463"/>
      <c r="AN622" s="513"/>
      <c r="AO622" s="88"/>
      <c r="AP622" s="116"/>
      <c r="AQ622" s="74"/>
      <c r="AR622" s="76"/>
      <c r="AS622" s="24"/>
      <c r="AT622" s="25"/>
      <c r="AU622" s="309"/>
      <c r="AV622" s="462"/>
      <c r="AW622" s="513"/>
      <c r="AX622" s="74"/>
      <c r="AY622" s="74"/>
      <c r="AZ622" s="75"/>
      <c r="BA622" s="61"/>
      <c r="BB622" s="60"/>
      <c r="BC622" s="74"/>
      <c r="BD622" s="79"/>
      <c r="BE622" s="79"/>
      <c r="BF622" s="127"/>
      <c r="BG622" s="128"/>
      <c r="BH622" s="128"/>
      <c r="BI622" s="76"/>
      <c r="BJ622" s="24"/>
      <c r="BK622" s="25"/>
      <c r="BL622" s="259"/>
      <c r="BM622" s="533"/>
    </row>
    <row r="623" spans="1:65" ht="30">
      <c r="A623" s="91"/>
      <c r="B623" s="358" t="s">
        <v>2814</v>
      </c>
      <c r="C623" s="50" t="s">
        <v>2194</v>
      </c>
      <c r="D623" s="322" t="s">
        <v>2188</v>
      </c>
      <c r="E623" s="391" t="s">
        <v>13</v>
      </c>
      <c r="F623" s="410"/>
      <c r="G623" s="10"/>
      <c r="H623" s="167"/>
      <c r="I623" s="10"/>
      <c r="J623" s="76"/>
      <c r="K623" s="24"/>
      <c r="L623" s="281"/>
      <c r="M623" s="431"/>
      <c r="N623" s="410"/>
      <c r="O623" s="10"/>
      <c r="P623" s="10"/>
      <c r="Q623" s="10"/>
      <c r="R623" s="10"/>
      <c r="S623" s="76"/>
      <c r="T623" s="24"/>
      <c r="U623" s="281"/>
      <c r="V623" s="462"/>
      <c r="W623" s="410"/>
      <c r="X623" s="31"/>
      <c r="Y623" s="33"/>
      <c r="Z623" s="472"/>
      <c r="AA623" s="76"/>
      <c r="AB623" s="24"/>
      <c r="AC623" s="25"/>
      <c r="AD623" s="309"/>
      <c r="AE623" s="462"/>
      <c r="AF623" s="410">
        <v>53367</v>
      </c>
      <c r="AG623" s="45">
        <v>140000</v>
      </c>
      <c r="AH623" s="45">
        <v>62041</v>
      </c>
      <c r="AI623" s="45">
        <v>120000</v>
      </c>
      <c r="AJ623" s="76">
        <f t="shared" ref="AJ623:AJ628" si="740">AVERAGE(AG623,AH623,AI623)</f>
        <v>107347</v>
      </c>
      <c r="AK623" s="24">
        <f t="shared" ref="AK623:AK628" si="741">AJ623-AF623</f>
        <v>53980</v>
      </c>
      <c r="AL623" s="281">
        <f t="shared" ref="AL623:AL628" si="742">+AK623/AF623</f>
        <v>1.0114864991474133</v>
      </c>
      <c r="AM623" s="462">
        <f t="shared" ref="AM623:AM625" si="743">AJ623</f>
        <v>107347</v>
      </c>
      <c r="AN623" s="513"/>
      <c r="AO623" s="88"/>
      <c r="AP623" s="116"/>
      <c r="AQ623" s="74"/>
      <c r="AR623" s="76"/>
      <c r="AS623" s="24"/>
      <c r="AT623" s="25"/>
      <c r="AU623" s="309"/>
      <c r="AV623" s="462"/>
      <c r="AW623" s="513"/>
      <c r="AX623" s="74"/>
      <c r="AY623" s="74"/>
      <c r="AZ623" s="75"/>
      <c r="BA623" s="61"/>
      <c r="BB623" s="60"/>
      <c r="BC623" s="74"/>
      <c r="BD623" s="79"/>
      <c r="BE623" s="79"/>
      <c r="BF623" s="127"/>
      <c r="BG623" s="128"/>
      <c r="BH623" s="128"/>
      <c r="BI623" s="76"/>
      <c r="BJ623" s="24"/>
      <c r="BK623" s="25"/>
      <c r="BL623" s="259"/>
      <c r="BM623" s="533"/>
    </row>
    <row r="624" spans="1:65">
      <c r="A624" s="91"/>
      <c r="B624" s="358" t="s">
        <v>2815</v>
      </c>
      <c r="C624" s="50" t="s">
        <v>2195</v>
      </c>
      <c r="D624" s="322" t="s">
        <v>2189</v>
      </c>
      <c r="E624" s="391" t="s">
        <v>14</v>
      </c>
      <c r="F624" s="410"/>
      <c r="G624" s="10"/>
      <c r="H624" s="167"/>
      <c r="I624" s="10"/>
      <c r="J624" s="76"/>
      <c r="K624" s="24"/>
      <c r="L624" s="281"/>
      <c r="M624" s="431"/>
      <c r="N624" s="410"/>
      <c r="O624" s="10"/>
      <c r="P624" s="10"/>
      <c r="Q624" s="10"/>
      <c r="R624" s="10"/>
      <c r="S624" s="76"/>
      <c r="T624" s="24"/>
      <c r="U624" s="281"/>
      <c r="V624" s="462"/>
      <c r="W624" s="410"/>
      <c r="X624" s="31"/>
      <c r="Y624" s="33"/>
      <c r="Z624" s="472"/>
      <c r="AA624" s="76"/>
      <c r="AB624" s="24"/>
      <c r="AC624" s="25"/>
      <c r="AD624" s="309"/>
      <c r="AE624" s="462"/>
      <c r="AF624" s="410">
        <v>20048</v>
      </c>
      <c r="AG624" s="45"/>
      <c r="AH624" s="45">
        <v>23307</v>
      </c>
      <c r="AI624" s="45">
        <v>65000</v>
      </c>
      <c r="AJ624" s="76">
        <f t="shared" si="740"/>
        <v>44153.5</v>
      </c>
      <c r="AK624" s="24">
        <f t="shared" si="741"/>
        <v>24105.5</v>
      </c>
      <c r="AL624" s="281">
        <f t="shared" si="742"/>
        <v>1.2023892657621709</v>
      </c>
      <c r="AM624" s="462">
        <f t="shared" si="743"/>
        <v>44153.5</v>
      </c>
      <c r="AN624" s="513"/>
      <c r="AO624" s="88"/>
      <c r="AP624" s="116"/>
      <c r="AQ624" s="74"/>
      <c r="AR624" s="76"/>
      <c r="AS624" s="24"/>
      <c r="AT624" s="25"/>
      <c r="AU624" s="309"/>
      <c r="AV624" s="462"/>
      <c r="AW624" s="513"/>
      <c r="AX624" s="74"/>
      <c r="AY624" s="74"/>
      <c r="AZ624" s="75"/>
      <c r="BA624" s="61"/>
      <c r="BB624" s="60"/>
      <c r="BC624" s="74"/>
      <c r="BD624" s="79"/>
      <c r="BE624" s="79"/>
      <c r="BF624" s="127"/>
      <c r="BG624" s="128"/>
      <c r="BH624" s="128"/>
      <c r="BI624" s="76"/>
      <c r="BJ624" s="24"/>
      <c r="BK624" s="25"/>
      <c r="BL624" s="259"/>
      <c r="BM624" s="533"/>
    </row>
    <row r="625" spans="1:65" ht="30">
      <c r="A625" s="91"/>
      <c r="B625" s="358" t="s">
        <v>2816</v>
      </c>
      <c r="C625" s="50" t="s">
        <v>2196</v>
      </c>
      <c r="D625" s="322" t="s">
        <v>2190</v>
      </c>
      <c r="E625" s="391" t="s">
        <v>1466</v>
      </c>
      <c r="F625" s="410"/>
      <c r="G625" s="10"/>
      <c r="H625" s="167"/>
      <c r="I625" s="10"/>
      <c r="J625" s="76"/>
      <c r="K625" s="24"/>
      <c r="L625" s="281"/>
      <c r="M625" s="431"/>
      <c r="N625" s="410"/>
      <c r="O625" s="10"/>
      <c r="P625" s="10"/>
      <c r="Q625" s="10"/>
      <c r="R625" s="10"/>
      <c r="S625" s="76"/>
      <c r="T625" s="24"/>
      <c r="U625" s="281"/>
      <c r="V625" s="462"/>
      <c r="W625" s="410"/>
      <c r="X625" s="31"/>
      <c r="Y625" s="33"/>
      <c r="Z625" s="472"/>
      <c r="AA625" s="76"/>
      <c r="AB625" s="24"/>
      <c r="AC625" s="25"/>
      <c r="AD625" s="309"/>
      <c r="AE625" s="462"/>
      <c r="AF625" s="410">
        <v>83220</v>
      </c>
      <c r="AG625" s="45"/>
      <c r="AH625" s="45">
        <v>144412</v>
      </c>
      <c r="AI625" s="45">
        <v>75000</v>
      </c>
      <c r="AJ625" s="76">
        <f t="shared" si="740"/>
        <v>109706</v>
      </c>
      <c r="AK625" s="24">
        <f t="shared" si="741"/>
        <v>26486</v>
      </c>
      <c r="AL625" s="281">
        <f t="shared" si="742"/>
        <v>0.31826484018264839</v>
      </c>
      <c r="AM625" s="462">
        <f t="shared" si="743"/>
        <v>109706</v>
      </c>
      <c r="AN625" s="513"/>
      <c r="AO625" s="88"/>
      <c r="AP625" s="116"/>
      <c r="AQ625" s="74"/>
      <c r="AR625" s="76"/>
      <c r="AS625" s="24"/>
      <c r="AT625" s="25"/>
      <c r="AU625" s="309"/>
      <c r="AV625" s="462"/>
      <c r="AW625" s="513"/>
      <c r="AX625" s="74"/>
      <c r="AY625" s="74"/>
      <c r="AZ625" s="75"/>
      <c r="BA625" s="61"/>
      <c r="BB625" s="60"/>
      <c r="BC625" s="74"/>
      <c r="BD625" s="79"/>
      <c r="BE625" s="79"/>
      <c r="BF625" s="127"/>
      <c r="BG625" s="128"/>
      <c r="BH625" s="128"/>
      <c r="BI625" s="76"/>
      <c r="BJ625" s="24"/>
      <c r="BK625" s="25"/>
      <c r="BL625" s="259"/>
      <c r="BM625" s="533"/>
    </row>
    <row r="626" spans="1:65" ht="45">
      <c r="A626" s="91"/>
      <c r="B626" s="358" t="s">
        <v>2817</v>
      </c>
      <c r="C626" s="50" t="s">
        <v>2197</v>
      </c>
      <c r="D626" s="322" t="s">
        <v>2191</v>
      </c>
      <c r="E626" s="391" t="s">
        <v>827</v>
      </c>
      <c r="F626" s="410"/>
      <c r="G626" s="10"/>
      <c r="H626" s="167"/>
      <c r="I626" s="10"/>
      <c r="J626" s="76"/>
      <c r="K626" s="24"/>
      <c r="L626" s="281"/>
      <c r="M626" s="431"/>
      <c r="N626" s="410"/>
      <c r="O626" s="10"/>
      <c r="P626" s="10"/>
      <c r="Q626" s="10"/>
      <c r="R626" s="10"/>
      <c r="S626" s="76"/>
      <c r="T626" s="24"/>
      <c r="U626" s="281"/>
      <c r="V626" s="462"/>
      <c r="W626" s="410"/>
      <c r="X626" s="31"/>
      <c r="Y626" s="33"/>
      <c r="Z626" s="472"/>
      <c r="AA626" s="76"/>
      <c r="AB626" s="24"/>
      <c r="AC626" s="25"/>
      <c r="AD626" s="309"/>
      <c r="AE626" s="462"/>
      <c r="AF626" s="410">
        <v>117696</v>
      </c>
      <c r="AG626" s="45"/>
      <c r="AH626" s="45"/>
      <c r="AI626" s="45">
        <v>65000</v>
      </c>
      <c r="AJ626" s="76">
        <f t="shared" si="740"/>
        <v>65000</v>
      </c>
      <c r="AK626" s="24">
        <f t="shared" si="741"/>
        <v>-52696</v>
      </c>
      <c r="AL626" s="281">
        <f t="shared" si="742"/>
        <v>-0.44772974442631863</v>
      </c>
      <c r="AM626" s="491">
        <f>AI626</f>
        <v>65000</v>
      </c>
      <c r="AN626" s="513"/>
      <c r="AO626" s="88"/>
      <c r="AP626" s="116"/>
      <c r="AQ626" s="74"/>
      <c r="AR626" s="76"/>
      <c r="AS626" s="24"/>
      <c r="AT626" s="25"/>
      <c r="AU626" s="309"/>
      <c r="AV626" s="462"/>
      <c r="AW626" s="513"/>
      <c r="AX626" s="74"/>
      <c r="AY626" s="74"/>
      <c r="AZ626" s="75"/>
      <c r="BA626" s="61"/>
      <c r="BB626" s="60"/>
      <c r="BC626" s="74"/>
      <c r="BD626" s="79"/>
      <c r="BE626" s="79"/>
      <c r="BF626" s="127"/>
      <c r="BG626" s="128"/>
      <c r="BH626" s="128"/>
      <c r="BI626" s="76"/>
      <c r="BJ626" s="24"/>
      <c r="BK626" s="25"/>
      <c r="BL626" s="259"/>
      <c r="BM626" s="533"/>
    </row>
    <row r="627" spans="1:65" ht="45">
      <c r="A627" s="91"/>
      <c r="B627" s="358" t="s">
        <v>2818</v>
      </c>
      <c r="C627" s="50" t="s">
        <v>2198</v>
      </c>
      <c r="D627" s="322" t="s">
        <v>2192</v>
      </c>
      <c r="E627" s="391" t="s">
        <v>1466</v>
      </c>
      <c r="F627" s="410"/>
      <c r="G627" s="10"/>
      <c r="H627" s="167"/>
      <c r="I627" s="10"/>
      <c r="J627" s="76"/>
      <c r="K627" s="24"/>
      <c r="L627" s="281"/>
      <c r="M627" s="431"/>
      <c r="N627" s="410"/>
      <c r="O627" s="10"/>
      <c r="P627" s="10"/>
      <c r="Q627" s="10"/>
      <c r="R627" s="10"/>
      <c r="S627" s="76"/>
      <c r="T627" s="24"/>
      <c r="U627" s="281"/>
      <c r="V627" s="462"/>
      <c r="W627" s="410"/>
      <c r="X627" s="31"/>
      <c r="Y627" s="33"/>
      <c r="Z627" s="472"/>
      <c r="AA627" s="76"/>
      <c r="AB627" s="24"/>
      <c r="AC627" s="25"/>
      <c r="AD627" s="309"/>
      <c r="AE627" s="462"/>
      <c r="AF627" s="410">
        <v>78027</v>
      </c>
      <c r="AG627" s="45"/>
      <c r="AH627" s="45"/>
      <c r="AI627" s="45">
        <v>130000</v>
      </c>
      <c r="AJ627" s="76">
        <f t="shared" si="740"/>
        <v>130000</v>
      </c>
      <c r="AK627" s="24">
        <f t="shared" si="741"/>
        <v>51973</v>
      </c>
      <c r="AL627" s="281">
        <f t="shared" si="742"/>
        <v>0.66608994322478121</v>
      </c>
      <c r="AM627" s="491">
        <f>AI627</f>
        <v>130000</v>
      </c>
      <c r="AN627" s="513"/>
      <c r="AO627" s="88"/>
      <c r="AP627" s="116"/>
      <c r="AQ627" s="74"/>
      <c r="AR627" s="76"/>
      <c r="AS627" s="24"/>
      <c r="AT627" s="25"/>
      <c r="AU627" s="309"/>
      <c r="AV627" s="462"/>
      <c r="AW627" s="513"/>
      <c r="AX627" s="74"/>
      <c r="AY627" s="74"/>
      <c r="AZ627" s="75"/>
      <c r="BA627" s="61"/>
      <c r="BB627" s="60"/>
      <c r="BC627" s="74"/>
      <c r="BD627" s="79"/>
      <c r="BE627" s="79"/>
      <c r="BF627" s="127"/>
      <c r="BG627" s="128"/>
      <c r="BH627" s="128"/>
      <c r="BI627" s="76"/>
      <c r="BJ627" s="24"/>
      <c r="BK627" s="25"/>
      <c r="BL627" s="259"/>
      <c r="BM627" s="533"/>
    </row>
    <row r="628" spans="1:65" ht="30">
      <c r="A628" s="91"/>
      <c r="B628" s="358" t="s">
        <v>2819</v>
      </c>
      <c r="C628" s="50" t="s">
        <v>2199</v>
      </c>
      <c r="D628" s="322" t="s">
        <v>2193</v>
      </c>
      <c r="E628" s="391" t="s">
        <v>827</v>
      </c>
      <c r="F628" s="410"/>
      <c r="G628" s="10"/>
      <c r="H628" s="167"/>
      <c r="I628" s="10"/>
      <c r="J628" s="76"/>
      <c r="K628" s="24"/>
      <c r="L628" s="281"/>
      <c r="M628" s="431"/>
      <c r="N628" s="410"/>
      <c r="O628" s="10"/>
      <c r="P628" s="10"/>
      <c r="Q628" s="10"/>
      <c r="R628" s="10"/>
      <c r="S628" s="76"/>
      <c r="T628" s="24"/>
      <c r="U628" s="281"/>
      <c r="V628" s="462"/>
      <c r="W628" s="410"/>
      <c r="X628" s="31"/>
      <c r="Y628" s="33"/>
      <c r="Z628" s="472"/>
      <c r="AA628" s="76"/>
      <c r="AB628" s="24"/>
      <c r="AC628" s="25"/>
      <c r="AD628" s="309"/>
      <c r="AE628" s="462"/>
      <c r="AF628" s="410">
        <v>105442</v>
      </c>
      <c r="AG628" s="45"/>
      <c r="AH628" s="45"/>
      <c r="AI628" s="45">
        <v>135000</v>
      </c>
      <c r="AJ628" s="76">
        <f t="shared" si="740"/>
        <v>135000</v>
      </c>
      <c r="AK628" s="24">
        <f t="shared" si="741"/>
        <v>29558</v>
      </c>
      <c r="AL628" s="281">
        <f t="shared" si="742"/>
        <v>0.28032472828664101</v>
      </c>
      <c r="AM628" s="491">
        <f t="shared" ref="AM628" si="744">AI628</f>
        <v>135000</v>
      </c>
      <c r="AN628" s="513"/>
      <c r="AO628" s="88"/>
      <c r="AP628" s="116"/>
      <c r="AQ628" s="74"/>
      <c r="AR628" s="76"/>
      <c r="AS628" s="24"/>
      <c r="AT628" s="25"/>
      <c r="AU628" s="309"/>
      <c r="AV628" s="462"/>
      <c r="AW628" s="513"/>
      <c r="AX628" s="74"/>
      <c r="AY628" s="74"/>
      <c r="AZ628" s="75"/>
      <c r="BA628" s="61"/>
      <c r="BB628" s="60"/>
      <c r="BC628" s="74"/>
      <c r="BD628" s="79"/>
      <c r="BE628" s="79"/>
      <c r="BF628" s="127"/>
      <c r="BG628" s="128"/>
      <c r="BH628" s="128"/>
      <c r="BI628" s="76"/>
      <c r="BJ628" s="24"/>
      <c r="BK628" s="25"/>
      <c r="BL628" s="259"/>
      <c r="BM628" s="533"/>
    </row>
    <row r="629" spans="1:65" ht="32.450000000000003" customHeight="1">
      <c r="A629" s="91" t="s">
        <v>30</v>
      </c>
      <c r="B629" s="358" t="s">
        <v>2820</v>
      </c>
      <c r="C629" s="252" t="s">
        <v>759</v>
      </c>
      <c r="D629" s="47" t="s">
        <v>30</v>
      </c>
      <c r="E629" s="91"/>
      <c r="F629" s="412"/>
      <c r="G629" s="120"/>
      <c r="H629" s="120"/>
      <c r="I629" s="120"/>
      <c r="J629" s="120"/>
      <c r="K629" s="120"/>
      <c r="L629" s="422"/>
      <c r="M629" s="436"/>
      <c r="N629" s="411"/>
      <c r="O629" s="173"/>
      <c r="P629" s="173"/>
      <c r="Q629" s="274"/>
      <c r="R629" s="173"/>
      <c r="S629" s="76"/>
      <c r="T629" s="24"/>
      <c r="U629" s="281"/>
      <c r="V629" s="462"/>
      <c r="W629" s="413"/>
      <c r="X629" s="47"/>
      <c r="Y629" s="47"/>
      <c r="Z629" s="47"/>
      <c r="AA629" s="47"/>
      <c r="AB629" s="47"/>
      <c r="AC629" s="47"/>
      <c r="AD629" s="91"/>
      <c r="AE629" s="467"/>
      <c r="AF629" s="501"/>
      <c r="AG629" s="324"/>
      <c r="AH629" s="324"/>
      <c r="AI629" s="323"/>
      <c r="AJ629" s="76"/>
      <c r="AK629" s="24"/>
      <c r="AL629" s="281"/>
      <c r="AM629" s="462"/>
      <c r="AN629" s="413"/>
      <c r="AO629" s="47"/>
      <c r="AP629" s="47"/>
      <c r="AQ629" s="47"/>
      <c r="AR629" s="47"/>
      <c r="AS629" s="47"/>
      <c r="AT629" s="47"/>
      <c r="AU629" s="91"/>
      <c r="AV629" s="467"/>
      <c r="AW629" s="413"/>
      <c r="AX629" s="47"/>
      <c r="AY629" s="47"/>
      <c r="AZ629" s="47"/>
      <c r="BA629" s="47"/>
      <c r="BB629" s="47"/>
      <c r="BC629" s="47"/>
      <c r="BD629" s="148"/>
      <c r="BE629" s="148"/>
      <c r="BF629" s="149"/>
      <c r="BG629" s="148"/>
      <c r="BH629" s="148"/>
      <c r="BI629" s="47"/>
      <c r="BJ629" s="47"/>
      <c r="BK629" s="47"/>
      <c r="BL629" s="414"/>
      <c r="BM629" s="457"/>
    </row>
    <row r="630" spans="1:65" ht="30">
      <c r="A630" s="91" t="s">
        <v>30</v>
      </c>
      <c r="B630" s="358" t="s">
        <v>2821</v>
      </c>
      <c r="C630" s="50" t="s">
        <v>285</v>
      </c>
      <c r="D630" s="99" t="s">
        <v>625</v>
      </c>
      <c r="E630" s="391" t="s">
        <v>13</v>
      </c>
      <c r="F630" s="408"/>
      <c r="G630" s="293"/>
      <c r="H630" s="293"/>
      <c r="I630" s="293"/>
      <c r="J630" s="293"/>
      <c r="K630" s="293"/>
      <c r="L630" s="327"/>
      <c r="M630" s="432"/>
      <c r="N630" s="410">
        <v>17181</v>
      </c>
      <c r="O630" s="10">
        <v>35000</v>
      </c>
      <c r="P630" s="10"/>
      <c r="Q630" s="268">
        <v>41000</v>
      </c>
      <c r="R630" s="10">
        <v>45000</v>
      </c>
      <c r="S630" s="76">
        <f t="shared" ref="S630:S633" si="745">AVERAGE(O630,P630,Q630,R630)</f>
        <v>40333.333333333336</v>
      </c>
      <c r="T630" s="24">
        <f t="shared" ref="T630:T633" si="746">S630-N630</f>
        <v>23152.333333333336</v>
      </c>
      <c r="U630" s="281">
        <f t="shared" ref="U630:U633" si="747">+T630/N630</f>
        <v>1.347554469084066</v>
      </c>
      <c r="V630" s="462">
        <f t="shared" ref="V630:V633" si="748">S630</f>
        <v>40333.333333333336</v>
      </c>
      <c r="W630" s="410">
        <v>28472</v>
      </c>
      <c r="X630" s="33">
        <v>37031</v>
      </c>
      <c r="Y630" s="33">
        <v>48140</v>
      </c>
      <c r="Z630" s="472">
        <v>32367.4</v>
      </c>
      <c r="AA630" s="76">
        <f t="shared" ref="AA630:AA646" si="749">AVERAGE(X630,Y630,Z630)</f>
        <v>39179.466666666667</v>
      </c>
      <c r="AB630" s="24">
        <f t="shared" ref="AB630:AB646" si="750">AA630-W630</f>
        <v>10707.466666666667</v>
      </c>
      <c r="AC630" s="25">
        <f t="shared" ref="AC630:AC646" si="751">+AB630/W630</f>
        <v>0.37607005713215325</v>
      </c>
      <c r="AD630" s="309" t="str">
        <f t="shared" ref="AD630:AD646" si="752">+IF(AC630&lt;35%,AA630,"REVISAR PRECIO")</f>
        <v>REVISAR PRECIO</v>
      </c>
      <c r="AE630" s="462">
        <f t="shared" ref="AE630:AE646" si="753">AA630</f>
        <v>39179.466666666667</v>
      </c>
      <c r="AF630" s="410">
        <v>19184</v>
      </c>
      <c r="AG630" s="45">
        <v>30000</v>
      </c>
      <c r="AH630" s="45">
        <v>22307</v>
      </c>
      <c r="AI630" s="45">
        <v>30000</v>
      </c>
      <c r="AJ630" s="76">
        <f t="shared" ref="AJ630:AJ646" si="754">AVERAGE(AG630,AH630,AI630)</f>
        <v>27435.666666666668</v>
      </c>
      <c r="AK630" s="24">
        <f t="shared" ref="AK630:AK646" si="755">AJ630-AF630</f>
        <v>8251.6666666666679</v>
      </c>
      <c r="AL630" s="281">
        <f t="shared" ref="AL630:AL646" si="756">+AK630/AF630</f>
        <v>0.43013274951348351</v>
      </c>
      <c r="AM630" s="462">
        <f t="shared" ref="AM630:AM646" si="757">AJ630</f>
        <v>27435.666666666668</v>
      </c>
      <c r="AN630" s="513">
        <v>19289</v>
      </c>
      <c r="AO630" s="88">
        <v>28000</v>
      </c>
      <c r="AP630" s="116">
        <v>28000</v>
      </c>
      <c r="AQ630" s="74">
        <v>27500</v>
      </c>
      <c r="AR630" s="76">
        <f t="shared" ref="AR630:AR646" si="758">AVERAGE(AO630,AP630,AQ630)</f>
        <v>27833.333333333332</v>
      </c>
      <c r="AS630" s="24">
        <f t="shared" ref="AS630:AS646" si="759">AR630-AN630</f>
        <v>8544.3333333333321</v>
      </c>
      <c r="AT630" s="25">
        <f t="shared" ref="AT630:AT643" si="760">+AS630/AN630</f>
        <v>0.44296403822558622</v>
      </c>
      <c r="AU630" s="309" t="str">
        <f t="shared" ref="AU630:AU643" si="761">+IF(AT630&lt;35%,AR630,"REVISAR PRECIO")</f>
        <v>REVISAR PRECIO</v>
      </c>
      <c r="AV630" s="462">
        <f t="shared" ref="AV630:AV646" si="762">AR630</f>
        <v>27833.333333333332</v>
      </c>
      <c r="AW630" s="513">
        <v>19289</v>
      </c>
      <c r="AX630" s="74">
        <v>28750</v>
      </c>
      <c r="AY630" s="74">
        <v>40000</v>
      </c>
      <c r="AZ630" s="75">
        <v>33125</v>
      </c>
      <c r="BA630" s="61">
        <v>28749.999999999996</v>
      </c>
      <c r="BB630" s="60">
        <v>12000</v>
      </c>
      <c r="BC630" s="74">
        <v>33062.499999999993</v>
      </c>
      <c r="BD630" s="79">
        <v>33125</v>
      </c>
      <c r="BE630" s="79">
        <v>25000</v>
      </c>
      <c r="BF630" s="127">
        <v>30000</v>
      </c>
      <c r="BG630" s="128">
        <v>23000</v>
      </c>
      <c r="BH630" s="128">
        <v>25000</v>
      </c>
      <c r="BI630" s="76">
        <f t="shared" ref="BI630:BI646" si="763">AVERAGE(AX630,AY630,AZ630,BA630,BB630,BC630)</f>
        <v>29281.25</v>
      </c>
      <c r="BJ630" s="24">
        <f t="shared" ref="BJ630:BJ646" si="764">BI630-AW630</f>
        <v>9992.25</v>
      </c>
      <c r="BK630" s="25">
        <f t="shared" ref="BK630:BK643" si="765">+BJ630/AW630</f>
        <v>0.51802840997459687</v>
      </c>
      <c r="BL630" s="259" t="str">
        <f t="shared" ref="BL630:BL646" si="766">+IF(BK630&lt;35%,BI630,"REVISAR PRECIO")</f>
        <v>REVISAR PRECIO</v>
      </c>
      <c r="BM630" s="533">
        <f t="shared" ref="BM630:BM646" si="767">BI630</f>
        <v>29281.25</v>
      </c>
    </row>
    <row r="631" spans="1:65" ht="30">
      <c r="A631" s="91" t="s">
        <v>30</v>
      </c>
      <c r="B631" s="358" t="s">
        <v>2822</v>
      </c>
      <c r="C631" s="50" t="s">
        <v>286</v>
      </c>
      <c r="D631" s="99" t="s">
        <v>626</v>
      </c>
      <c r="E631" s="391" t="s">
        <v>13</v>
      </c>
      <c r="F631" s="408"/>
      <c r="G631" s="293"/>
      <c r="H631" s="293"/>
      <c r="I631" s="293"/>
      <c r="J631" s="293"/>
      <c r="K631" s="293"/>
      <c r="L631" s="327"/>
      <c r="M631" s="432"/>
      <c r="N631" s="410">
        <v>13308</v>
      </c>
      <c r="O631" s="10">
        <v>8500</v>
      </c>
      <c r="P631" s="10"/>
      <c r="Q631" s="268">
        <v>11000</v>
      </c>
      <c r="R631" s="10">
        <v>15000</v>
      </c>
      <c r="S631" s="76">
        <f t="shared" si="745"/>
        <v>11500</v>
      </c>
      <c r="T631" s="24">
        <f t="shared" si="746"/>
        <v>-1808</v>
      </c>
      <c r="U631" s="281">
        <f t="shared" si="747"/>
        <v>-0.13585813044785092</v>
      </c>
      <c r="V631" s="462">
        <f t="shared" si="748"/>
        <v>11500</v>
      </c>
      <c r="W631" s="410">
        <v>46502</v>
      </c>
      <c r="X631" s="33">
        <v>60480</v>
      </c>
      <c r="Y631" s="33">
        <v>78624</v>
      </c>
      <c r="Z631" s="472">
        <v>52864</v>
      </c>
      <c r="AA631" s="76">
        <f t="shared" si="749"/>
        <v>63989.333333333336</v>
      </c>
      <c r="AB631" s="24">
        <f t="shared" si="750"/>
        <v>17487.333333333336</v>
      </c>
      <c r="AC631" s="25">
        <f t="shared" si="751"/>
        <v>0.37605551015726929</v>
      </c>
      <c r="AD631" s="309" t="str">
        <f t="shared" si="752"/>
        <v>REVISAR PRECIO</v>
      </c>
      <c r="AE631" s="462">
        <f t="shared" si="753"/>
        <v>63989.333333333336</v>
      </c>
      <c r="AF631" s="410">
        <v>14866</v>
      </c>
      <c r="AG631" s="45">
        <v>25000</v>
      </c>
      <c r="AH631" s="45">
        <v>17277</v>
      </c>
      <c r="AI631" s="45">
        <v>70000</v>
      </c>
      <c r="AJ631" s="76">
        <f t="shared" si="754"/>
        <v>37425.666666666664</v>
      </c>
      <c r="AK631" s="24">
        <f t="shared" si="755"/>
        <v>22559.666666666664</v>
      </c>
      <c r="AL631" s="281">
        <f t="shared" si="756"/>
        <v>1.5175344185837929</v>
      </c>
      <c r="AM631" s="462">
        <f t="shared" si="757"/>
        <v>37425.666666666664</v>
      </c>
      <c r="AN631" s="513">
        <v>14941</v>
      </c>
      <c r="AO631" s="88">
        <v>25000</v>
      </c>
      <c r="AP631" s="116">
        <v>23000</v>
      </c>
      <c r="AQ631" s="74">
        <v>26853.75</v>
      </c>
      <c r="AR631" s="76">
        <f t="shared" si="758"/>
        <v>24951.25</v>
      </c>
      <c r="AS631" s="24">
        <f t="shared" si="759"/>
        <v>10010.25</v>
      </c>
      <c r="AT631" s="25">
        <f t="shared" si="760"/>
        <v>0.66998527541663877</v>
      </c>
      <c r="AU631" s="309" t="str">
        <f t="shared" si="761"/>
        <v>REVISAR PRECIO</v>
      </c>
      <c r="AV631" s="462">
        <f t="shared" si="762"/>
        <v>24951.25</v>
      </c>
      <c r="AW631" s="513">
        <v>14941</v>
      </c>
      <c r="AX631" s="74">
        <v>28074.375</v>
      </c>
      <c r="AY631" s="74">
        <v>35000</v>
      </c>
      <c r="AZ631" s="75">
        <v>32346.5625</v>
      </c>
      <c r="BA631" s="61">
        <v>28074.374999999996</v>
      </c>
      <c r="BB631" s="60">
        <v>9000</v>
      </c>
      <c r="BC631" s="74">
        <v>32285.531249999993</v>
      </c>
      <c r="BD631" s="79">
        <v>32346.5625</v>
      </c>
      <c r="BE631" s="79">
        <f>+BE642</f>
        <v>24412.5</v>
      </c>
      <c r="BF631" s="127">
        <v>29295</v>
      </c>
      <c r="BG631" s="128">
        <v>30000</v>
      </c>
      <c r="BH631" s="128">
        <v>25000</v>
      </c>
      <c r="BI631" s="76">
        <f t="shared" si="763"/>
        <v>27463.473958333332</v>
      </c>
      <c r="BJ631" s="24">
        <f t="shared" si="764"/>
        <v>12522.473958333332</v>
      </c>
      <c r="BK631" s="25">
        <f t="shared" si="765"/>
        <v>0.83812823494634447</v>
      </c>
      <c r="BL631" s="259" t="str">
        <f t="shared" si="766"/>
        <v>REVISAR PRECIO</v>
      </c>
      <c r="BM631" s="533">
        <f t="shared" si="767"/>
        <v>27463.473958333332</v>
      </c>
    </row>
    <row r="632" spans="1:65" ht="30">
      <c r="A632" s="91" t="s">
        <v>30</v>
      </c>
      <c r="B632" s="358" t="s">
        <v>2823</v>
      </c>
      <c r="C632" s="50" t="s">
        <v>287</v>
      </c>
      <c r="D632" s="99" t="s">
        <v>627</v>
      </c>
      <c r="E632" s="391" t="s">
        <v>10</v>
      </c>
      <c r="F632" s="408"/>
      <c r="G632" s="293"/>
      <c r="H632" s="293"/>
      <c r="I632" s="293"/>
      <c r="J632" s="293"/>
      <c r="K632" s="293"/>
      <c r="L632" s="327"/>
      <c r="M632" s="432"/>
      <c r="N632" s="410">
        <v>2573</v>
      </c>
      <c r="O632" s="10">
        <v>14000</v>
      </c>
      <c r="P632" s="10"/>
      <c r="Q632" s="268">
        <v>17000</v>
      </c>
      <c r="R632" s="10">
        <v>20000</v>
      </c>
      <c r="S632" s="76">
        <f t="shared" si="745"/>
        <v>17000</v>
      </c>
      <c r="T632" s="24">
        <f t="shared" si="746"/>
        <v>14427</v>
      </c>
      <c r="U632" s="281">
        <f t="shared" si="747"/>
        <v>5.6070734551107657</v>
      </c>
      <c r="V632" s="462">
        <f t="shared" si="748"/>
        <v>17000</v>
      </c>
      <c r="W632" s="410">
        <v>10006</v>
      </c>
      <c r="X632" s="33">
        <v>13014</v>
      </c>
      <c r="Y632" s="31">
        <v>16918</v>
      </c>
      <c r="Z632" s="472">
        <v>11375.2</v>
      </c>
      <c r="AA632" s="76">
        <f t="shared" si="749"/>
        <v>13769.066666666666</v>
      </c>
      <c r="AB632" s="24">
        <f t="shared" si="750"/>
        <v>3763.0666666666657</v>
      </c>
      <c r="AC632" s="25">
        <f t="shared" si="751"/>
        <v>0.37608101805583305</v>
      </c>
      <c r="AD632" s="309" t="str">
        <f t="shared" si="752"/>
        <v>REVISAR PRECIO</v>
      </c>
      <c r="AE632" s="462">
        <f t="shared" si="753"/>
        <v>13769.066666666666</v>
      </c>
      <c r="AF632" s="410">
        <v>2866</v>
      </c>
      <c r="AG632" s="45">
        <v>12000</v>
      </c>
      <c r="AH632" s="45">
        <v>15000</v>
      </c>
      <c r="AI632" s="45">
        <v>15000</v>
      </c>
      <c r="AJ632" s="76">
        <f t="shared" si="754"/>
        <v>14000</v>
      </c>
      <c r="AK632" s="24">
        <f t="shared" si="755"/>
        <v>11134</v>
      </c>
      <c r="AL632" s="281">
        <f t="shared" si="756"/>
        <v>3.8848569434752269</v>
      </c>
      <c r="AM632" s="462">
        <f t="shared" si="757"/>
        <v>14000</v>
      </c>
      <c r="AN632" s="513">
        <v>2886</v>
      </c>
      <c r="AO632" s="88">
        <v>17000</v>
      </c>
      <c r="AP632" s="116">
        <v>17000</v>
      </c>
      <c r="AQ632" s="74">
        <v>16500</v>
      </c>
      <c r="AR632" s="76">
        <f t="shared" si="758"/>
        <v>16833.333333333332</v>
      </c>
      <c r="AS632" s="24">
        <f t="shared" si="759"/>
        <v>13947.333333333332</v>
      </c>
      <c r="AT632" s="25">
        <f t="shared" si="760"/>
        <v>4.832755832755832</v>
      </c>
      <c r="AU632" s="309" t="str">
        <f t="shared" si="761"/>
        <v>REVISAR PRECIO</v>
      </c>
      <c r="AV632" s="462">
        <f t="shared" si="762"/>
        <v>16833.333333333332</v>
      </c>
      <c r="AW632" s="513">
        <v>2886</v>
      </c>
      <c r="AX632" s="74">
        <v>17250</v>
      </c>
      <c r="AY632" s="74">
        <v>28000</v>
      </c>
      <c r="AZ632" s="75">
        <v>19875</v>
      </c>
      <c r="BA632" s="61">
        <v>17250</v>
      </c>
      <c r="BB632" s="60">
        <v>18000</v>
      </c>
      <c r="BC632" s="74">
        <v>19837.5</v>
      </c>
      <c r="BD632" s="79">
        <v>19875</v>
      </c>
      <c r="BE632" s="79">
        <f>+BE630*0.6</f>
        <v>15000</v>
      </c>
      <c r="BF632" s="127">
        <v>18000</v>
      </c>
      <c r="BG632" s="128">
        <v>15000</v>
      </c>
      <c r="BH632" s="128">
        <v>17000</v>
      </c>
      <c r="BI632" s="76">
        <f t="shared" si="763"/>
        <v>20035.416666666668</v>
      </c>
      <c r="BJ632" s="24">
        <f t="shared" si="764"/>
        <v>17149.416666666668</v>
      </c>
      <c r="BK632" s="25">
        <f t="shared" si="765"/>
        <v>5.9422788172788179</v>
      </c>
      <c r="BL632" s="259" t="str">
        <f t="shared" si="766"/>
        <v>REVISAR PRECIO</v>
      </c>
      <c r="BM632" s="533">
        <f t="shared" si="767"/>
        <v>20035.416666666668</v>
      </c>
    </row>
    <row r="633" spans="1:65" ht="30">
      <c r="A633" s="91" t="s">
        <v>30</v>
      </c>
      <c r="B633" s="358" t="s">
        <v>2824</v>
      </c>
      <c r="C633" s="50" t="s">
        <v>288</v>
      </c>
      <c r="D633" s="99" t="s">
        <v>628</v>
      </c>
      <c r="E633" s="391" t="s">
        <v>10</v>
      </c>
      <c r="F633" s="408"/>
      <c r="G633" s="293"/>
      <c r="H633" s="293"/>
      <c r="I633" s="293"/>
      <c r="J633" s="293"/>
      <c r="K633" s="293"/>
      <c r="L633" s="327"/>
      <c r="M633" s="432"/>
      <c r="N633" s="410">
        <v>2573</v>
      </c>
      <c r="O633" s="10">
        <v>14000</v>
      </c>
      <c r="P633" s="10"/>
      <c r="Q633" s="268">
        <v>17000</v>
      </c>
      <c r="R633" s="10">
        <v>20000</v>
      </c>
      <c r="S633" s="76">
        <f t="shared" si="745"/>
        <v>17000</v>
      </c>
      <c r="T633" s="24">
        <f t="shared" si="746"/>
        <v>14427</v>
      </c>
      <c r="U633" s="281">
        <f t="shared" si="747"/>
        <v>5.6070734551107657</v>
      </c>
      <c r="V633" s="462">
        <f t="shared" si="748"/>
        <v>17000</v>
      </c>
      <c r="W633" s="410">
        <v>13743</v>
      </c>
      <c r="X633" s="33">
        <v>17874</v>
      </c>
      <c r="Y633" s="31">
        <v>23236</v>
      </c>
      <c r="Z633" s="472">
        <v>15623.2</v>
      </c>
      <c r="AA633" s="76">
        <f t="shared" si="749"/>
        <v>18911.066666666666</v>
      </c>
      <c r="AB633" s="24">
        <f t="shared" si="750"/>
        <v>5168.0666666666657</v>
      </c>
      <c r="AC633" s="25">
        <f t="shared" si="751"/>
        <v>0.37605083800237687</v>
      </c>
      <c r="AD633" s="309" t="str">
        <f t="shared" si="752"/>
        <v>REVISAR PRECIO</v>
      </c>
      <c r="AE633" s="462">
        <f t="shared" si="753"/>
        <v>18911.066666666666</v>
      </c>
      <c r="AF633" s="410">
        <v>2866</v>
      </c>
      <c r="AG633" s="45">
        <v>12000</v>
      </c>
      <c r="AH633" s="45">
        <v>15000</v>
      </c>
      <c r="AI633" s="45">
        <v>15000</v>
      </c>
      <c r="AJ633" s="76">
        <f t="shared" si="754"/>
        <v>14000</v>
      </c>
      <c r="AK633" s="24">
        <f t="shared" si="755"/>
        <v>11134</v>
      </c>
      <c r="AL633" s="281">
        <f t="shared" si="756"/>
        <v>3.8848569434752269</v>
      </c>
      <c r="AM633" s="462">
        <f t="shared" si="757"/>
        <v>14000</v>
      </c>
      <c r="AN633" s="513">
        <v>2886</v>
      </c>
      <c r="AO633" s="88">
        <v>15000</v>
      </c>
      <c r="AP633" s="116">
        <v>15000</v>
      </c>
      <c r="AQ633" s="74">
        <v>16500</v>
      </c>
      <c r="AR633" s="76">
        <f t="shared" si="758"/>
        <v>15500</v>
      </c>
      <c r="AS633" s="24">
        <f t="shared" si="759"/>
        <v>12614</v>
      </c>
      <c r="AT633" s="25">
        <f t="shared" si="760"/>
        <v>4.3707553707553704</v>
      </c>
      <c r="AU633" s="309" t="str">
        <f t="shared" si="761"/>
        <v>REVISAR PRECIO</v>
      </c>
      <c r="AV633" s="462">
        <f t="shared" si="762"/>
        <v>15500</v>
      </c>
      <c r="AW633" s="513">
        <v>2886</v>
      </c>
      <c r="AX633" s="74">
        <v>17250</v>
      </c>
      <c r="AY633" s="74">
        <v>28000</v>
      </c>
      <c r="AZ633" s="75">
        <v>19875</v>
      </c>
      <c r="BA633" s="61">
        <v>17250</v>
      </c>
      <c r="BB633" s="60">
        <v>14000</v>
      </c>
      <c r="BC633" s="74">
        <v>19837.5</v>
      </c>
      <c r="BD633" s="79">
        <v>19875</v>
      </c>
      <c r="BE633" s="79">
        <f>+BE632</f>
        <v>15000</v>
      </c>
      <c r="BF633" s="127">
        <v>18000</v>
      </c>
      <c r="BG633" s="128">
        <v>15000</v>
      </c>
      <c r="BH633" s="128">
        <v>15000</v>
      </c>
      <c r="BI633" s="76">
        <f t="shared" si="763"/>
        <v>19368.75</v>
      </c>
      <c r="BJ633" s="24">
        <f t="shared" si="764"/>
        <v>16482.75</v>
      </c>
      <c r="BK633" s="25">
        <f t="shared" si="765"/>
        <v>5.7112785862785866</v>
      </c>
      <c r="BL633" s="259" t="str">
        <f t="shared" si="766"/>
        <v>REVISAR PRECIO</v>
      </c>
      <c r="BM633" s="533">
        <f t="shared" si="767"/>
        <v>19368.75</v>
      </c>
    </row>
    <row r="634" spans="1:65" ht="30">
      <c r="A634" s="91" t="s">
        <v>30</v>
      </c>
      <c r="B634" s="358" t="s">
        <v>2825</v>
      </c>
      <c r="C634" s="50" t="s">
        <v>289</v>
      </c>
      <c r="D634" s="99" t="s">
        <v>629</v>
      </c>
      <c r="E634" s="391" t="s">
        <v>10</v>
      </c>
      <c r="F634" s="408"/>
      <c r="G634" s="293"/>
      <c r="H634" s="293"/>
      <c r="I634" s="293"/>
      <c r="J634" s="293"/>
      <c r="K634" s="293"/>
      <c r="L634" s="327"/>
      <c r="M634" s="432"/>
      <c r="N634" s="447"/>
      <c r="O634" s="3"/>
      <c r="P634" s="3"/>
      <c r="Q634" s="3"/>
      <c r="R634" s="3"/>
      <c r="S634" s="3"/>
      <c r="T634" s="3"/>
      <c r="U634" s="3"/>
      <c r="V634" s="447"/>
      <c r="W634" s="410">
        <v>47758</v>
      </c>
      <c r="X634" s="33">
        <v>62114</v>
      </c>
      <c r="Y634" s="33">
        <v>80748</v>
      </c>
      <c r="Z634" s="472">
        <v>54291.8</v>
      </c>
      <c r="AA634" s="76">
        <f t="shared" si="749"/>
        <v>65717.933333333334</v>
      </c>
      <c r="AB634" s="24">
        <f t="shared" si="750"/>
        <v>17959.933333333334</v>
      </c>
      <c r="AC634" s="25">
        <f t="shared" si="751"/>
        <v>0.37606125326297862</v>
      </c>
      <c r="AD634" s="309" t="str">
        <f t="shared" si="752"/>
        <v>REVISAR PRECIO</v>
      </c>
      <c r="AE634" s="462">
        <f t="shared" si="753"/>
        <v>65717.933333333334</v>
      </c>
      <c r="AF634" s="410">
        <v>32189</v>
      </c>
      <c r="AG634" s="45">
        <v>25000</v>
      </c>
      <c r="AH634" s="45">
        <v>37420</v>
      </c>
      <c r="AI634" s="45">
        <v>65000</v>
      </c>
      <c r="AJ634" s="76">
        <f t="shared" si="754"/>
        <v>42473.333333333336</v>
      </c>
      <c r="AK634" s="24">
        <f t="shared" si="755"/>
        <v>10284.333333333336</v>
      </c>
      <c r="AL634" s="281">
        <f t="shared" si="756"/>
        <v>0.31949837936355074</v>
      </c>
      <c r="AM634" s="462">
        <f t="shared" si="757"/>
        <v>42473.333333333336</v>
      </c>
      <c r="AN634" s="513">
        <v>32351</v>
      </c>
      <c r="AO634" s="88">
        <v>23100</v>
      </c>
      <c r="AP634" s="116">
        <v>25000</v>
      </c>
      <c r="AQ634" s="74">
        <v>24200</v>
      </c>
      <c r="AR634" s="76">
        <f t="shared" si="758"/>
        <v>24100</v>
      </c>
      <c r="AS634" s="24">
        <f t="shared" si="759"/>
        <v>-8251</v>
      </c>
      <c r="AT634" s="25">
        <f t="shared" si="760"/>
        <v>-0.25504621186362092</v>
      </c>
      <c r="AU634" s="309">
        <f t="shared" si="761"/>
        <v>24100</v>
      </c>
      <c r="AV634" s="462">
        <f t="shared" si="762"/>
        <v>24100</v>
      </c>
      <c r="AW634" s="513">
        <v>32351</v>
      </c>
      <c r="AX634" s="74">
        <v>25300</v>
      </c>
      <c r="AY634" s="74">
        <v>35000</v>
      </c>
      <c r="AZ634" s="75">
        <v>29150</v>
      </c>
      <c r="BA634" s="61">
        <v>25299.999999999996</v>
      </c>
      <c r="BB634" s="60">
        <v>28000</v>
      </c>
      <c r="BC634" s="74">
        <v>29094.999999999993</v>
      </c>
      <c r="BD634" s="79">
        <v>29150</v>
      </c>
      <c r="BE634" s="79">
        <v>22000</v>
      </c>
      <c r="BF634" s="127">
        <v>26400</v>
      </c>
      <c r="BG634" s="128">
        <v>23000</v>
      </c>
      <c r="BH634" s="128">
        <v>25000</v>
      </c>
      <c r="BI634" s="76">
        <f t="shared" si="763"/>
        <v>28640.833333333332</v>
      </c>
      <c r="BJ634" s="24">
        <f t="shared" si="764"/>
        <v>-3710.1666666666679</v>
      </c>
      <c r="BK634" s="25">
        <f t="shared" si="765"/>
        <v>-0.11468475987347124</v>
      </c>
      <c r="BL634" s="259">
        <f t="shared" si="766"/>
        <v>28640.833333333332</v>
      </c>
      <c r="BM634" s="533">
        <f t="shared" si="767"/>
        <v>28640.833333333332</v>
      </c>
    </row>
    <row r="635" spans="1:65" ht="30">
      <c r="A635" s="91" t="s">
        <v>30</v>
      </c>
      <c r="B635" s="358" t="s">
        <v>2826</v>
      </c>
      <c r="C635" s="50" t="s">
        <v>290</v>
      </c>
      <c r="D635" s="99" t="s">
        <v>630</v>
      </c>
      <c r="E635" s="391" t="s">
        <v>13</v>
      </c>
      <c r="F635" s="408"/>
      <c r="G635" s="293"/>
      <c r="H635" s="293"/>
      <c r="I635" s="293"/>
      <c r="J635" s="293"/>
      <c r="K635" s="293"/>
      <c r="L635" s="327"/>
      <c r="M635" s="432"/>
      <c r="N635" s="410">
        <v>21690</v>
      </c>
      <c r="O635" s="10">
        <v>22000</v>
      </c>
      <c r="P635" s="10"/>
      <c r="Q635" s="268">
        <v>26000</v>
      </c>
      <c r="R635" s="10">
        <v>30000</v>
      </c>
      <c r="S635" s="76">
        <f t="shared" ref="S635:S646" si="768">AVERAGE(O635,P635,Q635,R635)</f>
        <v>26000</v>
      </c>
      <c r="T635" s="24">
        <f t="shared" ref="T635:T646" si="769">S635-N635</f>
        <v>4310</v>
      </c>
      <c r="U635" s="281">
        <f t="shared" ref="U635:U646" si="770">+T635/N635</f>
        <v>0.1987090825265099</v>
      </c>
      <c r="V635" s="462">
        <f t="shared" ref="V635:V646" si="771">S635</f>
        <v>26000</v>
      </c>
      <c r="W635" s="410">
        <v>46970</v>
      </c>
      <c r="X635" s="33">
        <v>61088</v>
      </c>
      <c r="Y635" s="31">
        <v>79414</v>
      </c>
      <c r="Z635" s="472">
        <v>53395</v>
      </c>
      <c r="AA635" s="76">
        <f t="shared" si="749"/>
        <v>64632.333333333336</v>
      </c>
      <c r="AB635" s="24">
        <f t="shared" si="750"/>
        <v>17662.333333333336</v>
      </c>
      <c r="AC635" s="25">
        <f t="shared" si="751"/>
        <v>0.37603434816549575</v>
      </c>
      <c r="AD635" s="309" t="str">
        <f t="shared" si="752"/>
        <v>REVISAR PRECIO</v>
      </c>
      <c r="AE635" s="462">
        <f t="shared" si="753"/>
        <v>64632.333333333336</v>
      </c>
      <c r="AF635" s="410">
        <v>23902</v>
      </c>
      <c r="AG635" s="45">
        <v>40000</v>
      </c>
      <c r="AH635" s="45">
        <v>29291</v>
      </c>
      <c r="AI635" s="45">
        <v>45000</v>
      </c>
      <c r="AJ635" s="76">
        <f t="shared" si="754"/>
        <v>38097</v>
      </c>
      <c r="AK635" s="24">
        <f t="shared" si="755"/>
        <v>14195</v>
      </c>
      <c r="AL635" s="281">
        <f t="shared" si="756"/>
        <v>0.59388335704125172</v>
      </c>
      <c r="AM635" s="462">
        <f t="shared" si="757"/>
        <v>38097</v>
      </c>
      <c r="AN635" s="513">
        <v>25117</v>
      </c>
      <c r="AO635" s="88">
        <v>40000</v>
      </c>
      <c r="AP635" s="116">
        <v>40000</v>
      </c>
      <c r="AQ635" s="74">
        <v>38676</v>
      </c>
      <c r="AR635" s="76">
        <f t="shared" si="758"/>
        <v>39558.666666666664</v>
      </c>
      <c r="AS635" s="24">
        <f t="shared" si="759"/>
        <v>14441.666666666664</v>
      </c>
      <c r="AT635" s="25">
        <f t="shared" si="760"/>
        <v>0.57497578001619076</v>
      </c>
      <c r="AU635" s="309" t="str">
        <f t="shared" si="761"/>
        <v>REVISAR PRECIO</v>
      </c>
      <c r="AV635" s="462">
        <f t="shared" si="762"/>
        <v>39558.666666666664</v>
      </c>
      <c r="AW635" s="513">
        <v>25117</v>
      </c>
      <c r="AX635" s="74">
        <v>40434</v>
      </c>
      <c r="AY635" s="74">
        <v>42000</v>
      </c>
      <c r="AZ635" s="75">
        <v>46587</v>
      </c>
      <c r="BA635" s="61">
        <v>40434</v>
      </c>
      <c r="BB635" s="60">
        <v>45000</v>
      </c>
      <c r="BC635" s="74">
        <v>46499.1</v>
      </c>
      <c r="BD635" s="79">
        <v>46587</v>
      </c>
      <c r="BE635" s="79">
        <f>29300*1.2</f>
        <v>35160</v>
      </c>
      <c r="BF635" s="127">
        <v>42192</v>
      </c>
      <c r="BG635" s="128">
        <v>48500</v>
      </c>
      <c r="BH635" s="128">
        <v>40000</v>
      </c>
      <c r="BI635" s="76">
        <f t="shared" si="763"/>
        <v>43492.35</v>
      </c>
      <c r="BJ635" s="24">
        <f t="shared" si="764"/>
        <v>18375.349999999999</v>
      </c>
      <c r="BK635" s="25">
        <f t="shared" si="765"/>
        <v>0.73159015806027783</v>
      </c>
      <c r="BL635" s="259" t="str">
        <f t="shared" si="766"/>
        <v>REVISAR PRECIO</v>
      </c>
      <c r="BM635" s="533">
        <f t="shared" si="767"/>
        <v>43492.35</v>
      </c>
    </row>
    <row r="636" spans="1:65" ht="30">
      <c r="A636" s="91" t="s">
        <v>30</v>
      </c>
      <c r="B636" s="358" t="s">
        <v>2827</v>
      </c>
      <c r="C636" s="50" t="s">
        <v>291</v>
      </c>
      <c r="D636" s="99" t="s">
        <v>631</v>
      </c>
      <c r="E636" s="391" t="s">
        <v>13</v>
      </c>
      <c r="F636" s="408"/>
      <c r="G636" s="293"/>
      <c r="H636" s="293"/>
      <c r="I636" s="293"/>
      <c r="J636" s="293"/>
      <c r="K636" s="293"/>
      <c r="L636" s="327"/>
      <c r="M636" s="432"/>
      <c r="N636" s="410">
        <v>23010</v>
      </c>
      <c r="O636" s="10">
        <v>23000</v>
      </c>
      <c r="P636" s="10"/>
      <c r="Q636" s="268">
        <v>26000</v>
      </c>
      <c r="R636" s="10">
        <v>30000</v>
      </c>
      <c r="S636" s="76">
        <f t="shared" si="768"/>
        <v>26333.333333333332</v>
      </c>
      <c r="T636" s="24">
        <f t="shared" si="769"/>
        <v>3323.3333333333321</v>
      </c>
      <c r="U636" s="281">
        <f t="shared" si="770"/>
        <v>0.14442995798927996</v>
      </c>
      <c r="V636" s="462">
        <f t="shared" si="771"/>
        <v>26333.333333333332</v>
      </c>
      <c r="W636" s="410">
        <v>50135</v>
      </c>
      <c r="X636" s="33">
        <v>65205</v>
      </c>
      <c r="Y636" s="31">
        <v>65205</v>
      </c>
      <c r="Z636" s="472">
        <v>56994</v>
      </c>
      <c r="AA636" s="76">
        <f t="shared" si="749"/>
        <v>62468</v>
      </c>
      <c r="AB636" s="24">
        <f t="shared" si="750"/>
        <v>12333</v>
      </c>
      <c r="AC636" s="25">
        <f t="shared" si="751"/>
        <v>0.24599581130946443</v>
      </c>
      <c r="AD636" s="309">
        <f t="shared" si="752"/>
        <v>62468</v>
      </c>
      <c r="AE636" s="462">
        <f t="shared" si="753"/>
        <v>62468</v>
      </c>
      <c r="AF636" s="410">
        <v>25316</v>
      </c>
      <c r="AG636" s="45">
        <v>40000</v>
      </c>
      <c r="AH636" s="45">
        <v>31237</v>
      </c>
      <c r="AI636" s="45">
        <v>45000</v>
      </c>
      <c r="AJ636" s="76">
        <f t="shared" si="754"/>
        <v>38745.666666666664</v>
      </c>
      <c r="AK636" s="24">
        <f t="shared" si="755"/>
        <v>13429.666666666664</v>
      </c>
      <c r="AL636" s="281">
        <f t="shared" si="756"/>
        <v>0.53048138199820916</v>
      </c>
      <c r="AM636" s="462">
        <f t="shared" si="757"/>
        <v>38745.666666666664</v>
      </c>
      <c r="AN636" s="513">
        <v>26816</v>
      </c>
      <c r="AO636" s="88">
        <v>40000</v>
      </c>
      <c r="AP636" s="116">
        <v>40000</v>
      </c>
      <c r="AQ636" s="74">
        <v>41580</v>
      </c>
      <c r="AR636" s="76">
        <f t="shared" si="758"/>
        <v>40526.666666666664</v>
      </c>
      <c r="AS636" s="24">
        <f t="shared" si="759"/>
        <v>13710.666666666664</v>
      </c>
      <c r="AT636" s="25">
        <f t="shared" si="760"/>
        <v>0.51128679395385834</v>
      </c>
      <c r="AU636" s="309" t="str">
        <f t="shared" si="761"/>
        <v>REVISAR PRECIO</v>
      </c>
      <c r="AV636" s="462">
        <f t="shared" si="762"/>
        <v>40526.666666666664</v>
      </c>
      <c r="AW636" s="513">
        <v>26816</v>
      </c>
      <c r="AX636" s="74">
        <v>43470</v>
      </c>
      <c r="AY636" s="74">
        <v>46000</v>
      </c>
      <c r="AZ636" s="75">
        <v>50085</v>
      </c>
      <c r="BA636" s="61">
        <v>43470</v>
      </c>
      <c r="BB636" s="60">
        <v>54000</v>
      </c>
      <c r="BC636" s="74">
        <v>49990.499999999993</v>
      </c>
      <c r="BD636" s="79">
        <v>50085</v>
      </c>
      <c r="BE636" s="79">
        <f>31500*1.2</f>
        <v>37800</v>
      </c>
      <c r="BF636" s="127">
        <v>45360</v>
      </c>
      <c r="BG636" s="128">
        <v>48500</v>
      </c>
      <c r="BH636" s="128">
        <v>45000</v>
      </c>
      <c r="BI636" s="76">
        <f t="shared" si="763"/>
        <v>47835.916666666664</v>
      </c>
      <c r="BJ636" s="24">
        <f t="shared" si="764"/>
        <v>21019.916666666664</v>
      </c>
      <c r="BK636" s="25">
        <f t="shared" si="765"/>
        <v>0.78385727426412088</v>
      </c>
      <c r="BL636" s="259" t="str">
        <f t="shared" si="766"/>
        <v>REVISAR PRECIO</v>
      </c>
      <c r="BM636" s="533">
        <f t="shared" si="767"/>
        <v>47835.916666666664</v>
      </c>
    </row>
    <row r="637" spans="1:65" ht="30">
      <c r="A637" s="91" t="s">
        <v>30</v>
      </c>
      <c r="B637" s="358" t="s">
        <v>2828</v>
      </c>
      <c r="C637" s="50" t="s">
        <v>292</v>
      </c>
      <c r="D637" s="99" t="s">
        <v>632</v>
      </c>
      <c r="E637" s="391" t="s">
        <v>13</v>
      </c>
      <c r="F637" s="408"/>
      <c r="G637" s="293"/>
      <c r="H637" s="293"/>
      <c r="I637" s="293"/>
      <c r="J637" s="293"/>
      <c r="K637" s="293"/>
      <c r="L637" s="327"/>
      <c r="M637" s="432"/>
      <c r="N637" s="410">
        <v>18292</v>
      </c>
      <c r="O637" s="10">
        <v>25000</v>
      </c>
      <c r="P637" s="10"/>
      <c r="Q637" s="268">
        <v>28000</v>
      </c>
      <c r="R637" s="10">
        <v>30000</v>
      </c>
      <c r="S637" s="76">
        <f t="shared" si="768"/>
        <v>27666.666666666668</v>
      </c>
      <c r="T637" s="24">
        <f t="shared" si="769"/>
        <v>9374.6666666666679</v>
      </c>
      <c r="U637" s="281">
        <f t="shared" si="770"/>
        <v>0.5125009111451273</v>
      </c>
      <c r="V637" s="462">
        <f t="shared" si="771"/>
        <v>27666.666666666668</v>
      </c>
      <c r="W637" s="410">
        <v>38396</v>
      </c>
      <c r="X637" s="33">
        <v>49937</v>
      </c>
      <c r="Y637" s="31">
        <v>64917</v>
      </c>
      <c r="Z637" s="472">
        <v>43648.2</v>
      </c>
      <c r="AA637" s="76">
        <f t="shared" si="749"/>
        <v>52834.066666666673</v>
      </c>
      <c r="AB637" s="24">
        <f t="shared" si="750"/>
        <v>14438.066666666673</v>
      </c>
      <c r="AC637" s="25">
        <f t="shared" si="751"/>
        <v>0.37603048928707866</v>
      </c>
      <c r="AD637" s="309" t="str">
        <f t="shared" si="752"/>
        <v>REVISAR PRECIO</v>
      </c>
      <c r="AE637" s="462">
        <f t="shared" si="753"/>
        <v>52834.066666666673</v>
      </c>
      <c r="AF637" s="410">
        <v>20428</v>
      </c>
      <c r="AG637" s="45"/>
      <c r="AH637" s="45">
        <v>23750</v>
      </c>
      <c r="AI637" s="45">
        <v>40000</v>
      </c>
      <c r="AJ637" s="76">
        <f t="shared" si="754"/>
        <v>31875</v>
      </c>
      <c r="AK637" s="24">
        <f t="shared" si="755"/>
        <v>11447</v>
      </c>
      <c r="AL637" s="281">
        <f t="shared" si="756"/>
        <v>0.56035833170158611</v>
      </c>
      <c r="AM637" s="462">
        <f t="shared" si="757"/>
        <v>31875</v>
      </c>
      <c r="AN637" s="513">
        <v>20532</v>
      </c>
      <c r="AO637" s="88">
        <v>25000</v>
      </c>
      <c r="AP637" s="116">
        <v>25000</v>
      </c>
      <c r="AQ637" s="74">
        <v>25889.16</v>
      </c>
      <c r="AR637" s="76">
        <f t="shared" si="758"/>
        <v>25296.386666666669</v>
      </c>
      <c r="AS637" s="24">
        <f t="shared" si="759"/>
        <v>4764.386666666669</v>
      </c>
      <c r="AT637" s="25">
        <f t="shared" si="760"/>
        <v>0.23204688616143918</v>
      </c>
      <c r="AU637" s="309">
        <f t="shared" si="761"/>
        <v>25296.386666666669</v>
      </c>
      <c r="AV637" s="462">
        <f t="shared" si="762"/>
        <v>25296.386666666669</v>
      </c>
      <c r="AW637" s="513">
        <v>20532</v>
      </c>
      <c r="AX637" s="74">
        <v>27065.94</v>
      </c>
      <c r="AY637" s="74">
        <v>38000</v>
      </c>
      <c r="AZ637" s="75">
        <v>31184.67</v>
      </c>
      <c r="BA637" s="61">
        <v>27065.939999999995</v>
      </c>
      <c r="BB637" s="60">
        <v>65000</v>
      </c>
      <c r="BC637" s="74">
        <v>31125.830999999991</v>
      </c>
      <c r="BD637" s="79">
        <v>31184.67</v>
      </c>
      <c r="BE637" s="79">
        <f>19613*1.2</f>
        <v>23535.599999999999</v>
      </c>
      <c r="BF637" s="127">
        <v>28242.719999999998</v>
      </c>
      <c r="BG637" s="128">
        <v>28500</v>
      </c>
      <c r="BH637" s="128">
        <v>25000</v>
      </c>
      <c r="BI637" s="76">
        <f t="shared" si="763"/>
        <v>36573.730166666668</v>
      </c>
      <c r="BJ637" s="24">
        <f t="shared" si="764"/>
        <v>16041.730166666668</v>
      </c>
      <c r="BK637" s="25">
        <f t="shared" si="765"/>
        <v>0.78130382654717845</v>
      </c>
      <c r="BL637" s="259" t="str">
        <f t="shared" si="766"/>
        <v>REVISAR PRECIO</v>
      </c>
      <c r="BM637" s="533">
        <f t="shared" si="767"/>
        <v>36573.730166666668</v>
      </c>
    </row>
    <row r="638" spans="1:65" ht="30">
      <c r="A638" s="91" t="s">
        <v>30</v>
      </c>
      <c r="B638" s="358" t="s">
        <v>2829</v>
      </c>
      <c r="C638" s="50" t="s">
        <v>293</v>
      </c>
      <c r="D638" s="99" t="s">
        <v>633</v>
      </c>
      <c r="E638" s="391" t="s">
        <v>13</v>
      </c>
      <c r="F638" s="408"/>
      <c r="G638" s="293"/>
      <c r="H638" s="293"/>
      <c r="I638" s="293"/>
      <c r="J638" s="293"/>
      <c r="K638" s="293"/>
      <c r="L638" s="327"/>
      <c r="M638" s="432"/>
      <c r="N638" s="410">
        <v>17181</v>
      </c>
      <c r="O638" s="10">
        <v>25000</v>
      </c>
      <c r="P638" s="10"/>
      <c r="Q638" s="268">
        <v>28000</v>
      </c>
      <c r="R638" s="10">
        <v>30000</v>
      </c>
      <c r="S638" s="76">
        <f t="shared" si="768"/>
        <v>27666.666666666668</v>
      </c>
      <c r="T638" s="24">
        <f t="shared" si="769"/>
        <v>10485.666666666668</v>
      </c>
      <c r="U638" s="281">
        <f t="shared" si="770"/>
        <v>0.61030595813204513</v>
      </c>
      <c r="V638" s="462">
        <f t="shared" si="771"/>
        <v>27666.666666666668</v>
      </c>
      <c r="W638" s="410">
        <v>36974</v>
      </c>
      <c r="X638" s="33">
        <v>48087</v>
      </c>
      <c r="Y638" s="33">
        <v>62513</v>
      </c>
      <c r="Z638" s="472">
        <v>42031.6</v>
      </c>
      <c r="AA638" s="76">
        <f t="shared" si="749"/>
        <v>50877.200000000004</v>
      </c>
      <c r="AB638" s="24">
        <f t="shared" si="750"/>
        <v>13903.200000000004</v>
      </c>
      <c r="AC638" s="25">
        <f t="shared" si="751"/>
        <v>0.37602639692757084</v>
      </c>
      <c r="AD638" s="309" t="str">
        <f t="shared" si="752"/>
        <v>REVISAR PRECIO</v>
      </c>
      <c r="AE638" s="462">
        <f t="shared" si="753"/>
        <v>50877.200000000004</v>
      </c>
      <c r="AF638" s="410">
        <v>18966</v>
      </c>
      <c r="AG638" s="45"/>
      <c r="AH638" s="45">
        <v>23100</v>
      </c>
      <c r="AI638" s="45">
        <v>40000</v>
      </c>
      <c r="AJ638" s="76">
        <f t="shared" si="754"/>
        <v>31550</v>
      </c>
      <c r="AK638" s="24">
        <f t="shared" si="755"/>
        <v>12584</v>
      </c>
      <c r="AL638" s="281">
        <f t="shared" si="756"/>
        <v>0.6635031108299061</v>
      </c>
      <c r="AM638" s="462">
        <f t="shared" si="757"/>
        <v>31550</v>
      </c>
      <c r="AN638" s="513">
        <v>19772</v>
      </c>
      <c r="AO638" s="88">
        <v>28000</v>
      </c>
      <c r="AP638" s="116">
        <v>28000</v>
      </c>
      <c r="AQ638" s="74">
        <v>26471.5</v>
      </c>
      <c r="AR638" s="76">
        <f t="shared" si="758"/>
        <v>27490.5</v>
      </c>
      <c r="AS638" s="24">
        <f t="shared" si="759"/>
        <v>7718.5</v>
      </c>
      <c r="AT638" s="25">
        <f t="shared" si="760"/>
        <v>0.39037527817115114</v>
      </c>
      <c r="AU638" s="309" t="str">
        <f t="shared" si="761"/>
        <v>REVISAR PRECIO</v>
      </c>
      <c r="AV638" s="462">
        <f t="shared" si="762"/>
        <v>27490.5</v>
      </c>
      <c r="AW638" s="513">
        <v>19772</v>
      </c>
      <c r="AX638" s="74">
        <v>27674.75</v>
      </c>
      <c r="AY638" s="74">
        <v>32000</v>
      </c>
      <c r="AZ638" s="75">
        <v>31886.125</v>
      </c>
      <c r="BA638" s="61">
        <v>27674.749999999996</v>
      </c>
      <c r="BB638" s="60">
        <v>63000</v>
      </c>
      <c r="BC638" s="74">
        <v>31825.962499999994</v>
      </c>
      <c r="BD638" s="79">
        <v>31886.125</v>
      </c>
      <c r="BE638" s="79">
        <f>19252*1.25</f>
        <v>24065</v>
      </c>
      <c r="BF638" s="127">
        <v>28878</v>
      </c>
      <c r="BG638" s="128">
        <v>28600</v>
      </c>
      <c r="BH638" s="128">
        <v>29000</v>
      </c>
      <c r="BI638" s="76">
        <f t="shared" si="763"/>
        <v>35676.931250000001</v>
      </c>
      <c r="BJ638" s="24">
        <f t="shared" si="764"/>
        <v>15904.931250000001</v>
      </c>
      <c r="BK638" s="25">
        <f t="shared" si="765"/>
        <v>0.80441691533481696</v>
      </c>
      <c r="BL638" s="259" t="str">
        <f t="shared" si="766"/>
        <v>REVISAR PRECIO</v>
      </c>
      <c r="BM638" s="533">
        <f t="shared" si="767"/>
        <v>35676.931250000001</v>
      </c>
    </row>
    <row r="639" spans="1:65" ht="30">
      <c r="A639" s="91" t="s">
        <v>30</v>
      </c>
      <c r="B639" s="358" t="s">
        <v>2830</v>
      </c>
      <c r="C639" s="50" t="s">
        <v>294</v>
      </c>
      <c r="D639" s="99" t="s">
        <v>634</v>
      </c>
      <c r="E639" s="391" t="s">
        <v>13</v>
      </c>
      <c r="F639" s="408"/>
      <c r="G639" s="293"/>
      <c r="H639" s="293"/>
      <c r="I639" s="293"/>
      <c r="J639" s="293"/>
      <c r="K639" s="293"/>
      <c r="L639" s="327"/>
      <c r="M639" s="432"/>
      <c r="N639" s="410">
        <v>16801</v>
      </c>
      <c r="O639" s="10">
        <v>26000</v>
      </c>
      <c r="P639" s="10"/>
      <c r="Q639" s="268">
        <v>29000</v>
      </c>
      <c r="R639" s="10">
        <v>30000</v>
      </c>
      <c r="S639" s="76">
        <f t="shared" si="768"/>
        <v>28333.333333333332</v>
      </c>
      <c r="T639" s="24">
        <f t="shared" si="769"/>
        <v>11532.333333333332</v>
      </c>
      <c r="U639" s="281">
        <f t="shared" si="770"/>
        <v>0.68640755510584683</v>
      </c>
      <c r="V639" s="462">
        <f t="shared" si="771"/>
        <v>28333.333333333332</v>
      </c>
      <c r="W639" s="410">
        <v>35801</v>
      </c>
      <c r="X639" s="33">
        <v>46562</v>
      </c>
      <c r="Y639" s="31">
        <v>60530</v>
      </c>
      <c r="Z639" s="472">
        <v>40698.199999999997</v>
      </c>
      <c r="AA639" s="76">
        <f t="shared" si="749"/>
        <v>49263.4</v>
      </c>
      <c r="AB639" s="24">
        <f t="shared" si="750"/>
        <v>13462.400000000001</v>
      </c>
      <c r="AC639" s="25">
        <f t="shared" si="751"/>
        <v>0.37603418898913443</v>
      </c>
      <c r="AD639" s="309" t="str">
        <f t="shared" si="752"/>
        <v>REVISAR PRECIO</v>
      </c>
      <c r="AE639" s="462">
        <f t="shared" si="753"/>
        <v>49263.4</v>
      </c>
      <c r="AF639" s="410">
        <v>18558</v>
      </c>
      <c r="AG639" s="45"/>
      <c r="AH639" s="45">
        <v>22499</v>
      </c>
      <c r="AI639" s="45">
        <v>40000</v>
      </c>
      <c r="AJ639" s="76">
        <f t="shared" si="754"/>
        <v>31249.5</v>
      </c>
      <c r="AK639" s="24">
        <f t="shared" si="755"/>
        <v>12691.5</v>
      </c>
      <c r="AL639" s="281">
        <f t="shared" si="756"/>
        <v>0.68388296152602646</v>
      </c>
      <c r="AM639" s="462">
        <f t="shared" si="757"/>
        <v>31249.5</v>
      </c>
      <c r="AN639" s="513">
        <v>19146</v>
      </c>
      <c r="AO639" s="88">
        <v>26000</v>
      </c>
      <c r="AP639" s="116">
        <v>26000</v>
      </c>
      <c r="AQ639" s="74">
        <v>26123.625</v>
      </c>
      <c r="AR639" s="76">
        <f t="shared" si="758"/>
        <v>26041.208333333332</v>
      </c>
      <c r="AS639" s="24">
        <f t="shared" si="759"/>
        <v>6895.2083333333321</v>
      </c>
      <c r="AT639" s="25">
        <f t="shared" si="760"/>
        <v>0.36013832306138788</v>
      </c>
      <c r="AU639" s="309" t="str">
        <f t="shared" si="761"/>
        <v>REVISAR PRECIO</v>
      </c>
      <c r="AV639" s="462">
        <f t="shared" si="762"/>
        <v>26041.208333333332</v>
      </c>
      <c r="AW639" s="513">
        <v>19146</v>
      </c>
      <c r="AX639" s="74">
        <v>27311.0625</v>
      </c>
      <c r="AY639" s="74">
        <v>30000</v>
      </c>
      <c r="AZ639" s="75">
        <v>31467.09375</v>
      </c>
      <c r="BA639" s="61">
        <v>27311.062499999996</v>
      </c>
      <c r="BB639" s="60">
        <v>60000</v>
      </c>
      <c r="BC639" s="74">
        <v>31407.721874999992</v>
      </c>
      <c r="BD639" s="79">
        <v>31467.09375</v>
      </c>
      <c r="BE639" s="79">
        <f>18999*1.25</f>
        <v>23748.75</v>
      </c>
      <c r="BF639" s="127">
        <v>28498.5</v>
      </c>
      <c r="BG639" s="128">
        <v>22900</v>
      </c>
      <c r="BH639" s="128">
        <v>32000</v>
      </c>
      <c r="BI639" s="76">
        <f t="shared" si="763"/>
        <v>34582.823437499996</v>
      </c>
      <c r="BJ639" s="24">
        <f t="shared" si="764"/>
        <v>15436.823437499996</v>
      </c>
      <c r="BK639" s="25">
        <f t="shared" si="765"/>
        <v>0.80626885184894992</v>
      </c>
      <c r="BL639" s="259" t="str">
        <f t="shared" si="766"/>
        <v>REVISAR PRECIO</v>
      </c>
      <c r="BM639" s="533">
        <f t="shared" si="767"/>
        <v>34582.823437499996</v>
      </c>
    </row>
    <row r="640" spans="1:65" ht="30">
      <c r="A640" s="91" t="s">
        <v>30</v>
      </c>
      <c r="B640" s="358" t="s">
        <v>2831</v>
      </c>
      <c r="C640" s="50" t="s">
        <v>295</v>
      </c>
      <c r="D640" s="99" t="s">
        <v>635</v>
      </c>
      <c r="E640" s="391" t="s">
        <v>10</v>
      </c>
      <c r="F640" s="408"/>
      <c r="G640" s="293"/>
      <c r="H640" s="293"/>
      <c r="I640" s="293"/>
      <c r="J640" s="293"/>
      <c r="K640" s="293"/>
      <c r="L640" s="327"/>
      <c r="M640" s="432"/>
      <c r="N640" s="410">
        <v>33603</v>
      </c>
      <c r="O640" s="10">
        <v>25000</v>
      </c>
      <c r="P640" s="10"/>
      <c r="Q640" s="268">
        <v>28000</v>
      </c>
      <c r="R640" s="10">
        <v>40000</v>
      </c>
      <c r="S640" s="76">
        <f t="shared" si="768"/>
        <v>31000</v>
      </c>
      <c r="T640" s="24">
        <f t="shared" si="769"/>
        <v>-2603</v>
      </c>
      <c r="U640" s="281">
        <f t="shared" si="770"/>
        <v>-7.7463321727226739E-2</v>
      </c>
      <c r="V640" s="462">
        <f t="shared" si="771"/>
        <v>31000</v>
      </c>
      <c r="W640" s="410">
        <v>70522</v>
      </c>
      <c r="X640" s="33">
        <v>91719</v>
      </c>
      <c r="Y640" s="31">
        <v>119235</v>
      </c>
      <c r="Z640" s="472">
        <v>80169.2</v>
      </c>
      <c r="AA640" s="76">
        <f t="shared" si="749"/>
        <v>97041.066666666666</v>
      </c>
      <c r="AB640" s="24">
        <f t="shared" si="750"/>
        <v>26519.066666666666</v>
      </c>
      <c r="AC640" s="25">
        <f t="shared" si="751"/>
        <v>0.37603962829566184</v>
      </c>
      <c r="AD640" s="309" t="str">
        <f t="shared" si="752"/>
        <v>REVISAR PRECIO</v>
      </c>
      <c r="AE640" s="462">
        <f t="shared" si="753"/>
        <v>97041.066666666666</v>
      </c>
      <c r="AF640" s="410">
        <v>37524</v>
      </c>
      <c r="AG640" s="45">
        <v>25000</v>
      </c>
      <c r="AH640" s="45">
        <v>43626</v>
      </c>
      <c r="AI640" s="45">
        <v>25000</v>
      </c>
      <c r="AJ640" s="76">
        <f t="shared" si="754"/>
        <v>31208.666666666668</v>
      </c>
      <c r="AK640" s="24">
        <f t="shared" si="755"/>
        <v>-6315.3333333333321</v>
      </c>
      <c r="AL640" s="281">
        <f t="shared" si="756"/>
        <v>-0.16830117613616172</v>
      </c>
      <c r="AM640" s="462">
        <f t="shared" si="757"/>
        <v>31208.666666666668</v>
      </c>
      <c r="AN640" s="513">
        <v>37714</v>
      </c>
      <c r="AO640" s="88">
        <v>25000</v>
      </c>
      <c r="AP640" s="116">
        <v>25000</v>
      </c>
      <c r="AQ640" s="74">
        <v>24200</v>
      </c>
      <c r="AR640" s="76">
        <f t="shared" si="758"/>
        <v>24733.333333333332</v>
      </c>
      <c r="AS640" s="24">
        <f t="shared" si="759"/>
        <v>-12980.666666666668</v>
      </c>
      <c r="AT640" s="25">
        <f t="shared" si="760"/>
        <v>-0.34418695091124429</v>
      </c>
      <c r="AU640" s="309">
        <f t="shared" si="761"/>
        <v>24733.333333333332</v>
      </c>
      <c r="AV640" s="462">
        <f t="shared" si="762"/>
        <v>24733.333333333332</v>
      </c>
      <c r="AW640" s="513">
        <v>37714</v>
      </c>
      <c r="AX640" s="74">
        <v>25300</v>
      </c>
      <c r="AY640" s="74">
        <v>85000</v>
      </c>
      <c r="AZ640" s="75">
        <v>29150</v>
      </c>
      <c r="BA640" s="61">
        <v>25299.999999999996</v>
      </c>
      <c r="BB640" s="60">
        <v>120000</v>
      </c>
      <c r="BC640" s="74">
        <v>29094.999999999993</v>
      </c>
      <c r="BD640" s="79">
        <v>29150</v>
      </c>
      <c r="BE640" s="79">
        <f>+BE634</f>
        <v>22000</v>
      </c>
      <c r="BF640" s="127">
        <v>26400</v>
      </c>
      <c r="BG640" s="128">
        <v>28000</v>
      </c>
      <c r="BH640" s="128">
        <v>25000</v>
      </c>
      <c r="BI640" s="76">
        <f t="shared" si="763"/>
        <v>52307.5</v>
      </c>
      <c r="BJ640" s="24">
        <f t="shared" si="764"/>
        <v>14593.5</v>
      </c>
      <c r="BK640" s="25">
        <f t="shared" si="765"/>
        <v>0.38695179508935673</v>
      </c>
      <c r="BL640" s="259" t="str">
        <f t="shared" si="766"/>
        <v>REVISAR PRECIO</v>
      </c>
      <c r="BM640" s="533">
        <f t="shared" si="767"/>
        <v>52307.5</v>
      </c>
    </row>
    <row r="641" spans="1:65" ht="30">
      <c r="A641" s="91" t="s">
        <v>30</v>
      </c>
      <c r="B641" s="358" t="s">
        <v>2832</v>
      </c>
      <c r="C641" s="50" t="s">
        <v>296</v>
      </c>
      <c r="D641" s="99" t="s">
        <v>636</v>
      </c>
      <c r="E641" s="391" t="s">
        <v>13</v>
      </c>
      <c r="F641" s="408"/>
      <c r="G641" s="293"/>
      <c r="H641" s="293"/>
      <c r="I641" s="293"/>
      <c r="J641" s="293"/>
      <c r="K641" s="293"/>
      <c r="L641" s="327"/>
      <c r="M641" s="432"/>
      <c r="N641" s="410">
        <v>15083</v>
      </c>
      <c r="O641" s="10">
        <v>22000</v>
      </c>
      <c r="P641" s="10"/>
      <c r="Q641" s="268">
        <v>26000</v>
      </c>
      <c r="R641" s="10">
        <v>30000</v>
      </c>
      <c r="S641" s="76">
        <f t="shared" si="768"/>
        <v>26000</v>
      </c>
      <c r="T641" s="24">
        <f t="shared" si="769"/>
        <v>10917</v>
      </c>
      <c r="U641" s="281">
        <f t="shared" si="770"/>
        <v>0.72379500099449712</v>
      </c>
      <c r="V641" s="462">
        <f t="shared" si="771"/>
        <v>26000</v>
      </c>
      <c r="W641" s="410">
        <v>32894</v>
      </c>
      <c r="X641" s="33">
        <v>42782</v>
      </c>
      <c r="Y641" s="33">
        <v>55616</v>
      </c>
      <c r="Z641" s="472">
        <v>37394.199999999997</v>
      </c>
      <c r="AA641" s="76">
        <f t="shared" si="749"/>
        <v>45264.066666666673</v>
      </c>
      <c r="AB641" s="24">
        <f t="shared" si="750"/>
        <v>12370.066666666673</v>
      </c>
      <c r="AC641" s="25">
        <f t="shared" si="751"/>
        <v>0.37605845037595526</v>
      </c>
      <c r="AD641" s="309" t="str">
        <f t="shared" si="752"/>
        <v>REVISAR PRECIO</v>
      </c>
      <c r="AE641" s="462">
        <f t="shared" si="753"/>
        <v>45264.066666666673</v>
      </c>
      <c r="AF641" s="410">
        <v>16593</v>
      </c>
      <c r="AG641" s="45">
        <v>30000</v>
      </c>
      <c r="AH641" s="45">
        <v>20488</v>
      </c>
      <c r="AI641" s="45">
        <v>35000</v>
      </c>
      <c r="AJ641" s="76">
        <f t="shared" si="754"/>
        <v>28496</v>
      </c>
      <c r="AK641" s="24">
        <f t="shared" si="755"/>
        <v>11903</v>
      </c>
      <c r="AL641" s="281">
        <f t="shared" si="756"/>
        <v>0.71735069005002106</v>
      </c>
      <c r="AM641" s="462">
        <f t="shared" si="757"/>
        <v>28496</v>
      </c>
      <c r="AN641" s="513">
        <v>17590</v>
      </c>
      <c r="AO641" s="88">
        <v>26000</v>
      </c>
      <c r="AP641" s="116">
        <v>26000</v>
      </c>
      <c r="AQ641" s="74">
        <v>26003.339999999997</v>
      </c>
      <c r="AR641" s="76">
        <f t="shared" si="758"/>
        <v>26001.113333333331</v>
      </c>
      <c r="AS641" s="24">
        <f t="shared" si="759"/>
        <v>8411.113333333331</v>
      </c>
      <c r="AT641" s="25">
        <f t="shared" si="760"/>
        <v>0.47817585749478858</v>
      </c>
      <c r="AU641" s="309" t="str">
        <f t="shared" si="761"/>
        <v>REVISAR PRECIO</v>
      </c>
      <c r="AV641" s="462">
        <f t="shared" si="762"/>
        <v>26001.113333333331</v>
      </c>
      <c r="AW641" s="513">
        <v>17590</v>
      </c>
      <c r="AX641" s="74">
        <v>27185.309999999998</v>
      </c>
      <c r="AY641" s="74">
        <v>42000</v>
      </c>
      <c r="AZ641" s="75">
        <v>31322.204999999994</v>
      </c>
      <c r="BA641" s="61">
        <v>27185.309999999994</v>
      </c>
      <c r="BB641" s="60">
        <v>70000</v>
      </c>
      <c r="BC641" s="74">
        <v>31263.106499999991</v>
      </c>
      <c r="BD641" s="79">
        <v>31322.204999999994</v>
      </c>
      <c r="BE641" s="79">
        <f>20556*1.15</f>
        <v>23639.399999999998</v>
      </c>
      <c r="BF641" s="127">
        <v>28367.279999999999</v>
      </c>
      <c r="BG641" s="128">
        <v>27000</v>
      </c>
      <c r="BH641" s="128">
        <v>24000</v>
      </c>
      <c r="BI641" s="76">
        <f t="shared" si="763"/>
        <v>38159.32191666666</v>
      </c>
      <c r="BJ641" s="24">
        <f t="shared" si="764"/>
        <v>20569.32191666666</v>
      </c>
      <c r="BK641" s="25">
        <f t="shared" si="765"/>
        <v>1.1693758906575702</v>
      </c>
      <c r="BL641" s="259" t="str">
        <f t="shared" si="766"/>
        <v>REVISAR PRECIO</v>
      </c>
      <c r="BM641" s="533">
        <f t="shared" si="767"/>
        <v>38159.32191666666</v>
      </c>
    </row>
    <row r="642" spans="1:65" ht="30">
      <c r="A642" s="91" t="s">
        <v>30</v>
      </c>
      <c r="B642" s="358" t="s">
        <v>2833</v>
      </c>
      <c r="C642" s="50" t="s">
        <v>297</v>
      </c>
      <c r="D642" s="99" t="s">
        <v>637</v>
      </c>
      <c r="E642" s="391" t="s">
        <v>13</v>
      </c>
      <c r="F642" s="408"/>
      <c r="G642" s="293"/>
      <c r="H642" s="293"/>
      <c r="I642" s="293"/>
      <c r="J642" s="293"/>
      <c r="K642" s="293"/>
      <c r="L642" s="327"/>
      <c r="M642" s="432"/>
      <c r="N642" s="410">
        <v>14162</v>
      </c>
      <c r="O642" s="10">
        <v>23000</v>
      </c>
      <c r="P642" s="10"/>
      <c r="Q642" s="268">
        <v>26000</v>
      </c>
      <c r="R642" s="10">
        <v>30000</v>
      </c>
      <c r="S642" s="76">
        <f t="shared" si="768"/>
        <v>26333.333333333332</v>
      </c>
      <c r="T642" s="24">
        <f t="shared" si="769"/>
        <v>12171.333333333332</v>
      </c>
      <c r="U642" s="281">
        <f t="shared" si="770"/>
        <v>0.85943604952219543</v>
      </c>
      <c r="V642" s="462">
        <f t="shared" si="771"/>
        <v>26333.333333333332</v>
      </c>
      <c r="W642" s="410">
        <v>30507</v>
      </c>
      <c r="X642" s="33">
        <v>39677</v>
      </c>
      <c r="Y642" s="31">
        <v>51579</v>
      </c>
      <c r="Z642" s="472">
        <v>34680.199999999997</v>
      </c>
      <c r="AA642" s="76">
        <f t="shared" si="749"/>
        <v>41978.73333333333</v>
      </c>
      <c r="AB642" s="24">
        <f t="shared" si="750"/>
        <v>11471.73333333333</v>
      </c>
      <c r="AC642" s="25">
        <f t="shared" si="751"/>
        <v>0.37603610100414103</v>
      </c>
      <c r="AD642" s="309" t="str">
        <f t="shared" si="752"/>
        <v>REVISAR PRECIO</v>
      </c>
      <c r="AE642" s="462">
        <f t="shared" si="753"/>
        <v>41978.73333333333</v>
      </c>
      <c r="AF642" s="410">
        <v>15625</v>
      </c>
      <c r="AG642" s="45">
        <v>30000</v>
      </c>
      <c r="AH642" s="45">
        <v>19041</v>
      </c>
      <c r="AI642" s="45">
        <v>35000</v>
      </c>
      <c r="AJ642" s="76">
        <f t="shared" si="754"/>
        <v>28013.666666666668</v>
      </c>
      <c r="AK642" s="24">
        <f t="shared" si="755"/>
        <v>12388.666666666668</v>
      </c>
      <c r="AL642" s="281">
        <f t="shared" si="756"/>
        <v>0.79287466666666673</v>
      </c>
      <c r="AM642" s="462">
        <f t="shared" si="757"/>
        <v>28013.666666666668</v>
      </c>
      <c r="AN642" s="513">
        <v>16308</v>
      </c>
      <c r="AO642" s="88">
        <v>27500</v>
      </c>
      <c r="AP642" s="116">
        <v>29000</v>
      </c>
      <c r="AQ642" s="74">
        <v>26853.75</v>
      </c>
      <c r="AR642" s="76">
        <f t="shared" si="758"/>
        <v>27784.583333333332</v>
      </c>
      <c r="AS642" s="24">
        <f t="shared" si="759"/>
        <v>11476.583333333332</v>
      </c>
      <c r="AT642" s="25">
        <f t="shared" si="760"/>
        <v>0.70373947346905397</v>
      </c>
      <c r="AU642" s="309" t="str">
        <f t="shared" si="761"/>
        <v>REVISAR PRECIO</v>
      </c>
      <c r="AV642" s="462">
        <f t="shared" si="762"/>
        <v>27784.583333333332</v>
      </c>
      <c r="AW642" s="513">
        <v>16308</v>
      </c>
      <c r="AX642" s="74">
        <v>28074.375</v>
      </c>
      <c r="AY642" s="74">
        <v>40000</v>
      </c>
      <c r="AZ642" s="75">
        <v>32346.5625</v>
      </c>
      <c r="BA642" s="61">
        <v>28074.374999999996</v>
      </c>
      <c r="BB642" s="60">
        <v>65000</v>
      </c>
      <c r="BC642" s="74">
        <v>32285.531249999993</v>
      </c>
      <c r="BD642" s="79">
        <v>32346.5625</v>
      </c>
      <c r="BE642" s="79">
        <f>19530*1.25</f>
        <v>24412.5</v>
      </c>
      <c r="BF642" s="127">
        <v>29295</v>
      </c>
      <c r="BG642" s="128">
        <v>27000</v>
      </c>
      <c r="BH642" s="128">
        <v>24000</v>
      </c>
      <c r="BI642" s="76">
        <f t="shared" si="763"/>
        <v>37630.140625</v>
      </c>
      <c r="BJ642" s="24">
        <f t="shared" si="764"/>
        <v>21322.140625</v>
      </c>
      <c r="BK642" s="25">
        <f t="shared" si="765"/>
        <v>1.3074650861540349</v>
      </c>
      <c r="BL642" s="259" t="str">
        <f t="shared" si="766"/>
        <v>REVISAR PRECIO</v>
      </c>
      <c r="BM642" s="533">
        <f t="shared" si="767"/>
        <v>37630.140625</v>
      </c>
    </row>
    <row r="643" spans="1:65" ht="30">
      <c r="A643" s="91" t="s">
        <v>30</v>
      </c>
      <c r="B643" s="358" t="s">
        <v>2834</v>
      </c>
      <c r="C643" s="50" t="s">
        <v>298</v>
      </c>
      <c r="D643" s="99" t="s">
        <v>638</v>
      </c>
      <c r="E643" s="391" t="s">
        <v>13</v>
      </c>
      <c r="F643" s="408"/>
      <c r="G643" s="293"/>
      <c r="H643" s="293"/>
      <c r="I643" s="293"/>
      <c r="J643" s="293"/>
      <c r="K643" s="293"/>
      <c r="L643" s="327"/>
      <c r="M643" s="432"/>
      <c r="N643" s="410">
        <v>13887</v>
      </c>
      <c r="O643" s="10">
        <v>22000</v>
      </c>
      <c r="P643" s="10"/>
      <c r="Q643" s="268">
        <v>26000</v>
      </c>
      <c r="R643" s="10">
        <v>30000</v>
      </c>
      <c r="S643" s="76">
        <f t="shared" si="768"/>
        <v>26000</v>
      </c>
      <c r="T643" s="24">
        <f t="shared" si="769"/>
        <v>12113</v>
      </c>
      <c r="U643" s="281">
        <f t="shared" si="770"/>
        <v>0.8722546266292216</v>
      </c>
      <c r="V643" s="462">
        <f t="shared" si="771"/>
        <v>26000</v>
      </c>
      <c r="W643" s="410">
        <v>43804</v>
      </c>
      <c r="X643" s="33">
        <v>56970</v>
      </c>
      <c r="Y643" s="31">
        <v>74061</v>
      </c>
      <c r="Z643" s="472">
        <v>49796</v>
      </c>
      <c r="AA643" s="76">
        <f t="shared" si="749"/>
        <v>60275.666666666664</v>
      </c>
      <c r="AB643" s="24">
        <f t="shared" si="750"/>
        <v>16471.666666666664</v>
      </c>
      <c r="AC643" s="25">
        <f t="shared" si="751"/>
        <v>0.37603110827017316</v>
      </c>
      <c r="AD643" s="309" t="str">
        <f t="shared" si="752"/>
        <v>REVISAR PRECIO</v>
      </c>
      <c r="AE643" s="462">
        <f t="shared" si="753"/>
        <v>60275.666666666664</v>
      </c>
      <c r="AF643" s="410">
        <v>15330</v>
      </c>
      <c r="AG643" s="45">
        <v>30000</v>
      </c>
      <c r="AH643" s="45">
        <v>18614</v>
      </c>
      <c r="AI643" s="45">
        <v>35000</v>
      </c>
      <c r="AJ643" s="76">
        <f t="shared" si="754"/>
        <v>27871.333333333332</v>
      </c>
      <c r="AK643" s="24">
        <f t="shared" si="755"/>
        <v>12541.333333333332</v>
      </c>
      <c r="AL643" s="281">
        <f t="shared" si="756"/>
        <v>0.81809088932376595</v>
      </c>
      <c r="AM643" s="462">
        <f t="shared" si="757"/>
        <v>27871.333333333332</v>
      </c>
      <c r="AN643" s="513">
        <v>15938</v>
      </c>
      <c r="AO643" s="88">
        <v>25000</v>
      </c>
      <c r="AP643" s="116">
        <v>25000</v>
      </c>
      <c r="AQ643" s="74">
        <v>25300</v>
      </c>
      <c r="AR643" s="76">
        <f t="shared" si="758"/>
        <v>25100</v>
      </c>
      <c r="AS643" s="24">
        <f t="shared" si="759"/>
        <v>9162</v>
      </c>
      <c r="AT643" s="25">
        <f t="shared" si="760"/>
        <v>0.5748525536453758</v>
      </c>
      <c r="AU643" s="309" t="str">
        <f t="shared" si="761"/>
        <v>REVISAR PRECIO</v>
      </c>
      <c r="AV643" s="462">
        <f t="shared" si="762"/>
        <v>25100</v>
      </c>
      <c r="AW643" s="513">
        <v>15938</v>
      </c>
      <c r="AX643" s="74">
        <v>26450</v>
      </c>
      <c r="AY643" s="74">
        <v>38000</v>
      </c>
      <c r="AZ643" s="75">
        <v>30475</v>
      </c>
      <c r="BA643" s="61">
        <v>26449.999999999996</v>
      </c>
      <c r="BB643" s="60">
        <v>60000</v>
      </c>
      <c r="BC643" s="74">
        <v>30417.499999999993</v>
      </c>
      <c r="BD643" s="79">
        <v>30475</v>
      </c>
      <c r="BE643" s="79">
        <f>18400*1.25</f>
        <v>23000</v>
      </c>
      <c r="BF643" s="127">
        <v>27600</v>
      </c>
      <c r="BG643" s="128">
        <v>27000</v>
      </c>
      <c r="BH643" s="128">
        <v>24000</v>
      </c>
      <c r="BI643" s="76">
        <f t="shared" si="763"/>
        <v>35298.75</v>
      </c>
      <c r="BJ643" s="24">
        <f t="shared" si="764"/>
        <v>19360.75</v>
      </c>
      <c r="BK643" s="25">
        <f t="shared" si="765"/>
        <v>1.214754046931861</v>
      </c>
      <c r="BL643" s="259" t="str">
        <f t="shared" si="766"/>
        <v>REVISAR PRECIO</v>
      </c>
      <c r="BM643" s="533">
        <f t="shared" si="767"/>
        <v>35298.75</v>
      </c>
    </row>
    <row r="644" spans="1:65" ht="30">
      <c r="A644" s="91" t="s">
        <v>30</v>
      </c>
      <c r="B644" s="358" t="s">
        <v>2835</v>
      </c>
      <c r="C644" s="50" t="s">
        <v>299</v>
      </c>
      <c r="D644" s="99" t="s">
        <v>639</v>
      </c>
      <c r="E644" s="391" t="s">
        <v>13</v>
      </c>
      <c r="F644" s="408"/>
      <c r="G644" s="293"/>
      <c r="H644" s="293"/>
      <c r="I644" s="293"/>
      <c r="J644" s="293"/>
      <c r="K644" s="293"/>
      <c r="L644" s="327"/>
      <c r="M644" s="432"/>
      <c r="N644" s="410">
        <v>41292</v>
      </c>
      <c r="O644" s="10"/>
      <c r="P644" s="10"/>
      <c r="Q644" s="268"/>
      <c r="R644" s="10">
        <v>45000</v>
      </c>
      <c r="S644" s="76">
        <f t="shared" si="768"/>
        <v>45000</v>
      </c>
      <c r="T644" s="24">
        <f t="shared" si="769"/>
        <v>3708</v>
      </c>
      <c r="U644" s="281">
        <f t="shared" si="770"/>
        <v>8.979947689625109E-2</v>
      </c>
      <c r="V644" s="462">
        <f t="shared" si="771"/>
        <v>45000</v>
      </c>
      <c r="W644" s="410">
        <v>68404</v>
      </c>
      <c r="X644" s="31">
        <v>88965</v>
      </c>
      <c r="Y644" s="33">
        <v>115655</v>
      </c>
      <c r="Z644" s="472">
        <v>77762</v>
      </c>
      <c r="AA644" s="76">
        <f t="shared" si="749"/>
        <v>94127.333333333328</v>
      </c>
      <c r="AB644" s="24">
        <f t="shared" si="750"/>
        <v>25723.333333333328</v>
      </c>
      <c r="AC644" s="25">
        <f t="shared" si="751"/>
        <v>0.3760501335204568</v>
      </c>
      <c r="AD644" s="309" t="str">
        <f t="shared" si="752"/>
        <v>REVISAR PRECIO</v>
      </c>
      <c r="AE644" s="462">
        <f t="shared" si="753"/>
        <v>94127.333333333328</v>
      </c>
      <c r="AF644" s="410">
        <v>46105</v>
      </c>
      <c r="AG644" s="45">
        <v>35000</v>
      </c>
      <c r="AH644" s="45">
        <v>53602</v>
      </c>
      <c r="AI644" s="45">
        <v>35000</v>
      </c>
      <c r="AJ644" s="76">
        <f t="shared" si="754"/>
        <v>41200.666666666664</v>
      </c>
      <c r="AK644" s="24">
        <f t="shared" si="755"/>
        <v>-4904.3333333333358</v>
      </c>
      <c r="AL644" s="281">
        <f t="shared" si="756"/>
        <v>-0.10637313378881544</v>
      </c>
      <c r="AM644" s="462">
        <f t="shared" si="757"/>
        <v>41200.666666666664</v>
      </c>
      <c r="AN644" s="513"/>
      <c r="AO644" s="88">
        <v>28000</v>
      </c>
      <c r="AP644" s="116">
        <v>32000</v>
      </c>
      <c r="AQ644" s="74">
        <v>27500</v>
      </c>
      <c r="AR644" s="76">
        <f t="shared" si="758"/>
        <v>29166.666666666668</v>
      </c>
      <c r="AS644" s="24">
        <f t="shared" si="759"/>
        <v>29166.666666666668</v>
      </c>
      <c r="AT644" s="25"/>
      <c r="AU644" s="309"/>
      <c r="AV644" s="462">
        <f t="shared" si="762"/>
        <v>29166.666666666668</v>
      </c>
      <c r="AW644" s="513"/>
      <c r="AX644" s="74">
        <v>28750</v>
      </c>
      <c r="AY644" s="74">
        <v>50000</v>
      </c>
      <c r="AZ644" s="75">
        <v>33125</v>
      </c>
      <c r="BA644" s="61">
        <v>28749.999999999996</v>
      </c>
      <c r="BB644" s="60">
        <v>68000</v>
      </c>
      <c r="BC644" s="74">
        <v>33062.499999999993</v>
      </c>
      <c r="BD644" s="79">
        <v>33125</v>
      </c>
      <c r="BE644" s="79">
        <f>+BE630</f>
        <v>25000</v>
      </c>
      <c r="BF644" s="127">
        <v>30000</v>
      </c>
      <c r="BG644" s="128">
        <v>26000</v>
      </c>
      <c r="BH644" s="128">
        <v>30000</v>
      </c>
      <c r="BI644" s="76">
        <f t="shared" si="763"/>
        <v>40281.25</v>
      </c>
      <c r="BJ644" s="24">
        <f t="shared" si="764"/>
        <v>40281.25</v>
      </c>
      <c r="BK644" s="25"/>
      <c r="BL644" s="259">
        <f t="shared" si="766"/>
        <v>40281.25</v>
      </c>
      <c r="BM644" s="533">
        <f t="shared" si="767"/>
        <v>40281.25</v>
      </c>
    </row>
    <row r="645" spans="1:65" ht="30">
      <c r="A645" s="91" t="s">
        <v>30</v>
      </c>
      <c r="B645" s="358" t="s">
        <v>2836</v>
      </c>
      <c r="C645" s="50" t="s">
        <v>300</v>
      </c>
      <c r="D645" s="99" t="s">
        <v>640</v>
      </c>
      <c r="E645" s="391" t="s">
        <v>13</v>
      </c>
      <c r="F645" s="408"/>
      <c r="G645" s="293"/>
      <c r="H645" s="293"/>
      <c r="I645" s="293"/>
      <c r="J645" s="293"/>
      <c r="K645" s="293"/>
      <c r="L645" s="327"/>
      <c r="M645" s="432"/>
      <c r="N645" s="410">
        <v>23000</v>
      </c>
      <c r="O645" s="10">
        <v>25000</v>
      </c>
      <c r="P645" s="10"/>
      <c r="Q645" s="268">
        <v>28000</v>
      </c>
      <c r="R645" s="10">
        <v>30000</v>
      </c>
      <c r="S645" s="76">
        <f t="shared" si="768"/>
        <v>27666.666666666668</v>
      </c>
      <c r="T645" s="24">
        <f t="shared" si="769"/>
        <v>4666.6666666666679</v>
      </c>
      <c r="U645" s="281">
        <f t="shared" si="770"/>
        <v>0.20289855072463772</v>
      </c>
      <c r="V645" s="462">
        <f t="shared" si="771"/>
        <v>27666.666666666668</v>
      </c>
      <c r="W645" s="410">
        <v>39008</v>
      </c>
      <c r="X645" s="33">
        <v>50733</v>
      </c>
      <c r="Y645" s="31">
        <v>50733</v>
      </c>
      <c r="Z645" s="472">
        <v>44344.4</v>
      </c>
      <c r="AA645" s="76">
        <f t="shared" si="749"/>
        <v>48603.466666666667</v>
      </c>
      <c r="AB645" s="24">
        <f t="shared" si="750"/>
        <v>9595.4666666666672</v>
      </c>
      <c r="AC645" s="25">
        <f t="shared" si="751"/>
        <v>0.24598714793546625</v>
      </c>
      <c r="AD645" s="309">
        <f t="shared" si="752"/>
        <v>48603.466666666667</v>
      </c>
      <c r="AE645" s="462">
        <f t="shared" si="753"/>
        <v>48603.466666666667</v>
      </c>
      <c r="AF645" s="410">
        <v>25392</v>
      </c>
      <c r="AG645" s="45"/>
      <c r="AH645" s="45">
        <v>30867</v>
      </c>
      <c r="AI645" s="45">
        <v>45000</v>
      </c>
      <c r="AJ645" s="76">
        <f t="shared" si="754"/>
        <v>37933.5</v>
      </c>
      <c r="AK645" s="24">
        <f t="shared" si="755"/>
        <v>12541.5</v>
      </c>
      <c r="AL645" s="281">
        <f t="shared" si="756"/>
        <v>0.49391540642722115</v>
      </c>
      <c r="AM645" s="462">
        <f t="shared" si="757"/>
        <v>37933.5</v>
      </c>
      <c r="AN645" s="513">
        <v>26418</v>
      </c>
      <c r="AO645" s="88">
        <v>40000</v>
      </c>
      <c r="AP645" s="116">
        <v>40000</v>
      </c>
      <c r="AQ645" s="74">
        <v>40128</v>
      </c>
      <c r="AR645" s="76">
        <f t="shared" si="758"/>
        <v>40042.666666666664</v>
      </c>
      <c r="AS645" s="24">
        <f t="shared" si="759"/>
        <v>13624.666666666664</v>
      </c>
      <c r="AT645" s="25">
        <f t="shared" ref="AT645:AT646" si="772">+AS645/AN645</f>
        <v>0.51573422161657445</v>
      </c>
      <c r="AU645" s="309" t="str">
        <f t="shared" ref="AU645:AU646" si="773">+IF(AT645&lt;35%,AR645,"REVISAR PRECIO")</f>
        <v>REVISAR PRECIO</v>
      </c>
      <c r="AV645" s="462">
        <f t="shared" si="762"/>
        <v>40042.666666666664</v>
      </c>
      <c r="AW645" s="513">
        <v>26418</v>
      </c>
      <c r="AX645" s="74">
        <v>41952</v>
      </c>
      <c r="AY645" s="74">
        <v>38000</v>
      </c>
      <c r="AZ645" s="75">
        <v>48336</v>
      </c>
      <c r="BA645" s="61">
        <v>41952</v>
      </c>
      <c r="BB645" s="60">
        <v>60000</v>
      </c>
      <c r="BC645" s="74">
        <v>48244.799999999996</v>
      </c>
      <c r="BD645" s="79">
        <v>48336</v>
      </c>
      <c r="BE645" s="79">
        <f>30400*1.2</f>
        <v>36480</v>
      </c>
      <c r="BF645" s="127">
        <v>43776</v>
      </c>
      <c r="BG645" s="128">
        <v>45000</v>
      </c>
      <c r="BH645" s="128">
        <v>40000</v>
      </c>
      <c r="BI645" s="76">
        <f t="shared" si="763"/>
        <v>46414.133333333331</v>
      </c>
      <c r="BJ645" s="24">
        <f t="shared" si="764"/>
        <v>19996.133333333331</v>
      </c>
      <c r="BK645" s="25">
        <f>+BJ645/AW645</f>
        <v>0.75691321573674508</v>
      </c>
      <c r="BL645" s="259" t="str">
        <f t="shared" si="766"/>
        <v>REVISAR PRECIO</v>
      </c>
      <c r="BM645" s="533">
        <f t="shared" si="767"/>
        <v>46414.133333333331</v>
      </c>
    </row>
    <row r="646" spans="1:65" ht="30">
      <c r="A646" s="91" t="s">
        <v>30</v>
      </c>
      <c r="B646" s="358" t="s">
        <v>2837</v>
      </c>
      <c r="C646" s="50" t="s">
        <v>301</v>
      </c>
      <c r="D646" s="99" t="s">
        <v>641</v>
      </c>
      <c r="E646" s="391" t="s">
        <v>13</v>
      </c>
      <c r="F646" s="408"/>
      <c r="G646" s="293"/>
      <c r="H646" s="293"/>
      <c r="I646" s="293"/>
      <c r="J646" s="293"/>
      <c r="K646" s="293"/>
      <c r="L646" s="327"/>
      <c r="M646" s="432"/>
      <c r="N646" s="410">
        <v>20067</v>
      </c>
      <c r="O646" s="10">
        <v>24000</v>
      </c>
      <c r="P646" s="10"/>
      <c r="Q646" s="268">
        <v>27000</v>
      </c>
      <c r="R646" s="10">
        <v>30000</v>
      </c>
      <c r="S646" s="76">
        <f t="shared" si="768"/>
        <v>27000</v>
      </c>
      <c r="T646" s="24">
        <f t="shared" si="769"/>
        <v>6933</v>
      </c>
      <c r="U646" s="281">
        <f t="shared" si="770"/>
        <v>0.34549259979070113</v>
      </c>
      <c r="V646" s="462">
        <f t="shared" si="771"/>
        <v>27000</v>
      </c>
      <c r="W646" s="410">
        <v>34202</v>
      </c>
      <c r="X646" s="33">
        <v>44483</v>
      </c>
      <c r="Y646" s="31">
        <v>57827</v>
      </c>
      <c r="Z646" s="472">
        <v>38881</v>
      </c>
      <c r="AA646" s="76">
        <f t="shared" si="749"/>
        <v>47063.666666666664</v>
      </c>
      <c r="AB646" s="24">
        <f t="shared" si="750"/>
        <v>12861.666666666664</v>
      </c>
      <c r="AC646" s="25">
        <f t="shared" si="751"/>
        <v>0.3760501335204568</v>
      </c>
      <c r="AD646" s="309" t="str">
        <f t="shared" si="752"/>
        <v>REVISAR PRECIO</v>
      </c>
      <c r="AE646" s="462">
        <f t="shared" si="753"/>
        <v>47063.666666666664</v>
      </c>
      <c r="AF646" s="410">
        <v>22137</v>
      </c>
      <c r="AG646" s="45"/>
      <c r="AH646" s="45">
        <v>27026</v>
      </c>
      <c r="AI646" s="45">
        <v>45000</v>
      </c>
      <c r="AJ646" s="76">
        <f t="shared" si="754"/>
        <v>36013</v>
      </c>
      <c r="AK646" s="24">
        <f t="shared" si="755"/>
        <v>13876</v>
      </c>
      <c r="AL646" s="281">
        <f t="shared" si="756"/>
        <v>0.62682386953968472</v>
      </c>
      <c r="AM646" s="462">
        <f t="shared" si="757"/>
        <v>36013</v>
      </c>
      <c r="AN646" s="513">
        <v>23161</v>
      </c>
      <c r="AO646" s="88">
        <v>35000</v>
      </c>
      <c r="AP646" s="116">
        <v>35000</v>
      </c>
      <c r="AQ646" s="74">
        <v>35376</v>
      </c>
      <c r="AR646" s="76">
        <f t="shared" si="758"/>
        <v>35125.333333333336</v>
      </c>
      <c r="AS646" s="24">
        <f t="shared" si="759"/>
        <v>11964.333333333336</v>
      </c>
      <c r="AT646" s="25">
        <f t="shared" si="772"/>
        <v>0.51657239900407304</v>
      </c>
      <c r="AU646" s="309" t="str">
        <f t="shared" si="773"/>
        <v>REVISAR PRECIO</v>
      </c>
      <c r="AV646" s="462">
        <f t="shared" si="762"/>
        <v>35125.333333333336</v>
      </c>
      <c r="AW646" s="513">
        <v>23161</v>
      </c>
      <c r="AX646" s="74">
        <v>36984</v>
      </c>
      <c r="AY646" s="74">
        <v>38000</v>
      </c>
      <c r="AZ646" s="75">
        <v>42612</v>
      </c>
      <c r="BA646" s="61">
        <v>36984</v>
      </c>
      <c r="BB646" s="60">
        <v>60000</v>
      </c>
      <c r="BC646" s="74">
        <v>42531.6</v>
      </c>
      <c r="BD646" s="79">
        <v>42612</v>
      </c>
      <c r="BE646" s="79">
        <f>26800*1.2</f>
        <v>32160</v>
      </c>
      <c r="BF646" s="127">
        <v>38592</v>
      </c>
      <c r="BG646" s="128">
        <v>35000</v>
      </c>
      <c r="BH646" s="128">
        <v>35000</v>
      </c>
      <c r="BI646" s="76">
        <f t="shared" si="763"/>
        <v>42851.933333333334</v>
      </c>
      <c r="BJ646" s="24">
        <f t="shared" si="764"/>
        <v>19690.933333333334</v>
      </c>
      <c r="BK646" s="25">
        <f>+BJ646/AW646</f>
        <v>0.85017630211706463</v>
      </c>
      <c r="BL646" s="259" t="str">
        <f t="shared" si="766"/>
        <v>REVISAR PRECIO</v>
      </c>
      <c r="BM646" s="533">
        <f t="shared" si="767"/>
        <v>42851.933333333334</v>
      </c>
    </row>
    <row r="647" spans="1:65" ht="50.1" customHeight="1">
      <c r="A647" s="91"/>
      <c r="B647" s="358" t="s">
        <v>2838</v>
      </c>
      <c r="C647" s="50" t="s">
        <v>1142</v>
      </c>
      <c r="D647" s="177" t="s">
        <v>1097</v>
      </c>
      <c r="E647" s="384" t="s">
        <v>13</v>
      </c>
      <c r="F647" s="410">
        <v>18910</v>
      </c>
      <c r="G647" s="10">
        <v>25000</v>
      </c>
      <c r="H647" s="167">
        <v>75000</v>
      </c>
      <c r="I647" s="10">
        <v>18600</v>
      </c>
      <c r="J647" s="76">
        <f t="shared" ref="J647:J667" si="774">AVERAGE(G647,I647)</f>
        <v>21800</v>
      </c>
      <c r="K647" s="24">
        <f t="shared" ref="K647:K667" si="775">J647-F647</f>
        <v>2890</v>
      </c>
      <c r="L647" s="281">
        <f t="shared" ref="L647:L667" si="776">+K647/F647</f>
        <v>0.15282919090428346</v>
      </c>
      <c r="M647" s="431">
        <f t="shared" ref="M647:M667" si="777">H647</f>
        <v>75000</v>
      </c>
      <c r="N647" s="443"/>
      <c r="O647" s="250"/>
      <c r="P647" s="250"/>
      <c r="Q647" s="250"/>
      <c r="R647" s="250"/>
      <c r="S647" s="250"/>
      <c r="T647" s="250"/>
      <c r="U647" s="250"/>
      <c r="V647" s="443"/>
      <c r="W647" s="410"/>
      <c r="X647" s="33"/>
      <c r="Y647" s="31"/>
      <c r="Z647" s="472"/>
      <c r="AA647" s="76"/>
      <c r="AB647" s="24"/>
      <c r="AC647" s="25"/>
      <c r="AD647" s="309"/>
      <c r="AE647" s="462"/>
      <c r="AF647" s="408"/>
      <c r="AG647" s="293"/>
      <c r="AH647" s="293"/>
      <c r="AI647" s="293"/>
      <c r="AJ647" s="293"/>
      <c r="AK647" s="293"/>
      <c r="AL647" s="327"/>
      <c r="AM647" s="463"/>
      <c r="AN647" s="513"/>
      <c r="AO647" s="88"/>
      <c r="AP647" s="116"/>
      <c r="AQ647" s="74"/>
      <c r="AR647" s="76"/>
      <c r="AS647" s="24"/>
      <c r="AT647" s="25"/>
      <c r="AU647" s="309"/>
      <c r="AV647" s="462"/>
      <c r="AW647" s="513"/>
      <c r="AX647" s="74"/>
      <c r="AY647" s="74"/>
      <c r="AZ647" s="75"/>
      <c r="BA647" s="61"/>
      <c r="BB647" s="60"/>
      <c r="BC647" s="74"/>
      <c r="BD647" s="79"/>
      <c r="BE647" s="79"/>
      <c r="BF647" s="127"/>
      <c r="BG647" s="128"/>
      <c r="BH647" s="128"/>
      <c r="BI647" s="76"/>
      <c r="BJ647" s="24"/>
      <c r="BK647" s="25"/>
      <c r="BL647" s="259"/>
      <c r="BM647" s="533"/>
    </row>
    <row r="648" spans="1:65" ht="50.1" customHeight="1">
      <c r="A648" s="91"/>
      <c r="B648" s="358" t="s">
        <v>2839</v>
      </c>
      <c r="C648" s="50" t="s">
        <v>1143</v>
      </c>
      <c r="D648" s="177" t="s">
        <v>1098</v>
      </c>
      <c r="E648" s="384" t="s">
        <v>13</v>
      </c>
      <c r="F648" s="410">
        <v>14107</v>
      </c>
      <c r="G648" s="10">
        <v>12719</v>
      </c>
      <c r="H648" s="167">
        <v>38157</v>
      </c>
      <c r="I648" s="10">
        <v>12450</v>
      </c>
      <c r="J648" s="76">
        <f t="shared" si="774"/>
        <v>12584.5</v>
      </c>
      <c r="K648" s="24">
        <f t="shared" si="775"/>
        <v>-1522.5</v>
      </c>
      <c r="L648" s="281">
        <f t="shared" si="776"/>
        <v>-0.10792514354575743</v>
      </c>
      <c r="M648" s="431">
        <f t="shared" si="777"/>
        <v>38157</v>
      </c>
      <c r="N648" s="443"/>
      <c r="O648" s="250"/>
      <c r="P648" s="250"/>
      <c r="Q648" s="250"/>
      <c r="R648" s="250"/>
      <c r="S648" s="250"/>
      <c r="T648" s="250"/>
      <c r="U648" s="250"/>
      <c r="V648" s="443"/>
      <c r="W648" s="410"/>
      <c r="X648" s="33"/>
      <c r="Y648" s="31"/>
      <c r="Z648" s="472"/>
      <c r="AA648" s="76"/>
      <c r="AB648" s="24"/>
      <c r="AC648" s="25"/>
      <c r="AD648" s="309"/>
      <c r="AE648" s="462"/>
      <c r="AF648" s="408"/>
      <c r="AG648" s="293"/>
      <c r="AH648" s="293"/>
      <c r="AI648" s="293"/>
      <c r="AJ648" s="293"/>
      <c r="AK648" s="293"/>
      <c r="AL648" s="327"/>
      <c r="AM648" s="463"/>
      <c r="AN648" s="513"/>
      <c r="AO648" s="88"/>
      <c r="AP648" s="116"/>
      <c r="AQ648" s="74"/>
      <c r="AR648" s="76"/>
      <c r="AS648" s="24"/>
      <c r="AT648" s="25"/>
      <c r="AU648" s="309"/>
      <c r="AV648" s="462"/>
      <c r="AW648" s="513"/>
      <c r="AX648" s="74"/>
      <c r="AY648" s="74"/>
      <c r="AZ648" s="75"/>
      <c r="BA648" s="61"/>
      <c r="BB648" s="60"/>
      <c r="BC648" s="74"/>
      <c r="BD648" s="79"/>
      <c r="BE648" s="79"/>
      <c r="BF648" s="127"/>
      <c r="BG648" s="128"/>
      <c r="BH648" s="128"/>
      <c r="BI648" s="76"/>
      <c r="BJ648" s="24"/>
      <c r="BK648" s="25"/>
      <c r="BL648" s="259"/>
      <c r="BM648" s="533"/>
    </row>
    <row r="649" spans="1:65" ht="50.1" customHeight="1">
      <c r="A649" s="91"/>
      <c r="B649" s="358" t="s">
        <v>2840</v>
      </c>
      <c r="C649" s="50" t="s">
        <v>1144</v>
      </c>
      <c r="D649" s="177" t="s">
        <v>1099</v>
      </c>
      <c r="E649" s="384" t="s">
        <v>13</v>
      </c>
      <c r="F649" s="410">
        <v>14648</v>
      </c>
      <c r="G649" s="10">
        <v>24413</v>
      </c>
      <c r="H649" s="167">
        <v>73239</v>
      </c>
      <c r="I649" s="10">
        <v>24000</v>
      </c>
      <c r="J649" s="76">
        <f t="shared" si="774"/>
        <v>24206.5</v>
      </c>
      <c r="K649" s="24">
        <f t="shared" si="775"/>
        <v>9558.5</v>
      </c>
      <c r="L649" s="281">
        <f t="shared" si="776"/>
        <v>0.65254642271982521</v>
      </c>
      <c r="M649" s="431">
        <f t="shared" si="777"/>
        <v>73239</v>
      </c>
      <c r="N649" s="443"/>
      <c r="O649" s="250"/>
      <c r="P649" s="250"/>
      <c r="Q649" s="250"/>
      <c r="R649" s="250"/>
      <c r="S649" s="250"/>
      <c r="T649" s="250"/>
      <c r="U649" s="250"/>
      <c r="V649" s="443"/>
      <c r="W649" s="410"/>
      <c r="X649" s="33"/>
      <c r="Y649" s="31"/>
      <c r="Z649" s="472"/>
      <c r="AA649" s="76"/>
      <c r="AB649" s="24"/>
      <c r="AC649" s="25"/>
      <c r="AD649" s="309"/>
      <c r="AE649" s="462"/>
      <c r="AF649" s="408"/>
      <c r="AG649" s="293"/>
      <c r="AH649" s="293"/>
      <c r="AI649" s="293"/>
      <c r="AJ649" s="293"/>
      <c r="AK649" s="293"/>
      <c r="AL649" s="327"/>
      <c r="AM649" s="463"/>
      <c r="AN649" s="513"/>
      <c r="AO649" s="88"/>
      <c r="AP649" s="116"/>
      <c r="AQ649" s="74"/>
      <c r="AR649" s="76"/>
      <c r="AS649" s="24"/>
      <c r="AT649" s="25"/>
      <c r="AU649" s="309"/>
      <c r="AV649" s="462"/>
      <c r="AW649" s="513"/>
      <c r="AX649" s="74"/>
      <c r="AY649" s="74"/>
      <c r="AZ649" s="75"/>
      <c r="BA649" s="61"/>
      <c r="BB649" s="60"/>
      <c r="BC649" s="74"/>
      <c r="BD649" s="79"/>
      <c r="BE649" s="79"/>
      <c r="BF649" s="127"/>
      <c r="BG649" s="128"/>
      <c r="BH649" s="128"/>
      <c r="BI649" s="76"/>
      <c r="BJ649" s="24"/>
      <c r="BK649" s="25"/>
      <c r="BL649" s="259"/>
      <c r="BM649" s="533"/>
    </row>
    <row r="650" spans="1:65" ht="50.1" customHeight="1">
      <c r="A650" s="91"/>
      <c r="B650" s="358" t="s">
        <v>2841</v>
      </c>
      <c r="C650" s="50" t="s">
        <v>1145</v>
      </c>
      <c r="D650" s="177" t="s">
        <v>1100</v>
      </c>
      <c r="E650" s="384" t="s">
        <v>10</v>
      </c>
      <c r="F650" s="410">
        <v>15692</v>
      </c>
      <c r="G650" s="10">
        <v>24413</v>
      </c>
      <c r="H650" s="167">
        <v>73239</v>
      </c>
      <c r="I650" s="10">
        <v>15600</v>
      </c>
      <c r="J650" s="76">
        <f t="shared" si="774"/>
        <v>20006.5</v>
      </c>
      <c r="K650" s="24">
        <f t="shared" si="775"/>
        <v>4314.5</v>
      </c>
      <c r="L650" s="281">
        <f t="shared" si="776"/>
        <v>0.27494901860820803</v>
      </c>
      <c r="M650" s="431">
        <f t="shared" si="777"/>
        <v>73239</v>
      </c>
      <c r="N650" s="443"/>
      <c r="O650" s="250"/>
      <c r="P650" s="250"/>
      <c r="Q650" s="250"/>
      <c r="R650" s="250"/>
      <c r="S650" s="250"/>
      <c r="T650" s="250"/>
      <c r="U650" s="250"/>
      <c r="V650" s="443"/>
      <c r="W650" s="410"/>
      <c r="X650" s="33"/>
      <c r="Y650" s="31"/>
      <c r="Z650" s="472"/>
      <c r="AA650" s="76"/>
      <c r="AB650" s="24"/>
      <c r="AC650" s="25"/>
      <c r="AD650" s="309"/>
      <c r="AE650" s="462"/>
      <c r="AF650" s="408"/>
      <c r="AG650" s="293"/>
      <c r="AH650" s="293"/>
      <c r="AI650" s="293"/>
      <c r="AJ650" s="293"/>
      <c r="AK650" s="293"/>
      <c r="AL650" s="327"/>
      <c r="AM650" s="463"/>
      <c r="AN650" s="513"/>
      <c r="AO650" s="88"/>
      <c r="AP650" s="116"/>
      <c r="AQ650" s="74"/>
      <c r="AR650" s="76"/>
      <c r="AS650" s="24"/>
      <c r="AT650" s="25"/>
      <c r="AU650" s="309"/>
      <c r="AV650" s="462"/>
      <c r="AW650" s="513"/>
      <c r="AX650" s="74"/>
      <c r="AY650" s="74"/>
      <c r="AZ650" s="75"/>
      <c r="BA650" s="61"/>
      <c r="BB650" s="60"/>
      <c r="BC650" s="74"/>
      <c r="BD650" s="79"/>
      <c r="BE650" s="79"/>
      <c r="BF650" s="127"/>
      <c r="BG650" s="128"/>
      <c r="BH650" s="128"/>
      <c r="BI650" s="76"/>
      <c r="BJ650" s="24"/>
      <c r="BK650" s="25"/>
      <c r="BL650" s="259"/>
      <c r="BM650" s="533"/>
    </row>
    <row r="651" spans="1:65" ht="50.1" customHeight="1">
      <c r="A651" s="91"/>
      <c r="B651" s="358" t="s">
        <v>2842</v>
      </c>
      <c r="C651" s="50" t="s">
        <v>1146</v>
      </c>
      <c r="D651" s="177" t="s">
        <v>1101</v>
      </c>
      <c r="E651" s="384" t="s">
        <v>10</v>
      </c>
      <c r="F651" s="410">
        <v>2829</v>
      </c>
      <c r="G651" s="10">
        <v>15000</v>
      </c>
      <c r="H651" s="167">
        <v>45000</v>
      </c>
      <c r="I651" s="10">
        <v>12000</v>
      </c>
      <c r="J651" s="76">
        <f t="shared" si="774"/>
        <v>13500</v>
      </c>
      <c r="K651" s="24">
        <f t="shared" si="775"/>
        <v>10671</v>
      </c>
      <c r="L651" s="281">
        <f t="shared" si="776"/>
        <v>3.772004241781548</v>
      </c>
      <c r="M651" s="431">
        <f t="shared" si="777"/>
        <v>45000</v>
      </c>
      <c r="N651" s="443"/>
      <c r="O651" s="250"/>
      <c r="P651" s="250"/>
      <c r="Q651" s="250"/>
      <c r="R651" s="250"/>
      <c r="S651" s="250"/>
      <c r="T651" s="250"/>
      <c r="U651" s="250"/>
      <c r="V651" s="443"/>
      <c r="W651" s="410"/>
      <c r="X651" s="33"/>
      <c r="Y651" s="31"/>
      <c r="Z651" s="472"/>
      <c r="AA651" s="76"/>
      <c r="AB651" s="24"/>
      <c r="AC651" s="25"/>
      <c r="AD651" s="309"/>
      <c r="AE651" s="462"/>
      <c r="AF651" s="408"/>
      <c r="AG651" s="293"/>
      <c r="AH651" s="293"/>
      <c r="AI651" s="293"/>
      <c r="AJ651" s="293"/>
      <c r="AK651" s="293"/>
      <c r="AL651" s="327"/>
      <c r="AM651" s="463"/>
      <c r="AN651" s="513"/>
      <c r="AO651" s="88"/>
      <c r="AP651" s="116"/>
      <c r="AQ651" s="74"/>
      <c r="AR651" s="76"/>
      <c r="AS651" s="24"/>
      <c r="AT651" s="25"/>
      <c r="AU651" s="309"/>
      <c r="AV651" s="462"/>
      <c r="AW651" s="513"/>
      <c r="AX651" s="74"/>
      <c r="AY651" s="74"/>
      <c r="AZ651" s="75"/>
      <c r="BA651" s="61"/>
      <c r="BB651" s="60"/>
      <c r="BC651" s="74"/>
      <c r="BD651" s="79"/>
      <c r="BE651" s="79"/>
      <c r="BF651" s="127"/>
      <c r="BG651" s="128"/>
      <c r="BH651" s="128"/>
      <c r="BI651" s="76"/>
      <c r="BJ651" s="24"/>
      <c r="BK651" s="25"/>
      <c r="BL651" s="259"/>
      <c r="BM651" s="533"/>
    </row>
    <row r="652" spans="1:65" ht="50.1" customHeight="1">
      <c r="A652" s="91"/>
      <c r="B652" s="358" t="s">
        <v>2843</v>
      </c>
      <c r="C652" s="50" t="s">
        <v>1147</v>
      </c>
      <c r="D652" s="177" t="s">
        <v>1102</v>
      </c>
      <c r="E652" s="384" t="s">
        <v>10</v>
      </c>
      <c r="F652" s="410">
        <v>2829</v>
      </c>
      <c r="G652" s="10">
        <v>15000</v>
      </c>
      <c r="H652" s="167">
        <v>30000</v>
      </c>
      <c r="I652" s="10">
        <v>12000</v>
      </c>
      <c r="J652" s="76">
        <f t="shared" si="774"/>
        <v>13500</v>
      </c>
      <c r="K652" s="24">
        <f t="shared" si="775"/>
        <v>10671</v>
      </c>
      <c r="L652" s="281">
        <f t="shared" si="776"/>
        <v>3.772004241781548</v>
      </c>
      <c r="M652" s="431">
        <f t="shared" si="777"/>
        <v>30000</v>
      </c>
      <c r="N652" s="443"/>
      <c r="O652" s="250"/>
      <c r="P652" s="250"/>
      <c r="Q652" s="250"/>
      <c r="R652" s="250"/>
      <c r="S652" s="250"/>
      <c r="T652" s="250"/>
      <c r="U652" s="250"/>
      <c r="V652" s="443"/>
      <c r="W652" s="410"/>
      <c r="X652" s="33"/>
      <c r="Y652" s="31"/>
      <c r="Z652" s="472"/>
      <c r="AA652" s="76"/>
      <c r="AB652" s="24"/>
      <c r="AC652" s="25"/>
      <c r="AD652" s="309"/>
      <c r="AE652" s="462"/>
      <c r="AF652" s="408"/>
      <c r="AG652" s="293"/>
      <c r="AH652" s="293"/>
      <c r="AI652" s="293"/>
      <c r="AJ652" s="293"/>
      <c r="AK652" s="293"/>
      <c r="AL652" s="327"/>
      <c r="AM652" s="463"/>
      <c r="AN652" s="513"/>
      <c r="AO652" s="88"/>
      <c r="AP652" s="116"/>
      <c r="AQ652" s="74"/>
      <c r="AR652" s="76"/>
      <c r="AS652" s="24"/>
      <c r="AT652" s="25"/>
      <c r="AU652" s="309"/>
      <c r="AV652" s="462"/>
      <c r="AW652" s="513"/>
      <c r="AX652" s="74"/>
      <c r="AY652" s="74"/>
      <c r="AZ652" s="75"/>
      <c r="BA652" s="61"/>
      <c r="BB652" s="60"/>
      <c r="BC652" s="74"/>
      <c r="BD652" s="79"/>
      <c r="BE652" s="79"/>
      <c r="BF652" s="127"/>
      <c r="BG652" s="128"/>
      <c r="BH652" s="128"/>
      <c r="BI652" s="76"/>
      <c r="BJ652" s="24"/>
      <c r="BK652" s="25"/>
      <c r="BL652" s="259"/>
      <c r="BM652" s="533"/>
    </row>
    <row r="653" spans="1:65" ht="50.1" customHeight="1">
      <c r="A653" s="91"/>
      <c r="B653" s="358" t="s">
        <v>2844</v>
      </c>
      <c r="C653" s="50" t="s">
        <v>1148</v>
      </c>
      <c r="D653" s="177" t="s">
        <v>1103</v>
      </c>
      <c r="E653" s="384" t="s">
        <v>10</v>
      </c>
      <c r="F653" s="410">
        <v>31715</v>
      </c>
      <c r="G653" s="10">
        <v>22000</v>
      </c>
      <c r="H653" s="167">
        <v>44000</v>
      </c>
      <c r="I653" s="10">
        <v>28700</v>
      </c>
      <c r="J653" s="76">
        <f t="shared" si="774"/>
        <v>25350</v>
      </c>
      <c r="K653" s="24">
        <f t="shared" si="775"/>
        <v>-6365</v>
      </c>
      <c r="L653" s="281">
        <f t="shared" si="776"/>
        <v>-0.20069367807031374</v>
      </c>
      <c r="M653" s="431">
        <f t="shared" si="777"/>
        <v>44000</v>
      </c>
      <c r="N653" s="443"/>
      <c r="O653" s="250"/>
      <c r="P653" s="250"/>
      <c r="Q653" s="250"/>
      <c r="R653" s="250"/>
      <c r="S653" s="250"/>
      <c r="T653" s="250"/>
      <c r="U653" s="250"/>
      <c r="V653" s="443"/>
      <c r="W653" s="410"/>
      <c r="X653" s="33"/>
      <c r="Y653" s="31"/>
      <c r="Z653" s="472"/>
      <c r="AA653" s="76"/>
      <c r="AB653" s="24"/>
      <c r="AC653" s="25"/>
      <c r="AD653" s="309"/>
      <c r="AE653" s="462"/>
      <c r="AF653" s="408"/>
      <c r="AG653" s="293"/>
      <c r="AH653" s="293"/>
      <c r="AI653" s="293"/>
      <c r="AJ653" s="293"/>
      <c r="AK653" s="293"/>
      <c r="AL653" s="327"/>
      <c r="AM653" s="463"/>
      <c r="AN653" s="513"/>
      <c r="AO653" s="88"/>
      <c r="AP653" s="116"/>
      <c r="AQ653" s="74"/>
      <c r="AR653" s="76"/>
      <c r="AS653" s="24"/>
      <c r="AT653" s="25"/>
      <c r="AU653" s="309"/>
      <c r="AV653" s="462"/>
      <c r="AW653" s="513"/>
      <c r="AX653" s="74"/>
      <c r="AY653" s="74"/>
      <c r="AZ653" s="75"/>
      <c r="BA653" s="61"/>
      <c r="BB653" s="60"/>
      <c r="BC653" s="74"/>
      <c r="BD653" s="79"/>
      <c r="BE653" s="79"/>
      <c r="BF653" s="127"/>
      <c r="BG653" s="128"/>
      <c r="BH653" s="128"/>
      <c r="BI653" s="76"/>
      <c r="BJ653" s="24"/>
      <c r="BK653" s="25"/>
      <c r="BL653" s="259"/>
      <c r="BM653" s="533"/>
    </row>
    <row r="654" spans="1:65" ht="50.1" customHeight="1">
      <c r="A654" s="91"/>
      <c r="B654" s="358" t="s">
        <v>2845</v>
      </c>
      <c r="C654" s="50" t="s">
        <v>1149</v>
      </c>
      <c r="D654" s="177" t="s">
        <v>1104</v>
      </c>
      <c r="E654" s="384" t="s">
        <v>13</v>
      </c>
      <c r="F654" s="410">
        <v>24833</v>
      </c>
      <c r="G654" s="10">
        <v>35160</v>
      </c>
      <c r="H654" s="167">
        <v>70320</v>
      </c>
      <c r="I654" s="10">
        <v>33450</v>
      </c>
      <c r="J654" s="76">
        <f t="shared" si="774"/>
        <v>34305</v>
      </c>
      <c r="K654" s="24">
        <f t="shared" si="775"/>
        <v>9472</v>
      </c>
      <c r="L654" s="281">
        <f t="shared" si="776"/>
        <v>0.3814279386300487</v>
      </c>
      <c r="M654" s="431">
        <f t="shared" si="777"/>
        <v>70320</v>
      </c>
      <c r="N654" s="443"/>
      <c r="O654" s="250"/>
      <c r="P654" s="250"/>
      <c r="Q654" s="250"/>
      <c r="R654" s="250"/>
      <c r="S654" s="250"/>
      <c r="T654" s="250"/>
      <c r="U654" s="250"/>
      <c r="V654" s="443"/>
      <c r="W654" s="410"/>
      <c r="X654" s="33"/>
      <c r="Y654" s="31"/>
      <c r="Z654" s="472"/>
      <c r="AA654" s="76"/>
      <c r="AB654" s="24"/>
      <c r="AC654" s="25"/>
      <c r="AD654" s="309"/>
      <c r="AE654" s="462"/>
      <c r="AF654" s="408"/>
      <c r="AG654" s="293"/>
      <c r="AH654" s="293"/>
      <c r="AI654" s="293"/>
      <c r="AJ654" s="293"/>
      <c r="AK654" s="293"/>
      <c r="AL654" s="327"/>
      <c r="AM654" s="463"/>
      <c r="AN654" s="513"/>
      <c r="AO654" s="88"/>
      <c r="AP654" s="116"/>
      <c r="AQ654" s="74"/>
      <c r="AR654" s="76"/>
      <c r="AS654" s="24"/>
      <c r="AT654" s="25"/>
      <c r="AU654" s="309"/>
      <c r="AV654" s="462"/>
      <c r="AW654" s="513"/>
      <c r="AX654" s="74"/>
      <c r="AY654" s="74"/>
      <c r="AZ654" s="75"/>
      <c r="BA654" s="61"/>
      <c r="BB654" s="60"/>
      <c r="BC654" s="74"/>
      <c r="BD654" s="79"/>
      <c r="BE654" s="79"/>
      <c r="BF654" s="127"/>
      <c r="BG654" s="128"/>
      <c r="BH654" s="128"/>
      <c r="BI654" s="76"/>
      <c r="BJ654" s="24"/>
      <c r="BK654" s="25"/>
      <c r="BL654" s="259"/>
      <c r="BM654" s="533"/>
    </row>
    <row r="655" spans="1:65" ht="50.1" customHeight="1">
      <c r="A655" s="91"/>
      <c r="B655" s="358" t="s">
        <v>2846</v>
      </c>
      <c r="C655" s="50" t="s">
        <v>1150</v>
      </c>
      <c r="D655" s="177" t="s">
        <v>1105</v>
      </c>
      <c r="E655" s="384" t="s">
        <v>13</v>
      </c>
      <c r="F655" s="410">
        <v>26475</v>
      </c>
      <c r="G655" s="10">
        <v>37800</v>
      </c>
      <c r="H655" s="167">
        <v>75600</v>
      </c>
      <c r="I655" s="10">
        <v>36780</v>
      </c>
      <c r="J655" s="76">
        <f t="shared" si="774"/>
        <v>37290</v>
      </c>
      <c r="K655" s="24">
        <f t="shared" si="775"/>
        <v>10815</v>
      </c>
      <c r="L655" s="281">
        <f t="shared" si="776"/>
        <v>0.4084985835694051</v>
      </c>
      <c r="M655" s="431">
        <f t="shared" si="777"/>
        <v>75600</v>
      </c>
      <c r="N655" s="443"/>
      <c r="O655" s="250"/>
      <c r="P655" s="250"/>
      <c r="Q655" s="250"/>
      <c r="R655" s="250"/>
      <c r="S655" s="250"/>
      <c r="T655" s="250"/>
      <c r="U655" s="250"/>
      <c r="V655" s="443"/>
      <c r="W655" s="410"/>
      <c r="X655" s="33"/>
      <c r="Y655" s="31"/>
      <c r="Z655" s="472"/>
      <c r="AA655" s="76"/>
      <c r="AB655" s="24"/>
      <c r="AC655" s="25"/>
      <c r="AD655" s="309"/>
      <c r="AE655" s="462"/>
      <c r="AF655" s="408"/>
      <c r="AG655" s="293"/>
      <c r="AH655" s="293"/>
      <c r="AI655" s="293"/>
      <c r="AJ655" s="293"/>
      <c r="AK655" s="293"/>
      <c r="AL655" s="327"/>
      <c r="AM655" s="463"/>
      <c r="AN655" s="513"/>
      <c r="AO655" s="88"/>
      <c r="AP655" s="116"/>
      <c r="AQ655" s="74"/>
      <c r="AR655" s="76"/>
      <c r="AS655" s="24"/>
      <c r="AT655" s="25"/>
      <c r="AU655" s="309"/>
      <c r="AV655" s="462"/>
      <c r="AW655" s="513"/>
      <c r="AX655" s="74"/>
      <c r="AY655" s="74"/>
      <c r="AZ655" s="75"/>
      <c r="BA655" s="61"/>
      <c r="BB655" s="60"/>
      <c r="BC655" s="74"/>
      <c r="BD655" s="79"/>
      <c r="BE655" s="79"/>
      <c r="BF655" s="127"/>
      <c r="BG655" s="128"/>
      <c r="BH655" s="128"/>
      <c r="BI655" s="76"/>
      <c r="BJ655" s="24"/>
      <c r="BK655" s="25"/>
      <c r="BL655" s="259"/>
      <c r="BM655" s="533"/>
    </row>
    <row r="656" spans="1:65" ht="50.1" customHeight="1">
      <c r="A656" s="91"/>
      <c r="B656" s="358" t="s">
        <v>2847</v>
      </c>
      <c r="C656" s="50" t="s">
        <v>1151</v>
      </c>
      <c r="D656" s="177" t="s">
        <v>1106</v>
      </c>
      <c r="E656" s="384" t="s">
        <v>13</v>
      </c>
      <c r="F656" s="410">
        <v>20135</v>
      </c>
      <c r="G656" s="10">
        <v>23535.599999999999</v>
      </c>
      <c r="H656" s="167">
        <v>47071.199999999997</v>
      </c>
      <c r="I656" s="10">
        <v>28700</v>
      </c>
      <c r="J656" s="76">
        <f t="shared" si="774"/>
        <v>26117.8</v>
      </c>
      <c r="K656" s="24">
        <f t="shared" si="775"/>
        <v>5982.7999999999993</v>
      </c>
      <c r="L656" s="281">
        <f t="shared" si="776"/>
        <v>0.29713434318351128</v>
      </c>
      <c r="M656" s="431">
        <f t="shared" si="777"/>
        <v>47071.199999999997</v>
      </c>
      <c r="N656" s="443"/>
      <c r="O656" s="250"/>
      <c r="P656" s="250"/>
      <c r="Q656" s="250"/>
      <c r="R656" s="250"/>
      <c r="S656" s="250"/>
      <c r="T656" s="250"/>
      <c r="U656" s="250"/>
      <c r="V656" s="443"/>
      <c r="W656" s="410"/>
      <c r="X656" s="33"/>
      <c r="Y656" s="31"/>
      <c r="Z656" s="472"/>
      <c r="AA656" s="76"/>
      <c r="AB656" s="24"/>
      <c r="AC656" s="25"/>
      <c r="AD656" s="309"/>
      <c r="AE656" s="462"/>
      <c r="AF656" s="408"/>
      <c r="AG656" s="293"/>
      <c r="AH656" s="293"/>
      <c r="AI656" s="293"/>
      <c r="AJ656" s="293"/>
      <c r="AK656" s="293"/>
      <c r="AL656" s="327"/>
      <c r="AM656" s="463"/>
      <c r="AN656" s="513"/>
      <c r="AO656" s="88"/>
      <c r="AP656" s="116"/>
      <c r="AQ656" s="74"/>
      <c r="AR656" s="76"/>
      <c r="AS656" s="24"/>
      <c r="AT656" s="25"/>
      <c r="AU656" s="309"/>
      <c r="AV656" s="462"/>
      <c r="AW656" s="513"/>
      <c r="AX656" s="74"/>
      <c r="AY656" s="74"/>
      <c r="AZ656" s="75"/>
      <c r="BA656" s="61"/>
      <c r="BB656" s="60"/>
      <c r="BC656" s="74"/>
      <c r="BD656" s="79"/>
      <c r="BE656" s="79"/>
      <c r="BF656" s="127"/>
      <c r="BG656" s="128"/>
      <c r="BH656" s="128"/>
      <c r="BI656" s="76"/>
      <c r="BJ656" s="24"/>
      <c r="BK656" s="25"/>
      <c r="BL656" s="259"/>
      <c r="BM656" s="533"/>
    </row>
    <row r="657" spans="1:65" ht="50.1" customHeight="1">
      <c r="A657" s="91"/>
      <c r="B657" s="358" t="s">
        <v>2848</v>
      </c>
      <c r="C657" s="50" t="s">
        <v>1152</v>
      </c>
      <c r="D657" s="177" t="s">
        <v>1107</v>
      </c>
      <c r="E657" s="384" t="s">
        <v>13</v>
      </c>
      <c r="F657" s="410">
        <v>19584</v>
      </c>
      <c r="G657" s="10">
        <v>24065</v>
      </c>
      <c r="H657" s="167">
        <v>48130</v>
      </c>
      <c r="I657" s="10">
        <v>28700</v>
      </c>
      <c r="J657" s="76">
        <f t="shared" si="774"/>
        <v>26382.5</v>
      </c>
      <c r="K657" s="24">
        <f t="shared" si="775"/>
        <v>6798.5</v>
      </c>
      <c r="L657" s="281">
        <f t="shared" si="776"/>
        <v>0.34714562908496732</v>
      </c>
      <c r="M657" s="431">
        <f t="shared" si="777"/>
        <v>48130</v>
      </c>
      <c r="N657" s="443"/>
      <c r="O657" s="250"/>
      <c r="P657" s="250"/>
      <c r="Q657" s="250"/>
      <c r="R657" s="250"/>
      <c r="S657" s="250"/>
      <c r="T657" s="250"/>
      <c r="U657" s="250"/>
      <c r="V657" s="443"/>
      <c r="W657" s="410"/>
      <c r="X657" s="33"/>
      <c r="Y657" s="31"/>
      <c r="Z657" s="472"/>
      <c r="AA657" s="76"/>
      <c r="AB657" s="24"/>
      <c r="AC657" s="25"/>
      <c r="AD657" s="309"/>
      <c r="AE657" s="462"/>
      <c r="AF657" s="408"/>
      <c r="AG657" s="293"/>
      <c r="AH657" s="293"/>
      <c r="AI657" s="293"/>
      <c r="AJ657" s="293"/>
      <c r="AK657" s="293"/>
      <c r="AL657" s="327"/>
      <c r="AM657" s="463"/>
      <c r="AN657" s="513"/>
      <c r="AO657" s="88"/>
      <c r="AP657" s="116"/>
      <c r="AQ657" s="74"/>
      <c r="AR657" s="76"/>
      <c r="AS657" s="24"/>
      <c r="AT657" s="25"/>
      <c r="AU657" s="309"/>
      <c r="AV657" s="462"/>
      <c r="AW657" s="513"/>
      <c r="AX657" s="74"/>
      <c r="AY657" s="74"/>
      <c r="AZ657" s="75"/>
      <c r="BA657" s="61"/>
      <c r="BB657" s="60"/>
      <c r="BC657" s="74"/>
      <c r="BD657" s="79"/>
      <c r="BE657" s="79"/>
      <c r="BF657" s="127"/>
      <c r="BG657" s="128"/>
      <c r="BH657" s="128"/>
      <c r="BI657" s="76"/>
      <c r="BJ657" s="24"/>
      <c r="BK657" s="25"/>
      <c r="BL657" s="259"/>
      <c r="BM657" s="533"/>
    </row>
    <row r="658" spans="1:65" ht="50.1" customHeight="1">
      <c r="A658" s="91"/>
      <c r="B658" s="358" t="s">
        <v>2849</v>
      </c>
      <c r="C658" s="50" t="s">
        <v>1153</v>
      </c>
      <c r="D658" s="177" t="s">
        <v>1108</v>
      </c>
      <c r="E658" s="384" t="s">
        <v>13</v>
      </c>
      <c r="F658" s="410">
        <v>19072</v>
      </c>
      <c r="G658" s="10">
        <v>23748.75</v>
      </c>
      <c r="H658" s="167">
        <v>47497.5</v>
      </c>
      <c r="I658" s="10">
        <v>28700</v>
      </c>
      <c r="J658" s="76">
        <f t="shared" si="774"/>
        <v>26224.375</v>
      </c>
      <c r="K658" s="24">
        <f t="shared" si="775"/>
        <v>7152.375</v>
      </c>
      <c r="L658" s="281">
        <f t="shared" si="776"/>
        <v>0.37501966233221479</v>
      </c>
      <c r="M658" s="431">
        <f t="shared" si="777"/>
        <v>47497.5</v>
      </c>
      <c r="N658" s="443"/>
      <c r="O658" s="250"/>
      <c r="P658" s="250"/>
      <c r="Q658" s="250"/>
      <c r="R658" s="250"/>
      <c r="S658" s="250"/>
      <c r="T658" s="250"/>
      <c r="U658" s="250"/>
      <c r="V658" s="443"/>
      <c r="W658" s="410"/>
      <c r="X658" s="33"/>
      <c r="Y658" s="31"/>
      <c r="Z658" s="472"/>
      <c r="AA658" s="76"/>
      <c r="AB658" s="24"/>
      <c r="AC658" s="25"/>
      <c r="AD658" s="309"/>
      <c r="AE658" s="462"/>
      <c r="AF658" s="408"/>
      <c r="AG658" s="293"/>
      <c r="AH658" s="293"/>
      <c r="AI658" s="293"/>
      <c r="AJ658" s="293"/>
      <c r="AK658" s="293"/>
      <c r="AL658" s="327"/>
      <c r="AM658" s="463"/>
      <c r="AN658" s="513"/>
      <c r="AO658" s="88"/>
      <c r="AP658" s="116"/>
      <c r="AQ658" s="74"/>
      <c r="AR658" s="76"/>
      <c r="AS658" s="24"/>
      <c r="AT658" s="25"/>
      <c r="AU658" s="309"/>
      <c r="AV658" s="462"/>
      <c r="AW658" s="513"/>
      <c r="AX658" s="74"/>
      <c r="AY658" s="74"/>
      <c r="AZ658" s="75"/>
      <c r="BA658" s="61"/>
      <c r="BB658" s="60"/>
      <c r="BC658" s="74"/>
      <c r="BD658" s="79"/>
      <c r="BE658" s="79"/>
      <c r="BF658" s="127"/>
      <c r="BG658" s="128"/>
      <c r="BH658" s="128"/>
      <c r="BI658" s="76"/>
      <c r="BJ658" s="24"/>
      <c r="BK658" s="25"/>
      <c r="BL658" s="259"/>
      <c r="BM658" s="533"/>
    </row>
    <row r="659" spans="1:65" ht="50.1" customHeight="1">
      <c r="A659" s="91"/>
      <c r="B659" s="358" t="s">
        <v>2850</v>
      </c>
      <c r="C659" s="50" t="s">
        <v>1154</v>
      </c>
      <c r="D659" s="177" t="s">
        <v>1109</v>
      </c>
      <c r="E659" s="384" t="s">
        <v>10</v>
      </c>
      <c r="F659" s="410">
        <v>36974</v>
      </c>
      <c r="G659" s="10">
        <v>22000</v>
      </c>
      <c r="H659" s="167">
        <v>66000</v>
      </c>
      <c r="I659" s="10">
        <v>32450</v>
      </c>
      <c r="J659" s="76">
        <f t="shared" si="774"/>
        <v>27225</v>
      </c>
      <c r="K659" s="24">
        <f t="shared" si="775"/>
        <v>-9749</v>
      </c>
      <c r="L659" s="281">
        <f t="shared" si="776"/>
        <v>-0.26367176935143616</v>
      </c>
      <c r="M659" s="431">
        <f t="shared" si="777"/>
        <v>66000</v>
      </c>
      <c r="N659" s="443"/>
      <c r="O659" s="250"/>
      <c r="P659" s="250"/>
      <c r="Q659" s="250"/>
      <c r="R659" s="250"/>
      <c r="S659" s="250"/>
      <c r="T659" s="250"/>
      <c r="U659" s="250"/>
      <c r="V659" s="443"/>
      <c r="W659" s="410"/>
      <c r="X659" s="33"/>
      <c r="Y659" s="31"/>
      <c r="Z659" s="472"/>
      <c r="AA659" s="76"/>
      <c r="AB659" s="24"/>
      <c r="AC659" s="25"/>
      <c r="AD659" s="309"/>
      <c r="AE659" s="462"/>
      <c r="AF659" s="408"/>
      <c r="AG659" s="293"/>
      <c r="AH659" s="293"/>
      <c r="AI659" s="293"/>
      <c r="AJ659" s="293"/>
      <c r="AK659" s="293"/>
      <c r="AL659" s="327"/>
      <c r="AM659" s="463"/>
      <c r="AN659" s="513"/>
      <c r="AO659" s="88"/>
      <c r="AP659" s="116"/>
      <c r="AQ659" s="74"/>
      <c r="AR659" s="76"/>
      <c r="AS659" s="24"/>
      <c r="AT659" s="25"/>
      <c r="AU659" s="309"/>
      <c r="AV659" s="462"/>
      <c r="AW659" s="513"/>
      <c r="AX659" s="74"/>
      <c r="AY659" s="74"/>
      <c r="AZ659" s="75"/>
      <c r="BA659" s="61"/>
      <c r="BB659" s="60"/>
      <c r="BC659" s="74"/>
      <c r="BD659" s="79"/>
      <c r="BE659" s="79"/>
      <c r="BF659" s="127"/>
      <c r="BG659" s="128"/>
      <c r="BH659" s="128"/>
      <c r="BI659" s="76"/>
      <c r="BJ659" s="24"/>
      <c r="BK659" s="25"/>
      <c r="BL659" s="259"/>
      <c r="BM659" s="533"/>
    </row>
    <row r="660" spans="1:65" ht="50.1" customHeight="1">
      <c r="A660" s="91"/>
      <c r="B660" s="358" t="s">
        <v>2851</v>
      </c>
      <c r="C660" s="50" t="s">
        <v>1155</v>
      </c>
      <c r="D660" s="177" t="s">
        <v>1110</v>
      </c>
      <c r="E660" s="384" t="s">
        <v>13</v>
      </c>
      <c r="F660" s="410">
        <v>17363</v>
      </c>
      <c r="G660" s="10">
        <v>23639.399999999998</v>
      </c>
      <c r="H660" s="167">
        <v>70918.2</v>
      </c>
      <c r="I660" s="10">
        <v>23000</v>
      </c>
      <c r="J660" s="76">
        <f t="shared" si="774"/>
        <v>23319.699999999997</v>
      </c>
      <c r="K660" s="24">
        <f t="shared" si="775"/>
        <v>5956.6999999999971</v>
      </c>
      <c r="L660" s="281">
        <f t="shared" si="776"/>
        <v>0.34306859413695773</v>
      </c>
      <c r="M660" s="431">
        <f t="shared" si="777"/>
        <v>70918.2</v>
      </c>
      <c r="N660" s="443"/>
      <c r="O660" s="250"/>
      <c r="P660" s="250"/>
      <c r="Q660" s="250"/>
      <c r="R660" s="250"/>
      <c r="S660" s="250"/>
      <c r="T660" s="250"/>
      <c r="U660" s="250"/>
      <c r="V660" s="443"/>
      <c r="W660" s="410"/>
      <c r="X660" s="33"/>
      <c r="Y660" s="31"/>
      <c r="Z660" s="472"/>
      <c r="AA660" s="76"/>
      <c r="AB660" s="24"/>
      <c r="AC660" s="25"/>
      <c r="AD660" s="309"/>
      <c r="AE660" s="462"/>
      <c r="AF660" s="408"/>
      <c r="AG660" s="293"/>
      <c r="AH660" s="293"/>
      <c r="AI660" s="293"/>
      <c r="AJ660" s="293"/>
      <c r="AK660" s="293"/>
      <c r="AL660" s="327"/>
      <c r="AM660" s="463"/>
      <c r="AN660" s="513"/>
      <c r="AO660" s="88"/>
      <c r="AP660" s="116"/>
      <c r="AQ660" s="74"/>
      <c r="AR660" s="76"/>
      <c r="AS660" s="24"/>
      <c r="AT660" s="25"/>
      <c r="AU660" s="309"/>
      <c r="AV660" s="462"/>
      <c r="AW660" s="513"/>
      <c r="AX660" s="74"/>
      <c r="AY660" s="74"/>
      <c r="AZ660" s="75"/>
      <c r="BA660" s="61"/>
      <c r="BB660" s="60"/>
      <c r="BC660" s="74"/>
      <c r="BD660" s="79"/>
      <c r="BE660" s="79"/>
      <c r="BF660" s="127"/>
      <c r="BG660" s="128"/>
      <c r="BH660" s="128"/>
      <c r="BI660" s="76"/>
      <c r="BJ660" s="24"/>
      <c r="BK660" s="25"/>
      <c r="BL660" s="259"/>
      <c r="BM660" s="533"/>
    </row>
    <row r="661" spans="1:65" ht="50.1" customHeight="1">
      <c r="A661" s="91"/>
      <c r="B661" s="358" t="s">
        <v>2852</v>
      </c>
      <c r="C661" s="50" t="s">
        <v>1156</v>
      </c>
      <c r="D661" s="177" t="s">
        <v>1111</v>
      </c>
      <c r="E661" s="384" t="s">
        <v>13</v>
      </c>
      <c r="F661" s="410">
        <v>16138</v>
      </c>
      <c r="G661" s="10">
        <v>24412.5</v>
      </c>
      <c r="H661" s="167">
        <v>73237.5</v>
      </c>
      <c r="I661" s="10">
        <v>23000</v>
      </c>
      <c r="J661" s="76">
        <f t="shared" si="774"/>
        <v>23706.25</v>
      </c>
      <c r="K661" s="24">
        <f t="shared" si="775"/>
        <v>7568.25</v>
      </c>
      <c r="L661" s="281">
        <f t="shared" si="776"/>
        <v>0.46897075226174245</v>
      </c>
      <c r="M661" s="431">
        <f t="shared" si="777"/>
        <v>73237.5</v>
      </c>
      <c r="N661" s="443"/>
      <c r="O661" s="250"/>
      <c r="P661" s="250"/>
      <c r="Q661" s="250"/>
      <c r="R661" s="250"/>
      <c r="S661" s="250"/>
      <c r="T661" s="250"/>
      <c r="U661" s="250"/>
      <c r="V661" s="443"/>
      <c r="W661" s="410"/>
      <c r="X661" s="33"/>
      <c r="Y661" s="31"/>
      <c r="Z661" s="472"/>
      <c r="AA661" s="76"/>
      <c r="AB661" s="24"/>
      <c r="AC661" s="25"/>
      <c r="AD661" s="309"/>
      <c r="AE661" s="462"/>
      <c r="AF661" s="408"/>
      <c r="AG661" s="293"/>
      <c r="AH661" s="293"/>
      <c r="AI661" s="293"/>
      <c r="AJ661" s="293"/>
      <c r="AK661" s="293"/>
      <c r="AL661" s="327"/>
      <c r="AM661" s="463"/>
      <c r="AN661" s="513"/>
      <c r="AO661" s="88"/>
      <c r="AP661" s="116"/>
      <c r="AQ661" s="74"/>
      <c r="AR661" s="76"/>
      <c r="AS661" s="24"/>
      <c r="AT661" s="25"/>
      <c r="AU661" s="309"/>
      <c r="AV661" s="462"/>
      <c r="AW661" s="513"/>
      <c r="AX661" s="74"/>
      <c r="AY661" s="74"/>
      <c r="AZ661" s="75"/>
      <c r="BA661" s="61"/>
      <c r="BB661" s="60"/>
      <c r="BC661" s="74"/>
      <c r="BD661" s="79"/>
      <c r="BE661" s="79"/>
      <c r="BF661" s="127"/>
      <c r="BG661" s="128"/>
      <c r="BH661" s="128"/>
      <c r="BI661" s="76"/>
      <c r="BJ661" s="24"/>
      <c r="BK661" s="25"/>
      <c r="BL661" s="259"/>
      <c r="BM661" s="533"/>
    </row>
    <row r="662" spans="1:65" ht="50.1" customHeight="1">
      <c r="A662" s="91"/>
      <c r="B662" s="358" t="s">
        <v>2853</v>
      </c>
      <c r="C662" s="50" t="s">
        <v>1157</v>
      </c>
      <c r="D662" s="177" t="s">
        <v>1112</v>
      </c>
      <c r="E662" s="384" t="s">
        <v>13</v>
      </c>
      <c r="F662" s="410">
        <v>15777</v>
      </c>
      <c r="G662" s="10">
        <v>23000</v>
      </c>
      <c r="H662" s="167">
        <v>69000</v>
      </c>
      <c r="I662" s="10">
        <v>23000</v>
      </c>
      <c r="J662" s="76">
        <f t="shared" si="774"/>
        <v>23000</v>
      </c>
      <c r="K662" s="24">
        <f t="shared" si="775"/>
        <v>7223</v>
      </c>
      <c r="L662" s="281">
        <f t="shared" si="776"/>
        <v>0.45781834315776132</v>
      </c>
      <c r="M662" s="431">
        <f t="shared" si="777"/>
        <v>69000</v>
      </c>
      <c r="N662" s="443"/>
      <c r="O662" s="250"/>
      <c r="P662" s="250"/>
      <c r="Q662" s="250"/>
      <c r="R662" s="250"/>
      <c r="S662" s="250"/>
      <c r="T662" s="250"/>
      <c r="U662" s="250"/>
      <c r="V662" s="443"/>
      <c r="W662" s="410"/>
      <c r="X662" s="33"/>
      <c r="Y662" s="31"/>
      <c r="Z662" s="472"/>
      <c r="AA662" s="76"/>
      <c r="AB662" s="24"/>
      <c r="AC662" s="25"/>
      <c r="AD662" s="309"/>
      <c r="AE662" s="462"/>
      <c r="AF662" s="408"/>
      <c r="AG662" s="293"/>
      <c r="AH662" s="293"/>
      <c r="AI662" s="293"/>
      <c r="AJ662" s="293"/>
      <c r="AK662" s="293"/>
      <c r="AL662" s="327"/>
      <c r="AM662" s="463"/>
      <c r="AN662" s="513"/>
      <c r="AO662" s="88"/>
      <c r="AP662" s="116"/>
      <c r="AQ662" s="74"/>
      <c r="AR662" s="76"/>
      <c r="AS662" s="24"/>
      <c r="AT662" s="25"/>
      <c r="AU662" s="309"/>
      <c r="AV662" s="462"/>
      <c r="AW662" s="513"/>
      <c r="AX662" s="74"/>
      <c r="AY662" s="74"/>
      <c r="AZ662" s="75"/>
      <c r="BA662" s="61"/>
      <c r="BB662" s="60"/>
      <c r="BC662" s="74"/>
      <c r="BD662" s="79"/>
      <c r="BE662" s="79"/>
      <c r="BF662" s="127"/>
      <c r="BG662" s="128"/>
      <c r="BH662" s="128"/>
      <c r="BI662" s="76"/>
      <c r="BJ662" s="24"/>
      <c r="BK662" s="25"/>
      <c r="BL662" s="259"/>
      <c r="BM662" s="533"/>
    </row>
    <row r="663" spans="1:65" ht="57" customHeight="1">
      <c r="A663" s="91"/>
      <c r="B663" s="358" t="s">
        <v>2854</v>
      </c>
      <c r="C663" s="50" t="s">
        <v>1158</v>
      </c>
      <c r="D663" s="177" t="s">
        <v>1113</v>
      </c>
      <c r="E663" s="384" t="s">
        <v>13</v>
      </c>
      <c r="F663" s="410">
        <v>45431</v>
      </c>
      <c r="G663" s="10">
        <v>25000</v>
      </c>
      <c r="H663" s="167">
        <v>75000</v>
      </c>
      <c r="I663" s="10">
        <v>20000</v>
      </c>
      <c r="J663" s="76">
        <f t="shared" si="774"/>
        <v>22500</v>
      </c>
      <c r="K663" s="24">
        <f t="shared" si="775"/>
        <v>-22931</v>
      </c>
      <c r="L663" s="281">
        <f t="shared" si="776"/>
        <v>-0.50474345711078339</v>
      </c>
      <c r="M663" s="431">
        <f t="shared" si="777"/>
        <v>75000</v>
      </c>
      <c r="N663" s="443"/>
      <c r="O663" s="250"/>
      <c r="P663" s="250"/>
      <c r="Q663" s="250"/>
      <c r="R663" s="250"/>
      <c r="S663" s="250"/>
      <c r="T663" s="250"/>
      <c r="U663" s="250"/>
      <c r="V663" s="443"/>
      <c r="W663" s="410"/>
      <c r="X663" s="33"/>
      <c r="Y663" s="31"/>
      <c r="Z663" s="472"/>
      <c r="AA663" s="76"/>
      <c r="AB663" s="24"/>
      <c r="AC663" s="25"/>
      <c r="AD663" s="309"/>
      <c r="AE663" s="462"/>
      <c r="AF663" s="408"/>
      <c r="AG663" s="293"/>
      <c r="AH663" s="293"/>
      <c r="AI663" s="293"/>
      <c r="AJ663" s="293"/>
      <c r="AK663" s="293"/>
      <c r="AL663" s="327"/>
      <c r="AM663" s="463"/>
      <c r="AN663" s="513"/>
      <c r="AO663" s="88"/>
      <c r="AP663" s="116"/>
      <c r="AQ663" s="74"/>
      <c r="AR663" s="76"/>
      <c r="AS663" s="24"/>
      <c r="AT663" s="25"/>
      <c r="AU663" s="309"/>
      <c r="AV663" s="462"/>
      <c r="AW663" s="513"/>
      <c r="AX663" s="74"/>
      <c r="AY663" s="74"/>
      <c r="AZ663" s="75"/>
      <c r="BA663" s="61"/>
      <c r="BB663" s="60"/>
      <c r="BC663" s="74"/>
      <c r="BD663" s="79"/>
      <c r="BE663" s="79"/>
      <c r="BF663" s="127"/>
      <c r="BG663" s="128"/>
      <c r="BH663" s="128"/>
      <c r="BI663" s="76"/>
      <c r="BJ663" s="24"/>
      <c r="BK663" s="25"/>
      <c r="BL663" s="259"/>
      <c r="BM663" s="533"/>
    </row>
    <row r="664" spans="1:65" ht="63.95" customHeight="1">
      <c r="A664" s="91"/>
      <c r="B664" s="358" t="s">
        <v>2855</v>
      </c>
      <c r="C664" s="50" t="s">
        <v>1159</v>
      </c>
      <c r="D664" s="177" t="s">
        <v>1114</v>
      </c>
      <c r="E664" s="384" t="s">
        <v>13</v>
      </c>
      <c r="F664" s="410">
        <v>108528</v>
      </c>
      <c r="G664" s="10"/>
      <c r="H664" s="167">
        <v>459000</v>
      </c>
      <c r="I664" s="10">
        <v>145700</v>
      </c>
      <c r="J664" s="76">
        <f t="shared" si="774"/>
        <v>145700</v>
      </c>
      <c r="K664" s="24">
        <f t="shared" si="775"/>
        <v>37172</v>
      </c>
      <c r="L664" s="281">
        <f t="shared" si="776"/>
        <v>0.3425106884859207</v>
      </c>
      <c r="M664" s="431">
        <f t="shared" si="777"/>
        <v>459000</v>
      </c>
      <c r="N664" s="443"/>
      <c r="O664" s="250"/>
      <c r="P664" s="250"/>
      <c r="Q664" s="250"/>
      <c r="R664" s="250"/>
      <c r="S664" s="250"/>
      <c r="T664" s="250"/>
      <c r="U664" s="250"/>
      <c r="V664" s="443"/>
      <c r="W664" s="410"/>
      <c r="X664" s="33"/>
      <c r="Y664" s="31"/>
      <c r="Z664" s="472"/>
      <c r="AA664" s="76"/>
      <c r="AB664" s="24"/>
      <c r="AC664" s="25"/>
      <c r="AD664" s="309"/>
      <c r="AE664" s="462"/>
      <c r="AF664" s="408"/>
      <c r="AG664" s="293"/>
      <c r="AH664" s="293"/>
      <c r="AI664" s="293"/>
      <c r="AJ664" s="293"/>
      <c r="AK664" s="293"/>
      <c r="AL664" s="327"/>
      <c r="AM664" s="463"/>
      <c r="AN664" s="513"/>
      <c r="AO664" s="88"/>
      <c r="AP664" s="116"/>
      <c r="AQ664" s="74"/>
      <c r="AR664" s="76"/>
      <c r="AS664" s="24"/>
      <c r="AT664" s="25"/>
      <c r="AU664" s="309"/>
      <c r="AV664" s="462"/>
      <c r="AW664" s="513"/>
      <c r="AX664" s="74"/>
      <c r="AY664" s="74"/>
      <c r="AZ664" s="75"/>
      <c r="BA664" s="61"/>
      <c r="BB664" s="60"/>
      <c r="BC664" s="74"/>
      <c r="BD664" s="79"/>
      <c r="BE664" s="79"/>
      <c r="BF664" s="127"/>
      <c r="BG664" s="128"/>
      <c r="BH664" s="128"/>
      <c r="BI664" s="76"/>
      <c r="BJ664" s="24"/>
      <c r="BK664" s="25"/>
      <c r="BL664" s="259"/>
      <c r="BM664" s="533"/>
    </row>
    <row r="665" spans="1:65" ht="50.1" customHeight="1">
      <c r="A665" s="91"/>
      <c r="B665" s="358" t="s">
        <v>2856</v>
      </c>
      <c r="C665" s="50" t="s">
        <v>1160</v>
      </c>
      <c r="D665" s="177" t="s">
        <v>1115</v>
      </c>
      <c r="E665" s="384" t="s">
        <v>13</v>
      </c>
      <c r="F665" s="410">
        <v>26162</v>
      </c>
      <c r="G665" s="10">
        <v>36480</v>
      </c>
      <c r="H665" s="167">
        <v>109440</v>
      </c>
      <c r="I665" s="10">
        <v>34500</v>
      </c>
      <c r="J665" s="76">
        <f t="shared" si="774"/>
        <v>35490</v>
      </c>
      <c r="K665" s="24">
        <f t="shared" si="775"/>
        <v>9328</v>
      </c>
      <c r="L665" s="281">
        <f t="shared" si="776"/>
        <v>0.35654766455163978</v>
      </c>
      <c r="M665" s="431">
        <f t="shared" si="777"/>
        <v>109440</v>
      </c>
      <c r="N665" s="443"/>
      <c r="O665" s="250"/>
      <c r="P665" s="250"/>
      <c r="Q665" s="250"/>
      <c r="R665" s="250"/>
      <c r="S665" s="250"/>
      <c r="T665" s="250"/>
      <c r="U665" s="250"/>
      <c r="V665" s="443"/>
      <c r="W665" s="410"/>
      <c r="X665" s="33"/>
      <c r="Y665" s="31"/>
      <c r="Z665" s="472"/>
      <c r="AA665" s="76"/>
      <c r="AB665" s="24"/>
      <c r="AC665" s="25"/>
      <c r="AD665" s="309"/>
      <c r="AE665" s="462"/>
      <c r="AF665" s="408"/>
      <c r="AG665" s="293"/>
      <c r="AH665" s="293"/>
      <c r="AI665" s="293"/>
      <c r="AJ665" s="293"/>
      <c r="AK665" s="293"/>
      <c r="AL665" s="327"/>
      <c r="AM665" s="463"/>
      <c r="AN665" s="513"/>
      <c r="AO665" s="88"/>
      <c r="AP665" s="116"/>
      <c r="AQ665" s="74"/>
      <c r="AR665" s="76"/>
      <c r="AS665" s="24"/>
      <c r="AT665" s="25"/>
      <c r="AU665" s="309"/>
      <c r="AV665" s="462"/>
      <c r="AW665" s="513"/>
      <c r="AX665" s="74"/>
      <c r="AY665" s="74"/>
      <c r="AZ665" s="75"/>
      <c r="BA665" s="61"/>
      <c r="BB665" s="60"/>
      <c r="BC665" s="74"/>
      <c r="BD665" s="79"/>
      <c r="BE665" s="79"/>
      <c r="BF665" s="127"/>
      <c r="BG665" s="128"/>
      <c r="BH665" s="128"/>
      <c r="BI665" s="76"/>
      <c r="BJ665" s="24"/>
      <c r="BK665" s="25"/>
      <c r="BL665" s="259"/>
      <c r="BM665" s="533"/>
    </row>
    <row r="666" spans="1:65" ht="50.1" customHeight="1">
      <c r="A666" s="91"/>
      <c r="B666" s="358" t="s">
        <v>2857</v>
      </c>
      <c r="C666" s="50" t="s">
        <v>1161</v>
      </c>
      <c r="D666" s="177" t="s">
        <v>1116</v>
      </c>
      <c r="E666" s="384" t="s">
        <v>13</v>
      </c>
      <c r="F666" s="410">
        <v>22906</v>
      </c>
      <c r="G666" s="10">
        <v>32160</v>
      </c>
      <c r="H666" s="167">
        <v>96480</v>
      </c>
      <c r="I666" s="10">
        <v>32000</v>
      </c>
      <c r="J666" s="76">
        <f t="shared" si="774"/>
        <v>32080</v>
      </c>
      <c r="K666" s="24">
        <f t="shared" si="775"/>
        <v>9174</v>
      </c>
      <c r="L666" s="423">
        <f t="shared" si="776"/>
        <v>0.40050641753252425</v>
      </c>
      <c r="M666" s="431">
        <f t="shared" si="777"/>
        <v>96480</v>
      </c>
      <c r="N666" s="443"/>
      <c r="O666" s="250"/>
      <c r="P666" s="250"/>
      <c r="Q666" s="250"/>
      <c r="R666" s="250"/>
      <c r="S666" s="250"/>
      <c r="T666" s="250"/>
      <c r="U666" s="250"/>
      <c r="V666" s="443"/>
      <c r="W666" s="410"/>
      <c r="X666" s="33"/>
      <c r="Y666" s="31"/>
      <c r="Z666" s="472"/>
      <c r="AA666" s="76"/>
      <c r="AB666" s="24"/>
      <c r="AC666" s="25"/>
      <c r="AD666" s="309"/>
      <c r="AE666" s="462"/>
      <c r="AF666" s="408"/>
      <c r="AG666" s="293"/>
      <c r="AH666" s="293"/>
      <c r="AI666" s="293"/>
      <c r="AJ666" s="293"/>
      <c r="AK666" s="293"/>
      <c r="AL666" s="327"/>
      <c r="AM666" s="463"/>
      <c r="AN666" s="513"/>
      <c r="AO666" s="88"/>
      <c r="AP666" s="116"/>
      <c r="AQ666" s="74"/>
      <c r="AR666" s="76"/>
      <c r="AS666" s="24"/>
      <c r="AT666" s="25"/>
      <c r="AU666" s="309"/>
      <c r="AV666" s="462"/>
      <c r="AW666" s="513"/>
      <c r="AX666" s="74"/>
      <c r="AY666" s="74"/>
      <c r="AZ666" s="75"/>
      <c r="BA666" s="61"/>
      <c r="BB666" s="60"/>
      <c r="BC666" s="74"/>
      <c r="BD666" s="79"/>
      <c r="BE666" s="79"/>
      <c r="BF666" s="127"/>
      <c r="BG666" s="128"/>
      <c r="BH666" s="128"/>
      <c r="BI666" s="76"/>
      <c r="BJ666" s="24"/>
      <c r="BK666" s="25"/>
      <c r="BL666" s="259"/>
      <c r="BM666" s="533"/>
    </row>
    <row r="667" spans="1:65" ht="50.1" customHeight="1">
      <c r="A667" s="91"/>
      <c r="B667" s="358" t="s">
        <v>2858</v>
      </c>
      <c r="C667" s="50" t="s">
        <v>1162</v>
      </c>
      <c r="D667" s="177" t="s">
        <v>1117</v>
      </c>
      <c r="E667" s="384" t="s">
        <v>10</v>
      </c>
      <c r="F667" s="410">
        <v>14012</v>
      </c>
      <c r="G667" s="10"/>
      <c r="H667" s="167">
        <v>300000</v>
      </c>
      <c r="I667" s="10">
        <v>45000</v>
      </c>
      <c r="J667" s="76">
        <f t="shared" si="774"/>
        <v>45000</v>
      </c>
      <c r="K667" s="24">
        <f t="shared" si="775"/>
        <v>30988</v>
      </c>
      <c r="L667" s="281">
        <f t="shared" si="776"/>
        <v>2.2115329717385097</v>
      </c>
      <c r="M667" s="431">
        <f t="shared" si="777"/>
        <v>300000</v>
      </c>
      <c r="N667" s="443"/>
      <c r="O667" s="250"/>
      <c r="P667" s="250"/>
      <c r="Q667" s="250"/>
      <c r="R667" s="250"/>
      <c r="S667" s="250"/>
      <c r="T667" s="250"/>
      <c r="U667" s="250"/>
      <c r="V667" s="443"/>
      <c r="W667" s="410"/>
      <c r="X667" s="33"/>
      <c r="Y667" s="31"/>
      <c r="Z667" s="472"/>
      <c r="AA667" s="76"/>
      <c r="AB667" s="24"/>
      <c r="AC667" s="25"/>
      <c r="AD667" s="309"/>
      <c r="AE667" s="462"/>
      <c r="AF667" s="408"/>
      <c r="AG667" s="293"/>
      <c r="AH667" s="293"/>
      <c r="AI667" s="293"/>
      <c r="AJ667" s="293"/>
      <c r="AK667" s="293"/>
      <c r="AL667" s="327"/>
      <c r="AM667" s="463"/>
      <c r="AN667" s="513"/>
      <c r="AO667" s="88"/>
      <c r="AP667" s="116"/>
      <c r="AQ667" s="74"/>
      <c r="AR667" s="76"/>
      <c r="AS667" s="24"/>
      <c r="AT667" s="25"/>
      <c r="AU667" s="309"/>
      <c r="AV667" s="462"/>
      <c r="AW667" s="513"/>
      <c r="AX667" s="74"/>
      <c r="AY667" s="74"/>
      <c r="AZ667" s="75"/>
      <c r="BA667" s="61"/>
      <c r="BB667" s="60"/>
      <c r="BC667" s="74"/>
      <c r="BD667" s="79"/>
      <c r="BE667" s="79"/>
      <c r="BF667" s="127"/>
      <c r="BG667" s="128"/>
      <c r="BH667" s="128"/>
      <c r="BI667" s="76"/>
      <c r="BJ667" s="24"/>
      <c r="BK667" s="25"/>
      <c r="BL667" s="259"/>
      <c r="BM667" s="533"/>
    </row>
    <row r="668" spans="1:65" ht="30.95" customHeight="1">
      <c r="A668" s="91"/>
      <c r="B668" s="358" t="s">
        <v>2859</v>
      </c>
      <c r="C668" s="50" t="s">
        <v>1802</v>
      </c>
      <c r="D668" s="264" t="s">
        <v>1790</v>
      </c>
      <c r="E668" s="394" t="s">
        <v>1399</v>
      </c>
      <c r="F668" s="410"/>
      <c r="G668" s="10"/>
      <c r="H668" s="167"/>
      <c r="I668" s="10"/>
      <c r="J668" s="76"/>
      <c r="K668" s="24"/>
      <c r="L668" s="281"/>
      <c r="M668" s="431"/>
      <c r="N668" s="410">
        <v>12824</v>
      </c>
      <c r="O668" s="10">
        <v>22500</v>
      </c>
      <c r="P668" s="10"/>
      <c r="Q668" s="268">
        <v>25000</v>
      </c>
      <c r="R668" s="10">
        <v>30000</v>
      </c>
      <c r="S668" s="76">
        <f t="shared" ref="S668:S679" si="778">AVERAGE(O668,P668,Q668,R668)</f>
        <v>25833.333333333332</v>
      </c>
      <c r="T668" s="24">
        <f t="shared" ref="T668:T679" si="779">S668-N668</f>
        <v>13009.333333333332</v>
      </c>
      <c r="U668" s="281">
        <f t="shared" ref="U668:U679" si="780">+T668/N668</f>
        <v>1.0144520690372218</v>
      </c>
      <c r="V668" s="462">
        <f t="shared" ref="V668:V679" si="781">S668</f>
        <v>25833.333333333332</v>
      </c>
      <c r="W668" s="410"/>
      <c r="X668" s="33"/>
      <c r="Y668" s="31"/>
      <c r="Z668" s="472"/>
      <c r="AA668" s="76"/>
      <c r="AB668" s="24"/>
      <c r="AC668" s="25"/>
      <c r="AD668" s="309"/>
      <c r="AE668" s="462"/>
      <c r="AF668" s="410">
        <v>14315</v>
      </c>
      <c r="AG668" s="45">
        <v>20000</v>
      </c>
      <c r="AH668" s="45">
        <v>16643</v>
      </c>
      <c r="AI668" s="45">
        <v>45000</v>
      </c>
      <c r="AJ668" s="76">
        <f t="shared" ref="AJ668" si="782">AVERAGE(AG668,AH668,AI668)</f>
        <v>27214.333333333332</v>
      </c>
      <c r="AK668" s="24">
        <f t="shared" ref="AK668" si="783">AJ668-AF668</f>
        <v>12899.333333333332</v>
      </c>
      <c r="AL668" s="281">
        <f t="shared" ref="AL668" si="784">+AK668/AF668</f>
        <v>0.90110606589824183</v>
      </c>
      <c r="AM668" s="462">
        <f t="shared" ref="AM668" si="785">AJ668</f>
        <v>27214.333333333332</v>
      </c>
      <c r="AN668" s="513"/>
      <c r="AO668" s="88"/>
      <c r="AP668" s="116"/>
      <c r="AQ668" s="74"/>
      <c r="AR668" s="76"/>
      <c r="AS668" s="24"/>
      <c r="AT668" s="25"/>
      <c r="AU668" s="309"/>
      <c r="AV668" s="462"/>
      <c r="AW668" s="513"/>
      <c r="AX668" s="74"/>
      <c r="AY668" s="74"/>
      <c r="AZ668" s="75"/>
      <c r="BA668" s="61"/>
      <c r="BB668" s="60"/>
      <c r="BC668" s="74"/>
      <c r="BD668" s="79"/>
      <c r="BE668" s="79"/>
      <c r="BF668" s="127"/>
      <c r="BG668" s="128"/>
      <c r="BH668" s="128"/>
      <c r="BI668" s="76"/>
      <c r="BJ668" s="24"/>
      <c r="BK668" s="25"/>
      <c r="BL668" s="259"/>
      <c r="BM668" s="533"/>
    </row>
    <row r="669" spans="1:65" ht="30">
      <c r="A669" s="91"/>
      <c r="B669" s="358" t="s">
        <v>2860</v>
      </c>
      <c r="C669" s="50" t="s">
        <v>1803</v>
      </c>
      <c r="D669" s="264" t="s">
        <v>1791</v>
      </c>
      <c r="E669" s="393" t="s">
        <v>827</v>
      </c>
      <c r="F669" s="410"/>
      <c r="G669" s="10"/>
      <c r="H669" s="167"/>
      <c r="I669" s="10"/>
      <c r="J669" s="76"/>
      <c r="K669" s="24"/>
      <c r="L669" s="281"/>
      <c r="M669" s="431"/>
      <c r="N669" s="410">
        <v>14267</v>
      </c>
      <c r="O669" s="10">
        <v>18000</v>
      </c>
      <c r="P669" s="10"/>
      <c r="Q669" s="268">
        <v>22000</v>
      </c>
      <c r="R669" s="10">
        <v>25000</v>
      </c>
      <c r="S669" s="76">
        <f t="shared" si="778"/>
        <v>21666.666666666668</v>
      </c>
      <c r="T669" s="24">
        <f t="shared" si="779"/>
        <v>7399.6666666666679</v>
      </c>
      <c r="U669" s="281">
        <f t="shared" si="780"/>
        <v>0.51865610616574387</v>
      </c>
      <c r="V669" s="462">
        <f t="shared" si="781"/>
        <v>21666.666666666668</v>
      </c>
      <c r="W669" s="410"/>
      <c r="X669" s="33"/>
      <c r="Y669" s="31"/>
      <c r="Z669" s="472"/>
      <c r="AA669" s="76"/>
      <c r="AB669" s="24"/>
      <c r="AC669" s="25"/>
      <c r="AD669" s="309"/>
      <c r="AE669" s="462"/>
      <c r="AF669" s="408"/>
      <c r="AG669" s="293"/>
      <c r="AH669" s="293"/>
      <c r="AI669" s="293"/>
      <c r="AJ669" s="293"/>
      <c r="AK669" s="293"/>
      <c r="AL669" s="327"/>
      <c r="AM669" s="463"/>
      <c r="AN669" s="513"/>
      <c r="AO669" s="88"/>
      <c r="AP669" s="116"/>
      <c r="AQ669" s="74"/>
      <c r="AR669" s="76"/>
      <c r="AS669" s="24"/>
      <c r="AT669" s="25"/>
      <c r="AU669" s="309"/>
      <c r="AV669" s="462"/>
      <c r="AW669" s="513"/>
      <c r="AX669" s="74"/>
      <c r="AY669" s="74"/>
      <c r="AZ669" s="75"/>
      <c r="BA669" s="61"/>
      <c r="BB669" s="60"/>
      <c r="BC669" s="74"/>
      <c r="BD669" s="79"/>
      <c r="BE669" s="79"/>
      <c r="BF669" s="127"/>
      <c r="BG669" s="128"/>
      <c r="BH669" s="128"/>
      <c r="BI669" s="76"/>
      <c r="BJ669" s="24"/>
      <c r="BK669" s="25"/>
      <c r="BL669" s="259"/>
      <c r="BM669" s="533"/>
    </row>
    <row r="670" spans="1:65">
      <c r="A670" s="91"/>
      <c r="B670" s="358" t="s">
        <v>2861</v>
      </c>
      <c r="C670" s="50" t="s">
        <v>1804</v>
      </c>
      <c r="D670" s="264" t="s">
        <v>1792</v>
      </c>
      <c r="E670" s="393" t="s">
        <v>827</v>
      </c>
      <c r="F670" s="410"/>
      <c r="G670" s="10"/>
      <c r="H670" s="167"/>
      <c r="I670" s="10"/>
      <c r="J670" s="76"/>
      <c r="K670" s="24"/>
      <c r="L670" s="281"/>
      <c r="M670" s="431"/>
      <c r="N670" s="410">
        <v>28829</v>
      </c>
      <c r="O670" s="10">
        <v>24500</v>
      </c>
      <c r="P670" s="10"/>
      <c r="Q670" s="268">
        <v>28000</v>
      </c>
      <c r="R670" s="10">
        <v>25000</v>
      </c>
      <c r="S670" s="76">
        <f t="shared" si="778"/>
        <v>25833.333333333332</v>
      </c>
      <c r="T670" s="24">
        <f t="shared" si="779"/>
        <v>-2995.6666666666679</v>
      </c>
      <c r="U670" s="281">
        <f t="shared" si="780"/>
        <v>-0.10391157052505005</v>
      </c>
      <c r="V670" s="462">
        <f t="shared" si="781"/>
        <v>25833.333333333332</v>
      </c>
      <c r="W670" s="410"/>
      <c r="X670" s="33"/>
      <c r="Y670" s="31"/>
      <c r="Z670" s="472"/>
      <c r="AA670" s="76"/>
      <c r="AB670" s="24"/>
      <c r="AC670" s="25"/>
      <c r="AD670" s="309"/>
      <c r="AE670" s="462"/>
      <c r="AF670" s="408"/>
      <c r="AG670" s="293"/>
      <c r="AH670" s="293"/>
      <c r="AI670" s="293"/>
      <c r="AJ670" s="293"/>
      <c r="AK670" s="293"/>
      <c r="AL670" s="327"/>
      <c r="AM670" s="463"/>
      <c r="AN670" s="513"/>
      <c r="AO670" s="88"/>
      <c r="AP670" s="116"/>
      <c r="AQ670" s="74"/>
      <c r="AR670" s="76"/>
      <c r="AS670" s="24"/>
      <c r="AT670" s="25"/>
      <c r="AU670" s="309"/>
      <c r="AV670" s="462"/>
      <c r="AW670" s="513"/>
      <c r="AX670" s="74"/>
      <c r="AY670" s="74"/>
      <c r="AZ670" s="75"/>
      <c r="BA670" s="61"/>
      <c r="BB670" s="60"/>
      <c r="BC670" s="74"/>
      <c r="BD670" s="79"/>
      <c r="BE670" s="79"/>
      <c r="BF670" s="127"/>
      <c r="BG670" s="128"/>
      <c r="BH670" s="128"/>
      <c r="BI670" s="76"/>
      <c r="BJ670" s="24"/>
      <c r="BK670" s="25"/>
      <c r="BL670" s="259"/>
      <c r="BM670" s="533"/>
    </row>
    <row r="671" spans="1:65" ht="50.1" customHeight="1">
      <c r="A671" s="91"/>
      <c r="B671" s="358" t="s">
        <v>2862</v>
      </c>
      <c r="C671" s="50" t="s">
        <v>1805</v>
      </c>
      <c r="D671" s="264" t="s">
        <v>1793</v>
      </c>
      <c r="E671" s="394" t="s">
        <v>1399</v>
      </c>
      <c r="F671" s="410"/>
      <c r="G671" s="10"/>
      <c r="H671" s="167"/>
      <c r="I671" s="10"/>
      <c r="J671" s="76"/>
      <c r="K671" s="24"/>
      <c r="L671" s="281"/>
      <c r="M671" s="431"/>
      <c r="N671" s="410">
        <v>98645</v>
      </c>
      <c r="O671" s="10"/>
      <c r="P671" s="10"/>
      <c r="Q671" s="268"/>
      <c r="R671" s="10">
        <v>95000</v>
      </c>
      <c r="S671" s="76">
        <f t="shared" si="778"/>
        <v>95000</v>
      </c>
      <c r="T671" s="24">
        <f t="shared" si="779"/>
        <v>-3645</v>
      </c>
      <c r="U671" s="281">
        <f t="shared" si="780"/>
        <v>-3.695068173754372E-2</v>
      </c>
      <c r="V671" s="462">
        <f t="shared" si="781"/>
        <v>95000</v>
      </c>
      <c r="W671" s="410"/>
      <c r="X671" s="33"/>
      <c r="Y671" s="31"/>
      <c r="Z671" s="472"/>
      <c r="AA671" s="76"/>
      <c r="AB671" s="24"/>
      <c r="AC671" s="25"/>
      <c r="AD671" s="309"/>
      <c r="AE671" s="462"/>
      <c r="AF671" s="410">
        <v>110150</v>
      </c>
      <c r="AG671" s="45"/>
      <c r="AH671" s="45">
        <v>128052</v>
      </c>
      <c r="AI671" s="45">
        <v>185000</v>
      </c>
      <c r="AJ671" s="76">
        <f t="shared" ref="AJ671" si="786">AVERAGE(AG671,AH671,AI671)</f>
        <v>156526</v>
      </c>
      <c r="AK671" s="24">
        <f t="shared" ref="AK671" si="787">AJ671-AF671</f>
        <v>46376</v>
      </c>
      <c r="AL671" s="281">
        <f t="shared" ref="AL671" si="788">+AK671/AF671</f>
        <v>0.42102587380844303</v>
      </c>
      <c r="AM671" s="462">
        <f t="shared" ref="AM671" si="789">AJ671</f>
        <v>156526</v>
      </c>
      <c r="AN671" s="513"/>
      <c r="AO671" s="88"/>
      <c r="AP671" s="116"/>
      <c r="AQ671" s="74"/>
      <c r="AR671" s="76"/>
      <c r="AS671" s="24"/>
      <c r="AT671" s="25"/>
      <c r="AU671" s="309"/>
      <c r="AV671" s="462"/>
      <c r="AW671" s="513"/>
      <c r="AX671" s="74"/>
      <c r="AY671" s="74"/>
      <c r="AZ671" s="75"/>
      <c r="BA671" s="61"/>
      <c r="BB671" s="60"/>
      <c r="BC671" s="74"/>
      <c r="BD671" s="79"/>
      <c r="BE671" s="79"/>
      <c r="BF671" s="127"/>
      <c r="BG671" s="128"/>
      <c r="BH671" s="128"/>
      <c r="BI671" s="76"/>
      <c r="BJ671" s="24"/>
      <c r="BK671" s="25"/>
      <c r="BL671" s="259"/>
      <c r="BM671" s="533"/>
    </row>
    <row r="672" spans="1:65" ht="33.950000000000003" customHeight="1">
      <c r="A672" s="91"/>
      <c r="B672" s="358" t="s">
        <v>2863</v>
      </c>
      <c r="C672" s="50" t="s">
        <v>1806</v>
      </c>
      <c r="D672" s="264" t="s">
        <v>1794</v>
      </c>
      <c r="E672" s="393" t="s">
        <v>999</v>
      </c>
      <c r="F672" s="410"/>
      <c r="G672" s="10"/>
      <c r="H672" s="167"/>
      <c r="I672" s="10"/>
      <c r="J672" s="76"/>
      <c r="K672" s="24"/>
      <c r="L672" s="281"/>
      <c r="M672" s="431"/>
      <c r="N672" s="410">
        <v>52977</v>
      </c>
      <c r="O672" s="10"/>
      <c r="P672" s="10"/>
      <c r="Q672" s="268"/>
      <c r="R672" s="10">
        <v>55000</v>
      </c>
      <c r="S672" s="76">
        <f t="shared" si="778"/>
        <v>55000</v>
      </c>
      <c r="T672" s="24">
        <f t="shared" si="779"/>
        <v>2023</v>
      </c>
      <c r="U672" s="281">
        <f t="shared" si="780"/>
        <v>3.8186382769881268E-2</v>
      </c>
      <c r="V672" s="462">
        <f t="shared" si="781"/>
        <v>55000</v>
      </c>
      <c r="W672" s="410"/>
      <c r="X672" s="33"/>
      <c r="Y672" s="31"/>
      <c r="Z672" s="472"/>
      <c r="AA672" s="76"/>
      <c r="AB672" s="24"/>
      <c r="AC672" s="25"/>
      <c r="AD672" s="309"/>
      <c r="AE672" s="462"/>
      <c r="AF672" s="408"/>
      <c r="AG672" s="293"/>
      <c r="AH672" s="293"/>
      <c r="AI672" s="293"/>
      <c r="AJ672" s="293"/>
      <c r="AK672" s="293"/>
      <c r="AL672" s="327"/>
      <c r="AM672" s="463"/>
      <c r="AN672" s="513"/>
      <c r="AO672" s="88"/>
      <c r="AP672" s="116"/>
      <c r="AQ672" s="74"/>
      <c r="AR672" s="76"/>
      <c r="AS672" s="24"/>
      <c r="AT672" s="25"/>
      <c r="AU672" s="309"/>
      <c r="AV672" s="462"/>
      <c r="AW672" s="513"/>
      <c r="AX672" s="74"/>
      <c r="AY672" s="74"/>
      <c r="AZ672" s="75"/>
      <c r="BA672" s="61"/>
      <c r="BB672" s="60"/>
      <c r="BC672" s="74"/>
      <c r="BD672" s="79"/>
      <c r="BE672" s="79"/>
      <c r="BF672" s="127"/>
      <c r="BG672" s="128"/>
      <c r="BH672" s="128"/>
      <c r="BI672" s="76"/>
      <c r="BJ672" s="24"/>
      <c r="BK672" s="25"/>
      <c r="BL672" s="259"/>
      <c r="BM672" s="533"/>
    </row>
    <row r="673" spans="1:65">
      <c r="A673" s="91"/>
      <c r="B673" s="358" t="s">
        <v>2864</v>
      </c>
      <c r="C673" s="50" t="s">
        <v>1807</v>
      </c>
      <c r="D673" s="264" t="s">
        <v>1795</v>
      </c>
      <c r="E673" s="393" t="s">
        <v>1457</v>
      </c>
      <c r="F673" s="410"/>
      <c r="G673" s="10"/>
      <c r="H673" s="167"/>
      <c r="I673" s="10"/>
      <c r="J673" s="76"/>
      <c r="K673" s="24"/>
      <c r="L673" s="281"/>
      <c r="M673" s="431"/>
      <c r="N673" s="410">
        <v>16108</v>
      </c>
      <c r="O673" s="10">
        <v>25000</v>
      </c>
      <c r="P673" s="10"/>
      <c r="Q673" s="268">
        <v>28000</v>
      </c>
      <c r="R673" s="10">
        <v>30000</v>
      </c>
      <c r="S673" s="76">
        <f t="shared" si="778"/>
        <v>27666.666666666668</v>
      </c>
      <c r="T673" s="24">
        <f t="shared" si="779"/>
        <v>11558.666666666668</v>
      </c>
      <c r="U673" s="281">
        <f t="shared" si="780"/>
        <v>0.71757304858869309</v>
      </c>
      <c r="V673" s="462">
        <f t="shared" si="781"/>
        <v>27666.666666666668</v>
      </c>
      <c r="W673" s="410"/>
      <c r="X673" s="33"/>
      <c r="Y673" s="31"/>
      <c r="Z673" s="472"/>
      <c r="AA673" s="76"/>
      <c r="AB673" s="24"/>
      <c r="AC673" s="25"/>
      <c r="AD673" s="309"/>
      <c r="AE673" s="462"/>
      <c r="AF673" s="408"/>
      <c r="AG673" s="293"/>
      <c r="AH673" s="293"/>
      <c r="AI673" s="293"/>
      <c r="AJ673" s="293"/>
      <c r="AK673" s="293"/>
      <c r="AL673" s="327"/>
      <c r="AM673" s="463"/>
      <c r="AN673" s="513"/>
      <c r="AO673" s="88"/>
      <c r="AP673" s="116"/>
      <c r="AQ673" s="74"/>
      <c r="AR673" s="76"/>
      <c r="AS673" s="24"/>
      <c r="AT673" s="25"/>
      <c r="AU673" s="309"/>
      <c r="AV673" s="462"/>
      <c r="AW673" s="513"/>
      <c r="AX673" s="74"/>
      <c r="AY673" s="74"/>
      <c r="AZ673" s="75"/>
      <c r="BA673" s="61"/>
      <c r="BB673" s="60"/>
      <c r="BC673" s="74"/>
      <c r="BD673" s="79"/>
      <c r="BE673" s="79"/>
      <c r="BF673" s="127"/>
      <c r="BG673" s="128"/>
      <c r="BH673" s="128"/>
      <c r="BI673" s="76"/>
      <c r="BJ673" s="24"/>
      <c r="BK673" s="25"/>
      <c r="BL673" s="259"/>
      <c r="BM673" s="533"/>
    </row>
    <row r="674" spans="1:65" ht="42" customHeight="1">
      <c r="A674" s="91"/>
      <c r="B674" s="358" t="s">
        <v>2865</v>
      </c>
      <c r="C674" s="50" t="s">
        <v>1808</v>
      </c>
      <c r="D674" s="264" t="s">
        <v>1796</v>
      </c>
      <c r="E674" s="393" t="s">
        <v>1457</v>
      </c>
      <c r="F674" s="410"/>
      <c r="G674" s="10"/>
      <c r="H674" s="167"/>
      <c r="I674" s="10"/>
      <c r="J674" s="76"/>
      <c r="K674" s="24"/>
      <c r="L674" s="281"/>
      <c r="M674" s="431"/>
      <c r="N674" s="410">
        <v>15795</v>
      </c>
      <c r="O674" s="10">
        <v>18000</v>
      </c>
      <c r="P674" s="10"/>
      <c r="Q674" s="268">
        <v>21000</v>
      </c>
      <c r="R674" s="10">
        <v>250000</v>
      </c>
      <c r="S674" s="76">
        <f t="shared" si="778"/>
        <v>96333.333333333328</v>
      </c>
      <c r="T674" s="24">
        <f t="shared" si="779"/>
        <v>80538.333333333328</v>
      </c>
      <c r="U674" s="281">
        <f t="shared" si="780"/>
        <v>5.0989764693468391</v>
      </c>
      <c r="V674" s="462">
        <f t="shared" si="781"/>
        <v>96333.333333333328</v>
      </c>
      <c r="W674" s="410"/>
      <c r="X674" s="33"/>
      <c r="Y674" s="31"/>
      <c r="Z674" s="472"/>
      <c r="AA674" s="76"/>
      <c r="AB674" s="24"/>
      <c r="AC674" s="25"/>
      <c r="AD674" s="309"/>
      <c r="AE674" s="462"/>
      <c r="AF674" s="408"/>
      <c r="AG674" s="293"/>
      <c r="AH674" s="293"/>
      <c r="AI674" s="293"/>
      <c r="AJ674" s="293"/>
      <c r="AK674" s="293"/>
      <c r="AL674" s="327"/>
      <c r="AM674" s="463"/>
      <c r="AN674" s="513"/>
      <c r="AO674" s="88"/>
      <c r="AP674" s="116"/>
      <c r="AQ674" s="74"/>
      <c r="AR674" s="76"/>
      <c r="AS674" s="24"/>
      <c r="AT674" s="25"/>
      <c r="AU674" s="309"/>
      <c r="AV674" s="462"/>
      <c r="AW674" s="513"/>
      <c r="AX674" s="74"/>
      <c r="AY674" s="74"/>
      <c r="AZ674" s="75"/>
      <c r="BA674" s="61"/>
      <c r="BB674" s="60"/>
      <c r="BC674" s="74"/>
      <c r="BD674" s="79"/>
      <c r="BE674" s="79"/>
      <c r="BF674" s="127"/>
      <c r="BG674" s="128"/>
      <c r="BH674" s="128"/>
      <c r="BI674" s="76"/>
      <c r="BJ674" s="24"/>
      <c r="BK674" s="25"/>
      <c r="BL674" s="259"/>
      <c r="BM674" s="533"/>
    </row>
    <row r="675" spans="1:65" ht="39" customHeight="1">
      <c r="A675" s="91"/>
      <c r="B675" s="358" t="s">
        <v>2866</v>
      </c>
      <c r="C675" s="50" t="s">
        <v>1809</v>
      </c>
      <c r="D675" s="264" t="s">
        <v>1797</v>
      </c>
      <c r="E675" s="394" t="s">
        <v>1399</v>
      </c>
      <c r="F675" s="410"/>
      <c r="G675" s="10"/>
      <c r="H675" s="167"/>
      <c r="I675" s="10"/>
      <c r="J675" s="76"/>
      <c r="K675" s="24"/>
      <c r="L675" s="281"/>
      <c r="M675" s="431"/>
      <c r="N675" s="410">
        <v>17124</v>
      </c>
      <c r="O675" s="10"/>
      <c r="P675" s="10"/>
      <c r="Q675" s="268">
        <v>21000</v>
      </c>
      <c r="R675" s="10">
        <v>45000</v>
      </c>
      <c r="S675" s="76">
        <f t="shared" si="778"/>
        <v>33000</v>
      </c>
      <c r="T675" s="24">
        <f t="shared" si="779"/>
        <v>15876</v>
      </c>
      <c r="U675" s="281">
        <f t="shared" si="780"/>
        <v>0.92711983181499646</v>
      </c>
      <c r="V675" s="462">
        <f t="shared" si="781"/>
        <v>33000</v>
      </c>
      <c r="W675" s="410"/>
      <c r="X675" s="33"/>
      <c r="Y675" s="31"/>
      <c r="Z675" s="472"/>
      <c r="AA675" s="76"/>
      <c r="AB675" s="24"/>
      <c r="AC675" s="25"/>
      <c r="AD675" s="309"/>
      <c r="AE675" s="462"/>
      <c r="AF675" s="408"/>
      <c r="AG675" s="293"/>
      <c r="AH675" s="293"/>
      <c r="AI675" s="293"/>
      <c r="AJ675" s="293"/>
      <c r="AK675" s="293"/>
      <c r="AL675" s="327"/>
      <c r="AM675" s="463"/>
      <c r="AN675" s="513"/>
      <c r="AO675" s="88"/>
      <c r="AP675" s="116"/>
      <c r="AQ675" s="74"/>
      <c r="AR675" s="76"/>
      <c r="AS675" s="24"/>
      <c r="AT675" s="25"/>
      <c r="AU675" s="309"/>
      <c r="AV675" s="462"/>
      <c r="AW675" s="513"/>
      <c r="AX675" s="74"/>
      <c r="AY675" s="74"/>
      <c r="AZ675" s="75"/>
      <c r="BA675" s="61"/>
      <c r="BB675" s="60"/>
      <c r="BC675" s="74"/>
      <c r="BD675" s="79"/>
      <c r="BE675" s="79"/>
      <c r="BF675" s="127"/>
      <c r="BG675" s="128"/>
      <c r="BH675" s="128"/>
      <c r="BI675" s="76"/>
      <c r="BJ675" s="24"/>
      <c r="BK675" s="25"/>
      <c r="BL675" s="259"/>
      <c r="BM675" s="533"/>
    </row>
    <row r="676" spans="1:65" ht="30">
      <c r="A676" s="91"/>
      <c r="B676" s="358" t="s">
        <v>2867</v>
      </c>
      <c r="C676" s="50" t="s">
        <v>1810</v>
      </c>
      <c r="D676" s="264" t="s">
        <v>1798</v>
      </c>
      <c r="E676" s="394" t="s">
        <v>1466</v>
      </c>
      <c r="F676" s="410"/>
      <c r="G676" s="10"/>
      <c r="H676" s="167"/>
      <c r="I676" s="10"/>
      <c r="J676" s="76"/>
      <c r="K676" s="24"/>
      <c r="L676" s="281"/>
      <c r="M676" s="431"/>
      <c r="N676" s="410">
        <v>19204</v>
      </c>
      <c r="O676" s="10">
        <v>18000</v>
      </c>
      <c r="P676" s="10"/>
      <c r="Q676" s="268">
        <v>19000</v>
      </c>
      <c r="R676" s="10">
        <v>25000</v>
      </c>
      <c r="S676" s="76">
        <f t="shared" si="778"/>
        <v>20666.666666666668</v>
      </c>
      <c r="T676" s="24">
        <f t="shared" si="779"/>
        <v>1462.6666666666679</v>
      </c>
      <c r="U676" s="281">
        <f t="shared" si="780"/>
        <v>7.616468791224057E-2</v>
      </c>
      <c r="V676" s="462">
        <f t="shared" si="781"/>
        <v>20666.666666666668</v>
      </c>
      <c r="W676" s="410"/>
      <c r="X676" s="33"/>
      <c r="Y676" s="31"/>
      <c r="Z676" s="472"/>
      <c r="AA676" s="76"/>
      <c r="AB676" s="24"/>
      <c r="AC676" s="25"/>
      <c r="AD676" s="309"/>
      <c r="AE676" s="462"/>
      <c r="AF676" s="408"/>
      <c r="AG676" s="293"/>
      <c r="AH676" s="293"/>
      <c r="AI676" s="293"/>
      <c r="AJ676" s="293"/>
      <c r="AK676" s="293"/>
      <c r="AL676" s="327"/>
      <c r="AM676" s="463"/>
      <c r="AN676" s="513"/>
      <c r="AO676" s="88"/>
      <c r="AP676" s="116"/>
      <c r="AQ676" s="74"/>
      <c r="AR676" s="76"/>
      <c r="AS676" s="24"/>
      <c r="AT676" s="25"/>
      <c r="AU676" s="309"/>
      <c r="AV676" s="462"/>
      <c r="AW676" s="513"/>
      <c r="AX676" s="74"/>
      <c r="AY676" s="74"/>
      <c r="AZ676" s="75"/>
      <c r="BA676" s="61"/>
      <c r="BB676" s="60"/>
      <c r="BC676" s="74"/>
      <c r="BD676" s="79"/>
      <c r="BE676" s="79"/>
      <c r="BF676" s="127"/>
      <c r="BG676" s="128"/>
      <c r="BH676" s="128"/>
      <c r="BI676" s="76"/>
      <c r="BJ676" s="24"/>
      <c r="BK676" s="25"/>
      <c r="BL676" s="259"/>
      <c r="BM676" s="533"/>
    </row>
    <row r="677" spans="1:65" ht="42" customHeight="1">
      <c r="A677" s="91"/>
      <c r="B677" s="358" t="s">
        <v>2868</v>
      </c>
      <c r="C677" s="50" t="s">
        <v>1811</v>
      </c>
      <c r="D677" s="264" t="s">
        <v>1799</v>
      </c>
      <c r="E677" s="394" t="s">
        <v>1466</v>
      </c>
      <c r="F677" s="410"/>
      <c r="G677" s="10"/>
      <c r="H677" s="167"/>
      <c r="I677" s="10"/>
      <c r="J677" s="76"/>
      <c r="K677" s="24"/>
      <c r="L677" s="281"/>
      <c r="M677" s="431"/>
      <c r="N677" s="410">
        <v>68337</v>
      </c>
      <c r="O677" s="10">
        <v>16000</v>
      </c>
      <c r="P677" s="10"/>
      <c r="Q677" s="268">
        <v>38000</v>
      </c>
      <c r="R677" s="10">
        <v>45000</v>
      </c>
      <c r="S677" s="76">
        <f t="shared" si="778"/>
        <v>33000</v>
      </c>
      <c r="T677" s="24">
        <f t="shared" si="779"/>
        <v>-35337</v>
      </c>
      <c r="U677" s="281">
        <f t="shared" si="780"/>
        <v>-0.51709908248825676</v>
      </c>
      <c r="V677" s="462">
        <f t="shared" si="781"/>
        <v>33000</v>
      </c>
      <c r="W677" s="410"/>
      <c r="X677" s="33"/>
      <c r="Y677" s="31"/>
      <c r="Z677" s="472"/>
      <c r="AA677" s="76"/>
      <c r="AB677" s="24"/>
      <c r="AC677" s="25"/>
      <c r="AD677" s="309"/>
      <c r="AE677" s="462"/>
      <c r="AF677" s="408"/>
      <c r="AG677" s="293"/>
      <c r="AH677" s="293"/>
      <c r="AI677" s="293"/>
      <c r="AJ677" s="293"/>
      <c r="AK677" s="293"/>
      <c r="AL677" s="327"/>
      <c r="AM677" s="463"/>
      <c r="AN677" s="513"/>
      <c r="AO677" s="88"/>
      <c r="AP677" s="116"/>
      <c r="AQ677" s="74"/>
      <c r="AR677" s="76"/>
      <c r="AS677" s="24"/>
      <c r="AT677" s="25"/>
      <c r="AU677" s="309"/>
      <c r="AV677" s="462"/>
      <c r="AW677" s="513"/>
      <c r="AX677" s="74"/>
      <c r="AY677" s="74"/>
      <c r="AZ677" s="75"/>
      <c r="BA677" s="61"/>
      <c r="BB677" s="60"/>
      <c r="BC677" s="74"/>
      <c r="BD677" s="79"/>
      <c r="BE677" s="79"/>
      <c r="BF677" s="127"/>
      <c r="BG677" s="128"/>
      <c r="BH677" s="128"/>
      <c r="BI677" s="76"/>
      <c r="BJ677" s="24"/>
      <c r="BK677" s="25"/>
      <c r="BL677" s="259"/>
      <c r="BM677" s="533"/>
    </row>
    <row r="678" spans="1:65" ht="39.950000000000003" customHeight="1">
      <c r="A678" s="91"/>
      <c r="B678" s="358" t="s">
        <v>2869</v>
      </c>
      <c r="C678" s="50" t="s">
        <v>1812</v>
      </c>
      <c r="D678" s="264" t="s">
        <v>1800</v>
      </c>
      <c r="E678" s="394" t="s">
        <v>1426</v>
      </c>
      <c r="F678" s="410"/>
      <c r="G678" s="10"/>
      <c r="H678" s="167"/>
      <c r="I678" s="10"/>
      <c r="J678" s="76"/>
      <c r="K678" s="24"/>
      <c r="L678" s="281"/>
      <c r="M678" s="431"/>
      <c r="N678" s="410">
        <v>31501</v>
      </c>
      <c r="O678" s="10">
        <v>35000</v>
      </c>
      <c r="P678" s="10"/>
      <c r="Q678" s="268">
        <v>38000</v>
      </c>
      <c r="R678" s="10" t="s">
        <v>1421</v>
      </c>
      <c r="S678" s="76">
        <f t="shared" si="778"/>
        <v>36500</v>
      </c>
      <c r="T678" s="24">
        <f t="shared" si="779"/>
        <v>4999</v>
      </c>
      <c r="U678" s="281">
        <f t="shared" si="780"/>
        <v>0.15869337481349799</v>
      </c>
      <c r="V678" s="462">
        <f t="shared" si="781"/>
        <v>36500</v>
      </c>
      <c r="W678" s="410"/>
      <c r="X678" s="33"/>
      <c r="Y678" s="31"/>
      <c r="Z678" s="472"/>
      <c r="AA678" s="76"/>
      <c r="AB678" s="24"/>
      <c r="AC678" s="25"/>
      <c r="AD678" s="309"/>
      <c r="AE678" s="462"/>
      <c r="AF678" s="408"/>
      <c r="AG678" s="293"/>
      <c r="AH678" s="293"/>
      <c r="AI678" s="293"/>
      <c r="AJ678" s="293"/>
      <c r="AK678" s="293"/>
      <c r="AL678" s="327"/>
      <c r="AM678" s="463"/>
      <c r="AN678" s="513"/>
      <c r="AO678" s="88"/>
      <c r="AP678" s="116"/>
      <c r="AQ678" s="74"/>
      <c r="AR678" s="76"/>
      <c r="AS678" s="24"/>
      <c r="AT678" s="25"/>
      <c r="AU678" s="309"/>
      <c r="AV678" s="462"/>
      <c r="AW678" s="513"/>
      <c r="AX678" s="74"/>
      <c r="AY678" s="74"/>
      <c r="AZ678" s="75"/>
      <c r="BA678" s="61"/>
      <c r="BB678" s="60"/>
      <c r="BC678" s="74"/>
      <c r="BD678" s="79"/>
      <c r="BE678" s="79"/>
      <c r="BF678" s="127"/>
      <c r="BG678" s="128"/>
      <c r="BH678" s="128"/>
      <c r="BI678" s="76"/>
      <c r="BJ678" s="24"/>
      <c r="BK678" s="25"/>
      <c r="BL678" s="259"/>
      <c r="BM678" s="533"/>
    </row>
    <row r="679" spans="1:65" ht="50.1" customHeight="1">
      <c r="A679" s="91"/>
      <c r="B679" s="358" t="s">
        <v>2870</v>
      </c>
      <c r="C679" s="50" t="s">
        <v>1813</v>
      </c>
      <c r="D679" s="264" t="s">
        <v>1801</v>
      </c>
      <c r="E679" s="394" t="s">
        <v>1466</v>
      </c>
      <c r="F679" s="410"/>
      <c r="G679" s="10"/>
      <c r="H679" s="167"/>
      <c r="I679" s="10"/>
      <c r="J679" s="76"/>
      <c r="K679" s="24"/>
      <c r="L679" s="281"/>
      <c r="M679" s="431"/>
      <c r="N679" s="410">
        <v>64687</v>
      </c>
      <c r="O679" s="10">
        <v>35000</v>
      </c>
      <c r="P679" s="10"/>
      <c r="Q679" s="268">
        <v>38000</v>
      </c>
      <c r="R679" s="10">
        <v>60000</v>
      </c>
      <c r="S679" s="76">
        <f t="shared" si="778"/>
        <v>44333.333333333336</v>
      </c>
      <c r="T679" s="24">
        <f t="shared" si="779"/>
        <v>-20353.666666666664</v>
      </c>
      <c r="U679" s="281">
        <f t="shared" si="780"/>
        <v>-0.31464848681600111</v>
      </c>
      <c r="V679" s="462">
        <f t="shared" si="781"/>
        <v>44333.333333333336</v>
      </c>
      <c r="W679" s="410"/>
      <c r="X679" s="33"/>
      <c r="Y679" s="31"/>
      <c r="Z679" s="472"/>
      <c r="AA679" s="76"/>
      <c r="AB679" s="24"/>
      <c r="AC679" s="25"/>
      <c r="AD679" s="309"/>
      <c r="AE679" s="462"/>
      <c r="AF679" s="408"/>
      <c r="AG679" s="293"/>
      <c r="AH679" s="293"/>
      <c r="AI679" s="293"/>
      <c r="AJ679" s="293"/>
      <c r="AK679" s="293"/>
      <c r="AL679" s="327"/>
      <c r="AM679" s="463"/>
      <c r="AN679" s="513"/>
      <c r="AO679" s="88"/>
      <c r="AP679" s="116"/>
      <c r="AQ679" s="74"/>
      <c r="AR679" s="76"/>
      <c r="AS679" s="24"/>
      <c r="AT679" s="25"/>
      <c r="AU679" s="309"/>
      <c r="AV679" s="462"/>
      <c r="AW679" s="513"/>
      <c r="AX679" s="74"/>
      <c r="AY679" s="74"/>
      <c r="AZ679" s="75"/>
      <c r="BA679" s="61"/>
      <c r="BB679" s="60"/>
      <c r="BC679" s="74"/>
      <c r="BD679" s="79"/>
      <c r="BE679" s="79"/>
      <c r="BF679" s="127"/>
      <c r="BG679" s="128"/>
      <c r="BH679" s="128"/>
      <c r="BI679" s="76"/>
      <c r="BJ679" s="24"/>
      <c r="BK679" s="25"/>
      <c r="BL679" s="259"/>
      <c r="BM679" s="533"/>
    </row>
    <row r="680" spans="1:65" ht="44.45" customHeight="1">
      <c r="A680" s="91" t="s">
        <v>31</v>
      </c>
      <c r="B680" s="358" t="s">
        <v>2871</v>
      </c>
      <c r="C680" s="252" t="s">
        <v>760</v>
      </c>
      <c r="D680" s="47" t="s">
        <v>31</v>
      </c>
      <c r="E680" s="91"/>
      <c r="F680" s="411"/>
      <c r="G680" s="173"/>
      <c r="H680" s="174"/>
      <c r="I680" s="173"/>
      <c r="J680" s="76"/>
      <c r="K680" s="24"/>
      <c r="L680" s="281"/>
      <c r="M680" s="431"/>
      <c r="N680" s="411"/>
      <c r="O680" s="173"/>
      <c r="P680" s="173"/>
      <c r="Q680" s="274"/>
      <c r="R680" s="266"/>
      <c r="S680" s="76"/>
      <c r="T680" s="24"/>
      <c r="U680" s="281"/>
      <c r="V680" s="462"/>
      <c r="W680" s="413"/>
      <c r="X680" s="47"/>
      <c r="Y680" s="47"/>
      <c r="Z680" s="47"/>
      <c r="AA680" s="47"/>
      <c r="AB680" s="47"/>
      <c r="AC680" s="47"/>
      <c r="AD680" s="91"/>
      <c r="AE680" s="467"/>
      <c r="AF680" s="501"/>
      <c r="AG680" s="324"/>
      <c r="AH680" s="324"/>
      <c r="AI680" s="323"/>
      <c r="AJ680" s="76"/>
      <c r="AK680" s="24"/>
      <c r="AL680" s="281"/>
      <c r="AM680" s="462"/>
      <c r="AN680" s="413"/>
      <c r="AO680" s="47"/>
      <c r="AP680" s="47"/>
      <c r="AQ680" s="47"/>
      <c r="AR680" s="47"/>
      <c r="AS680" s="47"/>
      <c r="AT680" s="47"/>
      <c r="AU680" s="91"/>
      <c r="AV680" s="467"/>
      <c r="AW680" s="413"/>
      <c r="AX680" s="47"/>
      <c r="AY680" s="47"/>
      <c r="AZ680" s="47"/>
      <c r="BA680" s="47"/>
      <c r="BB680" s="47"/>
      <c r="BC680" s="47"/>
      <c r="BD680" s="148"/>
      <c r="BE680" s="148"/>
      <c r="BF680" s="149"/>
      <c r="BG680" s="148"/>
      <c r="BH680" s="148"/>
      <c r="BI680" s="47"/>
      <c r="BJ680" s="47"/>
      <c r="BK680" s="47"/>
      <c r="BL680" s="414"/>
      <c r="BM680" s="457"/>
    </row>
    <row r="681" spans="1:65" ht="39" customHeight="1">
      <c r="A681" s="91" t="s">
        <v>31</v>
      </c>
      <c r="B681" s="358" t="s">
        <v>2872</v>
      </c>
      <c r="C681" s="50" t="s">
        <v>302</v>
      </c>
      <c r="D681" s="99" t="s">
        <v>642</v>
      </c>
      <c r="E681" s="391" t="s">
        <v>13</v>
      </c>
      <c r="F681" s="410">
        <v>14382</v>
      </c>
      <c r="G681" s="10">
        <v>12000</v>
      </c>
      <c r="H681" s="167">
        <v>24000</v>
      </c>
      <c r="I681" s="10">
        <v>18700</v>
      </c>
      <c r="J681" s="76">
        <f t="shared" ref="J681:J703" si="790">AVERAGE(G681,I681)</f>
        <v>15350</v>
      </c>
      <c r="K681" s="24">
        <f t="shared" ref="K681:K703" si="791">J681-F681</f>
        <v>968</v>
      </c>
      <c r="L681" s="281">
        <f t="shared" ref="L681:L703" si="792">+K681/F681</f>
        <v>6.7306355166179943E-2</v>
      </c>
      <c r="M681" s="431">
        <f t="shared" ref="M681:M703" si="793">H681</f>
        <v>24000</v>
      </c>
      <c r="N681" s="410">
        <v>12653</v>
      </c>
      <c r="O681" s="10">
        <v>28500</v>
      </c>
      <c r="P681" s="10"/>
      <c r="Q681" s="268">
        <v>34000</v>
      </c>
      <c r="R681" s="10">
        <v>30000</v>
      </c>
      <c r="S681" s="76">
        <f t="shared" ref="S681:S702" si="794">AVERAGE(O681,P681,Q681,R681)</f>
        <v>30833.333333333332</v>
      </c>
      <c r="T681" s="24">
        <f t="shared" ref="T681:T702" si="795">S681-N681</f>
        <v>18180.333333333332</v>
      </c>
      <c r="U681" s="281">
        <f t="shared" ref="U681:U702" si="796">+T681/N681</f>
        <v>1.4368397481493189</v>
      </c>
      <c r="V681" s="462">
        <f t="shared" ref="V681:V702" si="797">S681</f>
        <v>30833.333333333332</v>
      </c>
      <c r="W681" s="410">
        <v>20220</v>
      </c>
      <c r="X681" s="33">
        <v>26298</v>
      </c>
      <c r="Y681" s="31">
        <v>34187</v>
      </c>
      <c r="Z681" s="472">
        <v>22986.400000000001</v>
      </c>
      <c r="AA681" s="76">
        <f t="shared" ref="AA681:AA713" si="798">AVERAGE(X681,Y681,Z681)</f>
        <v>27823.8</v>
      </c>
      <c r="AB681" s="24">
        <f t="shared" ref="AB681:AB713" si="799">AA681-W681</f>
        <v>7603.7999999999993</v>
      </c>
      <c r="AC681" s="25">
        <f t="shared" ref="AC681:AC713" si="800">+AB681/W681</f>
        <v>0.37605341246290797</v>
      </c>
      <c r="AD681" s="309" t="str">
        <f t="shared" ref="AD681:AD713" si="801">+IF(AC681&lt;35%,AA681,"REVISAR PRECIO")</f>
        <v>REVISAR PRECIO</v>
      </c>
      <c r="AE681" s="462">
        <f t="shared" ref="AE681:AE713" si="802">AA681</f>
        <v>27823.8</v>
      </c>
      <c r="AF681" s="410">
        <v>13716</v>
      </c>
      <c r="AG681" s="45">
        <v>14000</v>
      </c>
      <c r="AH681" s="45">
        <v>16971</v>
      </c>
      <c r="AI681" s="45">
        <v>20000</v>
      </c>
      <c r="AJ681" s="76">
        <f t="shared" ref="AJ681:AJ702" si="803">AVERAGE(AG681,AH681,AI681)</f>
        <v>16990.333333333332</v>
      </c>
      <c r="AK681" s="24">
        <f t="shared" ref="AK681:AK702" si="804">AJ681-AF681</f>
        <v>3274.3333333333321</v>
      </c>
      <c r="AL681" s="281">
        <f t="shared" ref="AL681:AL702" si="805">+AK681/AF681</f>
        <v>0.23872363176825109</v>
      </c>
      <c r="AM681" s="462">
        <f t="shared" ref="AM681:AM694" si="806">AJ681</f>
        <v>16990.333333333332</v>
      </c>
      <c r="AN681" s="513">
        <v>15804</v>
      </c>
      <c r="AO681" s="88">
        <v>14600</v>
      </c>
      <c r="AP681" s="116">
        <v>16500</v>
      </c>
      <c r="AQ681" s="74">
        <v>13200</v>
      </c>
      <c r="AR681" s="76">
        <f t="shared" ref="AR681:AR713" si="807">AVERAGE(AO681,AP681,AQ681)</f>
        <v>14766.666666666666</v>
      </c>
      <c r="AS681" s="24">
        <f t="shared" ref="AS681:AS713" si="808">AR681-AN681</f>
        <v>-1037.3333333333339</v>
      </c>
      <c r="AT681" s="25">
        <f t="shared" ref="AT681:AT703" si="809">+AS681/AN681</f>
        <v>-6.5637391377710325E-2</v>
      </c>
      <c r="AU681" s="309">
        <f t="shared" ref="AU681:AU703" si="810">+IF(AT681&lt;35%,AR681,"REVISAR PRECIO")</f>
        <v>14766.666666666666</v>
      </c>
      <c r="AV681" s="462">
        <f t="shared" ref="AV681:AV713" si="811">AR681</f>
        <v>14766.666666666666</v>
      </c>
      <c r="AW681" s="513">
        <v>15804</v>
      </c>
      <c r="AX681" s="74">
        <v>13800</v>
      </c>
      <c r="AY681" s="74">
        <v>15000</v>
      </c>
      <c r="AZ681" s="75">
        <v>15900</v>
      </c>
      <c r="BA681" s="61">
        <v>21505</v>
      </c>
      <c r="BB681" s="60">
        <v>60000</v>
      </c>
      <c r="BC681" s="74">
        <v>24730.749999999996</v>
      </c>
      <c r="BD681" s="79">
        <v>15900</v>
      </c>
      <c r="BE681" s="79">
        <v>12000</v>
      </c>
      <c r="BF681" s="127">
        <v>14400</v>
      </c>
      <c r="BG681" s="128">
        <v>12500</v>
      </c>
      <c r="BH681" s="128">
        <v>13000</v>
      </c>
      <c r="BI681" s="76">
        <f t="shared" ref="BI681:BI713" si="812">AVERAGE(AX681,AY681,AZ681,BA681,BB681,BC681)</f>
        <v>25155.958333333332</v>
      </c>
      <c r="BJ681" s="24">
        <f t="shared" ref="BJ681:BJ713" si="813">BI681-AW681</f>
        <v>9351.9583333333321</v>
      </c>
      <c r="BK681" s="25">
        <f t="shared" ref="BK681:BK703" si="814">+BJ681/AW681</f>
        <v>0.59174628785961347</v>
      </c>
      <c r="BL681" s="259" t="str">
        <f t="shared" ref="BL681:BL713" si="815">+IF(BK681&lt;35%,BI681,"REVISAR PRECIO")</f>
        <v>REVISAR PRECIO</v>
      </c>
      <c r="BM681" s="533">
        <f t="shared" ref="BM681:BM713" si="816">BI681</f>
        <v>25155.958333333332</v>
      </c>
    </row>
    <row r="682" spans="1:65" ht="39" customHeight="1">
      <c r="A682" s="91" t="s">
        <v>31</v>
      </c>
      <c r="B682" s="358" t="s">
        <v>2873</v>
      </c>
      <c r="C682" s="50" t="s">
        <v>303</v>
      </c>
      <c r="D682" s="99" t="s">
        <v>643</v>
      </c>
      <c r="E682" s="391" t="s">
        <v>13</v>
      </c>
      <c r="F682" s="410">
        <v>24122</v>
      </c>
      <c r="G682" s="10">
        <v>29000</v>
      </c>
      <c r="H682" s="167">
        <v>58000</v>
      </c>
      <c r="I682" s="10">
        <v>26700</v>
      </c>
      <c r="J682" s="76">
        <f t="shared" si="790"/>
        <v>27850</v>
      </c>
      <c r="K682" s="24">
        <f t="shared" si="791"/>
        <v>3728</v>
      </c>
      <c r="L682" s="281">
        <f t="shared" si="792"/>
        <v>0.15454771577812784</v>
      </c>
      <c r="M682" s="431">
        <f t="shared" si="793"/>
        <v>58000</v>
      </c>
      <c r="N682" s="410">
        <v>20561</v>
      </c>
      <c r="O682" s="10">
        <v>35000</v>
      </c>
      <c r="P682" s="10"/>
      <c r="Q682" s="268">
        <v>40000</v>
      </c>
      <c r="R682" s="10">
        <v>30000</v>
      </c>
      <c r="S682" s="76">
        <f t="shared" si="794"/>
        <v>35000</v>
      </c>
      <c r="T682" s="24">
        <f t="shared" si="795"/>
        <v>14439</v>
      </c>
      <c r="U682" s="281">
        <f t="shared" si="796"/>
        <v>0.70225183600019458</v>
      </c>
      <c r="V682" s="462">
        <f t="shared" si="797"/>
        <v>35000</v>
      </c>
      <c r="W682" s="410">
        <v>31462</v>
      </c>
      <c r="X682" s="31">
        <v>40919</v>
      </c>
      <c r="Y682" s="31">
        <v>53194</v>
      </c>
      <c r="Z682" s="472">
        <v>35765.800000000003</v>
      </c>
      <c r="AA682" s="76">
        <f t="shared" si="798"/>
        <v>43292.933333333334</v>
      </c>
      <c r="AB682" s="24">
        <f t="shared" si="799"/>
        <v>11830.933333333334</v>
      </c>
      <c r="AC682" s="25">
        <f t="shared" si="800"/>
        <v>0.37603881931642408</v>
      </c>
      <c r="AD682" s="309" t="str">
        <f t="shared" si="801"/>
        <v>REVISAR PRECIO</v>
      </c>
      <c r="AE682" s="462">
        <f t="shared" si="802"/>
        <v>43292.933333333334</v>
      </c>
      <c r="AF682" s="410">
        <v>22507</v>
      </c>
      <c r="AG682" s="45">
        <v>27000</v>
      </c>
      <c r="AH682" s="45">
        <v>28455</v>
      </c>
      <c r="AI682" s="45">
        <v>45000</v>
      </c>
      <c r="AJ682" s="76">
        <f t="shared" si="803"/>
        <v>33485</v>
      </c>
      <c r="AK682" s="24">
        <f t="shared" si="804"/>
        <v>10978</v>
      </c>
      <c r="AL682" s="281">
        <f t="shared" si="805"/>
        <v>0.48775936375349893</v>
      </c>
      <c r="AM682" s="462">
        <f t="shared" si="806"/>
        <v>33485</v>
      </c>
      <c r="AN682" s="513">
        <v>24586</v>
      </c>
      <c r="AO682" s="88">
        <v>30000</v>
      </c>
      <c r="AP682" s="116">
        <v>30000</v>
      </c>
      <c r="AQ682" s="74">
        <v>31900</v>
      </c>
      <c r="AR682" s="76">
        <f t="shared" si="807"/>
        <v>30633.333333333332</v>
      </c>
      <c r="AS682" s="24">
        <f t="shared" si="808"/>
        <v>6047.3333333333321</v>
      </c>
      <c r="AT682" s="25">
        <f t="shared" si="809"/>
        <v>0.24596653922286391</v>
      </c>
      <c r="AU682" s="309">
        <f t="shared" si="810"/>
        <v>30633.333333333332</v>
      </c>
      <c r="AV682" s="462">
        <f t="shared" si="811"/>
        <v>30633.333333333332</v>
      </c>
      <c r="AW682" s="513">
        <v>24586</v>
      </c>
      <c r="AX682" s="74">
        <v>33350</v>
      </c>
      <c r="AY682" s="74">
        <v>42000</v>
      </c>
      <c r="AZ682" s="75">
        <v>38425</v>
      </c>
      <c r="BA682" s="61">
        <v>33350</v>
      </c>
      <c r="BB682" s="60">
        <v>65000</v>
      </c>
      <c r="BC682" s="74">
        <v>38352.5</v>
      </c>
      <c r="BD682" s="79">
        <v>38425</v>
      </c>
      <c r="BE682" s="79">
        <v>29000</v>
      </c>
      <c r="BF682" s="127">
        <v>34800</v>
      </c>
      <c r="BG682" s="128">
        <v>29900</v>
      </c>
      <c r="BH682" s="128">
        <v>30000</v>
      </c>
      <c r="BI682" s="76">
        <f t="shared" si="812"/>
        <v>41746.25</v>
      </c>
      <c r="BJ682" s="24">
        <f t="shared" si="813"/>
        <v>17160.25</v>
      </c>
      <c r="BK682" s="25">
        <f t="shared" si="814"/>
        <v>0.69796835597494511</v>
      </c>
      <c r="BL682" s="259" t="str">
        <f t="shared" si="815"/>
        <v>REVISAR PRECIO</v>
      </c>
      <c r="BM682" s="533">
        <f t="shared" si="816"/>
        <v>41746.25</v>
      </c>
    </row>
    <row r="683" spans="1:65" ht="39" customHeight="1">
      <c r="A683" s="91" t="s">
        <v>31</v>
      </c>
      <c r="B683" s="358" t="s">
        <v>2874</v>
      </c>
      <c r="C683" s="50" t="s">
        <v>304</v>
      </c>
      <c r="D683" s="99" t="s">
        <v>644</v>
      </c>
      <c r="E683" s="391" t="s">
        <v>13</v>
      </c>
      <c r="F683" s="410">
        <v>43391</v>
      </c>
      <c r="G683" s="10">
        <v>48000</v>
      </c>
      <c r="H683" s="167">
        <v>96000</v>
      </c>
      <c r="I683" s="10">
        <v>45600</v>
      </c>
      <c r="J683" s="76">
        <f t="shared" si="790"/>
        <v>46800</v>
      </c>
      <c r="K683" s="24">
        <f t="shared" si="791"/>
        <v>3409</v>
      </c>
      <c r="L683" s="281">
        <f t="shared" si="792"/>
        <v>7.8564679311377936E-2</v>
      </c>
      <c r="M683" s="431">
        <f t="shared" si="793"/>
        <v>96000</v>
      </c>
      <c r="N683" s="410">
        <v>39432</v>
      </c>
      <c r="O683" s="10"/>
      <c r="P683" s="10"/>
      <c r="Q683" s="268"/>
      <c r="R683" s="10">
        <v>75000</v>
      </c>
      <c r="S683" s="76">
        <f t="shared" si="794"/>
        <v>75000</v>
      </c>
      <c r="T683" s="24">
        <f t="shared" si="795"/>
        <v>35568</v>
      </c>
      <c r="U683" s="281">
        <f t="shared" si="796"/>
        <v>0.90200852099817408</v>
      </c>
      <c r="V683" s="462">
        <f t="shared" si="797"/>
        <v>75000</v>
      </c>
      <c r="W683" s="410">
        <v>56623</v>
      </c>
      <c r="X683" s="31">
        <v>73643</v>
      </c>
      <c r="Y683" s="31">
        <v>95735</v>
      </c>
      <c r="Z683" s="472">
        <v>64369</v>
      </c>
      <c r="AA683" s="76">
        <f t="shared" si="798"/>
        <v>77915.666666666672</v>
      </c>
      <c r="AB683" s="24">
        <f t="shared" si="799"/>
        <v>21292.666666666672</v>
      </c>
      <c r="AC683" s="25">
        <f t="shared" si="800"/>
        <v>0.37604271526882488</v>
      </c>
      <c r="AD683" s="309" t="str">
        <f t="shared" si="801"/>
        <v>REVISAR PRECIO</v>
      </c>
      <c r="AE683" s="462">
        <f t="shared" si="802"/>
        <v>77915.666666666672</v>
      </c>
      <c r="AF683" s="410">
        <v>44036</v>
      </c>
      <c r="AG683" s="45">
        <v>65000</v>
      </c>
      <c r="AH683" s="45">
        <v>51191</v>
      </c>
      <c r="AI683" s="45">
        <v>75000</v>
      </c>
      <c r="AJ683" s="76">
        <f t="shared" si="803"/>
        <v>63730.333333333336</v>
      </c>
      <c r="AK683" s="24">
        <f t="shared" si="804"/>
        <v>19694.333333333336</v>
      </c>
      <c r="AL683" s="281">
        <f t="shared" si="805"/>
        <v>0.44723256729342664</v>
      </c>
      <c r="AM683" s="462">
        <f t="shared" si="806"/>
        <v>63730.333333333336</v>
      </c>
      <c r="AN683" s="513">
        <v>44253</v>
      </c>
      <c r="AO683" s="88">
        <v>50000</v>
      </c>
      <c r="AP683" s="116">
        <v>50000</v>
      </c>
      <c r="AQ683" s="74">
        <v>52800</v>
      </c>
      <c r="AR683" s="76">
        <f t="shared" si="807"/>
        <v>50933.333333333336</v>
      </c>
      <c r="AS683" s="24">
        <f t="shared" si="808"/>
        <v>6680.3333333333358</v>
      </c>
      <c r="AT683" s="25">
        <f t="shared" si="809"/>
        <v>0.15095775051032329</v>
      </c>
      <c r="AU683" s="309">
        <f t="shared" si="810"/>
        <v>50933.333333333336</v>
      </c>
      <c r="AV683" s="462">
        <f t="shared" si="811"/>
        <v>50933.333333333336</v>
      </c>
      <c r="AW683" s="513">
        <v>44253</v>
      </c>
      <c r="AX683" s="74">
        <v>55200</v>
      </c>
      <c r="AY683" s="74">
        <v>65000</v>
      </c>
      <c r="AZ683" s="75">
        <v>63600</v>
      </c>
      <c r="BA683" s="61">
        <v>75210</v>
      </c>
      <c r="BB683" s="60">
        <v>95000</v>
      </c>
      <c r="BC683" s="74">
        <v>86491.5</v>
      </c>
      <c r="BD683" s="79">
        <v>63600</v>
      </c>
      <c r="BE683" s="79">
        <v>48000</v>
      </c>
      <c r="BF683" s="127">
        <v>57600</v>
      </c>
      <c r="BG683" s="128">
        <v>50000</v>
      </c>
      <c r="BH683" s="128">
        <v>50000</v>
      </c>
      <c r="BI683" s="76">
        <f t="shared" si="812"/>
        <v>73416.916666666672</v>
      </c>
      <c r="BJ683" s="24">
        <f t="shared" si="813"/>
        <v>29163.916666666672</v>
      </c>
      <c r="BK683" s="25">
        <f t="shared" si="814"/>
        <v>0.65902688329981407</v>
      </c>
      <c r="BL683" s="259" t="str">
        <f t="shared" si="815"/>
        <v>REVISAR PRECIO</v>
      </c>
      <c r="BM683" s="533">
        <f t="shared" si="816"/>
        <v>73416.916666666672</v>
      </c>
    </row>
    <row r="684" spans="1:65" ht="50.1" customHeight="1">
      <c r="A684" s="91" t="s">
        <v>31</v>
      </c>
      <c r="B684" s="358" t="s">
        <v>2875</v>
      </c>
      <c r="C684" s="50" t="s">
        <v>305</v>
      </c>
      <c r="D684" s="99" t="s">
        <v>645</v>
      </c>
      <c r="E684" s="391" t="s">
        <v>13</v>
      </c>
      <c r="F684" s="410">
        <v>147095</v>
      </c>
      <c r="G684" s="10">
        <v>85000</v>
      </c>
      <c r="H684" s="167">
        <v>170000</v>
      </c>
      <c r="I684" s="10">
        <v>82900</v>
      </c>
      <c r="J684" s="76">
        <f t="shared" si="790"/>
        <v>83950</v>
      </c>
      <c r="K684" s="24">
        <f t="shared" si="791"/>
        <v>-63145</v>
      </c>
      <c r="L684" s="281">
        <f t="shared" si="792"/>
        <v>-0.4292803970223325</v>
      </c>
      <c r="M684" s="431">
        <f t="shared" si="793"/>
        <v>170000</v>
      </c>
      <c r="N684" s="410">
        <v>132391</v>
      </c>
      <c r="O684" s="10"/>
      <c r="P684" s="10"/>
      <c r="Q684" s="268"/>
      <c r="R684" s="10">
        <v>220000</v>
      </c>
      <c r="S684" s="76">
        <f t="shared" si="794"/>
        <v>220000</v>
      </c>
      <c r="T684" s="24">
        <f t="shared" si="795"/>
        <v>87609</v>
      </c>
      <c r="U684" s="281">
        <f t="shared" si="796"/>
        <v>0.66174437839430178</v>
      </c>
      <c r="V684" s="462">
        <f t="shared" si="797"/>
        <v>220000</v>
      </c>
      <c r="W684" s="410">
        <v>176149</v>
      </c>
      <c r="X684" s="31">
        <v>229095</v>
      </c>
      <c r="Y684" s="31">
        <v>297824</v>
      </c>
      <c r="Z684" s="472">
        <v>200246</v>
      </c>
      <c r="AA684" s="76">
        <f t="shared" si="798"/>
        <v>242388.33333333334</v>
      </c>
      <c r="AB684" s="24">
        <f t="shared" si="799"/>
        <v>66239.333333333343</v>
      </c>
      <c r="AC684" s="25">
        <f t="shared" si="800"/>
        <v>0.37604149517359364</v>
      </c>
      <c r="AD684" s="309" t="str">
        <f t="shared" si="801"/>
        <v>REVISAR PRECIO</v>
      </c>
      <c r="AE684" s="462">
        <f t="shared" si="802"/>
        <v>242388.33333333334</v>
      </c>
      <c r="AF684" s="410">
        <v>147095</v>
      </c>
      <c r="AG684" s="45">
        <v>95000</v>
      </c>
      <c r="AH684" s="45">
        <v>173557</v>
      </c>
      <c r="AI684" s="45">
        <v>90000</v>
      </c>
      <c r="AJ684" s="76">
        <f t="shared" si="803"/>
        <v>119519</v>
      </c>
      <c r="AK684" s="24">
        <f t="shared" si="804"/>
        <v>-27576</v>
      </c>
      <c r="AL684" s="281">
        <f t="shared" si="805"/>
        <v>-0.1874706822121758</v>
      </c>
      <c r="AM684" s="462">
        <f t="shared" si="806"/>
        <v>119519</v>
      </c>
      <c r="AN684" s="513">
        <v>147095</v>
      </c>
      <c r="AO684" s="88">
        <v>115000</v>
      </c>
      <c r="AP684" s="116">
        <v>135000</v>
      </c>
      <c r="AQ684" s="74">
        <v>93500</v>
      </c>
      <c r="AR684" s="76">
        <f t="shared" si="807"/>
        <v>114500</v>
      </c>
      <c r="AS684" s="24">
        <f t="shared" si="808"/>
        <v>-32595</v>
      </c>
      <c r="AT684" s="25">
        <f t="shared" si="809"/>
        <v>-0.22159148849383051</v>
      </c>
      <c r="AU684" s="309">
        <f t="shared" si="810"/>
        <v>114500</v>
      </c>
      <c r="AV684" s="462">
        <f t="shared" si="811"/>
        <v>114500</v>
      </c>
      <c r="AW684" s="513">
        <v>147095</v>
      </c>
      <c r="AX684" s="74">
        <v>97750</v>
      </c>
      <c r="AY684" s="74">
        <v>130000</v>
      </c>
      <c r="AZ684" s="75">
        <v>112625</v>
      </c>
      <c r="BA684" s="61">
        <v>128799.99999999999</v>
      </c>
      <c r="BB684" s="60">
        <v>160000</v>
      </c>
      <c r="BC684" s="74">
        <v>148119.99999999997</v>
      </c>
      <c r="BD684" s="79">
        <v>112625</v>
      </c>
      <c r="BE684" s="79">
        <v>85000</v>
      </c>
      <c r="BF684" s="127">
        <v>102000</v>
      </c>
      <c r="BG684" s="128">
        <v>110000</v>
      </c>
      <c r="BH684" s="128">
        <v>108000</v>
      </c>
      <c r="BI684" s="76">
        <f t="shared" si="812"/>
        <v>129549.16666666667</v>
      </c>
      <c r="BJ684" s="24">
        <f t="shared" si="813"/>
        <v>-17545.833333333328</v>
      </c>
      <c r="BK684" s="25">
        <f t="shared" si="814"/>
        <v>-0.11928232321515571</v>
      </c>
      <c r="BL684" s="259">
        <f t="shared" si="815"/>
        <v>129549.16666666667</v>
      </c>
      <c r="BM684" s="533">
        <f t="shared" si="816"/>
        <v>129549.16666666667</v>
      </c>
    </row>
    <row r="685" spans="1:65" ht="41.1" customHeight="1">
      <c r="A685" s="91" t="s">
        <v>31</v>
      </c>
      <c r="B685" s="358" t="s">
        <v>2876</v>
      </c>
      <c r="C685" s="50" t="s">
        <v>306</v>
      </c>
      <c r="D685" s="99" t="s">
        <v>646</v>
      </c>
      <c r="E685" s="391" t="s">
        <v>10</v>
      </c>
      <c r="F685" s="410">
        <v>12426</v>
      </c>
      <c r="G685" s="10">
        <v>13000</v>
      </c>
      <c r="H685" s="167">
        <v>26000</v>
      </c>
      <c r="I685" s="10">
        <v>15000</v>
      </c>
      <c r="J685" s="76">
        <f t="shared" si="790"/>
        <v>14000</v>
      </c>
      <c r="K685" s="24">
        <f t="shared" si="791"/>
        <v>1574</v>
      </c>
      <c r="L685" s="281">
        <f t="shared" si="792"/>
        <v>0.12666988572348303</v>
      </c>
      <c r="M685" s="431">
        <f t="shared" si="793"/>
        <v>26000</v>
      </c>
      <c r="N685" s="410">
        <v>11182</v>
      </c>
      <c r="O685" s="10">
        <v>22500</v>
      </c>
      <c r="P685" s="10"/>
      <c r="Q685" s="268">
        <v>26000</v>
      </c>
      <c r="R685" s="10">
        <v>30000</v>
      </c>
      <c r="S685" s="76">
        <f t="shared" si="794"/>
        <v>26166.666666666668</v>
      </c>
      <c r="T685" s="24">
        <f t="shared" si="795"/>
        <v>14984.666666666668</v>
      </c>
      <c r="U685" s="281">
        <f t="shared" si="796"/>
        <v>1.3400703511596019</v>
      </c>
      <c r="V685" s="462">
        <f t="shared" si="797"/>
        <v>26166.666666666668</v>
      </c>
      <c r="W685" s="410">
        <v>15902</v>
      </c>
      <c r="X685" s="31">
        <v>20682</v>
      </c>
      <c r="Y685" s="31">
        <v>26887</v>
      </c>
      <c r="Z685" s="472">
        <v>18077.599999999999</v>
      </c>
      <c r="AA685" s="76">
        <f t="shared" si="798"/>
        <v>21882.2</v>
      </c>
      <c r="AB685" s="24">
        <f t="shared" si="799"/>
        <v>5980.2000000000007</v>
      </c>
      <c r="AC685" s="25">
        <f t="shared" si="800"/>
        <v>0.37606590365991704</v>
      </c>
      <c r="AD685" s="309" t="str">
        <f t="shared" si="801"/>
        <v>REVISAR PRECIO</v>
      </c>
      <c r="AE685" s="462">
        <f t="shared" si="802"/>
        <v>21882.2</v>
      </c>
      <c r="AF685" s="410">
        <v>12426</v>
      </c>
      <c r="AG685" s="45">
        <v>19000</v>
      </c>
      <c r="AH685" s="45">
        <v>14664</v>
      </c>
      <c r="AI685" s="45">
        <v>45000</v>
      </c>
      <c r="AJ685" s="76">
        <f t="shared" si="803"/>
        <v>26221.333333333332</v>
      </c>
      <c r="AK685" s="24">
        <f t="shared" si="804"/>
        <v>13795.333333333332</v>
      </c>
      <c r="AL685" s="281">
        <f t="shared" si="805"/>
        <v>1.1101990450131445</v>
      </c>
      <c r="AM685" s="462">
        <f t="shared" si="806"/>
        <v>26221.333333333332</v>
      </c>
      <c r="AN685" s="513">
        <v>12426</v>
      </c>
      <c r="AO685" s="88">
        <v>15000</v>
      </c>
      <c r="AP685" s="116">
        <v>15000</v>
      </c>
      <c r="AQ685" s="74">
        <v>14300</v>
      </c>
      <c r="AR685" s="76">
        <f t="shared" si="807"/>
        <v>14766.666666666666</v>
      </c>
      <c r="AS685" s="24">
        <f t="shared" si="808"/>
        <v>2340.6666666666661</v>
      </c>
      <c r="AT685" s="25">
        <f t="shared" si="809"/>
        <v>0.18836847470357848</v>
      </c>
      <c r="AU685" s="309">
        <f t="shared" si="810"/>
        <v>14766.666666666666</v>
      </c>
      <c r="AV685" s="462">
        <f t="shared" si="811"/>
        <v>14766.666666666666</v>
      </c>
      <c r="AW685" s="513">
        <v>12426</v>
      </c>
      <c r="AX685" s="74">
        <v>14950</v>
      </c>
      <c r="AY685" s="74">
        <v>22000</v>
      </c>
      <c r="AZ685" s="75">
        <v>17225</v>
      </c>
      <c r="BA685" s="61">
        <v>14949.999999999998</v>
      </c>
      <c r="BB685" s="60">
        <v>38000</v>
      </c>
      <c r="BC685" s="74">
        <v>17192.499999999996</v>
      </c>
      <c r="BD685" s="79">
        <v>17225</v>
      </c>
      <c r="BE685" s="79">
        <v>13000</v>
      </c>
      <c r="BF685" s="127">
        <v>15600</v>
      </c>
      <c r="BG685" s="128">
        <v>13000</v>
      </c>
      <c r="BH685" s="128">
        <v>13000</v>
      </c>
      <c r="BI685" s="76">
        <f t="shared" si="812"/>
        <v>20719.583333333332</v>
      </c>
      <c r="BJ685" s="24">
        <f t="shared" si="813"/>
        <v>8293.5833333333321</v>
      </c>
      <c r="BK685" s="25">
        <f t="shared" si="814"/>
        <v>0.66743789902891781</v>
      </c>
      <c r="BL685" s="259" t="str">
        <f t="shared" si="815"/>
        <v>REVISAR PRECIO</v>
      </c>
      <c r="BM685" s="533">
        <f t="shared" si="816"/>
        <v>20719.583333333332</v>
      </c>
    </row>
    <row r="686" spans="1:65" ht="41.1" customHeight="1">
      <c r="A686" s="91" t="s">
        <v>31</v>
      </c>
      <c r="B686" s="358" t="s">
        <v>2877</v>
      </c>
      <c r="C686" s="50" t="s">
        <v>307</v>
      </c>
      <c r="D686" s="99" t="s">
        <v>647</v>
      </c>
      <c r="E686" s="391" t="s">
        <v>10</v>
      </c>
      <c r="F686" s="410">
        <v>40211</v>
      </c>
      <c r="G686" s="10">
        <v>43000</v>
      </c>
      <c r="H686" s="167">
        <v>86000</v>
      </c>
      <c r="I686" s="10">
        <v>39000</v>
      </c>
      <c r="J686" s="76">
        <f t="shared" si="790"/>
        <v>41000</v>
      </c>
      <c r="K686" s="24">
        <f t="shared" si="791"/>
        <v>789</v>
      </c>
      <c r="L686" s="281">
        <f t="shared" si="792"/>
        <v>1.9621496605406481E-2</v>
      </c>
      <c r="M686" s="431">
        <f t="shared" si="793"/>
        <v>86000</v>
      </c>
      <c r="N686" s="410">
        <v>36185</v>
      </c>
      <c r="O686" s="10">
        <v>28500</v>
      </c>
      <c r="P686" s="10"/>
      <c r="Q686" s="268">
        <v>35000</v>
      </c>
      <c r="R686" s="10">
        <v>30000</v>
      </c>
      <c r="S686" s="76">
        <f t="shared" si="794"/>
        <v>31166.666666666668</v>
      </c>
      <c r="T686" s="24">
        <f t="shared" si="795"/>
        <v>-5018.3333333333321</v>
      </c>
      <c r="U686" s="281">
        <f t="shared" si="796"/>
        <v>-0.13868545898392518</v>
      </c>
      <c r="V686" s="462">
        <f t="shared" si="797"/>
        <v>31166.666666666668</v>
      </c>
      <c r="W686" s="410">
        <v>51443</v>
      </c>
      <c r="X686" s="31">
        <v>66906</v>
      </c>
      <c r="Y686" s="33">
        <v>66906</v>
      </c>
      <c r="Z686" s="472">
        <v>58480.800000000003</v>
      </c>
      <c r="AA686" s="76">
        <f t="shared" si="798"/>
        <v>64097.599999999999</v>
      </c>
      <c r="AB686" s="24">
        <f t="shared" si="799"/>
        <v>12654.599999999999</v>
      </c>
      <c r="AC686" s="25">
        <f t="shared" si="800"/>
        <v>0.24599265206150495</v>
      </c>
      <c r="AD686" s="309">
        <f t="shared" si="801"/>
        <v>64097.599999999999</v>
      </c>
      <c r="AE686" s="462">
        <f t="shared" si="802"/>
        <v>64097.599999999999</v>
      </c>
      <c r="AF686" s="410">
        <v>40210</v>
      </c>
      <c r="AG686" s="45">
        <v>60000</v>
      </c>
      <c r="AH686" s="45">
        <v>47440</v>
      </c>
      <c r="AI686" s="45">
        <v>58000</v>
      </c>
      <c r="AJ686" s="76">
        <f t="shared" si="803"/>
        <v>55146.666666666664</v>
      </c>
      <c r="AK686" s="24">
        <f t="shared" si="804"/>
        <v>14936.666666666664</v>
      </c>
      <c r="AL686" s="281">
        <f t="shared" si="805"/>
        <v>0.37146646771118291</v>
      </c>
      <c r="AM686" s="462">
        <f t="shared" si="806"/>
        <v>55146.666666666664</v>
      </c>
      <c r="AN686" s="513">
        <v>40210</v>
      </c>
      <c r="AO686" s="88">
        <v>50000</v>
      </c>
      <c r="AP686" s="116">
        <v>50000</v>
      </c>
      <c r="AQ686" s="74">
        <v>47300</v>
      </c>
      <c r="AR686" s="76">
        <f t="shared" si="807"/>
        <v>49100</v>
      </c>
      <c r="AS686" s="24">
        <f t="shared" si="808"/>
        <v>8890</v>
      </c>
      <c r="AT686" s="25">
        <f t="shared" si="809"/>
        <v>0.22108928127331509</v>
      </c>
      <c r="AU686" s="309">
        <f t="shared" si="810"/>
        <v>49100</v>
      </c>
      <c r="AV686" s="462">
        <f t="shared" si="811"/>
        <v>49100</v>
      </c>
      <c r="AW686" s="513">
        <v>40210</v>
      </c>
      <c r="AX686" s="74">
        <v>49450</v>
      </c>
      <c r="AY686" s="74">
        <v>55000</v>
      </c>
      <c r="AZ686" s="75">
        <v>56975</v>
      </c>
      <c r="BA686" s="61">
        <v>49449.999999999993</v>
      </c>
      <c r="BB686" s="60">
        <v>35000</v>
      </c>
      <c r="BC686" s="74">
        <v>56867.499999999985</v>
      </c>
      <c r="BD686" s="79">
        <v>56975</v>
      </c>
      <c r="BE686" s="79">
        <v>43000</v>
      </c>
      <c r="BF686" s="127">
        <v>51600</v>
      </c>
      <c r="BG686" s="128">
        <v>43000</v>
      </c>
      <c r="BH686" s="128">
        <v>45000</v>
      </c>
      <c r="BI686" s="76">
        <f t="shared" si="812"/>
        <v>50457.083333333336</v>
      </c>
      <c r="BJ686" s="24">
        <f t="shared" si="813"/>
        <v>10247.083333333336</v>
      </c>
      <c r="BK686" s="25">
        <f t="shared" si="814"/>
        <v>0.25483917765066738</v>
      </c>
      <c r="BL686" s="259">
        <f t="shared" si="815"/>
        <v>50457.083333333336</v>
      </c>
      <c r="BM686" s="533">
        <f t="shared" si="816"/>
        <v>50457.083333333336</v>
      </c>
    </row>
    <row r="687" spans="1:65" ht="41.1" customHeight="1">
      <c r="A687" s="91" t="s">
        <v>31</v>
      </c>
      <c r="B687" s="358" t="s">
        <v>2878</v>
      </c>
      <c r="C687" s="50" t="s">
        <v>308</v>
      </c>
      <c r="D687" s="99" t="s">
        <v>648</v>
      </c>
      <c r="E687" s="391" t="s">
        <v>10</v>
      </c>
      <c r="F687" s="410">
        <v>6436</v>
      </c>
      <c r="G687" s="10">
        <v>6000</v>
      </c>
      <c r="H687" s="167">
        <v>24000</v>
      </c>
      <c r="I687" s="10">
        <v>12000</v>
      </c>
      <c r="J687" s="76">
        <f t="shared" si="790"/>
        <v>9000</v>
      </c>
      <c r="K687" s="24">
        <f t="shared" si="791"/>
        <v>2564</v>
      </c>
      <c r="L687" s="281">
        <f t="shared" si="792"/>
        <v>0.39838408949658172</v>
      </c>
      <c r="M687" s="431">
        <f t="shared" si="793"/>
        <v>24000</v>
      </c>
      <c r="N687" s="410">
        <v>5791</v>
      </c>
      <c r="O687" s="10">
        <v>31000</v>
      </c>
      <c r="P687" s="10"/>
      <c r="Q687" s="268">
        <v>35000</v>
      </c>
      <c r="R687" s="10">
        <v>30000</v>
      </c>
      <c r="S687" s="76">
        <f t="shared" si="794"/>
        <v>32000</v>
      </c>
      <c r="T687" s="24">
        <f t="shared" si="795"/>
        <v>26209</v>
      </c>
      <c r="U687" s="281">
        <f t="shared" si="796"/>
        <v>4.5258159212571227</v>
      </c>
      <c r="V687" s="462">
        <f t="shared" si="797"/>
        <v>32000</v>
      </c>
      <c r="W687" s="410">
        <v>8231</v>
      </c>
      <c r="X687" s="31">
        <v>10706</v>
      </c>
      <c r="Y687" s="33">
        <v>13917</v>
      </c>
      <c r="Z687" s="472">
        <v>9357.4</v>
      </c>
      <c r="AA687" s="76">
        <f t="shared" si="798"/>
        <v>11326.800000000001</v>
      </c>
      <c r="AB687" s="24">
        <f t="shared" si="799"/>
        <v>3095.8000000000011</v>
      </c>
      <c r="AC687" s="25">
        <f t="shared" si="800"/>
        <v>0.37611468837322332</v>
      </c>
      <c r="AD687" s="309" t="str">
        <f t="shared" si="801"/>
        <v>REVISAR PRECIO</v>
      </c>
      <c r="AE687" s="462">
        <f t="shared" si="802"/>
        <v>11326.800000000001</v>
      </c>
      <c r="AF687" s="410">
        <v>6436</v>
      </c>
      <c r="AG687" s="45">
        <v>13000</v>
      </c>
      <c r="AH687" s="45">
        <v>7594</v>
      </c>
      <c r="AI687" s="45">
        <v>13000</v>
      </c>
      <c r="AJ687" s="76">
        <f t="shared" si="803"/>
        <v>11198</v>
      </c>
      <c r="AK687" s="24">
        <f t="shared" si="804"/>
        <v>4762</v>
      </c>
      <c r="AL687" s="281">
        <f t="shared" si="805"/>
        <v>0.73990055935363575</v>
      </c>
      <c r="AM687" s="462">
        <f t="shared" si="806"/>
        <v>11198</v>
      </c>
      <c r="AN687" s="513">
        <v>6436</v>
      </c>
      <c r="AO687" s="88">
        <v>8000</v>
      </c>
      <c r="AP687" s="116">
        <v>8000</v>
      </c>
      <c r="AQ687" s="74">
        <v>7590</v>
      </c>
      <c r="AR687" s="76">
        <f t="shared" si="807"/>
        <v>7863.333333333333</v>
      </c>
      <c r="AS687" s="24">
        <f t="shared" si="808"/>
        <v>1427.333333333333</v>
      </c>
      <c r="AT687" s="25">
        <f t="shared" si="809"/>
        <v>0.22177335819349489</v>
      </c>
      <c r="AU687" s="309">
        <f t="shared" si="810"/>
        <v>7863.333333333333</v>
      </c>
      <c r="AV687" s="462">
        <f t="shared" si="811"/>
        <v>7863.333333333333</v>
      </c>
      <c r="AW687" s="513">
        <v>6436</v>
      </c>
      <c r="AX687" s="74">
        <v>7935</v>
      </c>
      <c r="AY687" s="74">
        <v>14500</v>
      </c>
      <c r="AZ687" s="75">
        <v>9142.5</v>
      </c>
      <c r="BA687" s="61">
        <v>10062.5</v>
      </c>
      <c r="BB687" s="60">
        <v>38000</v>
      </c>
      <c r="BC687" s="74">
        <v>11571.875</v>
      </c>
      <c r="BD687" s="79">
        <v>9142.5</v>
      </c>
      <c r="BE687" s="79">
        <v>6900</v>
      </c>
      <c r="BF687" s="127">
        <v>8280</v>
      </c>
      <c r="BG687" s="128">
        <v>7200</v>
      </c>
      <c r="BH687" s="128">
        <v>7000</v>
      </c>
      <c r="BI687" s="76">
        <f t="shared" si="812"/>
        <v>15201.979166666666</v>
      </c>
      <c r="BJ687" s="24">
        <f t="shared" si="813"/>
        <v>8765.9791666666661</v>
      </c>
      <c r="BK687" s="25">
        <f t="shared" si="814"/>
        <v>1.3620228661694633</v>
      </c>
      <c r="BL687" s="259" t="str">
        <f t="shared" si="815"/>
        <v>REVISAR PRECIO</v>
      </c>
      <c r="BM687" s="533">
        <f t="shared" si="816"/>
        <v>15201.979166666666</v>
      </c>
    </row>
    <row r="688" spans="1:65" ht="45" customHeight="1">
      <c r="A688" s="91" t="s">
        <v>31</v>
      </c>
      <c r="B688" s="358" t="s">
        <v>2879</v>
      </c>
      <c r="C688" s="50" t="s">
        <v>309</v>
      </c>
      <c r="D688" s="99" t="s">
        <v>649</v>
      </c>
      <c r="E688" s="391" t="s">
        <v>13</v>
      </c>
      <c r="F688" s="410">
        <v>58113</v>
      </c>
      <c r="G688" s="10">
        <v>48000</v>
      </c>
      <c r="H688" s="167">
        <v>192000</v>
      </c>
      <c r="I688" s="10">
        <v>45600</v>
      </c>
      <c r="J688" s="76">
        <f t="shared" si="790"/>
        <v>46800</v>
      </c>
      <c r="K688" s="24">
        <f t="shared" si="791"/>
        <v>-11313</v>
      </c>
      <c r="L688" s="281">
        <f t="shared" si="792"/>
        <v>-0.19467244850549792</v>
      </c>
      <c r="M688" s="431">
        <f t="shared" si="793"/>
        <v>192000</v>
      </c>
      <c r="N688" s="410">
        <v>52825</v>
      </c>
      <c r="O688" s="10">
        <v>215000</v>
      </c>
      <c r="P688" s="10"/>
      <c r="Q688" s="268">
        <v>225000</v>
      </c>
      <c r="R688" s="10">
        <v>220000</v>
      </c>
      <c r="S688" s="76">
        <f t="shared" si="794"/>
        <v>220000</v>
      </c>
      <c r="T688" s="24">
        <f t="shared" si="795"/>
        <v>167175</v>
      </c>
      <c r="U688" s="281">
        <f t="shared" si="796"/>
        <v>3.1646947468054898</v>
      </c>
      <c r="V688" s="462">
        <f t="shared" si="797"/>
        <v>220000</v>
      </c>
      <c r="W688" s="410">
        <v>111191</v>
      </c>
      <c r="X688" s="31">
        <v>144612</v>
      </c>
      <c r="Y688" s="31">
        <v>187996</v>
      </c>
      <c r="Z688" s="472">
        <v>126401.60000000001</v>
      </c>
      <c r="AA688" s="76">
        <f t="shared" si="798"/>
        <v>153003.19999999998</v>
      </c>
      <c r="AB688" s="24">
        <f t="shared" si="799"/>
        <v>41812.199999999983</v>
      </c>
      <c r="AC688" s="25">
        <f t="shared" si="800"/>
        <v>0.37603942765151838</v>
      </c>
      <c r="AD688" s="309" t="str">
        <f t="shared" si="801"/>
        <v>REVISAR PRECIO</v>
      </c>
      <c r="AE688" s="462">
        <f t="shared" si="802"/>
        <v>153003.19999999998</v>
      </c>
      <c r="AF688" s="410">
        <v>58986</v>
      </c>
      <c r="AG688" s="45">
        <v>55000</v>
      </c>
      <c r="AH688" s="45">
        <v>68581</v>
      </c>
      <c r="AI688" s="45">
        <v>70000</v>
      </c>
      <c r="AJ688" s="76">
        <f t="shared" si="803"/>
        <v>64527</v>
      </c>
      <c r="AK688" s="24">
        <f t="shared" si="804"/>
        <v>5541</v>
      </c>
      <c r="AL688" s="281">
        <f t="shared" si="805"/>
        <v>9.3937544502085246E-2</v>
      </c>
      <c r="AM688" s="462">
        <f t="shared" si="806"/>
        <v>64527</v>
      </c>
      <c r="AN688" s="513">
        <v>59280</v>
      </c>
      <c r="AO688" s="88">
        <v>60000</v>
      </c>
      <c r="AP688" s="116">
        <v>60000</v>
      </c>
      <c r="AQ688" s="74">
        <v>52800</v>
      </c>
      <c r="AR688" s="76">
        <f t="shared" si="807"/>
        <v>57600</v>
      </c>
      <c r="AS688" s="24">
        <f t="shared" si="808"/>
        <v>-1680</v>
      </c>
      <c r="AT688" s="25">
        <f t="shared" si="809"/>
        <v>-2.8340080971659919E-2</v>
      </c>
      <c r="AU688" s="309">
        <f t="shared" si="810"/>
        <v>57600</v>
      </c>
      <c r="AV688" s="462">
        <f t="shared" si="811"/>
        <v>57600</v>
      </c>
      <c r="AW688" s="513">
        <v>59280</v>
      </c>
      <c r="AX688" s="74">
        <v>55200</v>
      </c>
      <c r="AY688" s="74">
        <v>85000</v>
      </c>
      <c r="AZ688" s="75">
        <v>63600</v>
      </c>
      <c r="BA688" s="61">
        <v>66585</v>
      </c>
      <c r="BB688" s="60">
        <v>95000</v>
      </c>
      <c r="BC688" s="74">
        <v>76572.75</v>
      </c>
      <c r="BD688" s="79">
        <v>63600</v>
      </c>
      <c r="BE688" s="79">
        <f>+BE683</f>
        <v>48000</v>
      </c>
      <c r="BF688" s="127">
        <v>57600</v>
      </c>
      <c r="BG688" s="128">
        <v>59000</v>
      </c>
      <c r="BH688" s="128">
        <v>50000</v>
      </c>
      <c r="BI688" s="76">
        <f t="shared" si="812"/>
        <v>73659.625</v>
      </c>
      <c r="BJ688" s="24">
        <f t="shared" si="813"/>
        <v>14379.625</v>
      </c>
      <c r="BK688" s="25">
        <f t="shared" si="814"/>
        <v>0.24257127192982456</v>
      </c>
      <c r="BL688" s="259">
        <f t="shared" si="815"/>
        <v>73659.625</v>
      </c>
      <c r="BM688" s="533">
        <f t="shared" si="816"/>
        <v>73659.625</v>
      </c>
    </row>
    <row r="689" spans="1:65" ht="45" customHeight="1">
      <c r="A689" s="91" t="s">
        <v>31</v>
      </c>
      <c r="B689" s="358" t="s">
        <v>2880</v>
      </c>
      <c r="C689" s="50" t="s">
        <v>310</v>
      </c>
      <c r="D689" s="99" t="s">
        <v>650</v>
      </c>
      <c r="E689" s="391" t="s">
        <v>13</v>
      </c>
      <c r="F689" s="410">
        <v>38265</v>
      </c>
      <c r="G689" s="10">
        <v>55000</v>
      </c>
      <c r="H689" s="167">
        <v>220000</v>
      </c>
      <c r="I689" s="10">
        <v>54000</v>
      </c>
      <c r="J689" s="76">
        <f t="shared" si="790"/>
        <v>54500</v>
      </c>
      <c r="K689" s="24">
        <f t="shared" si="791"/>
        <v>16235</v>
      </c>
      <c r="L689" s="281">
        <f t="shared" si="792"/>
        <v>0.42427806089115377</v>
      </c>
      <c r="M689" s="431">
        <f t="shared" si="793"/>
        <v>220000</v>
      </c>
      <c r="N689" s="410">
        <v>34780</v>
      </c>
      <c r="O689" s="10">
        <v>215000</v>
      </c>
      <c r="P689" s="10"/>
      <c r="Q689" s="268">
        <v>225000</v>
      </c>
      <c r="R689" s="10">
        <v>220000</v>
      </c>
      <c r="S689" s="76">
        <f t="shared" si="794"/>
        <v>220000</v>
      </c>
      <c r="T689" s="24">
        <f t="shared" si="795"/>
        <v>185220</v>
      </c>
      <c r="U689" s="281">
        <f t="shared" si="796"/>
        <v>5.3254744105807932</v>
      </c>
      <c r="V689" s="462">
        <f t="shared" si="797"/>
        <v>220000</v>
      </c>
      <c r="W689" s="410">
        <v>61460</v>
      </c>
      <c r="X689" s="31">
        <v>79934</v>
      </c>
      <c r="Y689" s="31">
        <v>103914</v>
      </c>
      <c r="Z689" s="472">
        <v>69867.8</v>
      </c>
      <c r="AA689" s="76">
        <f t="shared" si="798"/>
        <v>84571.933333333334</v>
      </c>
      <c r="AB689" s="24">
        <f t="shared" si="799"/>
        <v>23111.933333333334</v>
      </c>
      <c r="AC689" s="25">
        <f t="shared" si="800"/>
        <v>0.37604837834906174</v>
      </c>
      <c r="AD689" s="309" t="str">
        <f t="shared" si="801"/>
        <v>REVISAR PRECIO</v>
      </c>
      <c r="AE689" s="462">
        <f t="shared" si="802"/>
        <v>84571.933333333334</v>
      </c>
      <c r="AF689" s="410">
        <v>38833</v>
      </c>
      <c r="AG689" s="45">
        <v>55000</v>
      </c>
      <c r="AH689" s="45">
        <v>45149</v>
      </c>
      <c r="AI689" s="45">
        <v>75000</v>
      </c>
      <c r="AJ689" s="76">
        <f t="shared" si="803"/>
        <v>58383</v>
      </c>
      <c r="AK689" s="24">
        <f t="shared" si="804"/>
        <v>19550</v>
      </c>
      <c r="AL689" s="281">
        <f t="shared" si="805"/>
        <v>0.50343779774933695</v>
      </c>
      <c r="AM689" s="462">
        <f t="shared" si="806"/>
        <v>58383</v>
      </c>
      <c r="AN689" s="513">
        <v>39032</v>
      </c>
      <c r="AO689" s="88">
        <v>60000</v>
      </c>
      <c r="AP689" s="116">
        <v>60000</v>
      </c>
      <c r="AQ689" s="74">
        <v>60500</v>
      </c>
      <c r="AR689" s="76">
        <f t="shared" si="807"/>
        <v>60166.666666666664</v>
      </c>
      <c r="AS689" s="24">
        <f t="shared" si="808"/>
        <v>21134.666666666664</v>
      </c>
      <c r="AT689" s="25">
        <f t="shared" si="809"/>
        <v>0.54147024663523935</v>
      </c>
      <c r="AU689" s="309" t="str">
        <f t="shared" si="810"/>
        <v>REVISAR PRECIO</v>
      </c>
      <c r="AV689" s="462">
        <f t="shared" si="811"/>
        <v>60166.666666666664</v>
      </c>
      <c r="AW689" s="513">
        <v>39032</v>
      </c>
      <c r="AX689" s="74">
        <v>63250</v>
      </c>
      <c r="AY689" s="74">
        <v>80000</v>
      </c>
      <c r="AZ689" s="75">
        <v>72875</v>
      </c>
      <c r="BA689" s="61">
        <v>66585</v>
      </c>
      <c r="BB689" s="60">
        <v>90000</v>
      </c>
      <c r="BC689" s="74">
        <v>76572.75</v>
      </c>
      <c r="BD689" s="79">
        <v>72875</v>
      </c>
      <c r="BE689" s="79">
        <v>55000</v>
      </c>
      <c r="BF689" s="127">
        <v>66000</v>
      </c>
      <c r="BG689" s="128">
        <v>60000</v>
      </c>
      <c r="BH689" s="128">
        <v>60000</v>
      </c>
      <c r="BI689" s="76">
        <f t="shared" si="812"/>
        <v>74880.458333333328</v>
      </c>
      <c r="BJ689" s="24">
        <f t="shared" si="813"/>
        <v>35848.458333333328</v>
      </c>
      <c r="BK689" s="25">
        <f t="shared" si="814"/>
        <v>0.91843764945002382</v>
      </c>
      <c r="BL689" s="259" t="str">
        <f t="shared" si="815"/>
        <v>REVISAR PRECIO</v>
      </c>
      <c r="BM689" s="533">
        <f t="shared" si="816"/>
        <v>74880.458333333328</v>
      </c>
    </row>
    <row r="690" spans="1:65" ht="32.1" customHeight="1">
      <c r="A690" s="91" t="s">
        <v>31</v>
      </c>
      <c r="B690" s="358" t="s">
        <v>2881</v>
      </c>
      <c r="C690" s="50" t="s">
        <v>311</v>
      </c>
      <c r="D690" s="99" t="s">
        <v>651</v>
      </c>
      <c r="E690" s="391" t="s">
        <v>13</v>
      </c>
      <c r="F690" s="410">
        <v>3029</v>
      </c>
      <c r="G690" s="10">
        <v>10000</v>
      </c>
      <c r="H690" s="167">
        <v>40000</v>
      </c>
      <c r="I690" s="10">
        <v>9000</v>
      </c>
      <c r="J690" s="76">
        <f t="shared" si="790"/>
        <v>9500</v>
      </c>
      <c r="K690" s="24">
        <f t="shared" si="791"/>
        <v>6471</v>
      </c>
      <c r="L690" s="281">
        <f t="shared" si="792"/>
        <v>2.1363486299108616</v>
      </c>
      <c r="M690" s="431">
        <f t="shared" si="793"/>
        <v>40000</v>
      </c>
      <c r="N690" s="410">
        <v>2753</v>
      </c>
      <c r="O690" s="10">
        <v>3500</v>
      </c>
      <c r="P690" s="10"/>
      <c r="Q690" s="268">
        <v>4300</v>
      </c>
      <c r="R690" s="10">
        <v>5000</v>
      </c>
      <c r="S690" s="76">
        <f t="shared" si="794"/>
        <v>4266.666666666667</v>
      </c>
      <c r="T690" s="24">
        <f t="shared" si="795"/>
        <v>1513.666666666667</v>
      </c>
      <c r="U690" s="281">
        <f t="shared" si="796"/>
        <v>0.54982443395084157</v>
      </c>
      <c r="V690" s="462">
        <f t="shared" si="797"/>
        <v>4266.666666666667</v>
      </c>
      <c r="W690" s="410">
        <v>4858</v>
      </c>
      <c r="X690" s="33">
        <v>6318</v>
      </c>
      <c r="Y690" s="31">
        <v>8213</v>
      </c>
      <c r="Z690" s="98">
        <v>5522.4</v>
      </c>
      <c r="AA690" s="76">
        <f t="shared" si="798"/>
        <v>6684.4666666666672</v>
      </c>
      <c r="AB690" s="24">
        <f t="shared" si="799"/>
        <v>1826.4666666666672</v>
      </c>
      <c r="AC690" s="25">
        <f t="shared" si="800"/>
        <v>0.3759709070948265</v>
      </c>
      <c r="AD690" s="309" t="str">
        <f t="shared" si="801"/>
        <v>REVISAR PRECIO</v>
      </c>
      <c r="AE690" s="462">
        <f t="shared" si="802"/>
        <v>6684.4666666666672</v>
      </c>
      <c r="AF690" s="410">
        <v>3066</v>
      </c>
      <c r="AG690" s="45">
        <v>20000</v>
      </c>
      <c r="AH690" s="45">
        <v>3569</v>
      </c>
      <c r="AI690" s="45">
        <v>17000</v>
      </c>
      <c r="AJ690" s="76">
        <f t="shared" si="803"/>
        <v>13523</v>
      </c>
      <c r="AK690" s="24">
        <f t="shared" si="804"/>
        <v>10457</v>
      </c>
      <c r="AL690" s="281">
        <f t="shared" si="805"/>
        <v>3.4106327462491848</v>
      </c>
      <c r="AM690" s="462">
        <f t="shared" si="806"/>
        <v>13523</v>
      </c>
      <c r="AN690" s="513">
        <v>3085</v>
      </c>
      <c r="AO690" s="88">
        <v>14000</v>
      </c>
      <c r="AP690" s="116">
        <v>17000</v>
      </c>
      <c r="AQ690" s="74">
        <v>11000</v>
      </c>
      <c r="AR690" s="76">
        <f t="shared" si="807"/>
        <v>14000</v>
      </c>
      <c r="AS690" s="24">
        <f t="shared" si="808"/>
        <v>10915</v>
      </c>
      <c r="AT690" s="25">
        <f t="shared" si="809"/>
        <v>3.5380875202593192</v>
      </c>
      <c r="AU690" s="309" t="str">
        <f t="shared" si="810"/>
        <v>REVISAR PRECIO</v>
      </c>
      <c r="AV690" s="462">
        <f t="shared" si="811"/>
        <v>14000</v>
      </c>
      <c r="AW690" s="513">
        <v>3085</v>
      </c>
      <c r="AX690" s="74">
        <v>11500</v>
      </c>
      <c r="AY690" s="74">
        <v>12000</v>
      </c>
      <c r="AZ690" s="75">
        <v>13250</v>
      </c>
      <c r="BA690" s="61">
        <v>16675</v>
      </c>
      <c r="BB690" s="60">
        <v>28000</v>
      </c>
      <c r="BC690" s="74">
        <v>19176.25</v>
      </c>
      <c r="BD690" s="79">
        <v>13250</v>
      </c>
      <c r="BE690" s="79">
        <v>10000</v>
      </c>
      <c r="BF690" s="127">
        <v>12000</v>
      </c>
      <c r="BG690" s="128">
        <v>13800</v>
      </c>
      <c r="BH690" s="128">
        <v>10000</v>
      </c>
      <c r="BI690" s="76">
        <f t="shared" si="812"/>
        <v>16766.875</v>
      </c>
      <c r="BJ690" s="24">
        <f t="shared" si="813"/>
        <v>13681.875</v>
      </c>
      <c r="BK690" s="25">
        <f t="shared" si="814"/>
        <v>4.434967585089141</v>
      </c>
      <c r="BL690" s="259" t="str">
        <f t="shared" si="815"/>
        <v>REVISAR PRECIO</v>
      </c>
      <c r="BM690" s="533">
        <f t="shared" si="816"/>
        <v>16766.875</v>
      </c>
    </row>
    <row r="691" spans="1:65" ht="32.1" customHeight="1">
      <c r="A691" s="91" t="s">
        <v>31</v>
      </c>
      <c r="B691" s="358" t="s">
        <v>2882</v>
      </c>
      <c r="C691" s="50" t="s">
        <v>312</v>
      </c>
      <c r="D691" s="99" t="s">
        <v>652</v>
      </c>
      <c r="E691" s="391" t="s">
        <v>13</v>
      </c>
      <c r="F691" s="410">
        <v>41644</v>
      </c>
      <c r="G691" s="10">
        <v>59953</v>
      </c>
      <c r="H691" s="167">
        <v>239812</v>
      </c>
      <c r="I691" s="10">
        <v>55670</v>
      </c>
      <c r="J691" s="76">
        <f t="shared" si="790"/>
        <v>57811.5</v>
      </c>
      <c r="K691" s="24">
        <f t="shared" si="791"/>
        <v>16167.5</v>
      </c>
      <c r="L691" s="281">
        <f t="shared" si="792"/>
        <v>0.38823119777158777</v>
      </c>
      <c r="M691" s="431">
        <f t="shared" si="793"/>
        <v>239812</v>
      </c>
      <c r="N691" s="410">
        <v>36090</v>
      </c>
      <c r="O691" s="10">
        <v>135000</v>
      </c>
      <c r="P691" s="10"/>
      <c r="Q691" s="268">
        <v>142000</v>
      </c>
      <c r="R691" s="10">
        <v>150000</v>
      </c>
      <c r="S691" s="76">
        <f t="shared" si="794"/>
        <v>142333.33333333334</v>
      </c>
      <c r="T691" s="24">
        <f t="shared" si="795"/>
        <v>106243.33333333334</v>
      </c>
      <c r="U691" s="281">
        <f t="shared" si="796"/>
        <v>2.943844093470029</v>
      </c>
      <c r="V691" s="462">
        <f t="shared" si="797"/>
        <v>142333.33333333334</v>
      </c>
      <c r="W691" s="410">
        <v>66048</v>
      </c>
      <c r="X691" s="31">
        <v>85901</v>
      </c>
      <c r="Y691" s="31">
        <v>111671</v>
      </c>
      <c r="Z691" s="98">
        <v>75083.399999999994</v>
      </c>
      <c r="AA691" s="76">
        <f t="shared" si="798"/>
        <v>90885.133333333346</v>
      </c>
      <c r="AB691" s="24">
        <f t="shared" si="799"/>
        <v>24837.133333333346</v>
      </c>
      <c r="AC691" s="25">
        <f t="shared" si="800"/>
        <v>0.37604671350129221</v>
      </c>
      <c r="AD691" s="309" t="str">
        <f t="shared" si="801"/>
        <v>REVISAR PRECIO</v>
      </c>
      <c r="AE691" s="462">
        <f t="shared" si="802"/>
        <v>90885.133333333346</v>
      </c>
      <c r="AF691" s="410">
        <v>40665</v>
      </c>
      <c r="AG691" s="45">
        <v>75000</v>
      </c>
      <c r="AH691" s="45">
        <v>49129</v>
      </c>
      <c r="AI691" s="45">
        <v>70000</v>
      </c>
      <c r="AJ691" s="76">
        <f t="shared" si="803"/>
        <v>64709.666666666664</v>
      </c>
      <c r="AK691" s="24">
        <f t="shared" si="804"/>
        <v>24044.666666666664</v>
      </c>
      <c r="AL691" s="281">
        <f t="shared" si="805"/>
        <v>0.59128652813639893</v>
      </c>
      <c r="AM691" s="462">
        <f t="shared" si="806"/>
        <v>64709.666666666664</v>
      </c>
      <c r="AN691" s="513">
        <v>41947</v>
      </c>
      <c r="AO691" s="88">
        <v>65000</v>
      </c>
      <c r="AP691" s="116">
        <v>65000</v>
      </c>
      <c r="AQ691" s="74">
        <v>65947.75</v>
      </c>
      <c r="AR691" s="76">
        <f t="shared" si="807"/>
        <v>65315.916666666664</v>
      </c>
      <c r="AS691" s="24">
        <f t="shared" si="808"/>
        <v>23368.916666666664</v>
      </c>
      <c r="AT691" s="25">
        <f t="shared" si="809"/>
        <v>0.55710579222987733</v>
      </c>
      <c r="AU691" s="309" t="str">
        <f t="shared" si="810"/>
        <v>REVISAR PRECIO</v>
      </c>
      <c r="AV691" s="462">
        <f t="shared" si="811"/>
        <v>65315.916666666664</v>
      </c>
      <c r="AW691" s="513">
        <v>41947</v>
      </c>
      <c r="AX691" s="74">
        <v>68945.375</v>
      </c>
      <c r="AY691" s="74">
        <v>90000</v>
      </c>
      <c r="AZ691" s="75">
        <v>79437.0625</v>
      </c>
      <c r="BA691" s="61">
        <v>68945.375</v>
      </c>
      <c r="BB691" s="60">
        <v>80000</v>
      </c>
      <c r="BC691" s="74">
        <v>79287.181249999994</v>
      </c>
      <c r="BD691" s="79">
        <v>79437.0625</v>
      </c>
      <c r="BE691" s="79">
        <f>47962*1.25</f>
        <v>59952.5</v>
      </c>
      <c r="BF691" s="127">
        <v>71943</v>
      </c>
      <c r="BG691" s="128">
        <v>65000</v>
      </c>
      <c r="BH691" s="128">
        <v>60000</v>
      </c>
      <c r="BI691" s="76">
        <f t="shared" si="812"/>
        <v>77769.165625000009</v>
      </c>
      <c r="BJ691" s="24">
        <f t="shared" si="813"/>
        <v>35822.165625000009</v>
      </c>
      <c r="BK691" s="25">
        <f t="shared" si="814"/>
        <v>0.85398635480487306</v>
      </c>
      <c r="BL691" s="259" t="str">
        <f t="shared" si="815"/>
        <v>REVISAR PRECIO</v>
      </c>
      <c r="BM691" s="533">
        <f t="shared" si="816"/>
        <v>77769.165625000009</v>
      </c>
    </row>
    <row r="692" spans="1:65" ht="32.1" customHeight="1">
      <c r="A692" s="91" t="s">
        <v>31</v>
      </c>
      <c r="B692" s="358" t="s">
        <v>2883</v>
      </c>
      <c r="C692" s="50" t="s">
        <v>313</v>
      </c>
      <c r="D692" s="99" t="s">
        <v>653</v>
      </c>
      <c r="E692" s="391" t="s">
        <v>13</v>
      </c>
      <c r="F692" s="410">
        <v>59974</v>
      </c>
      <c r="G692" s="10">
        <v>91320</v>
      </c>
      <c r="H692" s="167">
        <v>273960</v>
      </c>
      <c r="I692" s="10">
        <v>87900</v>
      </c>
      <c r="J692" s="76">
        <f t="shared" si="790"/>
        <v>89610</v>
      </c>
      <c r="K692" s="24">
        <f t="shared" si="791"/>
        <v>29636</v>
      </c>
      <c r="L692" s="281">
        <f t="shared" si="792"/>
        <v>0.49414746390102376</v>
      </c>
      <c r="M692" s="431">
        <f t="shared" si="793"/>
        <v>273960</v>
      </c>
      <c r="N692" s="410">
        <v>51307</v>
      </c>
      <c r="O692" s="10">
        <v>120000</v>
      </c>
      <c r="P692" s="10"/>
      <c r="Q692" s="268">
        <v>126000</v>
      </c>
      <c r="R692" s="10">
        <v>150000</v>
      </c>
      <c r="S692" s="76">
        <f t="shared" si="794"/>
        <v>132000</v>
      </c>
      <c r="T692" s="24">
        <f t="shared" si="795"/>
        <v>80693</v>
      </c>
      <c r="U692" s="281">
        <f t="shared" si="796"/>
        <v>1.5727483579238701</v>
      </c>
      <c r="V692" s="462">
        <f t="shared" si="797"/>
        <v>132000</v>
      </c>
      <c r="W692" s="410">
        <v>94925</v>
      </c>
      <c r="X692" s="31">
        <v>123458</v>
      </c>
      <c r="Y692" s="33">
        <v>160495</v>
      </c>
      <c r="Z692" s="98">
        <v>107911</v>
      </c>
      <c r="AA692" s="76">
        <f t="shared" si="798"/>
        <v>130621.33333333333</v>
      </c>
      <c r="AB692" s="24">
        <f t="shared" si="799"/>
        <v>35696.333333333328</v>
      </c>
      <c r="AC692" s="25">
        <f t="shared" si="800"/>
        <v>0.37604775700114118</v>
      </c>
      <c r="AD692" s="309" t="str">
        <f t="shared" si="801"/>
        <v>REVISAR PRECIO</v>
      </c>
      <c r="AE692" s="462">
        <f t="shared" si="802"/>
        <v>130621.33333333333</v>
      </c>
      <c r="AF692" s="499">
        <v>59005</v>
      </c>
      <c r="AG692" s="317">
        <v>85000</v>
      </c>
      <c r="AH692" s="317">
        <v>70763</v>
      </c>
      <c r="AI692" s="45">
        <v>100000</v>
      </c>
      <c r="AJ692" s="76">
        <f t="shared" si="803"/>
        <v>85254.333333333328</v>
      </c>
      <c r="AK692" s="24">
        <f t="shared" si="804"/>
        <v>26249.333333333328</v>
      </c>
      <c r="AL692" s="281">
        <f t="shared" si="805"/>
        <v>0.44486625427223675</v>
      </c>
      <c r="AM692" s="462">
        <f t="shared" si="806"/>
        <v>85254.333333333328</v>
      </c>
      <c r="AN692" s="513">
        <v>60277</v>
      </c>
      <c r="AO692" s="88">
        <v>100000</v>
      </c>
      <c r="AP692" s="116">
        <v>100000</v>
      </c>
      <c r="AQ692" s="74">
        <v>100452</v>
      </c>
      <c r="AR692" s="76">
        <f t="shared" si="807"/>
        <v>100150.66666666667</v>
      </c>
      <c r="AS692" s="24">
        <f t="shared" si="808"/>
        <v>39873.666666666672</v>
      </c>
      <c r="AT692" s="25">
        <f t="shared" si="809"/>
        <v>0.6615071530876897</v>
      </c>
      <c r="AU692" s="309" t="str">
        <f t="shared" si="810"/>
        <v>REVISAR PRECIO</v>
      </c>
      <c r="AV692" s="462">
        <f t="shared" si="811"/>
        <v>100150.66666666667</v>
      </c>
      <c r="AW692" s="513">
        <v>60277</v>
      </c>
      <c r="AX692" s="74">
        <v>105018</v>
      </c>
      <c r="AY692" s="74">
        <v>120000</v>
      </c>
      <c r="AZ692" s="75">
        <v>120999</v>
      </c>
      <c r="BA692" s="61">
        <v>105017.99999999999</v>
      </c>
      <c r="BB692" s="60">
        <v>80000</v>
      </c>
      <c r="BC692" s="74">
        <v>120770.69999999997</v>
      </c>
      <c r="BD692" s="79">
        <v>120999</v>
      </c>
      <c r="BE692" s="79">
        <f>76100*1.2</f>
        <v>91320</v>
      </c>
      <c r="BF692" s="127">
        <v>109584</v>
      </c>
      <c r="BG692" s="128">
        <v>98700</v>
      </c>
      <c r="BH692" s="128">
        <v>90000</v>
      </c>
      <c r="BI692" s="76">
        <f t="shared" si="812"/>
        <v>108634.28333333333</v>
      </c>
      <c r="BJ692" s="24">
        <f t="shared" si="813"/>
        <v>48357.283333333326</v>
      </c>
      <c r="BK692" s="25">
        <f t="shared" si="814"/>
        <v>0.80225099678705514</v>
      </c>
      <c r="BL692" s="259" t="str">
        <f t="shared" si="815"/>
        <v>REVISAR PRECIO</v>
      </c>
      <c r="BM692" s="533">
        <f t="shared" si="816"/>
        <v>108634.28333333333</v>
      </c>
    </row>
    <row r="693" spans="1:65" ht="46.35" customHeight="1">
      <c r="A693" s="91" t="s">
        <v>31</v>
      </c>
      <c r="B693" s="358" t="s">
        <v>2884</v>
      </c>
      <c r="C693" s="50" t="s">
        <v>314</v>
      </c>
      <c r="D693" s="99" t="s">
        <v>654</v>
      </c>
      <c r="E693" s="391" t="s">
        <v>13</v>
      </c>
      <c r="F693" s="410">
        <v>193694</v>
      </c>
      <c r="G693" s="10">
        <v>173500</v>
      </c>
      <c r="H693" s="167">
        <v>520500</v>
      </c>
      <c r="I693" s="10">
        <v>170900</v>
      </c>
      <c r="J693" s="76">
        <f t="shared" si="790"/>
        <v>172200</v>
      </c>
      <c r="K693" s="24">
        <f t="shared" si="791"/>
        <v>-21494</v>
      </c>
      <c r="L693" s="281">
        <f t="shared" si="792"/>
        <v>-0.11096884777019422</v>
      </c>
      <c r="M693" s="431">
        <f t="shared" si="793"/>
        <v>520500</v>
      </c>
      <c r="N693" s="410">
        <v>174328</v>
      </c>
      <c r="O693" s="10"/>
      <c r="P693" s="10"/>
      <c r="Q693" s="268"/>
      <c r="R693" s="10">
        <v>250000</v>
      </c>
      <c r="S693" s="76">
        <f t="shared" si="794"/>
        <v>250000</v>
      </c>
      <c r="T693" s="24">
        <f t="shared" si="795"/>
        <v>75672</v>
      </c>
      <c r="U693" s="281">
        <f t="shared" si="796"/>
        <v>0.43407828920196412</v>
      </c>
      <c r="V693" s="462">
        <f t="shared" si="797"/>
        <v>250000</v>
      </c>
      <c r="W693" s="410">
        <v>304996</v>
      </c>
      <c r="X693" s="31">
        <v>396671</v>
      </c>
      <c r="Y693" s="31">
        <v>515672</v>
      </c>
      <c r="Z693" s="98">
        <v>346719.4</v>
      </c>
      <c r="AA693" s="76">
        <f t="shared" si="798"/>
        <v>419687.46666666662</v>
      </c>
      <c r="AB693" s="24">
        <f t="shared" si="799"/>
        <v>114691.46666666662</v>
      </c>
      <c r="AC693" s="25">
        <f t="shared" si="800"/>
        <v>0.37604252733369165</v>
      </c>
      <c r="AD693" s="309" t="str">
        <f t="shared" si="801"/>
        <v>REVISAR PRECIO</v>
      </c>
      <c r="AE693" s="462">
        <f t="shared" si="802"/>
        <v>419687.46666666662</v>
      </c>
      <c r="AF693" s="410">
        <v>193693</v>
      </c>
      <c r="AG693" s="45"/>
      <c r="AH693" s="45">
        <v>228535</v>
      </c>
      <c r="AI693" s="45">
        <v>185000</v>
      </c>
      <c r="AJ693" s="76">
        <f t="shared" si="803"/>
        <v>206767.5</v>
      </c>
      <c r="AK693" s="24">
        <f t="shared" si="804"/>
        <v>13074.5</v>
      </c>
      <c r="AL693" s="281">
        <f t="shared" si="805"/>
        <v>6.7501148725044272E-2</v>
      </c>
      <c r="AM693" s="462">
        <f t="shared" si="806"/>
        <v>206767.5</v>
      </c>
      <c r="AN693" s="513">
        <v>193693</v>
      </c>
      <c r="AO693" s="88">
        <v>200000</v>
      </c>
      <c r="AP693" s="116">
        <v>200000</v>
      </c>
      <c r="AQ693" s="74">
        <v>190850</v>
      </c>
      <c r="AR693" s="76">
        <f t="shared" si="807"/>
        <v>196950</v>
      </c>
      <c r="AS693" s="24">
        <f t="shared" si="808"/>
        <v>3257</v>
      </c>
      <c r="AT693" s="25">
        <f t="shared" si="809"/>
        <v>1.6815269524453644E-2</v>
      </c>
      <c r="AU693" s="309">
        <f t="shared" si="810"/>
        <v>196950</v>
      </c>
      <c r="AV693" s="462">
        <f t="shared" si="811"/>
        <v>196950</v>
      </c>
      <c r="AW693" s="513">
        <v>193693</v>
      </c>
      <c r="AX693" s="74">
        <v>199525</v>
      </c>
      <c r="AY693" s="74">
        <v>280000</v>
      </c>
      <c r="AZ693" s="75">
        <v>229887.5</v>
      </c>
      <c r="BA693" s="61">
        <v>224709.99999999997</v>
      </c>
      <c r="BB693" s="60">
        <v>130000</v>
      </c>
      <c r="BC693" s="74">
        <v>258416.49999999994</v>
      </c>
      <c r="BD693" s="79">
        <v>229887.5</v>
      </c>
      <c r="BE693" s="79">
        <f>138800*1.25</f>
        <v>173500</v>
      </c>
      <c r="BF693" s="127">
        <v>208200</v>
      </c>
      <c r="BG693" s="128">
        <v>209700</v>
      </c>
      <c r="BH693" s="128">
        <v>200000</v>
      </c>
      <c r="BI693" s="76">
        <f t="shared" si="812"/>
        <v>220423.16666666666</v>
      </c>
      <c r="BJ693" s="24">
        <f t="shared" si="813"/>
        <v>26730.166666666657</v>
      </c>
      <c r="BK693" s="25">
        <f t="shared" si="814"/>
        <v>0.13800275005636062</v>
      </c>
      <c r="BL693" s="259">
        <f t="shared" si="815"/>
        <v>220423.16666666666</v>
      </c>
      <c r="BM693" s="533">
        <f t="shared" si="816"/>
        <v>220423.16666666666</v>
      </c>
    </row>
    <row r="694" spans="1:65" ht="34.35" customHeight="1">
      <c r="A694" s="91" t="s">
        <v>31</v>
      </c>
      <c r="B694" s="358" t="s">
        <v>2885</v>
      </c>
      <c r="C694" s="50" t="s">
        <v>315</v>
      </c>
      <c r="D694" s="99" t="s">
        <v>655</v>
      </c>
      <c r="E694" s="391" t="s">
        <v>13</v>
      </c>
      <c r="F694" s="410">
        <v>28469</v>
      </c>
      <c r="G694" s="10">
        <v>35160</v>
      </c>
      <c r="H694" s="167">
        <v>105480</v>
      </c>
      <c r="I694" s="10">
        <v>34600</v>
      </c>
      <c r="J694" s="76">
        <f t="shared" si="790"/>
        <v>34880</v>
      </c>
      <c r="K694" s="24">
        <f t="shared" si="791"/>
        <v>6411</v>
      </c>
      <c r="L694" s="281">
        <f t="shared" si="792"/>
        <v>0.22519231444729354</v>
      </c>
      <c r="M694" s="431">
        <f t="shared" si="793"/>
        <v>105480</v>
      </c>
      <c r="N694" s="410">
        <v>25876</v>
      </c>
      <c r="O694" s="10">
        <v>24500</v>
      </c>
      <c r="P694" s="10"/>
      <c r="Q694" s="268">
        <v>28000</v>
      </c>
      <c r="R694" s="10">
        <v>30000</v>
      </c>
      <c r="S694" s="76">
        <f t="shared" si="794"/>
        <v>27500</v>
      </c>
      <c r="T694" s="24">
        <f t="shared" si="795"/>
        <v>1624</v>
      </c>
      <c r="U694" s="281">
        <f t="shared" si="796"/>
        <v>6.276085948369145E-2</v>
      </c>
      <c r="V694" s="462">
        <f t="shared" si="797"/>
        <v>27500</v>
      </c>
      <c r="W694" s="410">
        <v>45724</v>
      </c>
      <c r="X694" s="31">
        <v>59468</v>
      </c>
      <c r="Y694" s="31">
        <v>77308</v>
      </c>
      <c r="Z694" s="98">
        <v>51979</v>
      </c>
      <c r="AA694" s="76">
        <f t="shared" si="798"/>
        <v>62918.333333333336</v>
      </c>
      <c r="AB694" s="24">
        <f t="shared" si="799"/>
        <v>17194.333333333336</v>
      </c>
      <c r="AC694" s="25">
        <f t="shared" si="800"/>
        <v>0.37604613186364572</v>
      </c>
      <c r="AD694" s="309" t="str">
        <f t="shared" si="801"/>
        <v>REVISAR PRECIO</v>
      </c>
      <c r="AE694" s="462">
        <f t="shared" si="802"/>
        <v>62918.333333333336</v>
      </c>
      <c r="AF694" s="410">
        <v>28895</v>
      </c>
      <c r="AG694" s="45"/>
      <c r="AH694" s="45">
        <v>33593</v>
      </c>
      <c r="AI694" s="45">
        <v>45000</v>
      </c>
      <c r="AJ694" s="76">
        <f t="shared" si="803"/>
        <v>39296.5</v>
      </c>
      <c r="AK694" s="24">
        <f t="shared" si="804"/>
        <v>10401.5</v>
      </c>
      <c r="AL694" s="281">
        <f t="shared" si="805"/>
        <v>0.35997577435542483</v>
      </c>
      <c r="AM694" s="462">
        <f t="shared" si="806"/>
        <v>39296.5</v>
      </c>
      <c r="AN694" s="513">
        <v>29037</v>
      </c>
      <c r="AO694" s="88">
        <v>45000</v>
      </c>
      <c r="AP694" s="116">
        <v>45000</v>
      </c>
      <c r="AQ694" s="74">
        <v>38676</v>
      </c>
      <c r="AR694" s="76">
        <f t="shared" si="807"/>
        <v>42892</v>
      </c>
      <c r="AS694" s="24">
        <f t="shared" si="808"/>
        <v>13855</v>
      </c>
      <c r="AT694" s="25">
        <f t="shared" si="809"/>
        <v>0.47714984330337157</v>
      </c>
      <c r="AU694" s="309" t="str">
        <f t="shared" si="810"/>
        <v>REVISAR PRECIO</v>
      </c>
      <c r="AV694" s="462">
        <f t="shared" si="811"/>
        <v>42892</v>
      </c>
      <c r="AW694" s="513">
        <v>29037</v>
      </c>
      <c r="AX694" s="74">
        <v>40434</v>
      </c>
      <c r="AY694" s="74">
        <v>90000</v>
      </c>
      <c r="AZ694" s="75">
        <v>46587</v>
      </c>
      <c r="BA694" s="61">
        <v>52497.499999999993</v>
      </c>
      <c r="BB694" s="60">
        <v>120000</v>
      </c>
      <c r="BC694" s="74">
        <v>60372.124999999985</v>
      </c>
      <c r="BD694" s="79">
        <v>46587</v>
      </c>
      <c r="BE694" s="79">
        <f>+BE635</f>
        <v>35160</v>
      </c>
      <c r="BF694" s="127">
        <v>42192</v>
      </c>
      <c r="BG694" s="128">
        <v>33600</v>
      </c>
      <c r="BH694" s="128">
        <v>35000</v>
      </c>
      <c r="BI694" s="76">
        <f t="shared" si="812"/>
        <v>68315.104166666672</v>
      </c>
      <c r="BJ694" s="24">
        <f t="shared" si="813"/>
        <v>39278.104166666672</v>
      </c>
      <c r="BK694" s="25">
        <f t="shared" si="814"/>
        <v>1.3526915372341037</v>
      </c>
      <c r="BL694" s="259" t="str">
        <f t="shared" si="815"/>
        <v>REVISAR PRECIO</v>
      </c>
      <c r="BM694" s="533">
        <f t="shared" si="816"/>
        <v>68315.104166666672</v>
      </c>
    </row>
    <row r="695" spans="1:65" ht="34.35" customHeight="1">
      <c r="A695" s="91" t="s">
        <v>31</v>
      </c>
      <c r="B695" s="358" t="s">
        <v>2886</v>
      </c>
      <c r="C695" s="50" t="s">
        <v>316</v>
      </c>
      <c r="D695" s="99" t="s">
        <v>656</v>
      </c>
      <c r="E695" s="391" t="s">
        <v>13</v>
      </c>
      <c r="F695" s="410">
        <v>28469</v>
      </c>
      <c r="G695" s="10">
        <v>35160</v>
      </c>
      <c r="H695" s="167">
        <v>105480</v>
      </c>
      <c r="I695" s="10">
        <v>34600</v>
      </c>
      <c r="J695" s="76">
        <f t="shared" si="790"/>
        <v>34880</v>
      </c>
      <c r="K695" s="24">
        <f t="shared" si="791"/>
        <v>6411</v>
      </c>
      <c r="L695" s="281">
        <f t="shared" si="792"/>
        <v>0.22519231444729354</v>
      </c>
      <c r="M695" s="431">
        <f t="shared" si="793"/>
        <v>105480</v>
      </c>
      <c r="N695" s="410">
        <v>44567</v>
      </c>
      <c r="O695" s="10">
        <v>230000</v>
      </c>
      <c r="P695" s="10"/>
      <c r="Q695" s="268">
        <v>245000</v>
      </c>
      <c r="R695" s="10">
        <v>250000</v>
      </c>
      <c r="S695" s="76">
        <f t="shared" si="794"/>
        <v>241666.66666666666</v>
      </c>
      <c r="T695" s="24">
        <f t="shared" si="795"/>
        <v>197099.66666666666</v>
      </c>
      <c r="U695" s="281">
        <f t="shared" si="796"/>
        <v>4.422547325749246</v>
      </c>
      <c r="V695" s="462">
        <f t="shared" si="797"/>
        <v>241666.66666666666</v>
      </c>
      <c r="W695" s="410">
        <v>78743</v>
      </c>
      <c r="X695" s="31">
        <v>102411</v>
      </c>
      <c r="Y695" s="33">
        <v>102411</v>
      </c>
      <c r="Z695" s="98">
        <v>89514.8</v>
      </c>
      <c r="AA695" s="76">
        <f t="shared" si="798"/>
        <v>98112.266666666663</v>
      </c>
      <c r="AB695" s="24">
        <f t="shared" si="799"/>
        <v>19369.266666666663</v>
      </c>
      <c r="AC695" s="25">
        <f t="shared" si="800"/>
        <v>0.24598080675954259</v>
      </c>
      <c r="AD695" s="309">
        <f t="shared" si="801"/>
        <v>98112.266666666663</v>
      </c>
      <c r="AE695" s="462">
        <f t="shared" si="802"/>
        <v>98112.266666666663</v>
      </c>
      <c r="AF695" s="410">
        <v>49759</v>
      </c>
      <c r="AG695" s="45"/>
      <c r="AH695" s="45">
        <v>578648</v>
      </c>
      <c r="AI695" s="45">
        <v>40000</v>
      </c>
      <c r="AJ695" s="76">
        <f t="shared" si="803"/>
        <v>309324</v>
      </c>
      <c r="AK695" s="24">
        <f t="shared" si="804"/>
        <v>259565</v>
      </c>
      <c r="AL695" s="281">
        <f t="shared" si="805"/>
        <v>5.2164432564963121</v>
      </c>
      <c r="AM695" s="491">
        <f>AVERAGE(AI695,AF695)</f>
        <v>44879.5</v>
      </c>
      <c r="AN695" s="513">
        <v>50006</v>
      </c>
      <c r="AO695" s="88">
        <v>26000</v>
      </c>
      <c r="AP695" s="116">
        <v>26000</v>
      </c>
      <c r="AQ695" s="74">
        <v>27500</v>
      </c>
      <c r="AR695" s="76">
        <f t="shared" si="807"/>
        <v>26500</v>
      </c>
      <c r="AS695" s="24">
        <f t="shared" si="808"/>
        <v>-23506</v>
      </c>
      <c r="AT695" s="25">
        <f t="shared" si="809"/>
        <v>-0.47006359236891571</v>
      </c>
      <c r="AU695" s="309">
        <f t="shared" si="810"/>
        <v>26500</v>
      </c>
      <c r="AV695" s="462">
        <f t="shared" si="811"/>
        <v>26500</v>
      </c>
      <c r="AW695" s="513">
        <v>50006</v>
      </c>
      <c r="AX695" s="74">
        <v>28750</v>
      </c>
      <c r="AY695" s="74">
        <v>55000</v>
      </c>
      <c r="AZ695" s="75">
        <v>33125</v>
      </c>
      <c r="BA695" s="61">
        <v>37260</v>
      </c>
      <c r="BB695" s="60">
        <v>90000</v>
      </c>
      <c r="BC695" s="74">
        <v>42849</v>
      </c>
      <c r="BD695" s="79">
        <v>33125</v>
      </c>
      <c r="BE695" s="79">
        <v>25000</v>
      </c>
      <c r="BF695" s="127">
        <v>30000</v>
      </c>
      <c r="BG695" s="128">
        <v>28000</v>
      </c>
      <c r="BH695" s="128">
        <v>30000</v>
      </c>
      <c r="BI695" s="76">
        <f t="shared" si="812"/>
        <v>47830.666666666664</v>
      </c>
      <c r="BJ695" s="24">
        <f t="shared" si="813"/>
        <v>-2175.3333333333358</v>
      </c>
      <c r="BK695" s="25">
        <f t="shared" si="814"/>
        <v>-4.3501446493087542E-2</v>
      </c>
      <c r="BL695" s="259">
        <f t="shared" si="815"/>
        <v>47830.666666666664</v>
      </c>
      <c r="BM695" s="533">
        <f t="shared" si="816"/>
        <v>47830.666666666664</v>
      </c>
    </row>
    <row r="696" spans="1:65" ht="34.35" customHeight="1">
      <c r="A696" s="91" t="s">
        <v>31</v>
      </c>
      <c r="B696" s="358" t="s">
        <v>2887</v>
      </c>
      <c r="C696" s="50" t="s">
        <v>317</v>
      </c>
      <c r="D696" s="99" t="s">
        <v>657</v>
      </c>
      <c r="E696" s="391" t="s">
        <v>10</v>
      </c>
      <c r="F696" s="410">
        <v>49029</v>
      </c>
      <c r="G696" s="10">
        <v>25000</v>
      </c>
      <c r="H696" s="167">
        <v>75000</v>
      </c>
      <c r="I696" s="10">
        <v>35600</v>
      </c>
      <c r="J696" s="76">
        <f t="shared" si="790"/>
        <v>30300</v>
      </c>
      <c r="K696" s="24">
        <f t="shared" si="791"/>
        <v>-18729</v>
      </c>
      <c r="L696" s="281">
        <f t="shared" si="792"/>
        <v>-0.38199840910481553</v>
      </c>
      <c r="M696" s="431">
        <f t="shared" si="793"/>
        <v>75000</v>
      </c>
      <c r="N696" s="410">
        <v>16744</v>
      </c>
      <c r="O696" s="10">
        <v>25000</v>
      </c>
      <c r="P696" s="10"/>
      <c r="Q696" s="268">
        <v>29000</v>
      </c>
      <c r="R696" s="10">
        <v>30000</v>
      </c>
      <c r="S696" s="76">
        <f t="shared" si="794"/>
        <v>28000</v>
      </c>
      <c r="T696" s="24">
        <f t="shared" si="795"/>
        <v>11256</v>
      </c>
      <c r="U696" s="281">
        <f t="shared" si="796"/>
        <v>0.67224080267558528</v>
      </c>
      <c r="V696" s="462">
        <f t="shared" si="797"/>
        <v>28000</v>
      </c>
      <c r="W696" s="410">
        <v>29593</v>
      </c>
      <c r="X696" s="33">
        <v>38489</v>
      </c>
      <c r="Y696" s="31">
        <v>50035</v>
      </c>
      <c r="Z696" s="98">
        <v>33641.800000000003</v>
      </c>
      <c r="AA696" s="76">
        <f t="shared" si="798"/>
        <v>40721.933333333334</v>
      </c>
      <c r="AB696" s="24">
        <f t="shared" si="799"/>
        <v>11128.933333333334</v>
      </c>
      <c r="AC696" s="25">
        <f t="shared" si="800"/>
        <v>0.37606641210196107</v>
      </c>
      <c r="AD696" s="309" t="str">
        <f t="shared" si="801"/>
        <v>REVISAR PRECIO</v>
      </c>
      <c r="AE696" s="462">
        <f t="shared" si="802"/>
        <v>40721.933333333334</v>
      </c>
      <c r="AF696" s="410">
        <v>18700</v>
      </c>
      <c r="AG696" s="45"/>
      <c r="AH696" s="45">
        <v>21740</v>
      </c>
      <c r="AI696" s="45">
        <v>35000</v>
      </c>
      <c r="AJ696" s="76">
        <f t="shared" si="803"/>
        <v>28370</v>
      </c>
      <c r="AK696" s="24">
        <f t="shared" si="804"/>
        <v>9670</v>
      </c>
      <c r="AL696" s="281">
        <f t="shared" si="805"/>
        <v>0.51711229946524062</v>
      </c>
      <c r="AM696" s="462">
        <f t="shared" ref="AM696:AM702" si="817">AJ696</f>
        <v>28370</v>
      </c>
      <c r="AN696" s="513">
        <v>18795</v>
      </c>
      <c r="AO696" s="88">
        <v>40000</v>
      </c>
      <c r="AP696" s="116">
        <v>40000</v>
      </c>
      <c r="AQ696" s="74">
        <v>38500</v>
      </c>
      <c r="AR696" s="76">
        <f t="shared" si="807"/>
        <v>39500</v>
      </c>
      <c r="AS696" s="24">
        <f t="shared" si="808"/>
        <v>20705</v>
      </c>
      <c r="AT696" s="25">
        <f t="shared" si="809"/>
        <v>1.1016227720138334</v>
      </c>
      <c r="AU696" s="309" t="str">
        <f t="shared" si="810"/>
        <v>REVISAR PRECIO</v>
      </c>
      <c r="AV696" s="462">
        <f t="shared" si="811"/>
        <v>39500</v>
      </c>
      <c r="AW696" s="513">
        <v>18795</v>
      </c>
      <c r="AX696" s="74">
        <v>40250</v>
      </c>
      <c r="AY696" s="74">
        <v>50000</v>
      </c>
      <c r="AZ696" s="75">
        <v>46375</v>
      </c>
      <c r="BA696" s="61">
        <v>90505</v>
      </c>
      <c r="BB696" s="60">
        <v>40000</v>
      </c>
      <c r="BC696" s="74">
        <v>104080.74999999999</v>
      </c>
      <c r="BD696" s="79">
        <v>46375</v>
      </c>
      <c r="BE696" s="79">
        <v>35000</v>
      </c>
      <c r="BF696" s="127">
        <v>42000</v>
      </c>
      <c r="BG696" s="128">
        <v>45000</v>
      </c>
      <c r="BH696" s="128">
        <v>40000</v>
      </c>
      <c r="BI696" s="76">
        <f t="shared" si="812"/>
        <v>61868.458333333336</v>
      </c>
      <c r="BJ696" s="24">
        <f t="shared" si="813"/>
        <v>43073.458333333336</v>
      </c>
      <c r="BK696" s="25">
        <f t="shared" si="814"/>
        <v>2.2917509089296799</v>
      </c>
      <c r="BL696" s="259" t="str">
        <f t="shared" si="815"/>
        <v>REVISAR PRECIO</v>
      </c>
      <c r="BM696" s="533">
        <f t="shared" si="816"/>
        <v>61868.458333333336</v>
      </c>
    </row>
    <row r="697" spans="1:65" ht="34.35" customHeight="1">
      <c r="A697" s="91" t="s">
        <v>31</v>
      </c>
      <c r="B697" s="358" t="s">
        <v>2888</v>
      </c>
      <c r="C697" s="50" t="s">
        <v>318</v>
      </c>
      <c r="D697" s="99" t="s">
        <v>658</v>
      </c>
      <c r="E697" s="391" t="s">
        <v>13</v>
      </c>
      <c r="F697" s="410">
        <v>18425</v>
      </c>
      <c r="G697" s="10">
        <v>35000</v>
      </c>
      <c r="H697" s="167">
        <v>105000</v>
      </c>
      <c r="I697" s="10">
        <v>35000</v>
      </c>
      <c r="J697" s="76">
        <f t="shared" si="790"/>
        <v>35000</v>
      </c>
      <c r="K697" s="24">
        <f t="shared" si="791"/>
        <v>16575</v>
      </c>
      <c r="L697" s="281">
        <f t="shared" si="792"/>
        <v>0.89959294436906379</v>
      </c>
      <c r="M697" s="431">
        <f t="shared" si="793"/>
        <v>105000</v>
      </c>
      <c r="N697" s="410">
        <v>10166</v>
      </c>
      <c r="O697" s="10">
        <v>28500</v>
      </c>
      <c r="P697" s="10"/>
      <c r="Q697" s="268">
        <v>31000</v>
      </c>
      <c r="R697" s="10">
        <v>30000</v>
      </c>
      <c r="S697" s="76">
        <f t="shared" si="794"/>
        <v>29833.333333333332</v>
      </c>
      <c r="T697" s="24">
        <f t="shared" si="795"/>
        <v>19667.333333333332</v>
      </c>
      <c r="U697" s="281">
        <f t="shared" si="796"/>
        <v>1.9346186635189191</v>
      </c>
      <c r="V697" s="462">
        <f t="shared" si="797"/>
        <v>29833.333333333332</v>
      </c>
      <c r="W697" s="410">
        <v>17957</v>
      </c>
      <c r="X697" s="31">
        <v>23355</v>
      </c>
      <c r="Y697" s="31">
        <v>30362</v>
      </c>
      <c r="Z697" s="98">
        <v>20414</v>
      </c>
      <c r="AA697" s="76">
        <f t="shared" si="798"/>
        <v>24710.333333333332</v>
      </c>
      <c r="AB697" s="24">
        <f t="shared" si="799"/>
        <v>6753.3333333333321</v>
      </c>
      <c r="AC697" s="25">
        <f t="shared" si="800"/>
        <v>0.37608360713556455</v>
      </c>
      <c r="AD697" s="309" t="str">
        <f t="shared" si="801"/>
        <v>REVISAR PRECIO</v>
      </c>
      <c r="AE697" s="462">
        <f t="shared" si="802"/>
        <v>24710.333333333332</v>
      </c>
      <c r="AF697" s="410">
        <v>11353</v>
      </c>
      <c r="AG697" s="45"/>
      <c r="AH697" s="45">
        <v>13195</v>
      </c>
      <c r="AI697" s="45">
        <v>45000</v>
      </c>
      <c r="AJ697" s="76">
        <f t="shared" si="803"/>
        <v>29097.5</v>
      </c>
      <c r="AK697" s="24">
        <f t="shared" si="804"/>
        <v>17744.5</v>
      </c>
      <c r="AL697" s="281">
        <f t="shared" si="805"/>
        <v>1.5629789482956047</v>
      </c>
      <c r="AM697" s="462">
        <f t="shared" si="817"/>
        <v>29097.5</v>
      </c>
      <c r="AN697" s="513">
        <v>11410</v>
      </c>
      <c r="AO697" s="88">
        <v>40000</v>
      </c>
      <c r="AP697" s="116">
        <v>40000</v>
      </c>
      <c r="AQ697" s="74">
        <v>38676</v>
      </c>
      <c r="AR697" s="76">
        <f t="shared" si="807"/>
        <v>39558.666666666664</v>
      </c>
      <c r="AS697" s="24">
        <f t="shared" si="808"/>
        <v>28148.666666666664</v>
      </c>
      <c r="AT697" s="25">
        <f t="shared" si="809"/>
        <v>2.4670172363423895</v>
      </c>
      <c r="AU697" s="309" t="str">
        <f t="shared" si="810"/>
        <v>REVISAR PRECIO</v>
      </c>
      <c r="AV697" s="462">
        <f t="shared" si="811"/>
        <v>39558.666666666664</v>
      </c>
      <c r="AW697" s="513">
        <v>11410</v>
      </c>
      <c r="AX697" s="74">
        <v>40434</v>
      </c>
      <c r="AY697" s="74">
        <v>90000</v>
      </c>
      <c r="AZ697" s="75">
        <v>46587</v>
      </c>
      <c r="BA697" s="61">
        <v>40434</v>
      </c>
      <c r="BB697" s="60">
        <v>60000</v>
      </c>
      <c r="BC697" s="74">
        <v>46499.1</v>
      </c>
      <c r="BD697" s="79">
        <v>46587</v>
      </c>
      <c r="BE697" s="79">
        <f>+BE694</f>
        <v>35160</v>
      </c>
      <c r="BF697" s="127">
        <v>42192</v>
      </c>
      <c r="BG697" s="128">
        <v>46000</v>
      </c>
      <c r="BH697" s="128">
        <v>40000</v>
      </c>
      <c r="BI697" s="76">
        <f t="shared" si="812"/>
        <v>53992.35</v>
      </c>
      <c r="BJ697" s="24">
        <f t="shared" si="813"/>
        <v>42582.35</v>
      </c>
      <c r="BK697" s="25">
        <f t="shared" si="814"/>
        <v>3.7320201577563541</v>
      </c>
      <c r="BL697" s="259" t="str">
        <f t="shared" si="815"/>
        <v>REVISAR PRECIO</v>
      </c>
      <c r="BM697" s="533">
        <f t="shared" si="816"/>
        <v>53992.35</v>
      </c>
    </row>
    <row r="698" spans="1:65" ht="34.35" customHeight="1">
      <c r="A698" s="91" t="s">
        <v>31</v>
      </c>
      <c r="B698" s="358" t="s">
        <v>2889</v>
      </c>
      <c r="C698" s="50" t="s">
        <v>319</v>
      </c>
      <c r="D698" s="99" t="s">
        <v>659</v>
      </c>
      <c r="E698" s="391" t="s">
        <v>13</v>
      </c>
      <c r="F698" s="410">
        <v>11183</v>
      </c>
      <c r="G698" s="10">
        <v>35160</v>
      </c>
      <c r="H698" s="167">
        <v>70320</v>
      </c>
      <c r="I698" s="60">
        <v>33000</v>
      </c>
      <c r="J698" s="76">
        <f t="shared" si="790"/>
        <v>34080</v>
      </c>
      <c r="K698" s="24">
        <f t="shared" si="791"/>
        <v>22897</v>
      </c>
      <c r="L698" s="281">
        <f t="shared" si="792"/>
        <v>2.0474827863721718</v>
      </c>
      <c r="M698" s="431">
        <f t="shared" si="793"/>
        <v>70320</v>
      </c>
      <c r="N698" s="410">
        <v>35882</v>
      </c>
      <c r="O698" s="10">
        <v>210000</v>
      </c>
      <c r="P698" s="10"/>
      <c r="Q698" s="268">
        <v>220000</v>
      </c>
      <c r="R698" s="10">
        <v>250000</v>
      </c>
      <c r="S698" s="76">
        <f t="shared" si="794"/>
        <v>226666.66666666666</v>
      </c>
      <c r="T698" s="24">
        <f t="shared" si="795"/>
        <v>190784.66666666666</v>
      </c>
      <c r="U698" s="281">
        <f t="shared" si="796"/>
        <v>5.3170020251565315</v>
      </c>
      <c r="V698" s="462">
        <f t="shared" si="797"/>
        <v>226666.66666666666</v>
      </c>
      <c r="W698" s="410">
        <v>62778</v>
      </c>
      <c r="X698" s="31">
        <v>81648</v>
      </c>
      <c r="Y698" s="33">
        <v>106142</v>
      </c>
      <c r="Z698" s="98">
        <v>71366.399999999994</v>
      </c>
      <c r="AA698" s="76">
        <f t="shared" si="798"/>
        <v>86385.46666666666</v>
      </c>
      <c r="AB698" s="24">
        <f t="shared" si="799"/>
        <v>23607.46666666666</v>
      </c>
      <c r="AC698" s="25">
        <f t="shared" si="800"/>
        <v>0.3760468104537682</v>
      </c>
      <c r="AD698" s="309" t="str">
        <f t="shared" si="801"/>
        <v>REVISAR PRECIO</v>
      </c>
      <c r="AE698" s="462">
        <f t="shared" si="802"/>
        <v>86385.46666666666</v>
      </c>
      <c r="AF698" s="410">
        <v>39868</v>
      </c>
      <c r="AG698" s="45"/>
      <c r="AH698" s="45">
        <v>47036</v>
      </c>
      <c r="AI698" s="45">
        <v>70000</v>
      </c>
      <c r="AJ698" s="76">
        <f t="shared" si="803"/>
        <v>58518</v>
      </c>
      <c r="AK698" s="24">
        <f t="shared" si="804"/>
        <v>18650</v>
      </c>
      <c r="AL698" s="281">
        <f t="shared" si="805"/>
        <v>0.46779371927360291</v>
      </c>
      <c r="AM698" s="462">
        <f t="shared" si="817"/>
        <v>58518</v>
      </c>
      <c r="AN698" s="513">
        <v>39868</v>
      </c>
      <c r="AO698" s="88">
        <v>60000</v>
      </c>
      <c r="AP698" s="116">
        <v>60000</v>
      </c>
      <c r="AQ698" s="74">
        <v>57936.999999999993</v>
      </c>
      <c r="AR698" s="76">
        <f t="shared" si="807"/>
        <v>59312.333333333336</v>
      </c>
      <c r="AS698" s="24">
        <f t="shared" si="808"/>
        <v>19444.333333333336</v>
      </c>
      <c r="AT698" s="25">
        <f t="shared" si="809"/>
        <v>0.48771780208019805</v>
      </c>
      <c r="AU698" s="309" t="str">
        <f t="shared" si="810"/>
        <v>REVISAR PRECIO</v>
      </c>
      <c r="AV698" s="462">
        <f t="shared" si="811"/>
        <v>59312.333333333336</v>
      </c>
      <c r="AW698" s="513">
        <v>39868</v>
      </c>
      <c r="AX698" s="74">
        <v>60570.499999999993</v>
      </c>
      <c r="AY698" s="74">
        <v>90000</v>
      </c>
      <c r="AZ698" s="75">
        <v>69787.749999999985</v>
      </c>
      <c r="BA698" s="61">
        <v>60570.499999999985</v>
      </c>
      <c r="BB698" s="60">
        <v>90000</v>
      </c>
      <c r="BC698" s="74">
        <v>69656.074999999983</v>
      </c>
      <c r="BD698" s="79">
        <v>69787.749999999985</v>
      </c>
      <c r="BE698" s="79">
        <f>45800*1.15</f>
        <v>52669.999999999993</v>
      </c>
      <c r="BF698" s="127">
        <v>63203.999999999993</v>
      </c>
      <c r="BG698" s="128">
        <v>63000</v>
      </c>
      <c r="BH698" s="128">
        <v>60000</v>
      </c>
      <c r="BI698" s="76">
        <f t="shared" si="812"/>
        <v>73430.804166666654</v>
      </c>
      <c r="BJ698" s="24">
        <f t="shared" si="813"/>
        <v>33562.804166666654</v>
      </c>
      <c r="BK698" s="25">
        <f t="shared" si="814"/>
        <v>0.84184820323734966</v>
      </c>
      <c r="BL698" s="259" t="str">
        <f t="shared" si="815"/>
        <v>REVISAR PRECIO</v>
      </c>
      <c r="BM698" s="533">
        <f t="shared" si="816"/>
        <v>73430.804166666654</v>
      </c>
    </row>
    <row r="699" spans="1:65" ht="34.35" customHeight="1">
      <c r="A699" s="91" t="s">
        <v>31</v>
      </c>
      <c r="B699" s="358" t="s">
        <v>2890</v>
      </c>
      <c r="C699" s="50" t="s">
        <v>320</v>
      </c>
      <c r="D699" s="99" t="s">
        <v>660</v>
      </c>
      <c r="E699" s="391" t="s">
        <v>13</v>
      </c>
      <c r="F699" s="410">
        <v>39869</v>
      </c>
      <c r="G699" s="10">
        <v>52670</v>
      </c>
      <c r="H699" s="167">
        <v>105340</v>
      </c>
      <c r="I699" s="10">
        <v>51200</v>
      </c>
      <c r="J699" s="76">
        <f t="shared" si="790"/>
        <v>51935</v>
      </c>
      <c r="K699" s="24">
        <f t="shared" si="791"/>
        <v>12066</v>
      </c>
      <c r="L699" s="281">
        <f t="shared" si="792"/>
        <v>0.30264114976548195</v>
      </c>
      <c r="M699" s="431">
        <f t="shared" si="793"/>
        <v>105340</v>
      </c>
      <c r="N699" s="410">
        <v>41064</v>
      </c>
      <c r="O699" s="10">
        <v>225000</v>
      </c>
      <c r="P699" s="10"/>
      <c r="Q699" s="268">
        <v>231000</v>
      </c>
      <c r="R699" s="10">
        <v>250000</v>
      </c>
      <c r="S699" s="76">
        <f t="shared" si="794"/>
        <v>235333.33333333334</v>
      </c>
      <c r="T699" s="24">
        <f t="shared" si="795"/>
        <v>194269.33333333334</v>
      </c>
      <c r="U699" s="281">
        <f t="shared" si="796"/>
        <v>4.7308916163387238</v>
      </c>
      <c r="V699" s="462">
        <f t="shared" si="797"/>
        <v>235333.33333333334</v>
      </c>
      <c r="W699" s="410">
        <v>71840</v>
      </c>
      <c r="X699" s="31">
        <v>93434</v>
      </c>
      <c r="Y699" s="31">
        <v>121464</v>
      </c>
      <c r="Z699" s="98">
        <v>81667.8</v>
      </c>
      <c r="AA699" s="76">
        <f t="shared" si="798"/>
        <v>98855.266666666663</v>
      </c>
      <c r="AB699" s="24">
        <f t="shared" si="799"/>
        <v>27015.266666666663</v>
      </c>
      <c r="AC699" s="25">
        <f t="shared" si="800"/>
        <v>0.37604769858945802</v>
      </c>
      <c r="AD699" s="309" t="str">
        <f t="shared" si="801"/>
        <v>REVISAR PRECIO</v>
      </c>
      <c r="AE699" s="462">
        <f t="shared" si="802"/>
        <v>98855.266666666663</v>
      </c>
      <c r="AF699" s="410">
        <v>45621</v>
      </c>
      <c r="AG699" s="45"/>
      <c r="AH699" s="45">
        <v>53829</v>
      </c>
      <c r="AI699" s="45">
        <v>75000</v>
      </c>
      <c r="AJ699" s="76">
        <f t="shared" si="803"/>
        <v>64414.5</v>
      </c>
      <c r="AK699" s="24">
        <f t="shared" si="804"/>
        <v>18793.5</v>
      </c>
      <c r="AL699" s="281">
        <f t="shared" si="805"/>
        <v>0.41194844479516013</v>
      </c>
      <c r="AM699" s="462">
        <f t="shared" si="817"/>
        <v>64414.5</v>
      </c>
      <c r="AN699" s="513">
        <v>45621</v>
      </c>
      <c r="AO699" s="88">
        <v>70000</v>
      </c>
      <c r="AP699" s="116">
        <v>70000</v>
      </c>
      <c r="AQ699" s="74">
        <v>69759.360000000001</v>
      </c>
      <c r="AR699" s="76">
        <f t="shared" si="807"/>
        <v>69919.786666666667</v>
      </c>
      <c r="AS699" s="24">
        <f t="shared" si="808"/>
        <v>24298.786666666667</v>
      </c>
      <c r="AT699" s="25">
        <f t="shared" si="809"/>
        <v>0.53262284181992214</v>
      </c>
      <c r="AU699" s="309" t="str">
        <f t="shared" si="810"/>
        <v>REVISAR PRECIO</v>
      </c>
      <c r="AV699" s="462">
        <f t="shared" si="811"/>
        <v>69919.786666666667</v>
      </c>
      <c r="AW699" s="513">
        <v>45621</v>
      </c>
      <c r="AX699" s="74">
        <v>72930.239999999991</v>
      </c>
      <c r="AY699" s="74">
        <v>100000</v>
      </c>
      <c r="AZ699" s="75">
        <v>84028.319999999992</v>
      </c>
      <c r="BA699" s="61">
        <v>72930.239999999991</v>
      </c>
      <c r="BB699" s="60">
        <v>90000</v>
      </c>
      <c r="BC699" s="74">
        <v>83869.775999999983</v>
      </c>
      <c r="BD699" s="79">
        <v>84028.319999999992</v>
      </c>
      <c r="BE699" s="79">
        <f>52848*1.2</f>
        <v>63417.599999999999</v>
      </c>
      <c r="BF699" s="127">
        <v>76101.119999999995</v>
      </c>
      <c r="BG699" s="128">
        <v>80000</v>
      </c>
      <c r="BH699" s="128">
        <v>70000</v>
      </c>
      <c r="BI699" s="76">
        <f t="shared" si="812"/>
        <v>83959.762666666662</v>
      </c>
      <c r="BJ699" s="24">
        <f t="shared" si="813"/>
        <v>38338.762666666662</v>
      </c>
      <c r="BK699" s="25">
        <f t="shared" si="814"/>
        <v>0.84037532422933869</v>
      </c>
      <c r="BL699" s="259" t="str">
        <f t="shared" si="815"/>
        <v>REVISAR PRECIO</v>
      </c>
      <c r="BM699" s="533">
        <f t="shared" si="816"/>
        <v>83959.762666666662</v>
      </c>
    </row>
    <row r="700" spans="1:65" ht="34.35" customHeight="1">
      <c r="A700" s="91" t="s">
        <v>31</v>
      </c>
      <c r="B700" s="358" t="s">
        <v>2891</v>
      </c>
      <c r="C700" s="50" t="s">
        <v>321</v>
      </c>
      <c r="D700" s="99" t="s">
        <v>661</v>
      </c>
      <c r="E700" s="391" t="s">
        <v>12</v>
      </c>
      <c r="F700" s="410">
        <v>45621</v>
      </c>
      <c r="G700" s="10">
        <v>63418</v>
      </c>
      <c r="H700" s="167">
        <v>126836</v>
      </c>
      <c r="I700" s="10">
        <v>58700</v>
      </c>
      <c r="J700" s="76">
        <f t="shared" si="790"/>
        <v>61059</v>
      </c>
      <c r="K700" s="24">
        <f t="shared" si="791"/>
        <v>15438</v>
      </c>
      <c r="L700" s="281">
        <f t="shared" si="792"/>
        <v>0.33839679095153546</v>
      </c>
      <c r="M700" s="431">
        <f t="shared" si="793"/>
        <v>126836</v>
      </c>
      <c r="N700" s="410">
        <v>15140</v>
      </c>
      <c r="O700" s="10">
        <v>55000</v>
      </c>
      <c r="P700" s="10"/>
      <c r="Q700" s="268">
        <v>60000</v>
      </c>
      <c r="R700" s="10">
        <v>60000</v>
      </c>
      <c r="S700" s="76">
        <f t="shared" si="794"/>
        <v>58333.333333333336</v>
      </c>
      <c r="T700" s="24">
        <f t="shared" si="795"/>
        <v>43193.333333333336</v>
      </c>
      <c r="U700" s="281">
        <f t="shared" si="796"/>
        <v>2.8529282254513433</v>
      </c>
      <c r="V700" s="462">
        <f t="shared" si="797"/>
        <v>58333.333333333336</v>
      </c>
      <c r="W700" s="410">
        <v>26760</v>
      </c>
      <c r="X700" s="31">
        <v>34803</v>
      </c>
      <c r="Y700" s="33">
        <v>45244</v>
      </c>
      <c r="Z700" s="31">
        <v>30420</v>
      </c>
      <c r="AA700" s="76">
        <f t="shared" si="798"/>
        <v>36822.333333333336</v>
      </c>
      <c r="AB700" s="24">
        <f t="shared" si="799"/>
        <v>10062.333333333336</v>
      </c>
      <c r="AC700" s="25">
        <f t="shared" si="800"/>
        <v>0.3760214250124565</v>
      </c>
      <c r="AD700" s="309" t="str">
        <f t="shared" si="801"/>
        <v>REVISAR PRECIO</v>
      </c>
      <c r="AE700" s="462">
        <f t="shared" si="802"/>
        <v>36822.333333333336</v>
      </c>
      <c r="AF700" s="410">
        <v>16906</v>
      </c>
      <c r="AG700" s="45"/>
      <c r="AH700" s="45">
        <v>19656</v>
      </c>
      <c r="AI700" s="45">
        <v>25000</v>
      </c>
      <c r="AJ700" s="76">
        <f t="shared" si="803"/>
        <v>22328</v>
      </c>
      <c r="AK700" s="24">
        <f t="shared" si="804"/>
        <v>5422</v>
      </c>
      <c r="AL700" s="281">
        <f t="shared" si="805"/>
        <v>0.32071453921684612</v>
      </c>
      <c r="AM700" s="462">
        <f t="shared" si="817"/>
        <v>22328</v>
      </c>
      <c r="AN700" s="513">
        <v>16991</v>
      </c>
      <c r="AO700" s="88">
        <v>25000</v>
      </c>
      <c r="AP700" s="116">
        <v>25000</v>
      </c>
      <c r="AQ700" s="74">
        <v>23100</v>
      </c>
      <c r="AR700" s="76">
        <f t="shared" si="807"/>
        <v>24366.666666666668</v>
      </c>
      <c r="AS700" s="24">
        <f t="shared" si="808"/>
        <v>7375.6666666666679</v>
      </c>
      <c r="AT700" s="25">
        <f t="shared" si="809"/>
        <v>0.43409255880564229</v>
      </c>
      <c r="AU700" s="309" t="str">
        <f t="shared" si="810"/>
        <v>REVISAR PRECIO</v>
      </c>
      <c r="AV700" s="462">
        <f t="shared" si="811"/>
        <v>24366.666666666668</v>
      </c>
      <c r="AW700" s="513">
        <v>16991</v>
      </c>
      <c r="AX700" s="74">
        <v>24150</v>
      </c>
      <c r="AY700" s="74">
        <v>55000</v>
      </c>
      <c r="AZ700" s="75">
        <v>27825</v>
      </c>
      <c r="BA700" s="61">
        <v>26909.999999999996</v>
      </c>
      <c r="BB700" s="60">
        <v>50000</v>
      </c>
      <c r="BC700" s="74">
        <v>30946.499999999993</v>
      </c>
      <c r="BD700" s="79">
        <v>27825</v>
      </c>
      <c r="BE700" s="79">
        <f>+BE696*0.6</f>
        <v>21000</v>
      </c>
      <c r="BF700" s="127">
        <v>25200</v>
      </c>
      <c r="BG700" s="128">
        <v>18000</v>
      </c>
      <c r="BH700" s="128">
        <v>20000</v>
      </c>
      <c r="BI700" s="76">
        <f t="shared" si="812"/>
        <v>35805.25</v>
      </c>
      <c r="BJ700" s="24">
        <f t="shared" si="813"/>
        <v>18814.25</v>
      </c>
      <c r="BK700" s="25">
        <f t="shared" si="814"/>
        <v>1.1073068094873757</v>
      </c>
      <c r="BL700" s="259" t="str">
        <f t="shared" si="815"/>
        <v>REVISAR PRECIO</v>
      </c>
      <c r="BM700" s="533">
        <f t="shared" si="816"/>
        <v>35805.25</v>
      </c>
    </row>
    <row r="701" spans="1:65" ht="34.35" customHeight="1">
      <c r="A701" s="91" t="s">
        <v>31</v>
      </c>
      <c r="B701" s="358" t="s">
        <v>2892</v>
      </c>
      <c r="C701" s="50" t="s">
        <v>322</v>
      </c>
      <c r="D701" s="99" t="s">
        <v>662</v>
      </c>
      <c r="E701" s="391" t="s">
        <v>12</v>
      </c>
      <c r="F701" s="410">
        <v>16660</v>
      </c>
      <c r="G701" s="10">
        <v>21000</v>
      </c>
      <c r="H701" s="167">
        <v>21000</v>
      </c>
      <c r="I701" s="10">
        <v>20000</v>
      </c>
      <c r="J701" s="76">
        <f t="shared" si="790"/>
        <v>20500</v>
      </c>
      <c r="K701" s="24">
        <f t="shared" si="791"/>
        <v>3840</v>
      </c>
      <c r="L701" s="281">
        <f t="shared" si="792"/>
        <v>0.2304921968787515</v>
      </c>
      <c r="M701" s="431">
        <f t="shared" si="793"/>
        <v>21000</v>
      </c>
      <c r="N701" s="410">
        <v>90235</v>
      </c>
      <c r="O701" s="10">
        <v>235000</v>
      </c>
      <c r="P701" s="10"/>
      <c r="Q701" s="268">
        <v>245000</v>
      </c>
      <c r="R701" s="10">
        <v>250000</v>
      </c>
      <c r="S701" s="76">
        <f t="shared" si="794"/>
        <v>243333.33333333334</v>
      </c>
      <c r="T701" s="24">
        <f t="shared" si="795"/>
        <v>153098.33333333334</v>
      </c>
      <c r="U701" s="281">
        <f t="shared" si="796"/>
        <v>1.6966624184998431</v>
      </c>
      <c r="V701" s="462">
        <f t="shared" si="797"/>
        <v>243333.33333333334</v>
      </c>
      <c r="W701" s="410">
        <v>159458</v>
      </c>
      <c r="X701" s="31">
        <v>207387</v>
      </c>
      <c r="Y701" s="33">
        <v>269603</v>
      </c>
      <c r="Z701" s="98">
        <v>181271.6</v>
      </c>
      <c r="AA701" s="76">
        <f t="shared" si="798"/>
        <v>219420.53333333333</v>
      </c>
      <c r="AB701" s="24">
        <f t="shared" si="799"/>
        <v>59962.533333333326</v>
      </c>
      <c r="AC701" s="25">
        <f t="shared" si="800"/>
        <v>0.37603966770769309</v>
      </c>
      <c r="AD701" s="309" t="str">
        <f t="shared" si="801"/>
        <v>REVISAR PRECIO</v>
      </c>
      <c r="AE701" s="462">
        <f t="shared" si="802"/>
        <v>219420.53333333333</v>
      </c>
      <c r="AF701" s="410">
        <v>100762</v>
      </c>
      <c r="AG701" s="45"/>
      <c r="AH701" s="45">
        <v>117141</v>
      </c>
      <c r="AI701" s="45">
        <v>115000</v>
      </c>
      <c r="AJ701" s="76">
        <f t="shared" si="803"/>
        <v>116070.5</v>
      </c>
      <c r="AK701" s="24">
        <f t="shared" si="804"/>
        <v>15308.5</v>
      </c>
      <c r="AL701" s="281">
        <f t="shared" si="805"/>
        <v>0.15192731386832337</v>
      </c>
      <c r="AM701" s="462">
        <f t="shared" si="817"/>
        <v>116070.5</v>
      </c>
      <c r="AN701" s="513">
        <v>101265</v>
      </c>
      <c r="AO701" s="88">
        <v>250000</v>
      </c>
      <c r="AP701" s="116">
        <v>250000</v>
      </c>
      <c r="AQ701" s="74">
        <v>118800</v>
      </c>
      <c r="AR701" s="76">
        <f t="shared" si="807"/>
        <v>206266.66666666666</v>
      </c>
      <c r="AS701" s="24">
        <f t="shared" si="808"/>
        <v>105001.66666666666</v>
      </c>
      <c r="AT701" s="25">
        <f t="shared" si="809"/>
        <v>1.0368998831448837</v>
      </c>
      <c r="AU701" s="309" t="str">
        <f t="shared" si="810"/>
        <v>REVISAR PRECIO</v>
      </c>
      <c r="AV701" s="462">
        <f t="shared" si="811"/>
        <v>206266.66666666666</v>
      </c>
      <c r="AW701" s="513">
        <v>101265</v>
      </c>
      <c r="AX701" s="74">
        <v>124200</v>
      </c>
      <c r="AY701" s="74">
        <v>160000</v>
      </c>
      <c r="AZ701" s="75">
        <v>143100</v>
      </c>
      <c r="BA701" s="61">
        <v>495074.99999999994</v>
      </c>
      <c r="BB701" s="60">
        <v>180000</v>
      </c>
      <c r="BC701" s="74">
        <v>569336.24999999988</v>
      </c>
      <c r="BD701" s="79">
        <v>143100</v>
      </c>
      <c r="BE701" s="79">
        <f>180000*0.6</f>
        <v>108000</v>
      </c>
      <c r="BF701" s="127">
        <v>129600</v>
      </c>
      <c r="BG701" s="128">
        <v>104000</v>
      </c>
      <c r="BH701" s="128">
        <v>110000</v>
      </c>
      <c r="BI701" s="76">
        <f t="shared" si="812"/>
        <v>278618.54166666669</v>
      </c>
      <c r="BJ701" s="24">
        <f t="shared" si="813"/>
        <v>177353.54166666669</v>
      </c>
      <c r="BK701" s="25">
        <f t="shared" si="814"/>
        <v>1.7513804539245217</v>
      </c>
      <c r="BL701" s="259" t="str">
        <f t="shared" si="815"/>
        <v>REVISAR PRECIO</v>
      </c>
      <c r="BM701" s="533">
        <f t="shared" si="816"/>
        <v>278618.54166666669</v>
      </c>
    </row>
    <row r="702" spans="1:65" ht="34.35" customHeight="1">
      <c r="A702" s="91" t="s">
        <v>31</v>
      </c>
      <c r="B702" s="358" t="s">
        <v>2893</v>
      </c>
      <c r="C702" s="50" t="s">
        <v>323</v>
      </c>
      <c r="D702" s="99" t="s">
        <v>663</v>
      </c>
      <c r="E702" s="391" t="s">
        <v>12</v>
      </c>
      <c r="F702" s="410">
        <v>99282</v>
      </c>
      <c r="G702" s="10">
        <v>108000</v>
      </c>
      <c r="H702" s="167">
        <v>108000</v>
      </c>
      <c r="I702" s="10">
        <v>107600</v>
      </c>
      <c r="J702" s="76">
        <f t="shared" si="790"/>
        <v>107800</v>
      </c>
      <c r="K702" s="24">
        <f t="shared" si="791"/>
        <v>8518</v>
      </c>
      <c r="L702" s="281">
        <f t="shared" si="792"/>
        <v>8.5796015390503813E-2</v>
      </c>
      <c r="M702" s="431">
        <f t="shared" si="793"/>
        <v>108000</v>
      </c>
      <c r="N702" s="410">
        <v>19916</v>
      </c>
      <c r="O702" s="10">
        <v>55000</v>
      </c>
      <c r="P702" s="10"/>
      <c r="Q702" s="268">
        <v>61000</v>
      </c>
      <c r="R702" s="10">
        <v>60000</v>
      </c>
      <c r="S702" s="76">
        <f t="shared" si="794"/>
        <v>58666.666666666664</v>
      </c>
      <c r="T702" s="24">
        <f t="shared" si="795"/>
        <v>38750.666666666664</v>
      </c>
      <c r="U702" s="281">
        <f t="shared" si="796"/>
        <v>1.9457052955747471</v>
      </c>
      <c r="V702" s="462">
        <f t="shared" si="797"/>
        <v>58666.666666666664</v>
      </c>
      <c r="W702" s="410">
        <v>35188</v>
      </c>
      <c r="X702" s="31">
        <v>45765</v>
      </c>
      <c r="Y702" s="31">
        <v>59495</v>
      </c>
      <c r="Z702" s="98">
        <v>40002</v>
      </c>
      <c r="AA702" s="76">
        <f t="shared" si="798"/>
        <v>48420.666666666664</v>
      </c>
      <c r="AB702" s="24">
        <f t="shared" si="799"/>
        <v>13232.666666666664</v>
      </c>
      <c r="AC702" s="25">
        <f t="shared" si="800"/>
        <v>0.37605623129097032</v>
      </c>
      <c r="AD702" s="309" t="str">
        <f t="shared" si="801"/>
        <v>REVISAR PRECIO</v>
      </c>
      <c r="AE702" s="462">
        <f t="shared" si="802"/>
        <v>48420.666666666664</v>
      </c>
      <c r="AF702" s="410">
        <v>22231</v>
      </c>
      <c r="AG702" s="45"/>
      <c r="AH702" s="45">
        <v>25848</v>
      </c>
      <c r="AI702" s="45">
        <v>18000</v>
      </c>
      <c r="AJ702" s="76">
        <f t="shared" si="803"/>
        <v>21924</v>
      </c>
      <c r="AK702" s="24">
        <f t="shared" si="804"/>
        <v>-307</v>
      </c>
      <c r="AL702" s="281">
        <f t="shared" si="805"/>
        <v>-1.3809545229634294E-2</v>
      </c>
      <c r="AM702" s="462">
        <f t="shared" si="817"/>
        <v>21924</v>
      </c>
      <c r="AN702" s="513">
        <v>22345</v>
      </c>
      <c r="AO702" s="88">
        <v>20000</v>
      </c>
      <c r="AP702" s="116">
        <v>20000</v>
      </c>
      <c r="AQ702" s="74">
        <v>15602.003999999997</v>
      </c>
      <c r="AR702" s="76">
        <f t="shared" si="807"/>
        <v>18534.001333333334</v>
      </c>
      <c r="AS702" s="24">
        <f t="shared" si="808"/>
        <v>-3810.9986666666664</v>
      </c>
      <c r="AT702" s="25">
        <f t="shared" si="809"/>
        <v>-0.17055263668233012</v>
      </c>
      <c r="AU702" s="309">
        <f t="shared" si="810"/>
        <v>18534.001333333334</v>
      </c>
      <c r="AV702" s="462">
        <f t="shared" si="811"/>
        <v>18534.001333333334</v>
      </c>
      <c r="AW702" s="513">
        <v>22345</v>
      </c>
      <c r="AX702" s="74">
        <v>16311.185999999998</v>
      </c>
      <c r="AY702" s="74">
        <v>40000</v>
      </c>
      <c r="AZ702" s="75">
        <v>18793.322999999997</v>
      </c>
      <c r="BA702" s="61">
        <v>16311.185999999996</v>
      </c>
      <c r="BB702" s="60">
        <v>70000</v>
      </c>
      <c r="BC702" s="74">
        <v>18757.863899999993</v>
      </c>
      <c r="BD702" s="79">
        <v>18793.322999999997</v>
      </c>
      <c r="BE702" s="79">
        <f>+BE641*0.6</f>
        <v>14183.639999999998</v>
      </c>
      <c r="BF702" s="127">
        <v>17020.367999999999</v>
      </c>
      <c r="BG702" s="128">
        <v>13900</v>
      </c>
      <c r="BH702" s="128">
        <v>15000</v>
      </c>
      <c r="BI702" s="76">
        <f t="shared" si="812"/>
        <v>30028.926483333333</v>
      </c>
      <c r="BJ702" s="24">
        <f t="shared" si="813"/>
        <v>7683.9264833333327</v>
      </c>
      <c r="BK702" s="25">
        <f t="shared" si="814"/>
        <v>0.34387677258148724</v>
      </c>
      <c r="BL702" s="259">
        <f t="shared" si="815"/>
        <v>30028.926483333333</v>
      </c>
      <c r="BM702" s="533">
        <f t="shared" si="816"/>
        <v>30028.926483333333</v>
      </c>
    </row>
    <row r="703" spans="1:65" ht="34.35" customHeight="1">
      <c r="A703" s="91" t="s">
        <v>31</v>
      </c>
      <c r="B703" s="358" t="s">
        <v>2894</v>
      </c>
      <c r="C703" s="50" t="s">
        <v>324</v>
      </c>
      <c r="D703" s="99" t="s">
        <v>664</v>
      </c>
      <c r="E703" s="391" t="s">
        <v>11</v>
      </c>
      <c r="F703" s="410">
        <v>21910</v>
      </c>
      <c r="G703" s="10">
        <v>14184</v>
      </c>
      <c r="H703" s="167">
        <v>42552</v>
      </c>
      <c r="I703" s="10">
        <v>13400</v>
      </c>
      <c r="J703" s="76">
        <f t="shared" si="790"/>
        <v>13792</v>
      </c>
      <c r="K703" s="24">
        <f t="shared" si="791"/>
        <v>-8118</v>
      </c>
      <c r="L703" s="281">
        <f t="shared" si="792"/>
        <v>-0.3705157462345961</v>
      </c>
      <c r="M703" s="431">
        <f t="shared" si="793"/>
        <v>42552</v>
      </c>
      <c r="N703" s="443"/>
      <c r="O703" s="250"/>
      <c r="P703" s="250"/>
      <c r="Q703" s="250"/>
      <c r="R703" s="250"/>
      <c r="S703" s="250"/>
      <c r="T703" s="250"/>
      <c r="U703" s="250"/>
      <c r="V703" s="443"/>
      <c r="W703" s="410">
        <v>107952</v>
      </c>
      <c r="X703" s="31">
        <v>140400</v>
      </c>
      <c r="Y703" s="33">
        <v>182520</v>
      </c>
      <c r="Z703" s="98">
        <v>122720</v>
      </c>
      <c r="AA703" s="76">
        <f t="shared" si="798"/>
        <v>148546.66666666666</v>
      </c>
      <c r="AB703" s="24">
        <f t="shared" si="799"/>
        <v>40594.666666666657</v>
      </c>
      <c r="AC703" s="25">
        <f t="shared" si="800"/>
        <v>0.37604367373153491</v>
      </c>
      <c r="AD703" s="309" t="str">
        <f t="shared" si="801"/>
        <v>REVISAR PRECIO</v>
      </c>
      <c r="AE703" s="462">
        <f t="shared" si="802"/>
        <v>148546.66666666666</v>
      </c>
      <c r="AF703" s="408"/>
      <c r="AG703" s="293"/>
      <c r="AH703" s="293"/>
      <c r="AI703" s="293"/>
      <c r="AJ703" s="293"/>
      <c r="AK703" s="293"/>
      <c r="AL703" s="327"/>
      <c r="AM703" s="463"/>
      <c r="AN703" s="513">
        <v>75939</v>
      </c>
      <c r="AO703" s="88">
        <v>3000</v>
      </c>
      <c r="AP703" s="116">
        <v>3600</v>
      </c>
      <c r="AQ703" s="74">
        <v>2750</v>
      </c>
      <c r="AR703" s="76">
        <f t="shared" si="807"/>
        <v>3116.6666666666665</v>
      </c>
      <c r="AS703" s="24">
        <f t="shared" si="808"/>
        <v>-72822.333333333328</v>
      </c>
      <c r="AT703" s="25">
        <f t="shared" si="809"/>
        <v>-0.9589582866950227</v>
      </c>
      <c r="AU703" s="309">
        <f t="shared" si="810"/>
        <v>3116.6666666666665</v>
      </c>
      <c r="AV703" s="462">
        <f t="shared" si="811"/>
        <v>3116.6666666666665</v>
      </c>
      <c r="AW703" s="513">
        <v>75939</v>
      </c>
      <c r="AX703" s="74">
        <v>2875</v>
      </c>
      <c r="AY703" s="74">
        <v>65000</v>
      </c>
      <c r="AZ703" s="75">
        <v>3312.5</v>
      </c>
      <c r="BA703" s="61">
        <v>8625</v>
      </c>
      <c r="BB703" s="60"/>
      <c r="BC703" s="74">
        <v>9918.75</v>
      </c>
      <c r="BD703" s="79">
        <v>3312.5</v>
      </c>
      <c r="BE703" s="79">
        <v>2500</v>
      </c>
      <c r="BF703" s="127">
        <v>3000</v>
      </c>
      <c r="BG703" s="128">
        <v>3000</v>
      </c>
      <c r="BH703" s="128">
        <v>3000</v>
      </c>
      <c r="BI703" s="76">
        <f t="shared" si="812"/>
        <v>17946.25</v>
      </c>
      <c r="BJ703" s="24">
        <f t="shared" si="813"/>
        <v>-57992.75</v>
      </c>
      <c r="BK703" s="25">
        <f t="shared" si="814"/>
        <v>-0.76367545003226278</v>
      </c>
      <c r="BL703" s="259">
        <f t="shared" si="815"/>
        <v>17946.25</v>
      </c>
      <c r="BM703" s="533">
        <f t="shared" si="816"/>
        <v>17946.25</v>
      </c>
    </row>
    <row r="704" spans="1:65" ht="29.45" customHeight="1">
      <c r="A704" s="91" t="s">
        <v>31</v>
      </c>
      <c r="B704" s="358" t="s">
        <v>2895</v>
      </c>
      <c r="C704" s="50" t="s">
        <v>325</v>
      </c>
      <c r="D704" s="99" t="s">
        <v>665</v>
      </c>
      <c r="E704" s="391" t="s">
        <v>11</v>
      </c>
      <c r="F704" s="408"/>
      <c r="G704" s="293"/>
      <c r="H704" s="293"/>
      <c r="I704" s="293"/>
      <c r="J704" s="293"/>
      <c r="K704" s="293"/>
      <c r="L704" s="327"/>
      <c r="M704" s="432"/>
      <c r="N704" s="443"/>
      <c r="O704" s="250"/>
      <c r="P704" s="250"/>
      <c r="Q704" s="250"/>
      <c r="R704" s="250"/>
      <c r="S704" s="250"/>
      <c r="T704" s="250"/>
      <c r="U704" s="250"/>
      <c r="V704" s="443"/>
      <c r="W704" s="410">
        <v>465024</v>
      </c>
      <c r="X704" s="33">
        <v>604800</v>
      </c>
      <c r="Y704" s="31">
        <v>604800</v>
      </c>
      <c r="Z704" s="98">
        <v>528640</v>
      </c>
      <c r="AA704" s="76">
        <f t="shared" si="798"/>
        <v>579413.33333333337</v>
      </c>
      <c r="AB704" s="24">
        <f t="shared" si="799"/>
        <v>114389.33333333337</v>
      </c>
      <c r="AC704" s="25">
        <f t="shared" si="800"/>
        <v>0.24598587026332699</v>
      </c>
      <c r="AD704" s="309">
        <f t="shared" si="801"/>
        <v>579413.33333333337</v>
      </c>
      <c r="AE704" s="462">
        <f t="shared" si="802"/>
        <v>579413.33333333337</v>
      </c>
      <c r="AF704" s="408"/>
      <c r="AG704" s="293"/>
      <c r="AH704" s="293"/>
      <c r="AI704" s="293"/>
      <c r="AJ704" s="293"/>
      <c r="AK704" s="293"/>
      <c r="AL704" s="327"/>
      <c r="AM704" s="463"/>
      <c r="AN704" s="513"/>
      <c r="AO704" s="88">
        <v>150000</v>
      </c>
      <c r="AP704" s="116">
        <v>150000</v>
      </c>
      <c r="AQ704" s="74">
        <v>121000</v>
      </c>
      <c r="AR704" s="76">
        <f t="shared" si="807"/>
        <v>140333.33333333334</v>
      </c>
      <c r="AS704" s="24">
        <f t="shared" si="808"/>
        <v>140333.33333333334</v>
      </c>
      <c r="AT704" s="25"/>
      <c r="AU704" s="309"/>
      <c r="AV704" s="462">
        <f t="shared" si="811"/>
        <v>140333.33333333334</v>
      </c>
      <c r="AW704" s="513"/>
      <c r="AX704" s="74">
        <v>126500</v>
      </c>
      <c r="AY704" s="74">
        <v>160000</v>
      </c>
      <c r="AZ704" s="75">
        <v>145750</v>
      </c>
      <c r="BA704" s="61">
        <v>138000</v>
      </c>
      <c r="BB704" s="60"/>
      <c r="BC704" s="74">
        <v>158700</v>
      </c>
      <c r="BD704" s="79">
        <v>145750</v>
      </c>
      <c r="BE704" s="79">
        <v>110000</v>
      </c>
      <c r="BF704" s="127">
        <v>132000</v>
      </c>
      <c r="BG704" s="128">
        <v>122900</v>
      </c>
      <c r="BH704" s="128">
        <v>120000</v>
      </c>
      <c r="BI704" s="76">
        <f t="shared" si="812"/>
        <v>145790</v>
      </c>
      <c r="BJ704" s="24">
        <f t="shared" si="813"/>
        <v>145790</v>
      </c>
      <c r="BK704" s="25"/>
      <c r="BL704" s="259">
        <f t="shared" si="815"/>
        <v>145790</v>
      </c>
      <c r="BM704" s="533">
        <f t="shared" si="816"/>
        <v>145790</v>
      </c>
    </row>
    <row r="705" spans="1:65" ht="36.6" customHeight="1">
      <c r="A705" s="91" t="s">
        <v>31</v>
      </c>
      <c r="B705" s="358" t="s">
        <v>2896</v>
      </c>
      <c r="C705" s="50" t="s">
        <v>326</v>
      </c>
      <c r="D705" s="99" t="s">
        <v>666</v>
      </c>
      <c r="E705" s="391" t="s">
        <v>12</v>
      </c>
      <c r="F705" s="408"/>
      <c r="G705" s="293"/>
      <c r="H705" s="293"/>
      <c r="I705" s="293"/>
      <c r="J705" s="293"/>
      <c r="K705" s="293"/>
      <c r="L705" s="327"/>
      <c r="M705" s="432"/>
      <c r="N705" s="443"/>
      <c r="O705" s="250"/>
      <c r="P705" s="250"/>
      <c r="Q705" s="250"/>
      <c r="R705" s="250"/>
      <c r="S705" s="250"/>
      <c r="T705" s="250"/>
      <c r="U705" s="250"/>
      <c r="V705" s="443"/>
      <c r="W705" s="410">
        <v>20760</v>
      </c>
      <c r="X705" s="33">
        <v>27000</v>
      </c>
      <c r="Y705" s="31">
        <v>35100</v>
      </c>
      <c r="Z705" s="98">
        <v>23600</v>
      </c>
      <c r="AA705" s="76">
        <f t="shared" si="798"/>
        <v>28566.666666666668</v>
      </c>
      <c r="AB705" s="24">
        <f t="shared" si="799"/>
        <v>7806.6666666666679</v>
      </c>
      <c r="AC705" s="25">
        <f t="shared" si="800"/>
        <v>0.37604367373153508</v>
      </c>
      <c r="AD705" s="309" t="str">
        <f t="shared" si="801"/>
        <v>REVISAR PRECIO</v>
      </c>
      <c r="AE705" s="462">
        <f t="shared" si="802"/>
        <v>28566.666666666668</v>
      </c>
      <c r="AF705" s="408"/>
      <c r="AG705" s="293"/>
      <c r="AH705" s="293"/>
      <c r="AI705" s="293"/>
      <c r="AJ705" s="293"/>
      <c r="AK705" s="293"/>
      <c r="AL705" s="327"/>
      <c r="AM705" s="463"/>
      <c r="AN705" s="513"/>
      <c r="AO705" s="88">
        <v>4000</v>
      </c>
      <c r="AP705" s="116">
        <v>4000</v>
      </c>
      <c r="AQ705" s="74">
        <v>3850</v>
      </c>
      <c r="AR705" s="76">
        <f t="shared" si="807"/>
        <v>3950</v>
      </c>
      <c r="AS705" s="24">
        <f t="shared" si="808"/>
        <v>3950</v>
      </c>
      <c r="AT705" s="25"/>
      <c r="AU705" s="309"/>
      <c r="AV705" s="462">
        <f t="shared" si="811"/>
        <v>3950</v>
      </c>
      <c r="AW705" s="513"/>
      <c r="AX705" s="74">
        <v>4025</v>
      </c>
      <c r="AY705" s="74">
        <v>6000</v>
      </c>
      <c r="AZ705" s="75">
        <v>4637.5</v>
      </c>
      <c r="BA705" s="61">
        <v>6324.9999999999991</v>
      </c>
      <c r="BB705" s="60"/>
      <c r="BC705" s="74">
        <v>7273.7499999999982</v>
      </c>
      <c r="BD705" s="79">
        <v>4637.5</v>
      </c>
      <c r="BE705" s="79">
        <v>3500</v>
      </c>
      <c r="BF705" s="127">
        <v>4200</v>
      </c>
      <c r="BG705" s="128">
        <v>4100</v>
      </c>
      <c r="BH705" s="128">
        <v>4000</v>
      </c>
      <c r="BI705" s="76">
        <f t="shared" si="812"/>
        <v>5652.25</v>
      </c>
      <c r="BJ705" s="24">
        <f t="shared" si="813"/>
        <v>5652.25</v>
      </c>
      <c r="BK705" s="25"/>
      <c r="BL705" s="259">
        <f t="shared" si="815"/>
        <v>5652.25</v>
      </c>
      <c r="BM705" s="533">
        <f t="shared" si="816"/>
        <v>5652.25</v>
      </c>
    </row>
    <row r="706" spans="1:65" ht="36" customHeight="1">
      <c r="A706" s="91" t="s">
        <v>31</v>
      </c>
      <c r="B706" s="358" t="s">
        <v>2897</v>
      </c>
      <c r="C706" s="50" t="s">
        <v>770</v>
      </c>
      <c r="D706" s="99" t="s">
        <v>667</v>
      </c>
      <c r="E706" s="391" t="s">
        <v>12</v>
      </c>
      <c r="F706" s="408"/>
      <c r="G706" s="293"/>
      <c r="H706" s="293"/>
      <c r="I706" s="293"/>
      <c r="J706" s="293"/>
      <c r="K706" s="293"/>
      <c r="L706" s="327"/>
      <c r="M706" s="432"/>
      <c r="N706" s="443"/>
      <c r="O706" s="250"/>
      <c r="P706" s="250"/>
      <c r="Q706" s="250"/>
      <c r="R706" s="250"/>
      <c r="S706" s="250"/>
      <c r="T706" s="250"/>
      <c r="U706" s="250"/>
      <c r="V706" s="443"/>
      <c r="W706" s="410">
        <v>31389</v>
      </c>
      <c r="X706" s="31">
        <v>40824</v>
      </c>
      <c r="Y706" s="31">
        <v>53071</v>
      </c>
      <c r="Z706" s="98">
        <v>35683.199999999997</v>
      </c>
      <c r="AA706" s="76">
        <f t="shared" si="798"/>
        <v>43192.73333333333</v>
      </c>
      <c r="AB706" s="24">
        <f t="shared" si="799"/>
        <v>11803.73333333333</v>
      </c>
      <c r="AC706" s="25">
        <f t="shared" si="800"/>
        <v>0.3760468104537682</v>
      </c>
      <c r="AD706" s="309" t="str">
        <f t="shared" si="801"/>
        <v>REVISAR PRECIO</v>
      </c>
      <c r="AE706" s="462">
        <f t="shared" si="802"/>
        <v>43192.73333333333</v>
      </c>
      <c r="AF706" s="408"/>
      <c r="AG706" s="293"/>
      <c r="AH706" s="293"/>
      <c r="AI706" s="293"/>
      <c r="AJ706" s="293"/>
      <c r="AK706" s="293"/>
      <c r="AL706" s="327"/>
      <c r="AM706" s="463"/>
      <c r="AN706" s="513">
        <v>17940</v>
      </c>
      <c r="AO706" s="88">
        <v>5000</v>
      </c>
      <c r="AP706" s="116">
        <v>5000</v>
      </c>
      <c r="AQ706" s="74">
        <v>2310</v>
      </c>
      <c r="AR706" s="76">
        <f t="shared" si="807"/>
        <v>4103.333333333333</v>
      </c>
      <c r="AS706" s="24">
        <f t="shared" si="808"/>
        <v>-13836.666666666668</v>
      </c>
      <c r="AT706" s="25">
        <f t="shared" ref="AT706:AT713" si="818">+AS706/AN706</f>
        <v>-0.77127461910070616</v>
      </c>
      <c r="AU706" s="309">
        <f t="shared" ref="AU706:AU713" si="819">+IF(AT706&lt;35%,AR706,"REVISAR PRECIO")</f>
        <v>4103.333333333333</v>
      </c>
      <c r="AV706" s="462">
        <f t="shared" si="811"/>
        <v>4103.333333333333</v>
      </c>
      <c r="AW706" s="513">
        <v>17940</v>
      </c>
      <c r="AX706" s="74">
        <v>2415</v>
      </c>
      <c r="AY706" s="74">
        <v>5000</v>
      </c>
      <c r="AZ706" s="75">
        <v>2782.5</v>
      </c>
      <c r="BA706" s="61">
        <v>6209.9999999999991</v>
      </c>
      <c r="BB706" s="60"/>
      <c r="BC706" s="74">
        <v>7141.4999999999982</v>
      </c>
      <c r="BD706" s="79">
        <v>2782.5</v>
      </c>
      <c r="BE706" s="79">
        <v>2100</v>
      </c>
      <c r="BF706" s="127">
        <v>2520</v>
      </c>
      <c r="BG706" s="128">
        <v>2000</v>
      </c>
      <c r="BH706" s="128">
        <v>2000</v>
      </c>
      <c r="BI706" s="76">
        <f t="shared" si="812"/>
        <v>4709.8</v>
      </c>
      <c r="BJ706" s="24">
        <f t="shared" si="813"/>
        <v>-13230.2</v>
      </c>
      <c r="BK706" s="25">
        <f t="shared" ref="BK706:BK713" si="820">+BJ706/AW706</f>
        <v>-0.73746934225195104</v>
      </c>
      <c r="BL706" s="259">
        <f t="shared" si="815"/>
        <v>4709.8</v>
      </c>
      <c r="BM706" s="533">
        <f t="shared" si="816"/>
        <v>4709.8</v>
      </c>
    </row>
    <row r="707" spans="1:65" ht="26.45" customHeight="1">
      <c r="A707" s="91" t="s">
        <v>31</v>
      </c>
      <c r="B707" s="358" t="s">
        <v>2898</v>
      </c>
      <c r="C707" s="50" t="s">
        <v>771</v>
      </c>
      <c r="D707" s="99" t="s">
        <v>668</v>
      </c>
      <c r="E707" s="391" t="s">
        <v>12</v>
      </c>
      <c r="F707" s="408"/>
      <c r="G707" s="293"/>
      <c r="H707" s="293"/>
      <c r="I707" s="293"/>
      <c r="J707" s="293"/>
      <c r="K707" s="293"/>
      <c r="L707" s="327"/>
      <c r="M707" s="432"/>
      <c r="N707" s="443"/>
      <c r="O707" s="250"/>
      <c r="P707" s="250"/>
      <c r="Q707" s="250"/>
      <c r="R707" s="250"/>
      <c r="S707" s="250"/>
      <c r="T707" s="250"/>
      <c r="U707" s="250"/>
      <c r="V707" s="443"/>
      <c r="W707" s="410">
        <v>29562</v>
      </c>
      <c r="X707" s="33">
        <v>38448</v>
      </c>
      <c r="Y707" s="33">
        <v>49982</v>
      </c>
      <c r="Z707" s="98">
        <v>33606.400000000001</v>
      </c>
      <c r="AA707" s="76">
        <f t="shared" si="798"/>
        <v>40678.799999999996</v>
      </c>
      <c r="AB707" s="24">
        <f t="shared" si="799"/>
        <v>11116.799999999996</v>
      </c>
      <c r="AC707" s="25">
        <f t="shared" si="800"/>
        <v>0.37605033488938489</v>
      </c>
      <c r="AD707" s="309" t="str">
        <f t="shared" si="801"/>
        <v>REVISAR PRECIO</v>
      </c>
      <c r="AE707" s="462">
        <f t="shared" si="802"/>
        <v>40678.799999999996</v>
      </c>
      <c r="AF707" s="408"/>
      <c r="AG707" s="293"/>
      <c r="AH707" s="293"/>
      <c r="AI707" s="293"/>
      <c r="AJ707" s="293"/>
      <c r="AK707" s="293"/>
      <c r="AL707" s="327"/>
      <c r="AM707" s="463"/>
      <c r="AN707" s="513">
        <v>16897</v>
      </c>
      <c r="AO707" s="88">
        <v>32000</v>
      </c>
      <c r="AP707" s="116">
        <v>32000</v>
      </c>
      <c r="AQ707" s="74">
        <v>31680</v>
      </c>
      <c r="AR707" s="76">
        <f t="shared" si="807"/>
        <v>31893.333333333332</v>
      </c>
      <c r="AS707" s="24">
        <f t="shared" si="808"/>
        <v>14996.333333333332</v>
      </c>
      <c r="AT707" s="25">
        <f t="shared" si="818"/>
        <v>0.88751454893373571</v>
      </c>
      <c r="AU707" s="309" t="str">
        <f t="shared" si="819"/>
        <v>REVISAR PRECIO</v>
      </c>
      <c r="AV707" s="462">
        <f t="shared" si="811"/>
        <v>31893.333333333332</v>
      </c>
      <c r="AW707" s="513">
        <v>16897</v>
      </c>
      <c r="AX707" s="74">
        <v>33120</v>
      </c>
      <c r="AY707" s="74">
        <v>42000</v>
      </c>
      <c r="AZ707" s="75">
        <v>38160</v>
      </c>
      <c r="BA707" s="61">
        <v>33120</v>
      </c>
      <c r="BB707" s="60"/>
      <c r="BC707" s="74">
        <v>38088</v>
      </c>
      <c r="BD707" s="79">
        <v>38160</v>
      </c>
      <c r="BE707" s="79">
        <f>+BE683*0.6</f>
        <v>28800</v>
      </c>
      <c r="BF707" s="127">
        <v>34560</v>
      </c>
      <c r="BG707" s="128">
        <v>29000</v>
      </c>
      <c r="BH707" s="128">
        <v>30000</v>
      </c>
      <c r="BI707" s="76">
        <f t="shared" si="812"/>
        <v>36897.599999999999</v>
      </c>
      <c r="BJ707" s="24">
        <f t="shared" si="813"/>
        <v>20000.599999999999</v>
      </c>
      <c r="BK707" s="25">
        <f t="shared" si="820"/>
        <v>1.1836775759010474</v>
      </c>
      <c r="BL707" s="259" t="str">
        <f t="shared" si="815"/>
        <v>REVISAR PRECIO</v>
      </c>
      <c r="BM707" s="533">
        <f t="shared" si="816"/>
        <v>36897.599999999999</v>
      </c>
    </row>
    <row r="708" spans="1:65" ht="26.45" customHeight="1">
      <c r="A708" s="91" t="s">
        <v>31</v>
      </c>
      <c r="B708" s="358" t="s">
        <v>2899</v>
      </c>
      <c r="C708" s="50" t="s">
        <v>772</v>
      </c>
      <c r="D708" s="99" t="s">
        <v>669</v>
      </c>
      <c r="E708" s="391" t="s">
        <v>13</v>
      </c>
      <c r="F708" s="408"/>
      <c r="G708" s="293"/>
      <c r="H708" s="293"/>
      <c r="I708" s="293"/>
      <c r="J708" s="293"/>
      <c r="K708" s="293"/>
      <c r="L708" s="327"/>
      <c r="M708" s="432"/>
      <c r="N708" s="443"/>
      <c r="O708" s="250"/>
      <c r="P708" s="250"/>
      <c r="Q708" s="250"/>
      <c r="R708" s="250"/>
      <c r="S708" s="250"/>
      <c r="T708" s="250"/>
      <c r="U708" s="250"/>
      <c r="V708" s="443"/>
      <c r="W708" s="410">
        <v>94666</v>
      </c>
      <c r="X708" s="33">
        <v>123120</v>
      </c>
      <c r="Y708" s="31">
        <v>160056</v>
      </c>
      <c r="Z708" s="98">
        <v>107616</v>
      </c>
      <c r="AA708" s="76">
        <f t="shared" si="798"/>
        <v>130264</v>
      </c>
      <c r="AB708" s="24">
        <f t="shared" si="799"/>
        <v>35598</v>
      </c>
      <c r="AC708" s="25">
        <f t="shared" si="800"/>
        <v>0.37603785942154522</v>
      </c>
      <c r="AD708" s="309" t="str">
        <f t="shared" si="801"/>
        <v>REVISAR PRECIO</v>
      </c>
      <c r="AE708" s="462">
        <f t="shared" si="802"/>
        <v>130264</v>
      </c>
      <c r="AF708" s="408"/>
      <c r="AG708" s="293"/>
      <c r="AH708" s="293"/>
      <c r="AI708" s="293"/>
      <c r="AJ708" s="293"/>
      <c r="AK708" s="293"/>
      <c r="AL708" s="327"/>
      <c r="AM708" s="463"/>
      <c r="AN708" s="513">
        <v>54106</v>
      </c>
      <c r="AO708" s="88">
        <v>60000</v>
      </c>
      <c r="AP708" s="116">
        <v>60000</v>
      </c>
      <c r="AQ708" s="74">
        <v>59337.96</v>
      </c>
      <c r="AR708" s="76">
        <f t="shared" si="807"/>
        <v>59779.32</v>
      </c>
      <c r="AS708" s="24">
        <f t="shared" si="808"/>
        <v>5673.32</v>
      </c>
      <c r="AT708" s="25">
        <f t="shared" si="818"/>
        <v>0.10485565371677817</v>
      </c>
      <c r="AU708" s="309">
        <f t="shared" si="819"/>
        <v>59779.32</v>
      </c>
      <c r="AV708" s="462">
        <f t="shared" si="811"/>
        <v>59779.32</v>
      </c>
      <c r="AW708" s="513">
        <v>54106</v>
      </c>
      <c r="AX708" s="74">
        <v>62035.14</v>
      </c>
      <c r="AY708" s="74">
        <v>80000</v>
      </c>
      <c r="AZ708" s="75">
        <v>71475.26999999999</v>
      </c>
      <c r="BA708" s="61">
        <v>81420</v>
      </c>
      <c r="BB708" s="60"/>
      <c r="BC708" s="74">
        <v>93633</v>
      </c>
      <c r="BD708" s="79">
        <v>71475.26999999999</v>
      </c>
      <c r="BE708" s="79">
        <f>44953*1.2</f>
        <v>53943.6</v>
      </c>
      <c r="BF708" s="127">
        <v>64732.32</v>
      </c>
      <c r="BG708" s="128">
        <v>60000</v>
      </c>
      <c r="BH708" s="128">
        <v>120000</v>
      </c>
      <c r="BI708" s="76">
        <f t="shared" si="812"/>
        <v>77712.682000000001</v>
      </c>
      <c r="BJ708" s="24">
        <f t="shared" si="813"/>
        <v>23606.682000000001</v>
      </c>
      <c r="BK708" s="25">
        <f t="shared" si="820"/>
        <v>0.43630432854027279</v>
      </c>
      <c r="BL708" s="259" t="str">
        <f t="shared" si="815"/>
        <v>REVISAR PRECIO</v>
      </c>
      <c r="BM708" s="533">
        <f t="shared" si="816"/>
        <v>77712.682000000001</v>
      </c>
    </row>
    <row r="709" spans="1:65" ht="34.35" customHeight="1">
      <c r="A709" s="91" t="s">
        <v>31</v>
      </c>
      <c r="B709" s="358" t="s">
        <v>2900</v>
      </c>
      <c r="C709" s="50" t="s">
        <v>773</v>
      </c>
      <c r="D709" s="99" t="s">
        <v>670</v>
      </c>
      <c r="E709" s="391" t="s">
        <v>11</v>
      </c>
      <c r="F709" s="408"/>
      <c r="G709" s="293"/>
      <c r="H709" s="293"/>
      <c r="I709" s="293"/>
      <c r="J709" s="293"/>
      <c r="K709" s="293"/>
      <c r="L709" s="327"/>
      <c r="M709" s="432"/>
      <c r="N709" s="443"/>
      <c r="O709" s="250"/>
      <c r="P709" s="250"/>
      <c r="Q709" s="250"/>
      <c r="R709" s="250"/>
      <c r="S709" s="250"/>
      <c r="T709" s="250"/>
      <c r="U709" s="250"/>
      <c r="V709" s="443"/>
      <c r="W709" s="410">
        <v>138988</v>
      </c>
      <c r="X709" s="31">
        <v>180765</v>
      </c>
      <c r="Y709" s="31">
        <v>234995</v>
      </c>
      <c r="Z709" s="98">
        <v>158002</v>
      </c>
      <c r="AA709" s="76">
        <f t="shared" si="798"/>
        <v>191254</v>
      </c>
      <c r="AB709" s="24">
        <f t="shared" si="799"/>
        <v>52266</v>
      </c>
      <c r="AC709" s="25">
        <f t="shared" si="800"/>
        <v>0.37604685296572365</v>
      </c>
      <c r="AD709" s="309" t="str">
        <f t="shared" si="801"/>
        <v>REVISAR PRECIO</v>
      </c>
      <c r="AE709" s="462">
        <f t="shared" si="802"/>
        <v>191254</v>
      </c>
      <c r="AF709" s="408"/>
      <c r="AG709" s="293"/>
      <c r="AH709" s="293"/>
      <c r="AI709" s="293"/>
      <c r="AJ709" s="293"/>
      <c r="AK709" s="293"/>
      <c r="AL709" s="327"/>
      <c r="AM709" s="463"/>
      <c r="AN709" s="513">
        <v>97772</v>
      </c>
      <c r="AO709" s="88">
        <v>177500</v>
      </c>
      <c r="AP709" s="116">
        <v>177500</v>
      </c>
      <c r="AQ709" s="74">
        <v>165000</v>
      </c>
      <c r="AR709" s="76">
        <f t="shared" si="807"/>
        <v>173333.33333333334</v>
      </c>
      <c r="AS709" s="24">
        <f t="shared" si="808"/>
        <v>75561.333333333343</v>
      </c>
      <c r="AT709" s="25">
        <f t="shared" si="818"/>
        <v>0.77283203098364917</v>
      </c>
      <c r="AU709" s="309" t="str">
        <f t="shared" si="819"/>
        <v>REVISAR PRECIO</v>
      </c>
      <c r="AV709" s="462">
        <f t="shared" si="811"/>
        <v>173333.33333333334</v>
      </c>
      <c r="AW709" s="513">
        <v>97772</v>
      </c>
      <c r="AX709" s="74">
        <v>172500</v>
      </c>
      <c r="AY709" s="74">
        <v>220000</v>
      </c>
      <c r="AZ709" s="75">
        <v>198750</v>
      </c>
      <c r="BA709" s="61">
        <v>218499.99999999997</v>
      </c>
      <c r="BB709" s="60"/>
      <c r="BC709" s="74">
        <v>251274.99999999994</v>
      </c>
      <c r="BD709" s="79">
        <v>198750</v>
      </c>
      <c r="BE709" s="79">
        <v>150000</v>
      </c>
      <c r="BF709" s="127">
        <v>180000</v>
      </c>
      <c r="BG709" s="128">
        <v>180000</v>
      </c>
      <c r="BH709" s="128"/>
      <c r="BI709" s="76">
        <f t="shared" si="812"/>
        <v>212205</v>
      </c>
      <c r="BJ709" s="24">
        <f t="shared" si="813"/>
        <v>114433</v>
      </c>
      <c r="BK709" s="25">
        <f t="shared" si="820"/>
        <v>1.1704066603935688</v>
      </c>
      <c r="BL709" s="259" t="str">
        <f t="shared" si="815"/>
        <v>REVISAR PRECIO</v>
      </c>
      <c r="BM709" s="533">
        <f t="shared" si="816"/>
        <v>212205</v>
      </c>
    </row>
    <row r="710" spans="1:65" ht="34.35" customHeight="1">
      <c r="A710" s="91" t="s">
        <v>31</v>
      </c>
      <c r="B710" s="358" t="s">
        <v>2901</v>
      </c>
      <c r="C710" s="50" t="s">
        <v>774</v>
      </c>
      <c r="D710" s="99" t="s">
        <v>671</v>
      </c>
      <c r="E710" s="391" t="s">
        <v>11</v>
      </c>
      <c r="F710" s="408"/>
      <c r="G710" s="293"/>
      <c r="H710" s="293"/>
      <c r="I710" s="293"/>
      <c r="J710" s="293"/>
      <c r="K710" s="293"/>
      <c r="L710" s="327"/>
      <c r="M710" s="432"/>
      <c r="N710" s="443"/>
      <c r="O710" s="250"/>
      <c r="P710" s="250"/>
      <c r="Q710" s="250"/>
      <c r="R710" s="250"/>
      <c r="S710" s="250"/>
      <c r="T710" s="250"/>
      <c r="U710" s="250"/>
      <c r="V710" s="443"/>
      <c r="W710" s="410">
        <v>119505</v>
      </c>
      <c r="X710" s="33">
        <v>155426</v>
      </c>
      <c r="Y710" s="33">
        <v>202053</v>
      </c>
      <c r="Z710" s="98">
        <v>135853.4</v>
      </c>
      <c r="AA710" s="76">
        <f t="shared" si="798"/>
        <v>164444.13333333333</v>
      </c>
      <c r="AB710" s="24">
        <f t="shared" si="799"/>
        <v>44939.133333333331</v>
      </c>
      <c r="AC710" s="25">
        <f t="shared" si="800"/>
        <v>0.37604395910910282</v>
      </c>
      <c r="AD710" s="309" t="str">
        <f t="shared" si="801"/>
        <v>REVISAR PRECIO</v>
      </c>
      <c r="AE710" s="462">
        <f t="shared" si="802"/>
        <v>164444.13333333333</v>
      </c>
      <c r="AF710" s="408"/>
      <c r="AG710" s="293"/>
      <c r="AH710" s="293"/>
      <c r="AI710" s="293"/>
      <c r="AJ710" s="293"/>
      <c r="AK710" s="293"/>
      <c r="AL710" s="327"/>
      <c r="AM710" s="463"/>
      <c r="AN710" s="513">
        <v>72854</v>
      </c>
      <c r="AO710" s="88">
        <v>63000</v>
      </c>
      <c r="AP710" s="116">
        <v>63000</v>
      </c>
      <c r="AQ710" s="74">
        <v>66000</v>
      </c>
      <c r="AR710" s="76">
        <f t="shared" si="807"/>
        <v>64000</v>
      </c>
      <c r="AS710" s="24">
        <f t="shared" si="808"/>
        <v>-8854</v>
      </c>
      <c r="AT710" s="25">
        <f t="shared" si="818"/>
        <v>-0.12153073269827326</v>
      </c>
      <c r="AU710" s="309">
        <f t="shared" si="819"/>
        <v>64000</v>
      </c>
      <c r="AV710" s="462">
        <f t="shared" si="811"/>
        <v>64000</v>
      </c>
      <c r="AW710" s="513">
        <v>72854</v>
      </c>
      <c r="AX710" s="74">
        <v>69000</v>
      </c>
      <c r="AY710" s="74">
        <v>90000</v>
      </c>
      <c r="AZ710" s="75">
        <v>79500</v>
      </c>
      <c r="BA710" s="61">
        <v>110399.99999999999</v>
      </c>
      <c r="BB710" s="60"/>
      <c r="BC710" s="74">
        <v>126959.99999999997</v>
      </c>
      <c r="BD710" s="79">
        <v>79500</v>
      </c>
      <c r="BE710" s="79">
        <v>60000</v>
      </c>
      <c r="BF710" s="127">
        <v>72000</v>
      </c>
      <c r="BG710" s="128">
        <v>71000</v>
      </c>
      <c r="BH710" s="128"/>
      <c r="BI710" s="76">
        <f t="shared" si="812"/>
        <v>95172</v>
      </c>
      <c r="BJ710" s="24">
        <f t="shared" si="813"/>
        <v>22318</v>
      </c>
      <c r="BK710" s="25">
        <f t="shared" si="820"/>
        <v>0.30633870480687403</v>
      </c>
      <c r="BL710" s="259">
        <f t="shared" si="815"/>
        <v>95172</v>
      </c>
      <c r="BM710" s="533">
        <f t="shared" si="816"/>
        <v>95172</v>
      </c>
    </row>
    <row r="711" spans="1:65" ht="30" customHeight="1">
      <c r="A711" s="91" t="s">
        <v>31</v>
      </c>
      <c r="B711" s="358" t="s">
        <v>2902</v>
      </c>
      <c r="C711" s="50" t="s">
        <v>775</v>
      </c>
      <c r="D711" s="99" t="s">
        <v>672</v>
      </c>
      <c r="E711" s="391" t="s">
        <v>12</v>
      </c>
      <c r="F711" s="408"/>
      <c r="G711" s="293"/>
      <c r="H711" s="293"/>
      <c r="I711" s="293"/>
      <c r="J711" s="293"/>
      <c r="K711" s="293"/>
      <c r="L711" s="327"/>
      <c r="M711" s="432"/>
      <c r="N711" s="443"/>
      <c r="O711" s="250"/>
      <c r="P711" s="250"/>
      <c r="Q711" s="250"/>
      <c r="R711" s="250"/>
      <c r="S711" s="250"/>
      <c r="T711" s="250"/>
      <c r="U711" s="250"/>
      <c r="V711" s="443"/>
      <c r="W711" s="410">
        <v>147915</v>
      </c>
      <c r="X711" s="33">
        <v>192375</v>
      </c>
      <c r="Y711" s="31">
        <v>250088</v>
      </c>
      <c r="Z711" s="98">
        <v>168150</v>
      </c>
      <c r="AA711" s="76">
        <f t="shared" si="798"/>
        <v>203537.66666666666</v>
      </c>
      <c r="AB711" s="24">
        <f t="shared" si="799"/>
        <v>55622.666666666657</v>
      </c>
      <c r="AC711" s="25">
        <f t="shared" si="800"/>
        <v>0.37604480050479433</v>
      </c>
      <c r="AD711" s="309" t="str">
        <f t="shared" si="801"/>
        <v>REVISAR PRECIO</v>
      </c>
      <c r="AE711" s="462">
        <f t="shared" si="802"/>
        <v>203537.66666666666</v>
      </c>
      <c r="AF711" s="408"/>
      <c r="AG711" s="293"/>
      <c r="AH711" s="293"/>
      <c r="AI711" s="293"/>
      <c r="AJ711" s="293"/>
      <c r="AK711" s="293"/>
      <c r="AL711" s="327"/>
      <c r="AM711" s="463"/>
      <c r="AN711" s="513">
        <v>90178</v>
      </c>
      <c r="AO711" s="88">
        <v>35500</v>
      </c>
      <c r="AP711" s="116">
        <v>35500</v>
      </c>
      <c r="AQ711" s="74">
        <v>33000</v>
      </c>
      <c r="AR711" s="76">
        <f t="shared" si="807"/>
        <v>34666.666666666664</v>
      </c>
      <c r="AS711" s="24">
        <f t="shared" si="808"/>
        <v>-55511.333333333336</v>
      </c>
      <c r="AT711" s="25">
        <f t="shared" si="818"/>
        <v>-0.61557512179615137</v>
      </c>
      <c r="AU711" s="309">
        <f t="shared" si="819"/>
        <v>34666.666666666664</v>
      </c>
      <c r="AV711" s="462">
        <f t="shared" si="811"/>
        <v>34666.666666666664</v>
      </c>
      <c r="AW711" s="513">
        <v>90178</v>
      </c>
      <c r="AX711" s="74">
        <v>34500</v>
      </c>
      <c r="AY711" s="74">
        <v>60000</v>
      </c>
      <c r="AZ711" s="75">
        <v>39750</v>
      </c>
      <c r="BA711" s="61">
        <v>34500</v>
      </c>
      <c r="BB711" s="60"/>
      <c r="BC711" s="74">
        <v>39675</v>
      </c>
      <c r="BD711" s="79">
        <v>39750</v>
      </c>
      <c r="BE711" s="79">
        <f>+BE710*0.5</f>
        <v>30000</v>
      </c>
      <c r="BF711" s="127">
        <v>36000</v>
      </c>
      <c r="BG711" s="128">
        <v>34000</v>
      </c>
      <c r="BH711" s="128">
        <v>30000</v>
      </c>
      <c r="BI711" s="76">
        <f t="shared" si="812"/>
        <v>41685</v>
      </c>
      <c r="BJ711" s="24">
        <f t="shared" si="813"/>
        <v>-48493</v>
      </c>
      <c r="BK711" s="25">
        <f t="shared" si="820"/>
        <v>-0.53774756592517026</v>
      </c>
      <c r="BL711" s="259">
        <f t="shared" si="815"/>
        <v>41685</v>
      </c>
      <c r="BM711" s="533">
        <f t="shared" si="816"/>
        <v>41685</v>
      </c>
    </row>
    <row r="712" spans="1:65" ht="30" customHeight="1">
      <c r="A712" s="91" t="s">
        <v>31</v>
      </c>
      <c r="B712" s="358" t="s">
        <v>2903</v>
      </c>
      <c r="C712" s="50" t="s">
        <v>776</v>
      </c>
      <c r="D712" s="99" t="s">
        <v>673</v>
      </c>
      <c r="E712" s="391" t="s">
        <v>12</v>
      </c>
      <c r="F712" s="408"/>
      <c r="G712" s="293"/>
      <c r="H712" s="293"/>
      <c r="I712" s="293"/>
      <c r="J712" s="293"/>
      <c r="K712" s="293"/>
      <c r="L712" s="327"/>
      <c r="M712" s="432"/>
      <c r="N712" s="443"/>
      <c r="O712" s="250"/>
      <c r="P712" s="250"/>
      <c r="Q712" s="250"/>
      <c r="R712" s="250"/>
      <c r="S712" s="250"/>
      <c r="T712" s="250"/>
      <c r="U712" s="250"/>
      <c r="V712" s="443"/>
      <c r="W712" s="410">
        <v>46399</v>
      </c>
      <c r="X712" s="33">
        <v>60345</v>
      </c>
      <c r="Y712" s="31">
        <v>78449</v>
      </c>
      <c r="Z712" s="98">
        <v>52746</v>
      </c>
      <c r="AA712" s="76">
        <f t="shared" si="798"/>
        <v>63846.666666666664</v>
      </c>
      <c r="AB712" s="24">
        <f t="shared" si="799"/>
        <v>17447.666666666664</v>
      </c>
      <c r="AC712" s="25">
        <f t="shared" si="800"/>
        <v>0.37603540306184752</v>
      </c>
      <c r="AD712" s="309" t="str">
        <f t="shared" si="801"/>
        <v>REVISAR PRECIO</v>
      </c>
      <c r="AE712" s="462">
        <f t="shared" si="802"/>
        <v>63846.666666666664</v>
      </c>
      <c r="AF712" s="408"/>
      <c r="AG712" s="293"/>
      <c r="AH712" s="293"/>
      <c r="AI712" s="293"/>
      <c r="AJ712" s="293"/>
      <c r="AK712" s="293"/>
      <c r="AL712" s="327"/>
      <c r="AM712" s="463"/>
      <c r="AN712" s="513">
        <v>28287</v>
      </c>
      <c r="AO712" s="88">
        <v>54000</v>
      </c>
      <c r="AP712" s="116">
        <v>54000</v>
      </c>
      <c r="AQ712" s="74">
        <v>56100</v>
      </c>
      <c r="AR712" s="76">
        <f t="shared" si="807"/>
        <v>54700</v>
      </c>
      <c r="AS712" s="24">
        <f t="shared" si="808"/>
        <v>26413</v>
      </c>
      <c r="AT712" s="25">
        <f t="shared" si="818"/>
        <v>0.93375048608901612</v>
      </c>
      <c r="AU712" s="309" t="str">
        <f t="shared" si="819"/>
        <v>REVISAR PRECIO</v>
      </c>
      <c r="AV712" s="462">
        <f t="shared" si="811"/>
        <v>54700</v>
      </c>
      <c r="AW712" s="513">
        <v>28287</v>
      </c>
      <c r="AX712" s="74">
        <v>58650</v>
      </c>
      <c r="AY712" s="74">
        <v>80000</v>
      </c>
      <c r="AZ712" s="75">
        <v>67575</v>
      </c>
      <c r="BA712" s="61">
        <v>58649.999999999993</v>
      </c>
      <c r="BB712" s="60"/>
      <c r="BC712" s="74">
        <v>67447.499999999985</v>
      </c>
      <c r="BD712" s="79">
        <v>67575</v>
      </c>
      <c r="BE712" s="79">
        <f>+BE684*0.6</f>
        <v>51000</v>
      </c>
      <c r="BF712" s="127">
        <v>61200</v>
      </c>
      <c r="BG712" s="128">
        <v>55000</v>
      </c>
      <c r="BH712" s="128">
        <v>60000</v>
      </c>
      <c r="BI712" s="76">
        <f t="shared" si="812"/>
        <v>66464.5</v>
      </c>
      <c r="BJ712" s="24">
        <f t="shared" si="813"/>
        <v>38177.5</v>
      </c>
      <c r="BK712" s="25">
        <f t="shared" si="820"/>
        <v>1.3496482483119454</v>
      </c>
      <c r="BL712" s="259" t="str">
        <f t="shared" si="815"/>
        <v>REVISAR PRECIO</v>
      </c>
      <c r="BM712" s="533">
        <f t="shared" si="816"/>
        <v>66464.5</v>
      </c>
    </row>
    <row r="713" spans="1:65" ht="37.35" customHeight="1">
      <c r="A713" s="91" t="s">
        <v>31</v>
      </c>
      <c r="B713" s="358" t="s">
        <v>2904</v>
      </c>
      <c r="C713" s="50" t="s">
        <v>777</v>
      </c>
      <c r="D713" s="99" t="s">
        <v>674</v>
      </c>
      <c r="E713" s="391" t="s">
        <v>12</v>
      </c>
      <c r="F713" s="408"/>
      <c r="G713" s="293"/>
      <c r="H713" s="293"/>
      <c r="I713" s="293"/>
      <c r="J713" s="293"/>
      <c r="K713" s="293"/>
      <c r="L713" s="327"/>
      <c r="M713" s="432"/>
      <c r="N713" s="443"/>
      <c r="O713" s="250"/>
      <c r="P713" s="250"/>
      <c r="Q713" s="250"/>
      <c r="R713" s="250"/>
      <c r="S713" s="250"/>
      <c r="T713" s="250"/>
      <c r="U713" s="250"/>
      <c r="V713" s="443"/>
      <c r="W713" s="410">
        <v>74508</v>
      </c>
      <c r="X713" s="33">
        <v>96903</v>
      </c>
      <c r="Y713" s="33">
        <v>96903</v>
      </c>
      <c r="Z713" s="474">
        <v>84700.4</v>
      </c>
      <c r="AA713" s="76">
        <f t="shared" si="798"/>
        <v>92835.466666666674</v>
      </c>
      <c r="AB713" s="24">
        <f t="shared" si="799"/>
        <v>18327.466666666674</v>
      </c>
      <c r="AC713" s="25">
        <f t="shared" si="800"/>
        <v>0.24597985003847472</v>
      </c>
      <c r="AD713" s="309">
        <f t="shared" si="801"/>
        <v>92835.466666666674</v>
      </c>
      <c r="AE713" s="462">
        <f t="shared" si="802"/>
        <v>92835.466666666674</v>
      </c>
      <c r="AF713" s="408"/>
      <c r="AG713" s="293"/>
      <c r="AH713" s="293"/>
      <c r="AI713" s="293"/>
      <c r="AJ713" s="293"/>
      <c r="AK713" s="293"/>
      <c r="AL713" s="327"/>
      <c r="AM713" s="463"/>
      <c r="AN713" s="513">
        <v>45421</v>
      </c>
      <c r="AO713" s="88">
        <v>35000</v>
      </c>
      <c r="AP713" s="116">
        <v>35000</v>
      </c>
      <c r="AQ713" s="74">
        <v>36300</v>
      </c>
      <c r="AR713" s="76">
        <f t="shared" si="807"/>
        <v>35433.333333333336</v>
      </c>
      <c r="AS713" s="24">
        <f t="shared" si="808"/>
        <v>-9987.6666666666642</v>
      </c>
      <c r="AT713" s="25">
        <f t="shared" si="818"/>
        <v>-0.21989094618495111</v>
      </c>
      <c r="AU713" s="309">
        <f t="shared" si="819"/>
        <v>35433.333333333336</v>
      </c>
      <c r="AV713" s="462">
        <f t="shared" si="811"/>
        <v>35433.333333333336</v>
      </c>
      <c r="AW713" s="513">
        <v>45421</v>
      </c>
      <c r="AX713" s="74">
        <v>37950</v>
      </c>
      <c r="AY713" s="74">
        <v>39000</v>
      </c>
      <c r="AZ713" s="75">
        <v>43725</v>
      </c>
      <c r="BA713" s="61">
        <v>37950</v>
      </c>
      <c r="BB713" s="60"/>
      <c r="BC713" s="74">
        <v>43642.5</v>
      </c>
      <c r="BD713" s="79">
        <v>43725</v>
      </c>
      <c r="BE713" s="79">
        <v>33000</v>
      </c>
      <c r="BF713" s="127">
        <v>39600</v>
      </c>
      <c r="BG713" s="128">
        <v>36000</v>
      </c>
      <c r="BH713" s="128">
        <v>30000</v>
      </c>
      <c r="BI713" s="76">
        <f t="shared" si="812"/>
        <v>40453.5</v>
      </c>
      <c r="BJ713" s="24">
        <f t="shared" si="813"/>
        <v>-4967.5</v>
      </c>
      <c r="BK713" s="25">
        <f t="shared" si="820"/>
        <v>-0.10936571189537879</v>
      </c>
      <c r="BL713" s="259">
        <f t="shared" si="815"/>
        <v>40453.5</v>
      </c>
      <c r="BM713" s="533">
        <f t="shared" si="816"/>
        <v>40453.5</v>
      </c>
    </row>
    <row r="714" spans="1:65" ht="37.35" customHeight="1">
      <c r="A714" s="91"/>
      <c r="B714" s="358" t="s">
        <v>2905</v>
      </c>
      <c r="C714" s="50" t="s">
        <v>1166</v>
      </c>
      <c r="D714" s="177" t="s">
        <v>1163</v>
      </c>
      <c r="E714" s="384" t="s">
        <v>13</v>
      </c>
      <c r="F714" s="410">
        <v>50424</v>
      </c>
      <c r="G714" s="10"/>
      <c r="H714" s="167">
        <v>98000</v>
      </c>
      <c r="I714" s="10">
        <v>125000</v>
      </c>
      <c r="J714" s="76">
        <f t="shared" ref="J714:J716" si="821">AVERAGE(G714,I714)</f>
        <v>125000</v>
      </c>
      <c r="K714" s="24">
        <f t="shared" ref="K714:K716" si="822">J714-F714</f>
        <v>74576</v>
      </c>
      <c r="L714" s="281">
        <f t="shared" ref="L714:L716" si="823">+K714/F714</f>
        <v>1.4789782643185785</v>
      </c>
      <c r="M714" s="431">
        <f t="shared" ref="M714:M716" si="824">H714</f>
        <v>98000</v>
      </c>
      <c r="N714" s="410">
        <v>43940</v>
      </c>
      <c r="O714" s="10">
        <v>285000</v>
      </c>
      <c r="P714" s="10"/>
      <c r="Q714" s="268">
        <v>305000</v>
      </c>
      <c r="R714" s="10">
        <v>350000</v>
      </c>
      <c r="S714" s="76">
        <f t="shared" ref="S714" si="825">AVERAGE(O714,P714,Q714,R714)</f>
        <v>313333.33333333331</v>
      </c>
      <c r="T714" s="24">
        <f t="shared" ref="T714" si="826">S714-N714</f>
        <v>269393.33333333331</v>
      </c>
      <c r="U714" s="281">
        <f t="shared" ref="U714" si="827">+T714/N714</f>
        <v>6.1309361250189651</v>
      </c>
      <c r="V714" s="462">
        <f t="shared" ref="V714" si="828">S714</f>
        <v>313333.33333333331</v>
      </c>
      <c r="W714" s="410"/>
      <c r="X714" s="33"/>
      <c r="Y714" s="33"/>
      <c r="Z714" s="474"/>
      <c r="AA714" s="76"/>
      <c r="AB714" s="24"/>
      <c r="AC714" s="25"/>
      <c r="AD714" s="309"/>
      <c r="AE714" s="462"/>
      <c r="AF714" s="410">
        <v>50424</v>
      </c>
      <c r="AG714" s="45"/>
      <c r="AH714" s="45">
        <v>59497</v>
      </c>
      <c r="AI714" s="45">
        <v>140000</v>
      </c>
      <c r="AJ714" s="76">
        <f t="shared" ref="AJ714" si="829">AVERAGE(AG714,AH714,AI714)</f>
        <v>99748.5</v>
      </c>
      <c r="AK714" s="24">
        <f t="shared" ref="AK714" si="830">AJ714-AF714</f>
        <v>49324.5</v>
      </c>
      <c r="AL714" s="281">
        <f t="shared" ref="AL714" si="831">+AK714/AF714</f>
        <v>0.97819490718705382</v>
      </c>
      <c r="AM714" s="462">
        <f t="shared" ref="AM714" si="832">AJ714</f>
        <v>99748.5</v>
      </c>
      <c r="AN714" s="513"/>
      <c r="AO714" s="88"/>
      <c r="AP714" s="116"/>
      <c r="AQ714" s="74"/>
      <c r="AR714" s="76"/>
      <c r="AS714" s="24"/>
      <c r="AT714" s="25"/>
      <c r="AU714" s="309"/>
      <c r="AV714" s="462"/>
      <c r="AW714" s="513"/>
      <c r="AX714" s="74"/>
      <c r="AY714" s="74"/>
      <c r="AZ714" s="75"/>
      <c r="BA714" s="61"/>
      <c r="BB714" s="60"/>
      <c r="BC714" s="74"/>
      <c r="BD714" s="79"/>
      <c r="BE714" s="79"/>
      <c r="BF714" s="127"/>
      <c r="BG714" s="128"/>
      <c r="BH714" s="128"/>
      <c r="BI714" s="76"/>
      <c r="BJ714" s="24"/>
      <c r="BK714" s="25"/>
      <c r="BL714" s="259"/>
      <c r="BM714" s="533"/>
    </row>
    <row r="715" spans="1:65" ht="37.35" customHeight="1">
      <c r="A715" s="91"/>
      <c r="B715" s="358" t="s">
        <v>2906</v>
      </c>
      <c r="C715" s="50" t="s">
        <v>1167</v>
      </c>
      <c r="D715" s="177" t="s">
        <v>1164</v>
      </c>
      <c r="E715" s="384" t="s">
        <v>13</v>
      </c>
      <c r="F715" s="410">
        <v>62547</v>
      </c>
      <c r="G715" s="10">
        <v>94900</v>
      </c>
      <c r="H715" s="167">
        <v>78000</v>
      </c>
      <c r="I715" s="10">
        <v>101200</v>
      </c>
      <c r="J715" s="76">
        <f t="shared" si="821"/>
        <v>98050</v>
      </c>
      <c r="K715" s="24">
        <f t="shared" si="822"/>
        <v>35503</v>
      </c>
      <c r="L715" s="281">
        <f t="shared" si="823"/>
        <v>0.56762114889603021</v>
      </c>
      <c r="M715" s="431">
        <f t="shared" si="824"/>
        <v>78000</v>
      </c>
      <c r="N715" s="443"/>
      <c r="O715" s="250"/>
      <c r="P715" s="250"/>
      <c r="Q715" s="250"/>
      <c r="R715" s="250"/>
      <c r="S715" s="250"/>
      <c r="T715" s="250"/>
      <c r="U715" s="250"/>
      <c r="V715" s="443"/>
      <c r="W715" s="410"/>
      <c r="X715" s="33"/>
      <c r="Y715" s="33"/>
      <c r="Z715" s="474"/>
      <c r="AA715" s="76"/>
      <c r="AB715" s="24"/>
      <c r="AC715" s="25"/>
      <c r="AD715" s="309"/>
      <c r="AE715" s="462"/>
      <c r="AF715" s="408"/>
      <c r="AG715" s="293"/>
      <c r="AH715" s="293"/>
      <c r="AI715" s="293"/>
      <c r="AJ715" s="293"/>
      <c r="AK715" s="293"/>
      <c r="AL715" s="327"/>
      <c r="AM715" s="463"/>
      <c r="AN715" s="513"/>
      <c r="AO715" s="88"/>
      <c r="AP715" s="116"/>
      <c r="AQ715" s="74"/>
      <c r="AR715" s="76"/>
      <c r="AS715" s="24"/>
      <c r="AT715" s="25"/>
      <c r="AU715" s="309"/>
      <c r="AV715" s="462"/>
      <c r="AW715" s="513"/>
      <c r="AX715" s="74"/>
      <c r="AY715" s="74"/>
      <c r="AZ715" s="75"/>
      <c r="BA715" s="61"/>
      <c r="BB715" s="60"/>
      <c r="BC715" s="74"/>
      <c r="BD715" s="79"/>
      <c r="BE715" s="79"/>
      <c r="BF715" s="127"/>
      <c r="BG715" s="128"/>
      <c r="BH715" s="128"/>
      <c r="BI715" s="76"/>
      <c r="BJ715" s="24"/>
      <c r="BK715" s="25"/>
      <c r="BL715" s="259"/>
      <c r="BM715" s="533"/>
    </row>
    <row r="716" spans="1:65" ht="37.35" customHeight="1">
      <c r="A716" s="91"/>
      <c r="B716" s="358" t="s">
        <v>2907</v>
      </c>
      <c r="C716" s="50" t="s">
        <v>1168</v>
      </c>
      <c r="D716" s="177" t="s">
        <v>1165</v>
      </c>
      <c r="E716" s="384" t="s">
        <v>10</v>
      </c>
      <c r="F716" s="410">
        <v>9608</v>
      </c>
      <c r="G716" s="10">
        <v>45800</v>
      </c>
      <c r="H716" s="167">
        <v>67000</v>
      </c>
      <c r="I716" s="10">
        <v>22300</v>
      </c>
      <c r="J716" s="76">
        <f t="shared" si="821"/>
        <v>34050</v>
      </c>
      <c r="K716" s="24">
        <f t="shared" si="822"/>
        <v>24442</v>
      </c>
      <c r="L716" s="281">
        <f t="shared" si="823"/>
        <v>2.5439217318900917</v>
      </c>
      <c r="M716" s="431">
        <f t="shared" si="824"/>
        <v>67000</v>
      </c>
      <c r="N716" s="443"/>
      <c r="O716" s="250"/>
      <c r="P716" s="250"/>
      <c r="Q716" s="250"/>
      <c r="R716" s="250"/>
      <c r="S716" s="250"/>
      <c r="T716" s="250"/>
      <c r="U716" s="250"/>
      <c r="V716" s="443"/>
      <c r="W716" s="410"/>
      <c r="X716" s="33"/>
      <c r="Y716" s="33"/>
      <c r="Z716" s="474"/>
      <c r="AA716" s="76"/>
      <c r="AB716" s="24"/>
      <c r="AC716" s="25"/>
      <c r="AD716" s="309"/>
      <c r="AE716" s="462"/>
      <c r="AF716" s="408"/>
      <c r="AG716" s="293"/>
      <c r="AH716" s="293"/>
      <c r="AI716" s="293"/>
      <c r="AJ716" s="293"/>
      <c r="AK716" s="293"/>
      <c r="AL716" s="327"/>
      <c r="AM716" s="463"/>
      <c r="AN716" s="513"/>
      <c r="AO716" s="88"/>
      <c r="AP716" s="116"/>
      <c r="AQ716" s="74"/>
      <c r="AR716" s="76"/>
      <c r="AS716" s="24"/>
      <c r="AT716" s="25"/>
      <c r="AU716" s="309"/>
      <c r="AV716" s="462"/>
      <c r="AW716" s="513"/>
      <c r="AX716" s="74"/>
      <c r="AY716" s="74"/>
      <c r="AZ716" s="75"/>
      <c r="BA716" s="61"/>
      <c r="BB716" s="60"/>
      <c r="BC716" s="74"/>
      <c r="BD716" s="79"/>
      <c r="BE716" s="79"/>
      <c r="BF716" s="127"/>
      <c r="BG716" s="128"/>
      <c r="BH716" s="128"/>
      <c r="BI716" s="76"/>
      <c r="BJ716" s="24"/>
      <c r="BK716" s="25"/>
      <c r="BL716" s="259"/>
      <c r="BM716" s="533"/>
    </row>
    <row r="717" spans="1:65" ht="37.35" customHeight="1">
      <c r="A717" s="91"/>
      <c r="B717" s="358" t="s">
        <v>2908</v>
      </c>
      <c r="C717" s="50" t="s">
        <v>1824</v>
      </c>
      <c r="D717" s="264" t="s">
        <v>1814</v>
      </c>
      <c r="E717" s="394" t="s">
        <v>1399</v>
      </c>
      <c r="F717" s="410"/>
      <c r="G717" s="10"/>
      <c r="H717" s="167"/>
      <c r="I717" s="10"/>
      <c r="J717" s="76"/>
      <c r="K717" s="24"/>
      <c r="L717" s="281"/>
      <c r="M717" s="431"/>
      <c r="N717" s="410">
        <v>82384</v>
      </c>
      <c r="O717" s="10"/>
      <c r="P717" s="10"/>
      <c r="Q717" s="10"/>
      <c r="R717" s="10">
        <v>120000</v>
      </c>
      <c r="S717" s="76">
        <f t="shared" ref="S717:S718" si="833">AVERAGE(O717,P717,Q717,R717)</f>
        <v>120000</v>
      </c>
      <c r="T717" s="24">
        <f t="shared" ref="T717:T718" si="834">S717-N717</f>
        <v>37616</v>
      </c>
      <c r="U717" s="281">
        <f t="shared" ref="U717:U718" si="835">+T717/N717</f>
        <v>0.45659351330355408</v>
      </c>
      <c r="V717" s="462">
        <f t="shared" ref="V717:V718" si="836">S717</f>
        <v>120000</v>
      </c>
      <c r="W717" s="410"/>
      <c r="X717" s="33"/>
      <c r="Y717" s="33"/>
      <c r="Z717" s="474"/>
      <c r="AA717" s="76"/>
      <c r="AB717" s="24"/>
      <c r="AC717" s="25"/>
      <c r="AD717" s="309"/>
      <c r="AE717" s="462"/>
      <c r="AF717" s="408"/>
      <c r="AG717" s="293"/>
      <c r="AH717" s="293"/>
      <c r="AI717" s="293"/>
      <c r="AJ717" s="293"/>
      <c r="AK717" s="293"/>
      <c r="AL717" s="327"/>
      <c r="AM717" s="463"/>
      <c r="AN717" s="513"/>
      <c r="AO717" s="88"/>
      <c r="AP717" s="116"/>
      <c r="AQ717" s="74"/>
      <c r="AR717" s="76"/>
      <c r="AS717" s="24"/>
      <c r="AT717" s="25"/>
      <c r="AU717" s="309"/>
      <c r="AV717" s="462"/>
      <c r="AW717" s="513"/>
      <c r="AX717" s="74"/>
      <c r="AY717" s="74"/>
      <c r="AZ717" s="75"/>
      <c r="BA717" s="61"/>
      <c r="BB717" s="60"/>
      <c r="BC717" s="74"/>
      <c r="BD717" s="79"/>
      <c r="BE717" s="79"/>
      <c r="BF717" s="127"/>
      <c r="BG717" s="128"/>
      <c r="BH717" s="128"/>
      <c r="BI717" s="76"/>
      <c r="BJ717" s="24"/>
      <c r="BK717" s="25"/>
      <c r="BL717" s="259"/>
      <c r="BM717" s="533"/>
    </row>
    <row r="718" spans="1:65" ht="37.35" customHeight="1">
      <c r="A718" s="91"/>
      <c r="B718" s="358" t="s">
        <v>2909</v>
      </c>
      <c r="C718" s="50" t="s">
        <v>1825</v>
      </c>
      <c r="D718" s="264" t="s">
        <v>1815</v>
      </c>
      <c r="E718" s="393" t="s">
        <v>1457</v>
      </c>
      <c r="F718" s="410"/>
      <c r="G718" s="10"/>
      <c r="H718" s="167"/>
      <c r="I718" s="10"/>
      <c r="J718" s="76"/>
      <c r="K718" s="24"/>
      <c r="L718" s="281"/>
      <c r="M718" s="431"/>
      <c r="N718" s="410">
        <v>23665</v>
      </c>
      <c r="O718" s="10"/>
      <c r="P718" s="10"/>
      <c r="Q718" s="10"/>
      <c r="R718" s="10">
        <v>75000</v>
      </c>
      <c r="S718" s="76">
        <f t="shared" si="833"/>
        <v>75000</v>
      </c>
      <c r="T718" s="24">
        <f t="shared" si="834"/>
        <v>51335</v>
      </c>
      <c r="U718" s="281">
        <f t="shared" si="835"/>
        <v>2.169237270230298</v>
      </c>
      <c r="V718" s="462">
        <f t="shared" si="836"/>
        <v>75000</v>
      </c>
      <c r="W718" s="410"/>
      <c r="X718" s="33"/>
      <c r="Y718" s="33"/>
      <c r="Z718" s="474"/>
      <c r="AA718" s="76"/>
      <c r="AB718" s="24"/>
      <c r="AC718" s="25"/>
      <c r="AD718" s="309"/>
      <c r="AE718" s="462"/>
      <c r="AF718" s="408"/>
      <c r="AG718" s="293"/>
      <c r="AH718" s="293"/>
      <c r="AI718" s="293"/>
      <c r="AJ718" s="293"/>
      <c r="AK718" s="293"/>
      <c r="AL718" s="327"/>
      <c r="AM718" s="463"/>
      <c r="AN718" s="513"/>
      <c r="AO718" s="88"/>
      <c r="AP718" s="116"/>
      <c r="AQ718" s="74"/>
      <c r="AR718" s="76"/>
      <c r="AS718" s="24"/>
      <c r="AT718" s="25"/>
      <c r="AU718" s="309"/>
      <c r="AV718" s="462"/>
      <c r="AW718" s="513"/>
      <c r="AX718" s="74"/>
      <c r="AY718" s="74"/>
      <c r="AZ718" s="75"/>
      <c r="BA718" s="61"/>
      <c r="BB718" s="60"/>
      <c r="BC718" s="74"/>
      <c r="BD718" s="79"/>
      <c r="BE718" s="79"/>
      <c r="BF718" s="127"/>
      <c r="BG718" s="128"/>
      <c r="BH718" s="128"/>
      <c r="BI718" s="76"/>
      <c r="BJ718" s="24"/>
      <c r="BK718" s="25"/>
      <c r="BL718" s="259"/>
      <c r="BM718" s="533"/>
    </row>
    <row r="719" spans="1:65" ht="37.35" customHeight="1">
      <c r="A719" s="91"/>
      <c r="B719" s="358" t="s">
        <v>2910</v>
      </c>
      <c r="C719" s="50" t="s">
        <v>1826</v>
      </c>
      <c r="D719" s="264" t="s">
        <v>1816</v>
      </c>
      <c r="E719" s="393" t="s">
        <v>1457</v>
      </c>
      <c r="F719" s="410"/>
      <c r="G719" s="10"/>
      <c r="H719" s="167"/>
      <c r="I719" s="10"/>
      <c r="J719" s="76"/>
      <c r="K719" s="24"/>
      <c r="L719" s="281"/>
      <c r="M719" s="431"/>
      <c r="N719" s="410">
        <v>21728</v>
      </c>
      <c r="O719" s="10"/>
      <c r="P719" s="10"/>
      <c r="Q719" s="10"/>
      <c r="R719" s="10"/>
      <c r="S719" s="76"/>
      <c r="T719" s="24"/>
      <c r="U719" s="281"/>
      <c r="V719" s="462" t="s">
        <v>894</v>
      </c>
      <c r="W719" s="410"/>
      <c r="X719" s="33"/>
      <c r="Y719" s="33"/>
      <c r="Z719" s="474"/>
      <c r="AA719" s="76"/>
      <c r="AB719" s="24"/>
      <c r="AC719" s="25"/>
      <c r="AD719" s="309"/>
      <c r="AE719" s="462"/>
      <c r="AF719" s="408"/>
      <c r="AG719" s="293"/>
      <c r="AH719" s="293"/>
      <c r="AI719" s="293"/>
      <c r="AJ719" s="293"/>
      <c r="AK719" s="293"/>
      <c r="AL719" s="327"/>
      <c r="AM719" s="463"/>
      <c r="AN719" s="513"/>
      <c r="AO719" s="88"/>
      <c r="AP719" s="116"/>
      <c r="AQ719" s="74"/>
      <c r="AR719" s="76"/>
      <c r="AS719" s="24"/>
      <c r="AT719" s="25"/>
      <c r="AU719" s="309"/>
      <c r="AV719" s="462"/>
      <c r="AW719" s="513"/>
      <c r="AX719" s="74"/>
      <c r="AY719" s="74"/>
      <c r="AZ719" s="75"/>
      <c r="BA719" s="61"/>
      <c r="BB719" s="60"/>
      <c r="BC719" s="74"/>
      <c r="BD719" s="79"/>
      <c r="BE719" s="79"/>
      <c r="BF719" s="127"/>
      <c r="BG719" s="128"/>
      <c r="BH719" s="128"/>
      <c r="BI719" s="76"/>
      <c r="BJ719" s="24"/>
      <c r="BK719" s="25"/>
      <c r="BL719" s="259"/>
      <c r="BM719" s="533"/>
    </row>
    <row r="720" spans="1:65" ht="37.35" customHeight="1">
      <c r="A720" s="91"/>
      <c r="B720" s="358" t="s">
        <v>2911</v>
      </c>
      <c r="C720" s="50" t="s">
        <v>1827</v>
      </c>
      <c r="D720" s="264" t="s">
        <v>1817</v>
      </c>
      <c r="E720" s="394" t="s">
        <v>1399</v>
      </c>
      <c r="F720" s="410"/>
      <c r="G720" s="10"/>
      <c r="H720" s="167"/>
      <c r="I720" s="10"/>
      <c r="J720" s="76"/>
      <c r="K720" s="24"/>
      <c r="L720" s="281"/>
      <c r="M720" s="431"/>
      <c r="N720" s="410">
        <v>121237</v>
      </c>
      <c r="O720" s="10"/>
      <c r="P720" s="10"/>
      <c r="Q720" s="10"/>
      <c r="R720" s="10">
        <v>95000</v>
      </c>
      <c r="S720" s="76">
        <f t="shared" ref="S720" si="837">AVERAGE(O720,P720,Q720,R720)</f>
        <v>95000</v>
      </c>
      <c r="T720" s="24">
        <f t="shared" ref="T720" si="838">S720-N720</f>
        <v>-26237</v>
      </c>
      <c r="U720" s="281">
        <f t="shared" ref="U720" si="839">+T720/N720</f>
        <v>-0.21641083167679834</v>
      </c>
      <c r="V720" s="462">
        <f t="shared" ref="V720" si="840">S720</f>
        <v>95000</v>
      </c>
      <c r="W720" s="410"/>
      <c r="X720" s="33"/>
      <c r="Y720" s="33"/>
      <c r="Z720" s="474"/>
      <c r="AA720" s="76"/>
      <c r="AB720" s="24"/>
      <c r="AC720" s="25"/>
      <c r="AD720" s="309"/>
      <c r="AE720" s="462"/>
      <c r="AF720" s="408"/>
      <c r="AG720" s="293"/>
      <c r="AH720" s="293"/>
      <c r="AI720" s="293"/>
      <c r="AJ720" s="293"/>
      <c r="AK720" s="293"/>
      <c r="AL720" s="327"/>
      <c r="AM720" s="463"/>
      <c r="AN720" s="513"/>
      <c r="AO720" s="88"/>
      <c r="AP720" s="116"/>
      <c r="AQ720" s="74"/>
      <c r="AR720" s="76"/>
      <c r="AS720" s="24"/>
      <c r="AT720" s="25"/>
      <c r="AU720" s="309"/>
      <c r="AV720" s="462"/>
      <c r="AW720" s="513"/>
      <c r="AX720" s="74"/>
      <c r="AY720" s="74"/>
      <c r="AZ720" s="75"/>
      <c r="BA720" s="61"/>
      <c r="BB720" s="60"/>
      <c r="BC720" s="74"/>
      <c r="BD720" s="79"/>
      <c r="BE720" s="79"/>
      <c r="BF720" s="127"/>
      <c r="BG720" s="128"/>
      <c r="BH720" s="128"/>
      <c r="BI720" s="76"/>
      <c r="BJ720" s="24"/>
      <c r="BK720" s="25"/>
      <c r="BL720" s="259"/>
      <c r="BM720" s="533"/>
    </row>
    <row r="721" spans="1:65" ht="37.35" customHeight="1">
      <c r="A721" s="91"/>
      <c r="B721" s="358" t="s">
        <v>2912</v>
      </c>
      <c r="C721" s="50" t="s">
        <v>1828</v>
      </c>
      <c r="D721" s="264" t="s">
        <v>1818</v>
      </c>
      <c r="E721" s="394" t="s">
        <v>1399</v>
      </c>
      <c r="F721" s="410"/>
      <c r="G721" s="10"/>
      <c r="H721" s="167"/>
      <c r="I721" s="10"/>
      <c r="J721" s="76"/>
      <c r="K721" s="24"/>
      <c r="L721" s="281"/>
      <c r="M721" s="431"/>
      <c r="N721" s="410">
        <v>683254</v>
      </c>
      <c r="O721" s="10"/>
      <c r="P721" s="10"/>
      <c r="Q721" s="10"/>
      <c r="R721" s="10"/>
      <c r="S721" s="76"/>
      <c r="T721" s="24"/>
      <c r="U721" s="281"/>
      <c r="V721" s="462" t="s">
        <v>894</v>
      </c>
      <c r="W721" s="410"/>
      <c r="X721" s="33"/>
      <c r="Y721" s="33"/>
      <c r="Z721" s="474"/>
      <c r="AA721" s="76"/>
      <c r="AB721" s="24"/>
      <c r="AC721" s="25"/>
      <c r="AD721" s="309"/>
      <c r="AE721" s="462"/>
      <c r="AF721" s="408"/>
      <c r="AG721" s="293"/>
      <c r="AH721" s="293"/>
      <c r="AI721" s="293"/>
      <c r="AJ721" s="293"/>
      <c r="AK721" s="293"/>
      <c r="AL721" s="327"/>
      <c r="AM721" s="463"/>
      <c r="AN721" s="513"/>
      <c r="AO721" s="88"/>
      <c r="AP721" s="116"/>
      <c r="AQ721" s="74"/>
      <c r="AR721" s="76"/>
      <c r="AS721" s="24"/>
      <c r="AT721" s="25"/>
      <c r="AU721" s="309"/>
      <c r="AV721" s="462"/>
      <c r="AW721" s="513"/>
      <c r="AX721" s="74"/>
      <c r="AY721" s="74"/>
      <c r="AZ721" s="75"/>
      <c r="BA721" s="61"/>
      <c r="BB721" s="60"/>
      <c r="BC721" s="74"/>
      <c r="BD721" s="79"/>
      <c r="BE721" s="79"/>
      <c r="BF721" s="127"/>
      <c r="BG721" s="128"/>
      <c r="BH721" s="128"/>
      <c r="BI721" s="76"/>
      <c r="BJ721" s="24"/>
      <c r="BK721" s="25"/>
      <c r="BL721" s="259"/>
      <c r="BM721" s="533"/>
    </row>
    <row r="722" spans="1:65" ht="37.35" customHeight="1">
      <c r="A722" s="91"/>
      <c r="B722" s="358" t="s">
        <v>2913</v>
      </c>
      <c r="C722" s="50" t="s">
        <v>1829</v>
      </c>
      <c r="D722" s="264" t="s">
        <v>1819</v>
      </c>
      <c r="E722" s="393" t="s">
        <v>827</v>
      </c>
      <c r="F722" s="410"/>
      <c r="G722" s="10"/>
      <c r="H722" s="167"/>
      <c r="I722" s="10"/>
      <c r="J722" s="76"/>
      <c r="K722" s="24"/>
      <c r="L722" s="281"/>
      <c r="M722" s="431"/>
      <c r="N722" s="410">
        <v>57770</v>
      </c>
      <c r="O722" s="10"/>
      <c r="P722" s="10"/>
      <c r="Q722" s="10"/>
      <c r="R722" s="10">
        <v>120000</v>
      </c>
      <c r="S722" s="76">
        <f t="shared" ref="S722:S723" si="841">AVERAGE(O722,P722,Q722,R722)</f>
        <v>120000</v>
      </c>
      <c r="T722" s="24">
        <f t="shared" ref="T722:T723" si="842">S722-N722</f>
        <v>62230</v>
      </c>
      <c r="U722" s="281">
        <f t="shared" ref="U722:U723" si="843">+T722/N722</f>
        <v>1.0772027003635105</v>
      </c>
      <c r="V722" s="462">
        <f t="shared" ref="V722:V723" si="844">S722</f>
        <v>120000</v>
      </c>
      <c r="W722" s="410"/>
      <c r="X722" s="33"/>
      <c r="Y722" s="33"/>
      <c r="Z722" s="474"/>
      <c r="AA722" s="76"/>
      <c r="AB722" s="24"/>
      <c r="AC722" s="25"/>
      <c r="AD722" s="309"/>
      <c r="AE722" s="462"/>
      <c r="AF722" s="408"/>
      <c r="AG722" s="293"/>
      <c r="AH722" s="293"/>
      <c r="AI722" s="293"/>
      <c r="AJ722" s="293"/>
      <c r="AK722" s="293"/>
      <c r="AL722" s="327"/>
      <c r="AM722" s="463"/>
      <c r="AN722" s="513"/>
      <c r="AO722" s="88"/>
      <c r="AP722" s="116"/>
      <c r="AQ722" s="74"/>
      <c r="AR722" s="76"/>
      <c r="AS722" s="24"/>
      <c r="AT722" s="25"/>
      <c r="AU722" s="309"/>
      <c r="AV722" s="462"/>
      <c r="AW722" s="513"/>
      <c r="AX722" s="74"/>
      <c r="AY722" s="74"/>
      <c r="AZ722" s="75"/>
      <c r="BA722" s="61"/>
      <c r="BB722" s="60"/>
      <c r="BC722" s="74"/>
      <c r="BD722" s="79"/>
      <c r="BE722" s="79"/>
      <c r="BF722" s="127"/>
      <c r="BG722" s="128"/>
      <c r="BH722" s="128"/>
      <c r="BI722" s="76"/>
      <c r="BJ722" s="24"/>
      <c r="BK722" s="25"/>
      <c r="BL722" s="259"/>
      <c r="BM722" s="533"/>
    </row>
    <row r="723" spans="1:65" ht="37.35" customHeight="1">
      <c r="A723" s="91"/>
      <c r="B723" s="358" t="s">
        <v>2914</v>
      </c>
      <c r="C723" s="50" t="s">
        <v>1830</v>
      </c>
      <c r="D723" s="264" t="s">
        <v>1820</v>
      </c>
      <c r="E723" s="393" t="s">
        <v>1466</v>
      </c>
      <c r="F723" s="410"/>
      <c r="G723" s="10"/>
      <c r="H723" s="167"/>
      <c r="I723" s="10"/>
      <c r="J723" s="76"/>
      <c r="K723" s="24"/>
      <c r="L723" s="281"/>
      <c r="M723" s="431"/>
      <c r="N723" s="410">
        <v>143250</v>
      </c>
      <c r="O723" s="10"/>
      <c r="P723" s="10"/>
      <c r="Q723" s="10"/>
      <c r="R723" s="10">
        <v>120000</v>
      </c>
      <c r="S723" s="76">
        <f t="shared" si="841"/>
        <v>120000</v>
      </c>
      <c r="T723" s="24">
        <f t="shared" si="842"/>
        <v>-23250</v>
      </c>
      <c r="U723" s="281">
        <f t="shared" si="843"/>
        <v>-0.16230366492146597</v>
      </c>
      <c r="V723" s="462">
        <f t="shared" si="844"/>
        <v>120000</v>
      </c>
      <c r="W723" s="410"/>
      <c r="X723" s="33"/>
      <c r="Y723" s="33"/>
      <c r="Z723" s="474"/>
      <c r="AA723" s="76"/>
      <c r="AB723" s="24"/>
      <c r="AC723" s="25"/>
      <c r="AD723" s="309"/>
      <c r="AE723" s="462"/>
      <c r="AF723" s="408"/>
      <c r="AG723" s="293"/>
      <c r="AH723" s="293"/>
      <c r="AI723" s="293"/>
      <c r="AJ723" s="293"/>
      <c r="AK723" s="293"/>
      <c r="AL723" s="327"/>
      <c r="AM723" s="463"/>
      <c r="AN723" s="513"/>
      <c r="AO723" s="88"/>
      <c r="AP723" s="116"/>
      <c r="AQ723" s="74"/>
      <c r="AR723" s="76"/>
      <c r="AS723" s="24"/>
      <c r="AT723" s="25"/>
      <c r="AU723" s="309"/>
      <c r="AV723" s="462"/>
      <c r="AW723" s="513"/>
      <c r="AX723" s="74"/>
      <c r="AY723" s="74"/>
      <c r="AZ723" s="75"/>
      <c r="BA723" s="61"/>
      <c r="BB723" s="60"/>
      <c r="BC723" s="74"/>
      <c r="BD723" s="79"/>
      <c r="BE723" s="79"/>
      <c r="BF723" s="127"/>
      <c r="BG723" s="128"/>
      <c r="BH723" s="128"/>
      <c r="BI723" s="76"/>
      <c r="BJ723" s="24"/>
      <c r="BK723" s="25"/>
      <c r="BL723" s="259"/>
      <c r="BM723" s="533"/>
    </row>
    <row r="724" spans="1:65" ht="37.35" customHeight="1">
      <c r="A724" s="91"/>
      <c r="B724" s="358" t="s">
        <v>2915</v>
      </c>
      <c r="C724" s="50" t="s">
        <v>1831</v>
      </c>
      <c r="D724" s="264" t="s">
        <v>1821</v>
      </c>
      <c r="E724" s="393" t="s">
        <v>1466</v>
      </c>
      <c r="F724" s="410"/>
      <c r="G724" s="10"/>
      <c r="H724" s="167"/>
      <c r="I724" s="10"/>
      <c r="J724" s="76"/>
      <c r="K724" s="24"/>
      <c r="L724" s="281"/>
      <c r="M724" s="431"/>
      <c r="N724" s="410">
        <v>31513</v>
      </c>
      <c r="O724" s="10"/>
      <c r="P724" s="10"/>
      <c r="Q724" s="10"/>
      <c r="R724" s="10" t="s">
        <v>1421</v>
      </c>
      <c r="S724" s="76"/>
      <c r="T724" s="24"/>
      <c r="U724" s="281"/>
      <c r="V724" s="464" t="s">
        <v>807</v>
      </c>
      <c r="W724" s="410"/>
      <c r="X724" s="33"/>
      <c r="Y724" s="33"/>
      <c r="Z724" s="474"/>
      <c r="AA724" s="76"/>
      <c r="AB724" s="24"/>
      <c r="AC724" s="25"/>
      <c r="AD724" s="309"/>
      <c r="AE724" s="462"/>
      <c r="AF724" s="408"/>
      <c r="AG724" s="293"/>
      <c r="AH724" s="293"/>
      <c r="AI724" s="293"/>
      <c r="AJ724" s="293"/>
      <c r="AK724" s="293"/>
      <c r="AL724" s="327"/>
      <c r="AM724" s="463"/>
      <c r="AN724" s="513"/>
      <c r="AO724" s="88"/>
      <c r="AP724" s="116"/>
      <c r="AQ724" s="74"/>
      <c r="AR724" s="76"/>
      <c r="AS724" s="24"/>
      <c r="AT724" s="25"/>
      <c r="AU724" s="309"/>
      <c r="AV724" s="462"/>
      <c r="AW724" s="513"/>
      <c r="AX724" s="74"/>
      <c r="AY724" s="74"/>
      <c r="AZ724" s="75"/>
      <c r="BA724" s="61"/>
      <c r="BB724" s="60"/>
      <c r="BC724" s="74"/>
      <c r="BD724" s="79"/>
      <c r="BE724" s="79"/>
      <c r="BF724" s="127"/>
      <c r="BG724" s="128"/>
      <c r="BH724" s="128"/>
      <c r="BI724" s="76"/>
      <c r="BJ724" s="24"/>
      <c r="BK724" s="25"/>
      <c r="BL724" s="259"/>
      <c r="BM724" s="533"/>
    </row>
    <row r="725" spans="1:65" ht="37.35" customHeight="1">
      <c r="A725" s="91"/>
      <c r="B725" s="358" t="s">
        <v>2916</v>
      </c>
      <c r="C725" s="50" t="s">
        <v>1832</v>
      </c>
      <c r="D725" s="264" t="s">
        <v>1822</v>
      </c>
      <c r="E725" s="393" t="s">
        <v>827</v>
      </c>
      <c r="F725" s="410"/>
      <c r="G725" s="10"/>
      <c r="H725" s="167"/>
      <c r="I725" s="10"/>
      <c r="J725" s="76"/>
      <c r="K725" s="24"/>
      <c r="L725" s="281"/>
      <c r="M725" s="431"/>
      <c r="N725" s="410">
        <v>22659</v>
      </c>
      <c r="O725" s="10"/>
      <c r="P725" s="10"/>
      <c r="Q725" s="10"/>
      <c r="R725" s="10">
        <v>50000</v>
      </c>
      <c r="S725" s="76">
        <f t="shared" ref="S725" si="845">AVERAGE(O725,P725,Q725,R725)</f>
        <v>50000</v>
      </c>
      <c r="T725" s="24">
        <f t="shared" ref="T725" si="846">S725-N725</f>
        <v>27341</v>
      </c>
      <c r="U725" s="281">
        <f t="shared" ref="U725" si="847">+T725/N725</f>
        <v>1.206628712652809</v>
      </c>
      <c r="V725" s="462">
        <f t="shared" ref="V725" si="848">S725</f>
        <v>50000</v>
      </c>
      <c r="W725" s="410"/>
      <c r="X725" s="33"/>
      <c r="Y725" s="33"/>
      <c r="Z725" s="474"/>
      <c r="AA725" s="76"/>
      <c r="AB725" s="24"/>
      <c r="AC725" s="25"/>
      <c r="AD725" s="309"/>
      <c r="AE725" s="462"/>
      <c r="AF725" s="408"/>
      <c r="AG725" s="293"/>
      <c r="AH725" s="293"/>
      <c r="AI725" s="293"/>
      <c r="AJ725" s="293"/>
      <c r="AK725" s="293"/>
      <c r="AL725" s="327"/>
      <c r="AM725" s="463"/>
      <c r="AN725" s="513"/>
      <c r="AO725" s="88"/>
      <c r="AP725" s="116"/>
      <c r="AQ725" s="74"/>
      <c r="AR725" s="76"/>
      <c r="AS725" s="24"/>
      <c r="AT725" s="25"/>
      <c r="AU725" s="309"/>
      <c r="AV725" s="462"/>
      <c r="AW725" s="513"/>
      <c r="AX725" s="74"/>
      <c r="AY725" s="74"/>
      <c r="AZ725" s="75"/>
      <c r="BA725" s="61"/>
      <c r="BB725" s="60"/>
      <c r="BC725" s="74"/>
      <c r="BD725" s="79"/>
      <c r="BE725" s="79"/>
      <c r="BF725" s="127"/>
      <c r="BG725" s="128"/>
      <c r="BH725" s="128"/>
      <c r="BI725" s="76"/>
      <c r="BJ725" s="24"/>
      <c r="BK725" s="25"/>
      <c r="BL725" s="259"/>
      <c r="BM725" s="533"/>
    </row>
    <row r="726" spans="1:65" ht="37.35" customHeight="1">
      <c r="A726" s="91"/>
      <c r="B726" s="358" t="s">
        <v>2917</v>
      </c>
      <c r="C726" s="50" t="s">
        <v>1833</v>
      </c>
      <c r="D726" s="264" t="s">
        <v>1821</v>
      </c>
      <c r="E726" s="393" t="s">
        <v>1426</v>
      </c>
      <c r="F726" s="410"/>
      <c r="G726" s="10"/>
      <c r="H726" s="167"/>
      <c r="I726" s="10"/>
      <c r="J726" s="76"/>
      <c r="K726" s="24"/>
      <c r="L726" s="281"/>
      <c r="M726" s="431"/>
      <c r="N726" s="410">
        <v>33054</v>
      </c>
      <c r="O726" s="10"/>
      <c r="P726" s="10"/>
      <c r="Q726" s="10"/>
      <c r="R726" s="10" t="s">
        <v>1421</v>
      </c>
      <c r="S726" s="76"/>
      <c r="T726" s="24"/>
      <c r="U726" s="281"/>
      <c r="V726" s="464" t="s">
        <v>807</v>
      </c>
      <c r="W726" s="410"/>
      <c r="X726" s="33"/>
      <c r="Y726" s="33"/>
      <c r="Z726" s="474"/>
      <c r="AA726" s="76"/>
      <c r="AB726" s="24"/>
      <c r="AC726" s="25"/>
      <c r="AD726" s="309"/>
      <c r="AE726" s="462"/>
      <c r="AF726" s="408"/>
      <c r="AG726" s="293"/>
      <c r="AH726" s="293"/>
      <c r="AI726" s="293"/>
      <c r="AJ726" s="293"/>
      <c r="AK726" s="293"/>
      <c r="AL726" s="327"/>
      <c r="AM726" s="463"/>
      <c r="AN726" s="513"/>
      <c r="AO726" s="88"/>
      <c r="AP726" s="116"/>
      <c r="AQ726" s="74"/>
      <c r="AR726" s="76"/>
      <c r="AS726" s="24"/>
      <c r="AT726" s="25"/>
      <c r="AU726" s="309"/>
      <c r="AV726" s="462"/>
      <c r="AW726" s="513"/>
      <c r="AX726" s="74"/>
      <c r="AY726" s="74"/>
      <c r="AZ726" s="75"/>
      <c r="BA726" s="61"/>
      <c r="BB726" s="60"/>
      <c r="BC726" s="74"/>
      <c r="BD726" s="79"/>
      <c r="BE726" s="79"/>
      <c r="BF726" s="127"/>
      <c r="BG726" s="128"/>
      <c r="BH726" s="128"/>
      <c r="BI726" s="76"/>
      <c r="BJ726" s="24"/>
      <c r="BK726" s="25"/>
      <c r="BL726" s="259"/>
      <c r="BM726" s="533"/>
    </row>
    <row r="727" spans="1:65" ht="37.35" customHeight="1">
      <c r="A727" s="91"/>
      <c r="B727" s="358" t="s">
        <v>2918</v>
      </c>
      <c r="C727" s="50" t="s">
        <v>1834</v>
      </c>
      <c r="D727" s="264" t="s">
        <v>1823</v>
      </c>
      <c r="E727" s="393" t="s">
        <v>1466</v>
      </c>
      <c r="F727" s="410"/>
      <c r="G727" s="10"/>
      <c r="H727" s="167"/>
      <c r="I727" s="10"/>
      <c r="J727" s="76"/>
      <c r="K727" s="24"/>
      <c r="L727" s="281"/>
      <c r="M727" s="431"/>
      <c r="N727" s="410">
        <v>87022</v>
      </c>
      <c r="O727" s="10"/>
      <c r="P727" s="10"/>
      <c r="Q727" s="10"/>
      <c r="R727" s="10">
        <v>120000</v>
      </c>
      <c r="S727" s="76">
        <f t="shared" ref="S727" si="849">AVERAGE(O727,P727,Q727,R727)</f>
        <v>120000</v>
      </c>
      <c r="T727" s="24">
        <f t="shared" ref="T727" si="850">S727-N727</f>
        <v>32978</v>
      </c>
      <c r="U727" s="281">
        <f t="shared" ref="U727" si="851">+T727/N727</f>
        <v>0.3789616418836616</v>
      </c>
      <c r="V727" s="462">
        <f t="shared" ref="V727" si="852">S727</f>
        <v>120000</v>
      </c>
      <c r="W727" s="410"/>
      <c r="X727" s="33"/>
      <c r="Y727" s="33"/>
      <c r="Z727" s="474"/>
      <c r="AA727" s="76"/>
      <c r="AB727" s="24"/>
      <c r="AC727" s="25"/>
      <c r="AD727" s="309"/>
      <c r="AE727" s="462"/>
      <c r="AF727" s="408"/>
      <c r="AG727" s="293"/>
      <c r="AH727" s="293"/>
      <c r="AI727" s="293"/>
      <c r="AJ727" s="293"/>
      <c r="AK727" s="293"/>
      <c r="AL727" s="327"/>
      <c r="AM727" s="463"/>
      <c r="AN727" s="513"/>
      <c r="AO727" s="88"/>
      <c r="AP727" s="116"/>
      <c r="AQ727" s="74"/>
      <c r="AR727" s="76"/>
      <c r="AS727" s="24"/>
      <c r="AT727" s="25"/>
      <c r="AU727" s="309"/>
      <c r="AV727" s="462"/>
      <c r="AW727" s="513"/>
      <c r="AX727" s="74"/>
      <c r="AY727" s="74"/>
      <c r="AZ727" s="75"/>
      <c r="BA727" s="61"/>
      <c r="BB727" s="60"/>
      <c r="BC727" s="74"/>
      <c r="BD727" s="79"/>
      <c r="BE727" s="79"/>
      <c r="BF727" s="127"/>
      <c r="BG727" s="128"/>
      <c r="BH727" s="128"/>
      <c r="BI727" s="76"/>
      <c r="BJ727" s="24"/>
      <c r="BK727" s="25"/>
      <c r="BL727" s="259"/>
      <c r="BM727" s="533"/>
    </row>
    <row r="728" spans="1:65" ht="33" customHeight="1">
      <c r="A728" s="91" t="s">
        <v>32</v>
      </c>
      <c r="B728" s="358" t="s">
        <v>2919</v>
      </c>
      <c r="C728" s="252" t="s">
        <v>761</v>
      </c>
      <c r="D728" s="47" t="s">
        <v>32</v>
      </c>
      <c r="E728" s="91"/>
      <c r="F728" s="411"/>
      <c r="G728" s="173"/>
      <c r="H728" s="174"/>
      <c r="I728" s="173"/>
      <c r="J728" s="76"/>
      <c r="K728" s="24"/>
      <c r="L728" s="281"/>
      <c r="M728" s="431"/>
      <c r="N728" s="411"/>
      <c r="O728" s="173"/>
      <c r="P728" s="173"/>
      <c r="Q728" s="274"/>
      <c r="R728" s="173"/>
      <c r="S728" s="76"/>
      <c r="T728" s="24"/>
      <c r="U728" s="281"/>
      <c r="V728" s="462"/>
      <c r="W728" s="413"/>
      <c r="X728" s="47"/>
      <c r="Y728" s="47"/>
      <c r="Z728" s="47"/>
      <c r="AA728" s="47"/>
      <c r="AB728" s="47"/>
      <c r="AC728" s="47"/>
      <c r="AD728" s="91"/>
      <c r="AE728" s="467"/>
      <c r="AF728" s="501"/>
      <c r="AG728" s="324"/>
      <c r="AH728" s="324"/>
      <c r="AI728" s="323"/>
      <c r="AJ728" s="76"/>
      <c r="AK728" s="24"/>
      <c r="AL728" s="281"/>
      <c r="AM728" s="462"/>
      <c r="AN728" s="413"/>
      <c r="AO728" s="47"/>
      <c r="AP728" s="47"/>
      <c r="AQ728" s="47"/>
      <c r="AR728" s="47"/>
      <c r="AS728" s="47"/>
      <c r="AT728" s="47"/>
      <c r="AU728" s="91"/>
      <c r="AV728" s="467"/>
      <c r="AW728" s="413"/>
      <c r="AX728" s="47"/>
      <c r="AY728" s="47"/>
      <c r="AZ728" s="47"/>
      <c r="BA728" s="47"/>
      <c r="BB728" s="47"/>
      <c r="BC728" s="47"/>
      <c r="BD728" s="154"/>
      <c r="BE728" s="154"/>
      <c r="BF728" s="155"/>
      <c r="BG728" s="155"/>
      <c r="BH728" s="155"/>
      <c r="BI728" s="47"/>
      <c r="BJ728" s="47"/>
      <c r="BK728" s="47"/>
      <c r="BL728" s="414"/>
      <c r="BM728" s="457"/>
    </row>
    <row r="729" spans="1:65" ht="47.45" customHeight="1">
      <c r="A729" s="91" t="s">
        <v>32</v>
      </c>
      <c r="B729" s="358" t="s">
        <v>2920</v>
      </c>
      <c r="C729" s="50" t="s">
        <v>327</v>
      </c>
      <c r="D729" s="99" t="s">
        <v>675</v>
      </c>
      <c r="E729" s="391" t="s">
        <v>14</v>
      </c>
      <c r="F729" s="410">
        <v>318006</v>
      </c>
      <c r="G729" s="10">
        <v>347432</v>
      </c>
      <c r="H729" s="167">
        <v>694864</v>
      </c>
      <c r="I729" s="10">
        <v>325000</v>
      </c>
      <c r="J729" s="76">
        <f t="shared" ref="J729:J735" si="853">AVERAGE(G729,I729)</f>
        <v>336216</v>
      </c>
      <c r="K729" s="24">
        <f t="shared" ref="K729:K735" si="854">J729-F729</f>
        <v>18210</v>
      </c>
      <c r="L729" s="281">
        <f t="shared" ref="L729:L735" si="855">+K729/F729</f>
        <v>5.7263070508103621E-2</v>
      </c>
      <c r="M729" s="431">
        <f t="shared" ref="M729:M735" si="856">H729</f>
        <v>694864</v>
      </c>
      <c r="N729" s="410">
        <v>286206</v>
      </c>
      <c r="O729" s="10">
        <v>750000</v>
      </c>
      <c r="P729" s="10">
        <v>800000</v>
      </c>
      <c r="Q729" s="268">
        <v>78000</v>
      </c>
      <c r="R729" s="10">
        <v>800000</v>
      </c>
      <c r="S729" s="76">
        <f t="shared" ref="S729:S732" si="857">AVERAGE(O729,P729,Q729,R729)</f>
        <v>607000</v>
      </c>
      <c r="T729" s="24">
        <f t="shared" ref="T729:T732" si="858">S729-N729</f>
        <v>320794</v>
      </c>
      <c r="U729" s="281">
        <f t="shared" ref="U729:U732" si="859">+T729/N729</f>
        <v>1.1208500171205356</v>
      </c>
      <c r="V729" s="462">
        <f t="shared" ref="V729:V732" si="860">S729</f>
        <v>607000</v>
      </c>
      <c r="W729" s="410">
        <v>674700</v>
      </c>
      <c r="X729" s="31">
        <v>877500</v>
      </c>
      <c r="Y729" s="31">
        <v>1140750</v>
      </c>
      <c r="Z729" s="98">
        <v>767000</v>
      </c>
      <c r="AA729" s="76">
        <f t="shared" ref="AA729:AA770" si="861">AVERAGE(X729,Y729,Z729)</f>
        <v>928416.66666666663</v>
      </c>
      <c r="AB729" s="24">
        <f t="shared" ref="AB729:AB770" si="862">AA729-W729</f>
        <v>253716.66666666663</v>
      </c>
      <c r="AC729" s="25">
        <f t="shared" ref="AC729:AC770" si="863">+AB729/W729</f>
        <v>0.37604367373153497</v>
      </c>
      <c r="AD729" s="309" t="str">
        <f t="shared" ref="AD729:AD770" si="864">+IF(AC729&lt;35%,AA729,"REVISAR PRECIO")</f>
        <v>REVISAR PRECIO</v>
      </c>
      <c r="AE729" s="462">
        <f t="shared" ref="AE729:AE770" si="865">AA729</f>
        <v>928416.66666666663</v>
      </c>
      <c r="AF729" s="410">
        <v>318005</v>
      </c>
      <c r="AG729" s="45">
        <v>350000</v>
      </c>
      <c r="AH729" s="45">
        <v>375213</v>
      </c>
      <c r="AI729" s="45">
        <v>350000</v>
      </c>
      <c r="AJ729" s="76">
        <f t="shared" ref="AJ729:AJ735" si="866">AVERAGE(AG729,AH729,AI729)</f>
        <v>358404.33333333331</v>
      </c>
      <c r="AK729" s="24">
        <f t="shared" ref="AK729:AK735" si="867">AJ729-AF729</f>
        <v>40399.333333333314</v>
      </c>
      <c r="AL729" s="281">
        <f t="shared" ref="AL729:AL735" si="868">+AK729/AF729</f>
        <v>0.12703993123797838</v>
      </c>
      <c r="AM729" s="462">
        <f t="shared" ref="AM729:AM735" si="869">AJ729</f>
        <v>358404.33333333331</v>
      </c>
      <c r="AN729" s="513">
        <v>318005</v>
      </c>
      <c r="AO729" s="88">
        <v>365000</v>
      </c>
      <c r="AP729" s="116">
        <v>365000</v>
      </c>
      <c r="AQ729" s="74">
        <v>382174.87</v>
      </c>
      <c r="AR729" s="76">
        <f t="shared" ref="AR729:AR750" si="870">AVERAGE(AO729,AP729,AQ729)</f>
        <v>370724.95666666672</v>
      </c>
      <c r="AS729" s="24">
        <f t="shared" ref="AS729:AS750" si="871">AR729-AN729</f>
        <v>52719.956666666723</v>
      </c>
      <c r="AT729" s="25">
        <f t="shared" ref="AT729:AT750" si="872">+AS729/AN729</f>
        <v>0.1657834205961124</v>
      </c>
      <c r="AU729" s="309">
        <f t="shared" ref="AU729:AU750" si="873">+IF(AT729&lt;35%,AR729,"REVISAR PRECIO")</f>
        <v>370724.95666666672</v>
      </c>
      <c r="AV729" s="462">
        <f t="shared" ref="AV729:AV750" si="874">AR729</f>
        <v>370724.95666666672</v>
      </c>
      <c r="AW729" s="513">
        <v>318005</v>
      </c>
      <c r="AX729" s="74">
        <v>399546.45500000002</v>
      </c>
      <c r="AY729" s="74">
        <v>450000</v>
      </c>
      <c r="AZ729" s="75">
        <v>460347.00249999994</v>
      </c>
      <c r="BA729" s="61">
        <v>464599.99999999994</v>
      </c>
      <c r="BB729" s="60">
        <v>360000</v>
      </c>
      <c r="BC729" s="74">
        <v>534289.99999999988</v>
      </c>
      <c r="BD729" s="79">
        <v>460347.00249999994</v>
      </c>
      <c r="BE729" s="79">
        <f>315847*1.1</f>
        <v>347431.7</v>
      </c>
      <c r="BF729" s="127">
        <v>416918.04000000004</v>
      </c>
      <c r="BG729" s="142">
        <v>372000</v>
      </c>
      <c r="BH729" s="142">
        <v>350000</v>
      </c>
      <c r="BI729" s="76">
        <f t="shared" ref="BI729:BI750" si="875">AVERAGE(AX729,AY729,AZ729,BA729,BB729,BC729)</f>
        <v>444797.24291666667</v>
      </c>
      <c r="BJ729" s="24">
        <f t="shared" ref="BJ729:BJ750" si="876">BI729-AW729</f>
        <v>126792.24291666667</v>
      </c>
      <c r="BK729" s="25">
        <f t="shared" ref="BK729:BK750" si="877">+BJ729/AW729</f>
        <v>0.39871147597260004</v>
      </c>
      <c r="BL729" s="259" t="str">
        <f t="shared" ref="BL729:BL750" si="878">+IF(BK729&lt;35%,BI729,"REVISAR PRECIO")</f>
        <v>REVISAR PRECIO</v>
      </c>
      <c r="BM729" s="533">
        <f t="shared" ref="BM729:BM750" si="879">BI729</f>
        <v>444797.24291666667</v>
      </c>
    </row>
    <row r="730" spans="1:65" ht="39" customHeight="1">
      <c r="A730" s="91" t="s">
        <v>32</v>
      </c>
      <c r="B730" s="358" t="s">
        <v>2921</v>
      </c>
      <c r="C730" s="50" t="s">
        <v>328</v>
      </c>
      <c r="D730" s="99" t="s">
        <v>676</v>
      </c>
      <c r="E730" s="391" t="s">
        <v>14</v>
      </c>
      <c r="F730" s="410">
        <v>122177</v>
      </c>
      <c r="G730" s="10">
        <v>176901</v>
      </c>
      <c r="H730" s="167">
        <v>353802</v>
      </c>
      <c r="I730" s="10">
        <v>200000</v>
      </c>
      <c r="J730" s="76">
        <f t="shared" si="853"/>
        <v>188450.5</v>
      </c>
      <c r="K730" s="24">
        <f t="shared" si="854"/>
        <v>66273.5</v>
      </c>
      <c r="L730" s="281">
        <f t="shared" si="855"/>
        <v>0.54243842949163923</v>
      </c>
      <c r="M730" s="431">
        <f t="shared" si="856"/>
        <v>353802</v>
      </c>
      <c r="N730" s="410">
        <v>109960</v>
      </c>
      <c r="O730" s="10">
        <v>450000</v>
      </c>
      <c r="P730" s="10">
        <v>480000</v>
      </c>
      <c r="Q730" s="268">
        <v>480000</v>
      </c>
      <c r="R730" s="10">
        <v>500000</v>
      </c>
      <c r="S730" s="76">
        <f t="shared" si="857"/>
        <v>477500</v>
      </c>
      <c r="T730" s="24">
        <f t="shared" si="858"/>
        <v>367540</v>
      </c>
      <c r="U730" s="281">
        <f t="shared" si="859"/>
        <v>3.342488177519098</v>
      </c>
      <c r="V730" s="462">
        <f t="shared" si="860"/>
        <v>477500</v>
      </c>
      <c r="W730" s="410">
        <v>228453</v>
      </c>
      <c r="X730" s="31">
        <v>297122</v>
      </c>
      <c r="Y730" s="31">
        <v>386258</v>
      </c>
      <c r="Z730" s="98">
        <v>259706.2</v>
      </c>
      <c r="AA730" s="76">
        <f t="shared" si="861"/>
        <v>314362.06666666665</v>
      </c>
      <c r="AB730" s="24">
        <f t="shared" si="862"/>
        <v>85909.066666666651</v>
      </c>
      <c r="AC730" s="25">
        <f t="shared" si="863"/>
        <v>0.37604700602166158</v>
      </c>
      <c r="AD730" s="309" t="str">
        <f t="shared" si="864"/>
        <v>REVISAR PRECIO</v>
      </c>
      <c r="AE730" s="462">
        <f t="shared" si="865"/>
        <v>314362.06666666665</v>
      </c>
      <c r="AF730" s="410">
        <v>122177</v>
      </c>
      <c r="AG730" s="45">
        <v>160000</v>
      </c>
      <c r="AH730" s="45">
        <v>144155</v>
      </c>
      <c r="AI730" s="45">
        <v>180000</v>
      </c>
      <c r="AJ730" s="76">
        <f t="shared" si="866"/>
        <v>161385</v>
      </c>
      <c r="AK730" s="24">
        <f t="shared" si="867"/>
        <v>39208</v>
      </c>
      <c r="AL730" s="281">
        <f t="shared" si="868"/>
        <v>0.32091146451459768</v>
      </c>
      <c r="AM730" s="462">
        <f t="shared" si="869"/>
        <v>161385</v>
      </c>
      <c r="AN730" s="513">
        <v>535353</v>
      </c>
      <c r="AO730" s="88">
        <v>185000</v>
      </c>
      <c r="AP730" s="116">
        <v>185000</v>
      </c>
      <c r="AQ730" s="74">
        <v>194591.155</v>
      </c>
      <c r="AR730" s="76">
        <f t="shared" si="870"/>
        <v>188197.05166666667</v>
      </c>
      <c r="AS730" s="24">
        <f t="shared" si="871"/>
        <v>-347155.94833333336</v>
      </c>
      <c r="AT730" s="25">
        <f t="shared" si="872"/>
        <v>-0.64846175949949536</v>
      </c>
      <c r="AU730" s="309">
        <f t="shared" si="873"/>
        <v>188197.05166666667</v>
      </c>
      <c r="AV730" s="462">
        <f t="shared" si="874"/>
        <v>188197.05166666667</v>
      </c>
      <c r="AW730" s="513">
        <v>535353</v>
      </c>
      <c r="AX730" s="74">
        <v>203436.20749999999</v>
      </c>
      <c r="AY730" s="74">
        <v>260000</v>
      </c>
      <c r="AZ730" s="75">
        <v>234393.89124999999</v>
      </c>
      <c r="BA730" s="61">
        <v>264500</v>
      </c>
      <c r="BB730" s="60">
        <v>280000</v>
      </c>
      <c r="BC730" s="74">
        <v>304175</v>
      </c>
      <c r="BD730" s="79">
        <v>234393.89124999999</v>
      </c>
      <c r="BE730" s="79">
        <f>153827*1.15</f>
        <v>176901.05</v>
      </c>
      <c r="BF730" s="127">
        <v>212281.25999999998</v>
      </c>
      <c r="BG730" s="142">
        <v>214500</v>
      </c>
      <c r="BH730" s="142">
        <v>200000</v>
      </c>
      <c r="BI730" s="76">
        <f t="shared" si="875"/>
        <v>257750.84979166664</v>
      </c>
      <c r="BJ730" s="24">
        <f t="shared" si="876"/>
        <v>-277602.15020833339</v>
      </c>
      <c r="BK730" s="25">
        <f t="shared" si="877"/>
        <v>-0.5185403840238747</v>
      </c>
      <c r="BL730" s="259">
        <f t="shared" si="878"/>
        <v>257750.84979166664</v>
      </c>
      <c r="BM730" s="533">
        <f t="shared" si="879"/>
        <v>257750.84979166664</v>
      </c>
    </row>
    <row r="731" spans="1:65" ht="32.450000000000003" customHeight="1">
      <c r="A731" s="91" t="s">
        <v>32</v>
      </c>
      <c r="B731" s="358" t="s">
        <v>2922</v>
      </c>
      <c r="C731" s="50" t="s">
        <v>329</v>
      </c>
      <c r="D731" s="99" t="s">
        <v>677</v>
      </c>
      <c r="E731" s="391" t="s">
        <v>14</v>
      </c>
      <c r="F731" s="410">
        <v>535354</v>
      </c>
      <c r="G731" s="10">
        <v>644006</v>
      </c>
      <c r="H731" s="167">
        <v>1288012</v>
      </c>
      <c r="I731" s="10">
        <v>564000</v>
      </c>
      <c r="J731" s="76">
        <f t="shared" si="853"/>
        <v>604003</v>
      </c>
      <c r="K731" s="24">
        <f t="shared" si="854"/>
        <v>68649</v>
      </c>
      <c r="L731" s="281">
        <f t="shared" si="855"/>
        <v>0.12823103964853164</v>
      </c>
      <c r="M731" s="431">
        <f t="shared" si="856"/>
        <v>1288012</v>
      </c>
      <c r="N731" s="410">
        <v>481815</v>
      </c>
      <c r="O731" s="10">
        <v>450000</v>
      </c>
      <c r="P731" s="10">
        <v>480000</v>
      </c>
      <c r="Q731" s="268">
        <v>480000</v>
      </c>
      <c r="R731" s="10">
        <v>500000</v>
      </c>
      <c r="S731" s="76">
        <f t="shared" si="857"/>
        <v>477500</v>
      </c>
      <c r="T731" s="24">
        <f t="shared" si="858"/>
        <v>-4315</v>
      </c>
      <c r="U731" s="281">
        <f t="shared" si="859"/>
        <v>-8.9557195189024826E-3</v>
      </c>
      <c r="V731" s="462">
        <f t="shared" si="860"/>
        <v>477500</v>
      </c>
      <c r="W731" s="410">
        <v>1001047</v>
      </c>
      <c r="X731" s="31">
        <v>1301940</v>
      </c>
      <c r="Y731" s="31">
        <v>1692522</v>
      </c>
      <c r="Z731" s="98">
        <v>1137992</v>
      </c>
      <c r="AA731" s="76">
        <f t="shared" si="861"/>
        <v>1377484.6666666667</v>
      </c>
      <c r="AB731" s="24">
        <f t="shared" si="862"/>
        <v>376437.66666666674</v>
      </c>
      <c r="AC731" s="25">
        <f t="shared" si="863"/>
        <v>0.37604394865242763</v>
      </c>
      <c r="AD731" s="309" t="str">
        <f t="shared" si="864"/>
        <v>REVISAR PRECIO</v>
      </c>
      <c r="AE731" s="462">
        <f t="shared" si="865"/>
        <v>1377484.6666666667</v>
      </c>
      <c r="AF731" s="410">
        <v>535353</v>
      </c>
      <c r="AG731" s="45">
        <v>600000</v>
      </c>
      <c r="AH731" s="45">
        <v>631654</v>
      </c>
      <c r="AI731" s="45">
        <v>635000</v>
      </c>
      <c r="AJ731" s="76">
        <f t="shared" si="866"/>
        <v>622218</v>
      </c>
      <c r="AK731" s="24">
        <f t="shared" si="867"/>
        <v>86865</v>
      </c>
      <c r="AL731" s="281">
        <f t="shared" si="868"/>
        <v>0.16225742640836979</v>
      </c>
      <c r="AM731" s="462">
        <f t="shared" si="869"/>
        <v>622218</v>
      </c>
      <c r="AN731" s="513">
        <v>122177</v>
      </c>
      <c r="AO731" s="88">
        <v>676000</v>
      </c>
      <c r="AP731" s="116">
        <v>750000</v>
      </c>
      <c r="AQ731" s="74">
        <v>708406.32499999995</v>
      </c>
      <c r="AR731" s="76">
        <f t="shared" si="870"/>
        <v>711468.77500000002</v>
      </c>
      <c r="AS731" s="24">
        <f t="shared" si="871"/>
        <v>589291.77500000002</v>
      </c>
      <c r="AT731" s="25">
        <f t="shared" si="872"/>
        <v>4.8232627663144454</v>
      </c>
      <c r="AU731" s="309" t="str">
        <f t="shared" si="873"/>
        <v>REVISAR PRECIO</v>
      </c>
      <c r="AV731" s="462">
        <f t="shared" si="874"/>
        <v>711468.77500000002</v>
      </c>
      <c r="AW731" s="513">
        <v>122177</v>
      </c>
      <c r="AX731" s="74">
        <v>740606.61250000005</v>
      </c>
      <c r="AY731" s="74">
        <v>850000</v>
      </c>
      <c r="AZ731" s="75">
        <v>853307.61875000002</v>
      </c>
      <c r="BA731" s="61">
        <v>862499.99999999988</v>
      </c>
      <c r="BB731" s="60">
        <v>290000</v>
      </c>
      <c r="BC731" s="74">
        <v>991874.99999999977</v>
      </c>
      <c r="BD731" s="79">
        <v>853307.61875000002</v>
      </c>
      <c r="BE731" s="79">
        <f>560005*1.15</f>
        <v>644005.75</v>
      </c>
      <c r="BF731" s="127">
        <v>772806.9</v>
      </c>
      <c r="BG731" s="142">
        <v>645000</v>
      </c>
      <c r="BH731" s="142">
        <v>650000</v>
      </c>
      <c r="BI731" s="76">
        <f t="shared" si="875"/>
        <v>764714.87187500007</v>
      </c>
      <c r="BJ731" s="24">
        <f t="shared" si="876"/>
        <v>642537.87187500007</v>
      </c>
      <c r="BK731" s="25">
        <f t="shared" si="877"/>
        <v>5.2590738999566211</v>
      </c>
      <c r="BL731" s="259" t="str">
        <f t="shared" si="878"/>
        <v>REVISAR PRECIO</v>
      </c>
      <c r="BM731" s="533">
        <f t="shared" si="879"/>
        <v>764714.87187500007</v>
      </c>
    </row>
    <row r="732" spans="1:65" ht="30.6" customHeight="1">
      <c r="A732" s="91" t="s">
        <v>32</v>
      </c>
      <c r="B732" s="358" t="s">
        <v>2923</v>
      </c>
      <c r="C732" s="50" t="s">
        <v>330</v>
      </c>
      <c r="D732" s="99" t="s">
        <v>678</v>
      </c>
      <c r="E732" s="391" t="s">
        <v>14</v>
      </c>
      <c r="F732" s="410">
        <v>224486</v>
      </c>
      <c r="G732" s="10">
        <v>269067</v>
      </c>
      <c r="H732" s="167">
        <v>807201</v>
      </c>
      <c r="I732" s="10">
        <v>245000</v>
      </c>
      <c r="J732" s="76">
        <f t="shared" si="853"/>
        <v>257033.5</v>
      </c>
      <c r="K732" s="24">
        <f t="shared" si="854"/>
        <v>32547.5</v>
      </c>
      <c r="L732" s="281">
        <f t="shared" si="855"/>
        <v>0.14498676977628894</v>
      </c>
      <c r="M732" s="431">
        <f t="shared" si="856"/>
        <v>807201</v>
      </c>
      <c r="N732" s="410">
        <v>198448</v>
      </c>
      <c r="O732" s="10">
        <v>321000</v>
      </c>
      <c r="P732" s="10">
        <v>335000</v>
      </c>
      <c r="Q732" s="268">
        <v>326000</v>
      </c>
      <c r="R732" s="10">
        <v>350000</v>
      </c>
      <c r="S732" s="76">
        <f t="shared" si="857"/>
        <v>333000</v>
      </c>
      <c r="T732" s="24">
        <f t="shared" si="858"/>
        <v>134552</v>
      </c>
      <c r="U732" s="281">
        <f t="shared" si="859"/>
        <v>0.67802144642425222</v>
      </c>
      <c r="V732" s="462">
        <f t="shared" si="860"/>
        <v>333000</v>
      </c>
      <c r="W732" s="410">
        <v>419757</v>
      </c>
      <c r="X732" s="31">
        <v>545927</v>
      </c>
      <c r="Y732" s="33">
        <v>709704</v>
      </c>
      <c r="Z732" s="98">
        <v>477180.2</v>
      </c>
      <c r="AA732" s="76">
        <f t="shared" si="861"/>
        <v>577603.73333333328</v>
      </c>
      <c r="AB732" s="24">
        <f t="shared" si="862"/>
        <v>157846.73333333328</v>
      </c>
      <c r="AC732" s="25">
        <f t="shared" si="863"/>
        <v>0.37604312336264384</v>
      </c>
      <c r="AD732" s="309" t="str">
        <f t="shared" si="864"/>
        <v>REVISAR PRECIO</v>
      </c>
      <c r="AE732" s="462">
        <f t="shared" si="865"/>
        <v>577603.73333333328</v>
      </c>
      <c r="AF732" s="410">
        <v>224486</v>
      </c>
      <c r="AG732" s="45">
        <v>250000</v>
      </c>
      <c r="AH732" s="45">
        <v>264864</v>
      </c>
      <c r="AI732" s="45">
        <v>270000</v>
      </c>
      <c r="AJ732" s="76">
        <f t="shared" si="866"/>
        <v>261621.33333333334</v>
      </c>
      <c r="AK732" s="24">
        <f t="shared" si="867"/>
        <v>37135.333333333343</v>
      </c>
      <c r="AL732" s="281">
        <f t="shared" si="868"/>
        <v>0.16542382746956755</v>
      </c>
      <c r="AM732" s="462">
        <f t="shared" si="869"/>
        <v>261621.33333333334</v>
      </c>
      <c r="AN732" s="513">
        <v>236490</v>
      </c>
      <c r="AO732" s="88">
        <v>291000</v>
      </c>
      <c r="AP732" s="116">
        <v>325000</v>
      </c>
      <c r="AQ732" s="74">
        <v>295973.31499999994</v>
      </c>
      <c r="AR732" s="76">
        <f t="shared" si="870"/>
        <v>303991.10499999998</v>
      </c>
      <c r="AS732" s="24">
        <f t="shared" si="871"/>
        <v>67501.104999999981</v>
      </c>
      <c r="AT732" s="25">
        <f t="shared" si="872"/>
        <v>0.28542900334052174</v>
      </c>
      <c r="AU732" s="309">
        <f t="shared" si="873"/>
        <v>303991.10499999998</v>
      </c>
      <c r="AV732" s="462">
        <f t="shared" si="874"/>
        <v>303991.10499999998</v>
      </c>
      <c r="AW732" s="513">
        <v>236490</v>
      </c>
      <c r="AX732" s="74">
        <v>309426.64749999996</v>
      </c>
      <c r="AY732" s="74">
        <v>350000</v>
      </c>
      <c r="AZ732" s="75">
        <v>356513.31124999991</v>
      </c>
      <c r="BA732" s="61">
        <v>309426.64749999996</v>
      </c>
      <c r="BB732" s="60">
        <v>260000</v>
      </c>
      <c r="BC732" s="74">
        <v>355840.64462499996</v>
      </c>
      <c r="BD732" s="79">
        <v>356513.31124999991</v>
      </c>
      <c r="BE732" s="79">
        <f>233971*1.15</f>
        <v>269066.64999999997</v>
      </c>
      <c r="BF732" s="127">
        <v>322879.98</v>
      </c>
      <c r="BG732" s="142">
        <v>321000</v>
      </c>
      <c r="BH732" s="142">
        <v>300000</v>
      </c>
      <c r="BI732" s="76">
        <f t="shared" si="875"/>
        <v>323534.54181249993</v>
      </c>
      <c r="BJ732" s="24">
        <f t="shared" si="876"/>
        <v>87044.541812499927</v>
      </c>
      <c r="BK732" s="25">
        <f t="shared" si="877"/>
        <v>0.36806859407374487</v>
      </c>
      <c r="BL732" s="259" t="str">
        <f t="shared" si="878"/>
        <v>REVISAR PRECIO</v>
      </c>
      <c r="BM732" s="533">
        <f t="shared" si="879"/>
        <v>323534.54181249993</v>
      </c>
    </row>
    <row r="733" spans="1:65" ht="41.1" customHeight="1">
      <c r="A733" s="91" t="s">
        <v>32</v>
      </c>
      <c r="B733" s="358" t="s">
        <v>2924</v>
      </c>
      <c r="C733" s="50" t="s">
        <v>331</v>
      </c>
      <c r="D733" s="99" t="s">
        <v>679</v>
      </c>
      <c r="E733" s="391" t="s">
        <v>14</v>
      </c>
      <c r="F733" s="410">
        <v>48317</v>
      </c>
      <c r="G733" s="10">
        <v>96000</v>
      </c>
      <c r="H733" s="167">
        <v>288000</v>
      </c>
      <c r="I733" s="10">
        <v>110500</v>
      </c>
      <c r="J733" s="76">
        <f t="shared" si="853"/>
        <v>103250</v>
      </c>
      <c r="K733" s="24">
        <f t="shared" si="854"/>
        <v>54933</v>
      </c>
      <c r="L733" s="281">
        <f t="shared" si="855"/>
        <v>1.1369290311898503</v>
      </c>
      <c r="M733" s="431">
        <f t="shared" si="856"/>
        <v>288000</v>
      </c>
      <c r="N733" s="443"/>
      <c r="O733" s="250"/>
      <c r="P733" s="250"/>
      <c r="Q733" s="250"/>
      <c r="R733" s="250"/>
      <c r="S733" s="250"/>
      <c r="T733" s="250"/>
      <c r="U733" s="250"/>
      <c r="V733" s="443"/>
      <c r="W733" s="410">
        <v>222132</v>
      </c>
      <c r="X733" s="31">
        <v>288900</v>
      </c>
      <c r="Y733" s="31">
        <v>375570</v>
      </c>
      <c r="Z733" s="98">
        <v>252520</v>
      </c>
      <c r="AA733" s="76">
        <f t="shared" si="861"/>
        <v>305663.33333333331</v>
      </c>
      <c r="AB733" s="24">
        <f t="shared" si="862"/>
        <v>83531.333333333314</v>
      </c>
      <c r="AC733" s="25">
        <f t="shared" si="863"/>
        <v>0.37604367373153491</v>
      </c>
      <c r="AD733" s="309" t="str">
        <f t="shared" si="864"/>
        <v>REVISAR PRECIO</v>
      </c>
      <c r="AE733" s="462">
        <f t="shared" si="865"/>
        <v>305663.33333333331</v>
      </c>
      <c r="AF733" s="410">
        <v>48317</v>
      </c>
      <c r="AG733" s="45">
        <v>90000</v>
      </c>
      <c r="AH733" s="45">
        <v>57109</v>
      </c>
      <c r="AI733" s="45">
        <v>95000</v>
      </c>
      <c r="AJ733" s="76">
        <f t="shared" si="866"/>
        <v>80703</v>
      </c>
      <c r="AK733" s="24">
        <f t="shared" si="867"/>
        <v>32386</v>
      </c>
      <c r="AL733" s="281">
        <f t="shared" si="868"/>
        <v>0.67028168139578204</v>
      </c>
      <c r="AM733" s="462">
        <f t="shared" si="869"/>
        <v>80703</v>
      </c>
      <c r="AN733" s="513">
        <v>48317</v>
      </c>
      <c r="AO733" s="88">
        <v>100000</v>
      </c>
      <c r="AP733" s="116">
        <v>100000</v>
      </c>
      <c r="AQ733" s="74">
        <v>105600</v>
      </c>
      <c r="AR733" s="76">
        <f t="shared" si="870"/>
        <v>101866.66666666667</v>
      </c>
      <c r="AS733" s="24">
        <f t="shared" si="871"/>
        <v>53549.666666666672</v>
      </c>
      <c r="AT733" s="25">
        <f t="shared" si="872"/>
        <v>1.1082986664459025</v>
      </c>
      <c r="AU733" s="309" t="str">
        <f t="shared" si="873"/>
        <v>REVISAR PRECIO</v>
      </c>
      <c r="AV733" s="462">
        <f t="shared" si="874"/>
        <v>101866.66666666667</v>
      </c>
      <c r="AW733" s="513">
        <v>48317</v>
      </c>
      <c r="AX733" s="74">
        <v>110400</v>
      </c>
      <c r="AY733" s="74">
        <v>150000</v>
      </c>
      <c r="AZ733" s="75">
        <v>127200</v>
      </c>
      <c r="BA733" s="61">
        <v>110399.99999999999</v>
      </c>
      <c r="BB733" s="60">
        <v>160000</v>
      </c>
      <c r="BC733" s="74">
        <v>126959.99999999997</v>
      </c>
      <c r="BD733" s="79">
        <v>127200</v>
      </c>
      <c r="BE733" s="79">
        <v>96000</v>
      </c>
      <c r="BF733" s="127">
        <v>96000</v>
      </c>
      <c r="BG733" s="142">
        <v>92000</v>
      </c>
      <c r="BH733" s="142">
        <v>95000</v>
      </c>
      <c r="BI733" s="76">
        <f t="shared" si="875"/>
        <v>130826.66666666667</v>
      </c>
      <c r="BJ733" s="24">
        <f t="shared" si="876"/>
        <v>82509.666666666672</v>
      </c>
      <c r="BK733" s="25">
        <f t="shared" si="877"/>
        <v>1.7076736276396853</v>
      </c>
      <c r="BL733" s="259" t="str">
        <f t="shared" si="878"/>
        <v>REVISAR PRECIO</v>
      </c>
      <c r="BM733" s="533">
        <f t="shared" si="879"/>
        <v>130826.66666666667</v>
      </c>
    </row>
    <row r="734" spans="1:65" ht="41.1" customHeight="1">
      <c r="A734" s="91" t="s">
        <v>32</v>
      </c>
      <c r="B734" s="358" t="s">
        <v>2925</v>
      </c>
      <c r="C734" s="50" t="s">
        <v>332</v>
      </c>
      <c r="D734" s="99" t="s">
        <v>680</v>
      </c>
      <c r="E734" s="391" t="s">
        <v>14</v>
      </c>
      <c r="F734" s="410">
        <v>24349</v>
      </c>
      <c r="G734" s="10">
        <v>22885</v>
      </c>
      <c r="H734" s="167">
        <v>68655</v>
      </c>
      <c r="I734" s="10">
        <v>28000</v>
      </c>
      <c r="J734" s="76">
        <f t="shared" si="853"/>
        <v>25442.5</v>
      </c>
      <c r="K734" s="24">
        <f t="shared" si="854"/>
        <v>1093.5</v>
      </c>
      <c r="L734" s="281">
        <f t="shared" si="855"/>
        <v>4.4909441866195735E-2</v>
      </c>
      <c r="M734" s="431">
        <f t="shared" si="856"/>
        <v>68655</v>
      </c>
      <c r="N734" s="410">
        <v>21918</v>
      </c>
      <c r="O734" s="10">
        <v>60000</v>
      </c>
      <c r="P734" s="10">
        <v>68000</v>
      </c>
      <c r="Q734" s="268">
        <v>68000</v>
      </c>
      <c r="R734" s="10">
        <v>65000</v>
      </c>
      <c r="S734" s="76">
        <f t="shared" ref="S734:S735" si="880">AVERAGE(O734,P734,Q734,R734)</f>
        <v>65250</v>
      </c>
      <c r="T734" s="24">
        <f t="shared" ref="T734:T735" si="881">S734-N734</f>
        <v>43332</v>
      </c>
      <c r="U734" s="281">
        <f t="shared" ref="U734:U735" si="882">+T734/N734</f>
        <v>1.9770052012044894</v>
      </c>
      <c r="V734" s="462">
        <f t="shared" ref="V734:V735" si="883">S734</f>
        <v>65250</v>
      </c>
      <c r="W734" s="410">
        <v>33548</v>
      </c>
      <c r="X734" s="31">
        <v>43632</v>
      </c>
      <c r="Y734" s="33">
        <v>56722</v>
      </c>
      <c r="Z734" s="98">
        <v>38137.599999999999</v>
      </c>
      <c r="AA734" s="76">
        <f t="shared" si="861"/>
        <v>46163.866666666669</v>
      </c>
      <c r="AB734" s="24">
        <f t="shared" si="862"/>
        <v>12615.866666666669</v>
      </c>
      <c r="AC734" s="25">
        <f t="shared" si="863"/>
        <v>0.37605421088192048</v>
      </c>
      <c r="AD734" s="309" t="str">
        <f t="shared" si="864"/>
        <v>REVISAR PRECIO</v>
      </c>
      <c r="AE734" s="462">
        <f t="shared" si="865"/>
        <v>46163.866666666669</v>
      </c>
      <c r="AF734" s="410">
        <v>24348</v>
      </c>
      <c r="AG734" s="45">
        <v>35000</v>
      </c>
      <c r="AH734" s="45">
        <v>28728</v>
      </c>
      <c r="AI734" s="45">
        <v>22000</v>
      </c>
      <c r="AJ734" s="76">
        <f t="shared" si="866"/>
        <v>28576</v>
      </c>
      <c r="AK734" s="24">
        <f t="shared" si="867"/>
        <v>4228</v>
      </c>
      <c r="AL734" s="281">
        <f t="shared" si="868"/>
        <v>0.17364875965171678</v>
      </c>
      <c r="AM734" s="462">
        <f t="shared" si="869"/>
        <v>28576</v>
      </c>
      <c r="AN734" s="513">
        <v>24348</v>
      </c>
      <c r="AO734" s="88">
        <v>25000</v>
      </c>
      <c r="AP734" s="116">
        <v>25000</v>
      </c>
      <c r="AQ734" s="74">
        <v>25173.5</v>
      </c>
      <c r="AR734" s="76">
        <f t="shared" si="870"/>
        <v>25057.833333333332</v>
      </c>
      <c r="AS734" s="24">
        <f t="shared" si="871"/>
        <v>709.83333333333212</v>
      </c>
      <c r="AT734" s="25">
        <f t="shared" si="872"/>
        <v>2.9153660807184661E-2</v>
      </c>
      <c r="AU734" s="309">
        <f t="shared" si="873"/>
        <v>25057.833333333332</v>
      </c>
      <c r="AV734" s="462">
        <f t="shared" si="874"/>
        <v>25057.833333333332</v>
      </c>
      <c r="AW734" s="513">
        <v>24348</v>
      </c>
      <c r="AX734" s="74">
        <v>26317.75</v>
      </c>
      <c r="AY734" s="74">
        <v>50000</v>
      </c>
      <c r="AZ734" s="75">
        <v>30322.625</v>
      </c>
      <c r="BA734" s="61">
        <v>26317.749999999996</v>
      </c>
      <c r="BB734" s="60">
        <v>85000</v>
      </c>
      <c r="BC734" s="74">
        <v>30265.412499999995</v>
      </c>
      <c r="BD734" s="79">
        <v>30322.625</v>
      </c>
      <c r="BE734" s="79">
        <f>19900*1.15</f>
        <v>22885</v>
      </c>
      <c r="BF734" s="127">
        <v>27462</v>
      </c>
      <c r="BG734" s="142">
        <v>265000</v>
      </c>
      <c r="BH734" s="142">
        <v>30000</v>
      </c>
      <c r="BI734" s="76">
        <f t="shared" si="875"/>
        <v>41370.589583333334</v>
      </c>
      <c r="BJ734" s="24">
        <f t="shared" si="876"/>
        <v>17022.589583333334</v>
      </c>
      <c r="BK734" s="25">
        <f t="shared" si="877"/>
        <v>0.69913707833634531</v>
      </c>
      <c r="BL734" s="259" t="str">
        <f t="shared" si="878"/>
        <v>REVISAR PRECIO</v>
      </c>
      <c r="BM734" s="533">
        <f t="shared" si="879"/>
        <v>41370.589583333334</v>
      </c>
    </row>
    <row r="735" spans="1:65" ht="41.1" customHeight="1">
      <c r="A735" s="91" t="s">
        <v>32</v>
      </c>
      <c r="B735" s="358" t="s">
        <v>2926</v>
      </c>
      <c r="C735" s="50" t="s">
        <v>333</v>
      </c>
      <c r="D735" s="99" t="s">
        <v>681</v>
      </c>
      <c r="E735" s="391" t="s">
        <v>14</v>
      </c>
      <c r="F735" s="410">
        <v>318006</v>
      </c>
      <c r="G735" s="10">
        <v>334460</v>
      </c>
      <c r="H735" s="167">
        <v>668920</v>
      </c>
      <c r="I735" s="10">
        <v>328600</v>
      </c>
      <c r="J735" s="76">
        <f t="shared" si="853"/>
        <v>331530</v>
      </c>
      <c r="K735" s="24">
        <f t="shared" si="854"/>
        <v>13524</v>
      </c>
      <c r="L735" s="281">
        <f t="shared" si="855"/>
        <v>4.2527499481141866E-2</v>
      </c>
      <c r="M735" s="431">
        <f t="shared" si="856"/>
        <v>668920</v>
      </c>
      <c r="N735" s="410">
        <v>286206</v>
      </c>
      <c r="O735" s="10">
        <v>90000</v>
      </c>
      <c r="P735" s="10">
        <v>105000</v>
      </c>
      <c r="Q735" s="268">
        <v>98000</v>
      </c>
      <c r="R735" s="10">
        <v>220000</v>
      </c>
      <c r="S735" s="76">
        <f t="shared" si="880"/>
        <v>128250</v>
      </c>
      <c r="T735" s="24">
        <f t="shared" si="881"/>
        <v>-157956</v>
      </c>
      <c r="U735" s="281">
        <f t="shared" si="882"/>
        <v>-0.55189618666275342</v>
      </c>
      <c r="V735" s="462">
        <f t="shared" si="883"/>
        <v>128250</v>
      </c>
      <c r="W735" s="410">
        <v>325486</v>
      </c>
      <c r="X735" s="31">
        <v>423320</v>
      </c>
      <c r="Y735" s="31">
        <v>423320</v>
      </c>
      <c r="Z735" s="98">
        <v>370012.6</v>
      </c>
      <c r="AA735" s="76">
        <f t="shared" si="861"/>
        <v>405550.8666666667</v>
      </c>
      <c r="AB735" s="24">
        <f t="shared" si="862"/>
        <v>80064.866666666698</v>
      </c>
      <c r="AC735" s="25">
        <f t="shared" si="863"/>
        <v>0.24598559282631727</v>
      </c>
      <c r="AD735" s="309">
        <f t="shared" si="864"/>
        <v>405550.8666666667</v>
      </c>
      <c r="AE735" s="462">
        <f t="shared" si="865"/>
        <v>405550.8666666667</v>
      </c>
      <c r="AF735" s="410">
        <v>318005</v>
      </c>
      <c r="AG735" s="45">
        <v>350000</v>
      </c>
      <c r="AH735" s="45">
        <v>375213</v>
      </c>
      <c r="AI735" s="45">
        <v>340000</v>
      </c>
      <c r="AJ735" s="76">
        <f t="shared" si="866"/>
        <v>355071</v>
      </c>
      <c r="AK735" s="24">
        <f t="shared" si="867"/>
        <v>37066</v>
      </c>
      <c r="AL735" s="281">
        <f t="shared" si="868"/>
        <v>0.11655791575604157</v>
      </c>
      <c r="AM735" s="462">
        <f t="shared" si="869"/>
        <v>355071</v>
      </c>
      <c r="AN735" s="513">
        <v>318005</v>
      </c>
      <c r="AO735" s="88">
        <v>351000</v>
      </c>
      <c r="AP735" s="116">
        <v>351000</v>
      </c>
      <c r="AQ735" s="74">
        <v>367906</v>
      </c>
      <c r="AR735" s="76">
        <f t="shared" si="870"/>
        <v>356635.33333333331</v>
      </c>
      <c r="AS735" s="24">
        <f t="shared" si="871"/>
        <v>38630.333333333314</v>
      </c>
      <c r="AT735" s="25">
        <f t="shared" si="872"/>
        <v>0.12147712562171448</v>
      </c>
      <c r="AU735" s="309">
        <f t="shared" si="873"/>
        <v>356635.33333333331</v>
      </c>
      <c r="AV735" s="462">
        <f t="shared" si="874"/>
        <v>356635.33333333331</v>
      </c>
      <c r="AW735" s="513">
        <v>318005</v>
      </c>
      <c r="AX735" s="74">
        <v>384629</v>
      </c>
      <c r="AY735" s="74">
        <v>500000</v>
      </c>
      <c r="AZ735" s="75">
        <v>443159.5</v>
      </c>
      <c r="BA735" s="61">
        <v>384628.99999999994</v>
      </c>
      <c r="BB735" s="60">
        <v>420000</v>
      </c>
      <c r="BC735" s="74">
        <v>442323.34999999992</v>
      </c>
      <c r="BD735" s="79">
        <v>443159.5</v>
      </c>
      <c r="BE735" s="79">
        <f>238900*1.4</f>
        <v>334460</v>
      </c>
      <c r="BF735" s="127">
        <v>401352</v>
      </c>
      <c r="BG735" s="142">
        <v>411000</v>
      </c>
      <c r="BH735" s="142">
        <v>370000</v>
      </c>
      <c r="BI735" s="76">
        <f t="shared" si="875"/>
        <v>429123.47500000003</v>
      </c>
      <c r="BJ735" s="24">
        <f t="shared" si="876"/>
        <v>111118.47500000003</v>
      </c>
      <c r="BK735" s="25">
        <f t="shared" si="877"/>
        <v>0.3494236725837645</v>
      </c>
      <c r="BL735" s="259">
        <f t="shared" si="878"/>
        <v>429123.47500000003</v>
      </c>
      <c r="BM735" s="533">
        <f t="shared" si="879"/>
        <v>429123.47500000003</v>
      </c>
    </row>
    <row r="736" spans="1:65" ht="41.1" customHeight="1">
      <c r="A736" s="91" t="s">
        <v>32</v>
      </c>
      <c r="B736" s="358" t="s">
        <v>2927</v>
      </c>
      <c r="C736" s="50" t="s">
        <v>334</v>
      </c>
      <c r="D736" s="99" t="s">
        <v>682</v>
      </c>
      <c r="E736" s="391" t="s">
        <v>13</v>
      </c>
      <c r="F736" s="408"/>
      <c r="G736" s="293"/>
      <c r="H736" s="293"/>
      <c r="I736" s="293"/>
      <c r="J736" s="293"/>
      <c r="K736" s="293"/>
      <c r="L736" s="327"/>
      <c r="M736" s="432"/>
      <c r="N736" s="443"/>
      <c r="O736" s="250"/>
      <c r="P736" s="250"/>
      <c r="Q736" s="250"/>
      <c r="R736" s="250"/>
      <c r="S736" s="250"/>
      <c r="T736" s="250"/>
      <c r="U736" s="250"/>
      <c r="V736" s="443"/>
      <c r="W736" s="410">
        <v>94510</v>
      </c>
      <c r="X736" s="31">
        <v>122918</v>
      </c>
      <c r="Y736" s="31">
        <v>159793</v>
      </c>
      <c r="Z736" s="98">
        <v>107439</v>
      </c>
      <c r="AA736" s="76">
        <f t="shared" si="861"/>
        <v>130050</v>
      </c>
      <c r="AB736" s="24">
        <f t="shared" si="862"/>
        <v>35540</v>
      </c>
      <c r="AC736" s="25">
        <f t="shared" si="863"/>
        <v>0.3760448629774627</v>
      </c>
      <c r="AD736" s="309" t="str">
        <f t="shared" si="864"/>
        <v>REVISAR PRECIO</v>
      </c>
      <c r="AE736" s="462">
        <f t="shared" si="865"/>
        <v>130050</v>
      </c>
      <c r="AF736" s="408"/>
      <c r="AG736" s="293"/>
      <c r="AH736" s="293"/>
      <c r="AI736" s="293"/>
      <c r="AJ736" s="293"/>
      <c r="AK736" s="293"/>
      <c r="AL736" s="327"/>
      <c r="AM736" s="463"/>
      <c r="AN736" s="513">
        <v>92333</v>
      </c>
      <c r="AO736" s="88">
        <v>113000</v>
      </c>
      <c r="AP736" s="116">
        <v>113000</v>
      </c>
      <c r="AQ736" s="74">
        <v>118467.47000000002</v>
      </c>
      <c r="AR736" s="76">
        <f t="shared" si="870"/>
        <v>114822.49</v>
      </c>
      <c r="AS736" s="24">
        <f t="shared" si="871"/>
        <v>22489.490000000005</v>
      </c>
      <c r="AT736" s="25">
        <f t="shared" si="872"/>
        <v>0.2435693630662927</v>
      </c>
      <c r="AU736" s="309">
        <f t="shared" si="873"/>
        <v>114822.49</v>
      </c>
      <c r="AV736" s="462">
        <f t="shared" si="874"/>
        <v>114822.49</v>
      </c>
      <c r="AW736" s="513">
        <v>92333</v>
      </c>
      <c r="AX736" s="74">
        <v>123852.35500000001</v>
      </c>
      <c r="AY736" s="74">
        <v>180000</v>
      </c>
      <c r="AZ736" s="75">
        <v>142699.45250000001</v>
      </c>
      <c r="BA736" s="61">
        <v>123852.35500000001</v>
      </c>
      <c r="BB736" s="60">
        <v>120000</v>
      </c>
      <c r="BC736" s="74">
        <v>142430.20825</v>
      </c>
      <c r="BD736" s="79">
        <v>142699.45250000001</v>
      </c>
      <c r="BE736" s="79">
        <f>97907*1.1</f>
        <v>107697.70000000001</v>
      </c>
      <c r="BF736" s="127">
        <v>129237.24000000002</v>
      </c>
      <c r="BG736" s="142">
        <v>105400</v>
      </c>
      <c r="BH736" s="142">
        <v>110000</v>
      </c>
      <c r="BI736" s="76">
        <f t="shared" si="875"/>
        <v>138805.72845833332</v>
      </c>
      <c r="BJ736" s="24">
        <f t="shared" si="876"/>
        <v>46472.728458333324</v>
      </c>
      <c r="BK736" s="25">
        <f t="shared" si="877"/>
        <v>0.50331656567352223</v>
      </c>
      <c r="BL736" s="259" t="str">
        <f t="shared" si="878"/>
        <v>REVISAR PRECIO</v>
      </c>
      <c r="BM736" s="533">
        <f t="shared" si="879"/>
        <v>138805.72845833332</v>
      </c>
    </row>
    <row r="737" spans="1:65" ht="57.95" customHeight="1">
      <c r="A737" s="91" t="s">
        <v>32</v>
      </c>
      <c r="B737" s="358" t="s">
        <v>2928</v>
      </c>
      <c r="C737" s="50" t="s">
        <v>335</v>
      </c>
      <c r="D737" s="99" t="s">
        <v>683</v>
      </c>
      <c r="E737" s="391" t="s">
        <v>13</v>
      </c>
      <c r="F737" s="408"/>
      <c r="G737" s="293"/>
      <c r="H737" s="293"/>
      <c r="I737" s="293"/>
      <c r="J737" s="293"/>
      <c r="K737" s="293"/>
      <c r="L737" s="327"/>
      <c r="M737" s="432"/>
      <c r="N737" s="443"/>
      <c r="O737" s="250"/>
      <c r="P737" s="250"/>
      <c r="Q737" s="250"/>
      <c r="R737" s="250"/>
      <c r="S737" s="250"/>
      <c r="T737" s="250"/>
      <c r="U737" s="250"/>
      <c r="V737" s="443"/>
      <c r="W737" s="410">
        <v>303200</v>
      </c>
      <c r="X737" s="31">
        <v>394335</v>
      </c>
      <c r="Y737" s="31">
        <v>512636</v>
      </c>
      <c r="Z737" s="98">
        <v>344678</v>
      </c>
      <c r="AA737" s="76">
        <f t="shared" si="861"/>
        <v>417216.33333333331</v>
      </c>
      <c r="AB737" s="24">
        <f t="shared" si="862"/>
        <v>114016.33333333331</v>
      </c>
      <c r="AC737" s="25">
        <f t="shared" si="863"/>
        <v>0.37604331574318373</v>
      </c>
      <c r="AD737" s="309" t="str">
        <f t="shared" si="864"/>
        <v>REVISAR PRECIO</v>
      </c>
      <c r="AE737" s="462">
        <f t="shared" si="865"/>
        <v>417216.33333333331</v>
      </c>
      <c r="AF737" s="408"/>
      <c r="AG737" s="293"/>
      <c r="AH737" s="293"/>
      <c r="AI737" s="293"/>
      <c r="AJ737" s="293"/>
      <c r="AK737" s="293"/>
      <c r="AL737" s="327"/>
      <c r="AM737" s="463"/>
      <c r="AN737" s="513">
        <v>388154</v>
      </c>
      <c r="AO737" s="88">
        <v>475000</v>
      </c>
      <c r="AP737" s="116">
        <v>475000</v>
      </c>
      <c r="AQ737" s="74">
        <v>495591.80000000005</v>
      </c>
      <c r="AR737" s="76">
        <f t="shared" si="870"/>
        <v>481863.93333333335</v>
      </c>
      <c r="AS737" s="24">
        <f t="shared" si="871"/>
        <v>93709.933333333349</v>
      </c>
      <c r="AT737" s="25">
        <f t="shared" si="872"/>
        <v>0.24142462356006469</v>
      </c>
      <c r="AU737" s="309">
        <f t="shared" si="873"/>
        <v>481863.93333333335</v>
      </c>
      <c r="AV737" s="462">
        <f t="shared" si="874"/>
        <v>481863.93333333335</v>
      </c>
      <c r="AW737" s="513">
        <v>388154</v>
      </c>
      <c r="AX737" s="74">
        <v>518118.70000000007</v>
      </c>
      <c r="AY737" s="74">
        <v>650000</v>
      </c>
      <c r="AZ737" s="75">
        <v>596962.85000000009</v>
      </c>
      <c r="BA737" s="61">
        <v>518118.7</v>
      </c>
      <c r="BB737" s="60">
        <v>140000</v>
      </c>
      <c r="BC737" s="74">
        <v>595836.505</v>
      </c>
      <c r="BD737" s="79">
        <v>596962.85000000009</v>
      </c>
      <c r="BE737" s="79">
        <f>409580*1.1</f>
        <v>450538.00000000006</v>
      </c>
      <c r="BF737" s="127">
        <v>495591.80000000005</v>
      </c>
      <c r="BG737" s="142">
        <v>546000</v>
      </c>
      <c r="BH737" s="142">
        <v>460000</v>
      </c>
      <c r="BI737" s="76">
        <f t="shared" si="875"/>
        <v>503172.79250000004</v>
      </c>
      <c r="BJ737" s="24">
        <f t="shared" si="876"/>
        <v>115018.79250000004</v>
      </c>
      <c r="BK737" s="25">
        <f t="shared" si="877"/>
        <v>0.29632257428752518</v>
      </c>
      <c r="BL737" s="259">
        <f t="shared" si="878"/>
        <v>503172.79250000004</v>
      </c>
      <c r="BM737" s="533">
        <f t="shared" si="879"/>
        <v>503172.79250000004</v>
      </c>
    </row>
    <row r="738" spans="1:65" ht="42.6" customHeight="1">
      <c r="A738" s="91" t="s">
        <v>32</v>
      </c>
      <c r="B738" s="358" t="s">
        <v>2929</v>
      </c>
      <c r="C738" s="50" t="s">
        <v>336</v>
      </c>
      <c r="D738" s="99" t="s">
        <v>684</v>
      </c>
      <c r="E738" s="391" t="s">
        <v>14</v>
      </c>
      <c r="F738" s="410">
        <v>78247</v>
      </c>
      <c r="G738" s="10">
        <v>103870</v>
      </c>
      <c r="H738" s="167">
        <v>207740</v>
      </c>
      <c r="I738" s="10">
        <v>110000</v>
      </c>
      <c r="J738" s="76">
        <f t="shared" ref="J738:J749" si="884">AVERAGE(G738,I738)</f>
        <v>106935</v>
      </c>
      <c r="K738" s="24">
        <f t="shared" ref="K738:K749" si="885">J738-F738</f>
        <v>28688</v>
      </c>
      <c r="L738" s="281">
        <f t="shared" ref="L738:L749" si="886">+K738/F738</f>
        <v>0.36663386455710761</v>
      </c>
      <c r="M738" s="431">
        <f t="shared" ref="M738:M749" si="887">H738</f>
        <v>207740</v>
      </c>
      <c r="N738" s="410">
        <v>71117</v>
      </c>
      <c r="O738" s="10">
        <v>600000</v>
      </c>
      <c r="P738" s="10">
        <v>680000</v>
      </c>
      <c r="Q738" s="268">
        <v>630000</v>
      </c>
      <c r="R738" s="10">
        <v>600000</v>
      </c>
      <c r="S738" s="76">
        <f t="shared" ref="S738:S739" si="888">AVERAGE(O738,P738,Q738,R738)</f>
        <v>627500</v>
      </c>
      <c r="T738" s="24">
        <f t="shared" ref="T738:T739" si="889">S738-N738</f>
        <v>556383</v>
      </c>
      <c r="U738" s="281">
        <f t="shared" ref="U738:U739" si="890">+T738/N738</f>
        <v>7.8234880548954537</v>
      </c>
      <c r="V738" s="462">
        <f t="shared" ref="V738:V739" si="891">S738</f>
        <v>627500</v>
      </c>
      <c r="W738" s="410">
        <v>102108</v>
      </c>
      <c r="X738" s="31">
        <v>132800</v>
      </c>
      <c r="Y738" s="31">
        <v>172639</v>
      </c>
      <c r="Z738" s="98">
        <v>116076.6</v>
      </c>
      <c r="AA738" s="76">
        <f t="shared" si="861"/>
        <v>140505.19999999998</v>
      </c>
      <c r="AB738" s="24">
        <f t="shared" si="862"/>
        <v>38397.199999999983</v>
      </c>
      <c r="AC738" s="25">
        <f t="shared" si="863"/>
        <v>0.37604497199044135</v>
      </c>
      <c r="AD738" s="309" t="str">
        <f t="shared" si="864"/>
        <v>REVISAR PRECIO</v>
      </c>
      <c r="AE738" s="462">
        <f t="shared" si="865"/>
        <v>140505.19999999998</v>
      </c>
      <c r="AF738" s="410">
        <v>79413</v>
      </c>
      <c r="AG738" s="45">
        <v>150000</v>
      </c>
      <c r="AH738" s="45">
        <v>92319</v>
      </c>
      <c r="AI738" s="45">
        <v>100000</v>
      </c>
      <c r="AJ738" s="76">
        <f t="shared" ref="AJ738:AJ748" si="892">AVERAGE(AG738,AH738,AI738)</f>
        <v>114106.33333333333</v>
      </c>
      <c r="AK738" s="24">
        <f t="shared" ref="AK738:AK748" si="893">AJ738-AF738</f>
        <v>34693.333333333328</v>
      </c>
      <c r="AL738" s="281">
        <f t="shared" ref="AL738:AL748" si="894">+AK738/AF738</f>
        <v>0.43687221655564362</v>
      </c>
      <c r="AM738" s="462">
        <f t="shared" ref="AM738:AM748" si="895">AJ738</f>
        <v>114106.33333333333</v>
      </c>
      <c r="AN738" s="513">
        <v>79813</v>
      </c>
      <c r="AO738" s="88">
        <v>115000</v>
      </c>
      <c r="AP738" s="116">
        <v>115000</v>
      </c>
      <c r="AQ738" s="74">
        <v>114257</v>
      </c>
      <c r="AR738" s="76">
        <f t="shared" si="870"/>
        <v>114752.33333333333</v>
      </c>
      <c r="AS738" s="24">
        <f t="shared" si="871"/>
        <v>34939.333333333328</v>
      </c>
      <c r="AT738" s="25">
        <f t="shared" si="872"/>
        <v>0.43776494221910378</v>
      </c>
      <c r="AU738" s="309" t="str">
        <f t="shared" si="873"/>
        <v>REVISAR PRECIO</v>
      </c>
      <c r="AV738" s="462">
        <f t="shared" si="874"/>
        <v>114752.33333333333</v>
      </c>
      <c r="AW738" s="513">
        <v>79813</v>
      </c>
      <c r="AX738" s="74">
        <v>119450.5</v>
      </c>
      <c r="AY738" s="74">
        <v>200000</v>
      </c>
      <c r="AZ738" s="75">
        <v>137627.75</v>
      </c>
      <c r="BA738" s="61">
        <v>119450.49999999999</v>
      </c>
      <c r="BB738" s="60">
        <v>360000</v>
      </c>
      <c r="BC738" s="74">
        <v>137368.07499999998</v>
      </c>
      <c r="BD738" s="79">
        <v>137627.75</v>
      </c>
      <c r="BE738" s="79">
        <f>79900*1.3</f>
        <v>103870</v>
      </c>
      <c r="BF738" s="127">
        <v>124644</v>
      </c>
      <c r="BG738" s="142">
        <v>101800</v>
      </c>
      <c r="BH738" s="142">
        <v>100000</v>
      </c>
      <c r="BI738" s="76">
        <f t="shared" si="875"/>
        <v>178982.80416666667</v>
      </c>
      <c r="BJ738" s="24">
        <f t="shared" si="876"/>
        <v>99169.804166666669</v>
      </c>
      <c r="BK738" s="25">
        <f t="shared" si="877"/>
        <v>1.2425269588496444</v>
      </c>
      <c r="BL738" s="259" t="str">
        <f t="shared" si="878"/>
        <v>REVISAR PRECIO</v>
      </c>
      <c r="BM738" s="533">
        <f t="shared" si="879"/>
        <v>178982.80416666667</v>
      </c>
    </row>
    <row r="739" spans="1:65" ht="42.6" customHeight="1">
      <c r="A739" s="91" t="s">
        <v>32</v>
      </c>
      <c r="B739" s="358" t="s">
        <v>2930</v>
      </c>
      <c r="C739" s="50" t="s">
        <v>337</v>
      </c>
      <c r="D739" s="99" t="s">
        <v>685</v>
      </c>
      <c r="E739" s="391" t="s">
        <v>13</v>
      </c>
      <c r="F739" s="410">
        <v>2346</v>
      </c>
      <c r="G739" s="10">
        <v>10000</v>
      </c>
      <c r="H739" s="167">
        <v>30000</v>
      </c>
      <c r="I739" s="10">
        <v>6000</v>
      </c>
      <c r="J739" s="76">
        <f t="shared" si="884"/>
        <v>8000</v>
      </c>
      <c r="K739" s="24">
        <f t="shared" si="885"/>
        <v>5654</v>
      </c>
      <c r="L739" s="281">
        <f t="shared" si="886"/>
        <v>2.4100596760443307</v>
      </c>
      <c r="M739" s="431">
        <f t="shared" si="887"/>
        <v>30000</v>
      </c>
      <c r="N739" s="410">
        <v>2136</v>
      </c>
      <c r="O739" s="10">
        <v>230000</v>
      </c>
      <c r="P739" s="10">
        <v>250000</v>
      </c>
      <c r="Q739" s="268">
        <v>230000</v>
      </c>
      <c r="R739" s="10">
        <v>230000</v>
      </c>
      <c r="S739" s="76">
        <f t="shared" si="888"/>
        <v>235000</v>
      </c>
      <c r="T739" s="24">
        <f t="shared" si="889"/>
        <v>232864</v>
      </c>
      <c r="U739" s="281">
        <f t="shared" si="890"/>
        <v>109.0187265917603</v>
      </c>
      <c r="V739" s="462">
        <f t="shared" si="891"/>
        <v>235000</v>
      </c>
      <c r="W739" s="410">
        <v>3062</v>
      </c>
      <c r="X739" s="31">
        <v>3983</v>
      </c>
      <c r="Y739" s="31">
        <v>5177</v>
      </c>
      <c r="Z739" s="98">
        <v>3481</v>
      </c>
      <c r="AA739" s="76">
        <f t="shared" si="861"/>
        <v>4213.666666666667</v>
      </c>
      <c r="AB739" s="24">
        <f t="shared" si="862"/>
        <v>1151.666666666667</v>
      </c>
      <c r="AC739" s="25">
        <f t="shared" si="863"/>
        <v>0.37611582843457447</v>
      </c>
      <c r="AD739" s="309" t="str">
        <f t="shared" si="864"/>
        <v>REVISAR PRECIO</v>
      </c>
      <c r="AE739" s="462">
        <f t="shared" si="865"/>
        <v>4213.666666666667</v>
      </c>
      <c r="AF739" s="499">
        <v>2383</v>
      </c>
      <c r="AG739" s="45">
        <v>20000</v>
      </c>
      <c r="AH739" s="45">
        <v>2768</v>
      </c>
      <c r="AI739" s="45">
        <v>12000</v>
      </c>
      <c r="AJ739" s="76">
        <f t="shared" si="892"/>
        <v>11589.333333333334</v>
      </c>
      <c r="AK739" s="24">
        <f t="shared" si="893"/>
        <v>9206.3333333333339</v>
      </c>
      <c r="AL739" s="281">
        <f t="shared" si="894"/>
        <v>3.8633375297244372</v>
      </c>
      <c r="AM739" s="462">
        <f t="shared" si="895"/>
        <v>11589.333333333334</v>
      </c>
      <c r="AN739" s="513">
        <v>2392</v>
      </c>
      <c r="AO739" s="88">
        <v>14000</v>
      </c>
      <c r="AP739" s="116">
        <v>14000</v>
      </c>
      <c r="AQ739" s="74">
        <v>13200</v>
      </c>
      <c r="AR739" s="76">
        <f t="shared" si="870"/>
        <v>13733.333333333334</v>
      </c>
      <c r="AS739" s="24">
        <f t="shared" si="871"/>
        <v>11341.333333333334</v>
      </c>
      <c r="AT739" s="25">
        <f t="shared" si="872"/>
        <v>4.741360089186176</v>
      </c>
      <c r="AU739" s="309" t="str">
        <f t="shared" si="873"/>
        <v>REVISAR PRECIO</v>
      </c>
      <c r="AV739" s="462">
        <f t="shared" si="874"/>
        <v>13733.333333333334</v>
      </c>
      <c r="AW739" s="513">
        <v>2392</v>
      </c>
      <c r="AX739" s="74">
        <v>13800</v>
      </c>
      <c r="AY739" s="74">
        <v>18000</v>
      </c>
      <c r="AZ739" s="75">
        <v>15900</v>
      </c>
      <c r="BA739" s="61">
        <v>13799.999999999998</v>
      </c>
      <c r="BB739" s="60">
        <v>12000</v>
      </c>
      <c r="BC739" s="74">
        <v>15869.999999999996</v>
      </c>
      <c r="BD739" s="79">
        <v>15900</v>
      </c>
      <c r="BE739" s="79">
        <v>12000</v>
      </c>
      <c r="BF739" s="127">
        <v>12000</v>
      </c>
      <c r="BG739" s="142">
        <v>10200</v>
      </c>
      <c r="BH739" s="142">
        <v>13000</v>
      </c>
      <c r="BI739" s="76">
        <f t="shared" si="875"/>
        <v>14895</v>
      </c>
      <c r="BJ739" s="24">
        <f t="shared" si="876"/>
        <v>12503</v>
      </c>
      <c r="BK739" s="25">
        <f t="shared" si="877"/>
        <v>5.2270066889632103</v>
      </c>
      <c r="BL739" s="259" t="str">
        <f t="shared" si="878"/>
        <v>REVISAR PRECIO</v>
      </c>
      <c r="BM739" s="533">
        <f t="shared" si="879"/>
        <v>14895</v>
      </c>
    </row>
    <row r="740" spans="1:65" ht="42.6" customHeight="1">
      <c r="A740" s="91" t="s">
        <v>32</v>
      </c>
      <c r="B740" s="358" t="s">
        <v>2931</v>
      </c>
      <c r="C740" s="50" t="s">
        <v>338</v>
      </c>
      <c r="D740" s="99" t="s">
        <v>686</v>
      </c>
      <c r="E740" s="391" t="s">
        <v>14</v>
      </c>
      <c r="F740" s="410">
        <v>285504</v>
      </c>
      <c r="G740" s="10">
        <v>426265</v>
      </c>
      <c r="H740" s="167">
        <v>1705060</v>
      </c>
      <c r="I740" s="10">
        <v>450000</v>
      </c>
      <c r="J740" s="76">
        <f t="shared" si="884"/>
        <v>438132.5</v>
      </c>
      <c r="K740" s="24">
        <f t="shared" si="885"/>
        <v>152628.5</v>
      </c>
      <c r="L740" s="281">
        <f t="shared" si="886"/>
        <v>0.5345932106030038</v>
      </c>
      <c r="M740" s="431">
        <f t="shared" si="887"/>
        <v>1705060</v>
      </c>
      <c r="N740" s="443"/>
      <c r="O740" s="250"/>
      <c r="P740" s="250"/>
      <c r="Q740" s="250"/>
      <c r="R740" s="250"/>
      <c r="S740" s="250"/>
      <c r="T740" s="250"/>
      <c r="U740" s="250"/>
      <c r="V740" s="443"/>
      <c r="W740" s="410">
        <v>372549</v>
      </c>
      <c r="X740" s="31">
        <v>484529</v>
      </c>
      <c r="Y740" s="31">
        <v>629887</v>
      </c>
      <c r="Z740" s="98">
        <v>423513.8</v>
      </c>
      <c r="AA740" s="76">
        <f t="shared" si="861"/>
        <v>512643.26666666666</v>
      </c>
      <c r="AB740" s="24">
        <f t="shared" si="862"/>
        <v>140094.26666666666</v>
      </c>
      <c r="AC740" s="25">
        <f t="shared" si="863"/>
        <v>0.37604252505486974</v>
      </c>
      <c r="AD740" s="309" t="str">
        <f t="shared" si="864"/>
        <v>REVISAR PRECIO</v>
      </c>
      <c r="AE740" s="462">
        <f t="shared" si="865"/>
        <v>512643.26666666666</v>
      </c>
      <c r="AF740" s="410">
        <v>289765</v>
      </c>
      <c r="AG740" s="45"/>
      <c r="AH740" s="45">
        <v>336861</v>
      </c>
      <c r="AI740" s="45">
        <v>185000</v>
      </c>
      <c r="AJ740" s="76">
        <f t="shared" si="892"/>
        <v>260930.5</v>
      </c>
      <c r="AK740" s="24">
        <f t="shared" si="893"/>
        <v>-28834.5</v>
      </c>
      <c r="AL740" s="281">
        <f t="shared" si="894"/>
        <v>-9.9509947716252822E-2</v>
      </c>
      <c r="AM740" s="462">
        <f t="shared" si="895"/>
        <v>260930.5</v>
      </c>
      <c r="AN740" s="513">
        <v>291208</v>
      </c>
      <c r="AO740" s="88">
        <v>200000</v>
      </c>
      <c r="AP740" s="116">
        <v>200000</v>
      </c>
      <c r="AQ740" s="74">
        <v>198506</v>
      </c>
      <c r="AR740" s="76">
        <f t="shared" si="870"/>
        <v>199502</v>
      </c>
      <c r="AS740" s="24">
        <f t="shared" si="871"/>
        <v>-91706</v>
      </c>
      <c r="AT740" s="25">
        <f t="shared" si="872"/>
        <v>-0.31491579901651051</v>
      </c>
      <c r="AU740" s="309">
        <f t="shared" si="873"/>
        <v>199502</v>
      </c>
      <c r="AV740" s="462">
        <f t="shared" si="874"/>
        <v>199502</v>
      </c>
      <c r="AW740" s="513">
        <v>291208</v>
      </c>
      <c r="AX740" s="74">
        <v>207529</v>
      </c>
      <c r="AY740" s="74">
        <v>240000</v>
      </c>
      <c r="AZ740" s="75">
        <v>239109.5</v>
      </c>
      <c r="BA740" s="61">
        <v>207528.99999999997</v>
      </c>
      <c r="BB740" s="60">
        <v>450000</v>
      </c>
      <c r="BC740" s="74">
        <v>238658.34999999995</v>
      </c>
      <c r="BD740" s="79">
        <v>239109.5</v>
      </c>
      <c r="BE740" s="79">
        <f>128900*1.4</f>
        <v>180460</v>
      </c>
      <c r="BF740" s="127">
        <v>216552</v>
      </c>
      <c r="BG740" s="142">
        <v>222900</v>
      </c>
      <c r="BH740" s="142">
        <v>200000</v>
      </c>
      <c r="BI740" s="76">
        <f t="shared" si="875"/>
        <v>263804.30833333329</v>
      </c>
      <c r="BJ740" s="24">
        <f t="shared" si="876"/>
        <v>-27403.691666666709</v>
      </c>
      <c r="BK740" s="25">
        <f t="shared" si="877"/>
        <v>-9.4103498759191745E-2</v>
      </c>
      <c r="BL740" s="259">
        <f t="shared" si="878"/>
        <v>263804.30833333329</v>
      </c>
      <c r="BM740" s="533">
        <f t="shared" si="879"/>
        <v>263804.30833333329</v>
      </c>
    </row>
    <row r="741" spans="1:65" ht="45" customHeight="1">
      <c r="A741" s="91" t="s">
        <v>32</v>
      </c>
      <c r="B741" s="358" t="s">
        <v>2932</v>
      </c>
      <c r="C741" s="50" t="s">
        <v>339</v>
      </c>
      <c r="D741" s="99" t="s">
        <v>687</v>
      </c>
      <c r="E741" s="391" t="s">
        <v>10</v>
      </c>
      <c r="F741" s="410">
        <v>367689</v>
      </c>
      <c r="G741" s="10">
        <v>158250</v>
      </c>
      <c r="H741" s="167">
        <v>633000</v>
      </c>
      <c r="I741" s="10">
        <v>150600</v>
      </c>
      <c r="J741" s="76">
        <f t="shared" si="884"/>
        <v>154425</v>
      </c>
      <c r="K741" s="24">
        <f t="shared" si="885"/>
        <v>-213264</v>
      </c>
      <c r="L741" s="281">
        <f t="shared" si="886"/>
        <v>-0.58001191224105153</v>
      </c>
      <c r="M741" s="431">
        <f t="shared" si="887"/>
        <v>633000</v>
      </c>
      <c r="N741" s="443"/>
      <c r="O741" s="250"/>
      <c r="P741" s="250"/>
      <c r="Q741" s="250"/>
      <c r="R741" s="250"/>
      <c r="S741" s="250"/>
      <c r="T741" s="250"/>
      <c r="U741" s="250"/>
      <c r="V741" s="443"/>
      <c r="W741" s="410">
        <v>553648</v>
      </c>
      <c r="X741" s="31">
        <v>720063</v>
      </c>
      <c r="Y741" s="31">
        <v>936082</v>
      </c>
      <c r="Z741" s="98">
        <v>629388.4</v>
      </c>
      <c r="AA741" s="76">
        <f t="shared" si="861"/>
        <v>761844.46666666667</v>
      </c>
      <c r="AB741" s="24">
        <f t="shared" si="862"/>
        <v>208196.46666666667</v>
      </c>
      <c r="AC741" s="25">
        <f t="shared" si="863"/>
        <v>0.37604482751977192</v>
      </c>
      <c r="AD741" s="309" t="str">
        <f t="shared" si="864"/>
        <v>REVISAR PRECIO</v>
      </c>
      <c r="AE741" s="462">
        <f t="shared" si="865"/>
        <v>761844.46666666667</v>
      </c>
      <c r="AF741" s="410">
        <v>373175</v>
      </c>
      <c r="AG741" s="45"/>
      <c r="AH741" s="45">
        <v>433832</v>
      </c>
      <c r="AI741" s="45">
        <v>155000</v>
      </c>
      <c r="AJ741" s="76">
        <f t="shared" si="892"/>
        <v>294416</v>
      </c>
      <c r="AK741" s="24">
        <f t="shared" si="893"/>
        <v>-78759</v>
      </c>
      <c r="AL741" s="281">
        <f t="shared" si="894"/>
        <v>-0.21105111542841831</v>
      </c>
      <c r="AM741" s="462">
        <f t="shared" si="895"/>
        <v>294416</v>
      </c>
      <c r="AN741" s="513">
        <v>375045</v>
      </c>
      <c r="AO741" s="88">
        <v>175000</v>
      </c>
      <c r="AP741" s="116">
        <v>175000</v>
      </c>
      <c r="AQ741" s="74">
        <v>174075</v>
      </c>
      <c r="AR741" s="76">
        <f t="shared" si="870"/>
        <v>174691.66666666666</v>
      </c>
      <c r="AS741" s="24">
        <f t="shared" si="871"/>
        <v>-200353.33333333334</v>
      </c>
      <c r="AT741" s="25">
        <f t="shared" si="872"/>
        <v>-0.53421145018153382</v>
      </c>
      <c r="AU741" s="309">
        <f t="shared" si="873"/>
        <v>174691.66666666666</v>
      </c>
      <c r="AV741" s="462">
        <f t="shared" si="874"/>
        <v>174691.66666666666</v>
      </c>
      <c r="AW741" s="513">
        <v>375045</v>
      </c>
      <c r="AX741" s="74">
        <v>181987.5</v>
      </c>
      <c r="AY741" s="74">
        <v>450000</v>
      </c>
      <c r="AZ741" s="75">
        <v>209681.25</v>
      </c>
      <c r="BA741" s="61">
        <v>181987.5</v>
      </c>
      <c r="BB741" s="60"/>
      <c r="BC741" s="74">
        <v>209285.62499999997</v>
      </c>
      <c r="BD741" s="79">
        <v>209681.25</v>
      </c>
      <c r="BE741" s="79">
        <v>158250</v>
      </c>
      <c r="BF741" s="127">
        <v>189900</v>
      </c>
      <c r="BG741" s="142">
        <v>192100</v>
      </c>
      <c r="BH741" s="142">
        <v>160000</v>
      </c>
      <c r="BI741" s="76">
        <f t="shared" si="875"/>
        <v>246588.375</v>
      </c>
      <c r="BJ741" s="24">
        <f t="shared" si="876"/>
        <v>-128456.625</v>
      </c>
      <c r="BK741" s="25">
        <f t="shared" si="877"/>
        <v>-0.34250989881214255</v>
      </c>
      <c r="BL741" s="259">
        <f t="shared" si="878"/>
        <v>246588.375</v>
      </c>
      <c r="BM741" s="533">
        <f t="shared" si="879"/>
        <v>246588.375</v>
      </c>
    </row>
    <row r="742" spans="1:65" ht="45" customHeight="1">
      <c r="A742" s="91" t="s">
        <v>32</v>
      </c>
      <c r="B742" s="358" t="s">
        <v>2933</v>
      </c>
      <c r="C742" s="50" t="s">
        <v>340</v>
      </c>
      <c r="D742" s="99" t="s">
        <v>688</v>
      </c>
      <c r="E742" s="391" t="s">
        <v>10</v>
      </c>
      <c r="F742" s="410">
        <v>174899</v>
      </c>
      <c r="G742" s="10">
        <v>350000</v>
      </c>
      <c r="H742" s="167">
        <v>1400000</v>
      </c>
      <c r="I742" s="10">
        <v>345000</v>
      </c>
      <c r="J742" s="76">
        <f t="shared" si="884"/>
        <v>347500</v>
      </c>
      <c r="K742" s="24">
        <f t="shared" si="885"/>
        <v>172601</v>
      </c>
      <c r="L742" s="281">
        <f t="shared" si="886"/>
        <v>0.98686098834184299</v>
      </c>
      <c r="M742" s="431">
        <f t="shared" si="887"/>
        <v>1400000</v>
      </c>
      <c r="N742" s="443"/>
      <c r="O742" s="250"/>
      <c r="P742" s="250"/>
      <c r="Q742" s="250"/>
      <c r="R742" s="250"/>
      <c r="S742" s="250"/>
      <c r="T742" s="250"/>
      <c r="U742" s="250"/>
      <c r="V742" s="443"/>
      <c r="W742" s="410">
        <v>263351</v>
      </c>
      <c r="X742" s="31">
        <v>342509</v>
      </c>
      <c r="Y742" s="31">
        <v>445261</v>
      </c>
      <c r="Z742" s="98">
        <v>299377.8</v>
      </c>
      <c r="AA742" s="76">
        <f t="shared" si="861"/>
        <v>362382.60000000003</v>
      </c>
      <c r="AB742" s="24">
        <f t="shared" si="862"/>
        <v>99031.600000000035</v>
      </c>
      <c r="AC742" s="25">
        <f t="shared" si="863"/>
        <v>0.37604413881094068</v>
      </c>
      <c r="AD742" s="309" t="str">
        <f t="shared" si="864"/>
        <v>REVISAR PRECIO</v>
      </c>
      <c r="AE742" s="462">
        <f t="shared" si="865"/>
        <v>362382.60000000003</v>
      </c>
      <c r="AF742" s="410">
        <v>177508</v>
      </c>
      <c r="AG742" s="45"/>
      <c r="AH742" s="45">
        <v>206358</v>
      </c>
      <c r="AI742" s="45">
        <v>350000</v>
      </c>
      <c r="AJ742" s="76">
        <f t="shared" si="892"/>
        <v>278179</v>
      </c>
      <c r="AK742" s="24">
        <f t="shared" si="893"/>
        <v>100671</v>
      </c>
      <c r="AL742" s="281">
        <f t="shared" si="894"/>
        <v>0.56713500236609049</v>
      </c>
      <c r="AM742" s="462">
        <f t="shared" si="895"/>
        <v>278179</v>
      </c>
      <c r="AN742" s="513">
        <v>178391</v>
      </c>
      <c r="AO742" s="88">
        <v>367500</v>
      </c>
      <c r="AP742" s="116">
        <v>367500</v>
      </c>
      <c r="AQ742" s="74">
        <v>385000</v>
      </c>
      <c r="AR742" s="76">
        <f t="shared" si="870"/>
        <v>373333.33333333331</v>
      </c>
      <c r="AS742" s="24">
        <f t="shared" si="871"/>
        <v>194942.33333333331</v>
      </c>
      <c r="AT742" s="25">
        <f t="shared" si="872"/>
        <v>1.0927812128040839</v>
      </c>
      <c r="AU742" s="309" t="str">
        <f t="shared" si="873"/>
        <v>REVISAR PRECIO</v>
      </c>
      <c r="AV742" s="462">
        <f t="shared" si="874"/>
        <v>373333.33333333331</v>
      </c>
      <c r="AW742" s="513">
        <v>178391</v>
      </c>
      <c r="AX742" s="74">
        <v>402500</v>
      </c>
      <c r="AY742" s="74">
        <v>480000</v>
      </c>
      <c r="AZ742" s="75">
        <v>463750</v>
      </c>
      <c r="BA742" s="61">
        <v>402499.99999999994</v>
      </c>
      <c r="BB742" s="60">
        <v>380000</v>
      </c>
      <c r="BC742" s="74">
        <v>462874.99999999988</v>
      </c>
      <c r="BD742" s="79">
        <v>463750</v>
      </c>
      <c r="BE742" s="79">
        <v>350000</v>
      </c>
      <c r="BF742" s="127">
        <v>420000</v>
      </c>
      <c r="BG742" s="142">
        <v>428000</v>
      </c>
      <c r="BH742" s="142">
        <v>400000</v>
      </c>
      <c r="BI742" s="76">
        <f t="shared" si="875"/>
        <v>431937.5</v>
      </c>
      <c r="BJ742" s="24">
        <f t="shared" si="876"/>
        <v>253546.5</v>
      </c>
      <c r="BK742" s="25">
        <f t="shared" si="877"/>
        <v>1.4212964779613322</v>
      </c>
      <c r="BL742" s="259" t="str">
        <f t="shared" si="878"/>
        <v>REVISAR PRECIO</v>
      </c>
      <c r="BM742" s="533">
        <f t="shared" si="879"/>
        <v>431937.5</v>
      </c>
    </row>
    <row r="743" spans="1:65" ht="33" customHeight="1">
      <c r="A743" s="91" t="s">
        <v>32</v>
      </c>
      <c r="B743" s="358" t="s">
        <v>2934</v>
      </c>
      <c r="C743" s="50" t="s">
        <v>341</v>
      </c>
      <c r="D743" s="99" t="s">
        <v>689</v>
      </c>
      <c r="E743" s="391" t="s">
        <v>13</v>
      </c>
      <c r="F743" s="410">
        <v>68773</v>
      </c>
      <c r="G743" s="10">
        <v>59900</v>
      </c>
      <c r="H743" s="167">
        <v>119800</v>
      </c>
      <c r="I743" s="10">
        <v>50000</v>
      </c>
      <c r="J743" s="76">
        <f t="shared" si="884"/>
        <v>54950</v>
      </c>
      <c r="K743" s="24">
        <f t="shared" si="885"/>
        <v>-13823</v>
      </c>
      <c r="L743" s="281">
        <f t="shared" si="886"/>
        <v>-0.20099457635990869</v>
      </c>
      <c r="M743" s="431">
        <f t="shared" si="887"/>
        <v>119800</v>
      </c>
      <c r="N743" s="443"/>
      <c r="O743" s="250"/>
      <c r="P743" s="250"/>
      <c r="Q743" s="250"/>
      <c r="R743" s="250"/>
      <c r="S743" s="250"/>
      <c r="T743" s="250"/>
      <c r="U743" s="250"/>
      <c r="V743" s="443"/>
      <c r="W743" s="410">
        <v>89745</v>
      </c>
      <c r="X743" s="31">
        <v>116721</v>
      </c>
      <c r="Y743" s="31">
        <v>151737</v>
      </c>
      <c r="Z743" s="98">
        <v>102022.8</v>
      </c>
      <c r="AA743" s="76">
        <f t="shared" si="861"/>
        <v>123493.59999999999</v>
      </c>
      <c r="AB743" s="24">
        <f t="shared" si="862"/>
        <v>33748.599999999991</v>
      </c>
      <c r="AC743" s="25">
        <f t="shared" si="863"/>
        <v>0.37604991921555508</v>
      </c>
      <c r="AD743" s="309" t="str">
        <f t="shared" si="864"/>
        <v>REVISAR PRECIO</v>
      </c>
      <c r="AE743" s="462">
        <f t="shared" si="865"/>
        <v>123493.59999999999</v>
      </c>
      <c r="AF743" s="410">
        <v>69798</v>
      </c>
      <c r="AG743" s="45"/>
      <c r="AH743" s="45">
        <v>81146</v>
      </c>
      <c r="AI743" s="45">
        <v>48000</v>
      </c>
      <c r="AJ743" s="76">
        <f t="shared" si="892"/>
        <v>64573</v>
      </c>
      <c r="AK743" s="24">
        <f t="shared" si="893"/>
        <v>-5225</v>
      </c>
      <c r="AL743" s="281">
        <f t="shared" si="894"/>
        <v>-7.4858878477893354E-2</v>
      </c>
      <c r="AM743" s="462">
        <f t="shared" si="895"/>
        <v>64573</v>
      </c>
      <c r="AN743" s="513">
        <v>70148</v>
      </c>
      <c r="AO743" s="88">
        <v>63000</v>
      </c>
      <c r="AP743" s="116">
        <v>63000</v>
      </c>
      <c r="AQ743" s="74">
        <v>65890</v>
      </c>
      <c r="AR743" s="76">
        <f t="shared" si="870"/>
        <v>63963.333333333336</v>
      </c>
      <c r="AS743" s="24">
        <f t="shared" si="871"/>
        <v>-6184.6666666666642</v>
      </c>
      <c r="AT743" s="25">
        <f t="shared" si="872"/>
        <v>-8.8165972895402067E-2</v>
      </c>
      <c r="AU743" s="309">
        <f t="shared" si="873"/>
        <v>63963.333333333336</v>
      </c>
      <c r="AV743" s="462">
        <f t="shared" si="874"/>
        <v>63963.333333333336</v>
      </c>
      <c r="AW743" s="513">
        <v>70148</v>
      </c>
      <c r="AX743" s="74">
        <v>68885</v>
      </c>
      <c r="AY743" s="74">
        <v>70000</v>
      </c>
      <c r="AZ743" s="75">
        <v>79367.5</v>
      </c>
      <c r="BA743" s="61">
        <v>68885</v>
      </c>
      <c r="BB743" s="60">
        <v>360000</v>
      </c>
      <c r="BC743" s="74">
        <v>79217.75</v>
      </c>
      <c r="BD743" s="79">
        <v>79367.5</v>
      </c>
      <c r="BE743" s="79">
        <v>59900</v>
      </c>
      <c r="BF743" s="127">
        <v>71880</v>
      </c>
      <c r="BG743" s="142">
        <v>58100</v>
      </c>
      <c r="BH743" s="142">
        <v>60000</v>
      </c>
      <c r="BI743" s="76">
        <f t="shared" si="875"/>
        <v>121059.20833333333</v>
      </c>
      <c r="BJ743" s="24">
        <f t="shared" si="876"/>
        <v>50911.208333333328</v>
      </c>
      <c r="BK743" s="25">
        <f t="shared" si="877"/>
        <v>0.72576849423124434</v>
      </c>
      <c r="BL743" s="259" t="str">
        <f t="shared" si="878"/>
        <v>REVISAR PRECIO</v>
      </c>
      <c r="BM743" s="533">
        <f t="shared" si="879"/>
        <v>121059.20833333333</v>
      </c>
    </row>
    <row r="744" spans="1:65" ht="33" customHeight="1">
      <c r="A744" s="91" t="s">
        <v>32</v>
      </c>
      <c r="B744" s="358" t="s">
        <v>2935</v>
      </c>
      <c r="C744" s="50" t="s">
        <v>342</v>
      </c>
      <c r="D744" s="99" t="s">
        <v>690</v>
      </c>
      <c r="E744" s="391" t="s">
        <v>10</v>
      </c>
      <c r="F744" s="410">
        <v>9370</v>
      </c>
      <c r="G744" s="10">
        <v>10143</v>
      </c>
      <c r="H744" s="167">
        <v>20286</v>
      </c>
      <c r="I744" s="10">
        <v>22300</v>
      </c>
      <c r="J744" s="76">
        <f t="shared" si="884"/>
        <v>16221.5</v>
      </c>
      <c r="K744" s="24">
        <f t="shared" si="885"/>
        <v>6851.5</v>
      </c>
      <c r="L744" s="281">
        <f t="shared" si="886"/>
        <v>0.7312166488794023</v>
      </c>
      <c r="M744" s="431">
        <f t="shared" si="887"/>
        <v>20286</v>
      </c>
      <c r="N744" s="443"/>
      <c r="O744" s="250"/>
      <c r="P744" s="250"/>
      <c r="Q744" s="250"/>
      <c r="R744" s="250"/>
      <c r="S744" s="250"/>
      <c r="T744" s="250"/>
      <c r="U744" s="250"/>
      <c r="V744" s="443"/>
      <c r="W744" s="410">
        <v>12228</v>
      </c>
      <c r="X744" s="31">
        <v>15903</v>
      </c>
      <c r="Y744" s="31">
        <v>15903</v>
      </c>
      <c r="Z744" s="98">
        <v>13900.4</v>
      </c>
      <c r="AA744" s="76">
        <f t="shared" si="861"/>
        <v>15235.466666666667</v>
      </c>
      <c r="AB744" s="24">
        <f t="shared" si="862"/>
        <v>3007.4666666666672</v>
      </c>
      <c r="AC744" s="25">
        <f t="shared" si="863"/>
        <v>0.24594918765674412</v>
      </c>
      <c r="AD744" s="309">
        <f t="shared" si="864"/>
        <v>15235.466666666667</v>
      </c>
      <c r="AE744" s="462">
        <f t="shared" si="865"/>
        <v>15235.466666666667</v>
      </c>
      <c r="AF744" s="410">
        <v>9512</v>
      </c>
      <c r="AG744" s="45"/>
      <c r="AH744" s="45">
        <v>11052</v>
      </c>
      <c r="AI744" s="45">
        <v>10000</v>
      </c>
      <c r="AJ744" s="76">
        <f t="shared" si="892"/>
        <v>10526</v>
      </c>
      <c r="AK744" s="24">
        <f t="shared" si="893"/>
        <v>1014</v>
      </c>
      <c r="AL744" s="281">
        <f t="shared" si="894"/>
        <v>0.10660218671152229</v>
      </c>
      <c r="AM744" s="462">
        <f t="shared" si="895"/>
        <v>10526</v>
      </c>
      <c r="AN744" s="513">
        <v>9558</v>
      </c>
      <c r="AO744" s="88">
        <v>11000</v>
      </c>
      <c r="AP744" s="116">
        <v>11000</v>
      </c>
      <c r="AQ744" s="74">
        <v>11157.3</v>
      </c>
      <c r="AR744" s="76">
        <f t="shared" si="870"/>
        <v>11052.433333333334</v>
      </c>
      <c r="AS744" s="24">
        <f t="shared" si="871"/>
        <v>1494.4333333333343</v>
      </c>
      <c r="AT744" s="25">
        <f t="shared" si="872"/>
        <v>0.15635418846341645</v>
      </c>
      <c r="AU744" s="309">
        <f t="shared" si="873"/>
        <v>11052.433333333334</v>
      </c>
      <c r="AV744" s="462">
        <f t="shared" si="874"/>
        <v>11052.433333333334</v>
      </c>
      <c r="AW744" s="513">
        <v>9558</v>
      </c>
      <c r="AX744" s="74">
        <v>11664.45</v>
      </c>
      <c r="AY744" s="74">
        <v>18000</v>
      </c>
      <c r="AZ744" s="75">
        <v>13439.475</v>
      </c>
      <c r="BA744" s="61">
        <v>11664.449999999999</v>
      </c>
      <c r="BB744" s="60">
        <v>350000</v>
      </c>
      <c r="BC744" s="74">
        <v>13414.117499999998</v>
      </c>
      <c r="BD744" s="79">
        <v>13439.475</v>
      </c>
      <c r="BE744" s="79">
        <f>7245*1.4</f>
        <v>10143</v>
      </c>
      <c r="BF744" s="127">
        <v>12171.6</v>
      </c>
      <c r="BG744" s="142">
        <v>9800</v>
      </c>
      <c r="BH744" s="142">
        <v>10000</v>
      </c>
      <c r="BI744" s="76">
        <f t="shared" si="875"/>
        <v>69697.082083333327</v>
      </c>
      <c r="BJ744" s="24">
        <f t="shared" si="876"/>
        <v>60139.082083333327</v>
      </c>
      <c r="BK744" s="25">
        <f t="shared" si="877"/>
        <v>6.2920152838808674</v>
      </c>
      <c r="BL744" s="259" t="str">
        <f t="shared" si="878"/>
        <v>REVISAR PRECIO</v>
      </c>
      <c r="BM744" s="533">
        <f t="shared" si="879"/>
        <v>69697.082083333327</v>
      </c>
    </row>
    <row r="745" spans="1:65" ht="33" customHeight="1">
      <c r="A745" s="91" t="s">
        <v>32</v>
      </c>
      <c r="B745" s="358" t="s">
        <v>2936</v>
      </c>
      <c r="C745" s="50" t="s">
        <v>343</v>
      </c>
      <c r="D745" s="99" t="s">
        <v>33</v>
      </c>
      <c r="E745" s="391" t="s">
        <v>14</v>
      </c>
      <c r="F745" s="410">
        <v>2088330</v>
      </c>
      <c r="G745" s="10">
        <v>2029860</v>
      </c>
      <c r="H745" s="167">
        <v>2029860</v>
      </c>
      <c r="I745" s="10">
        <v>1980000</v>
      </c>
      <c r="J745" s="76">
        <f t="shared" si="884"/>
        <v>2004930</v>
      </c>
      <c r="K745" s="24">
        <f t="shared" si="885"/>
        <v>-83400</v>
      </c>
      <c r="L745" s="281">
        <f t="shared" si="886"/>
        <v>-3.9936216977201879E-2</v>
      </c>
      <c r="M745" s="431">
        <f t="shared" si="887"/>
        <v>2029860</v>
      </c>
      <c r="N745" s="410">
        <v>1879496</v>
      </c>
      <c r="O745" s="10">
        <v>2130000</v>
      </c>
      <c r="P745" s="10">
        <v>2210000</v>
      </c>
      <c r="Q745" s="268">
        <v>2200000</v>
      </c>
      <c r="R745" s="10">
        <v>2200000</v>
      </c>
      <c r="S745" s="76">
        <f t="shared" ref="S745:S749" si="896">AVERAGE(O745,P745,Q745,R745)</f>
        <v>2185000</v>
      </c>
      <c r="T745" s="24">
        <f t="shared" ref="T745:T749" si="897">S745-N745</f>
        <v>305504</v>
      </c>
      <c r="U745" s="281">
        <f t="shared" ref="U745:U749" si="898">+T745/N745</f>
        <v>0.1625457037418542</v>
      </c>
      <c r="V745" s="462">
        <f t="shared" ref="V745:V749" si="899">S745</f>
        <v>2185000</v>
      </c>
      <c r="W745" s="410">
        <v>2702257</v>
      </c>
      <c r="X745" s="31">
        <v>3514496</v>
      </c>
      <c r="Y745" s="33">
        <v>4568844</v>
      </c>
      <c r="Z745" s="98">
        <v>3071929.4</v>
      </c>
      <c r="AA745" s="76">
        <f t="shared" si="861"/>
        <v>3718423.1333333333</v>
      </c>
      <c r="AB745" s="24">
        <f t="shared" si="862"/>
        <v>1016166.1333333333</v>
      </c>
      <c r="AC745" s="25">
        <f t="shared" si="863"/>
        <v>0.37604348266405946</v>
      </c>
      <c r="AD745" s="309" t="str">
        <f t="shared" si="864"/>
        <v>REVISAR PRECIO</v>
      </c>
      <c r="AE745" s="462">
        <f t="shared" si="865"/>
        <v>3718423.1333333333</v>
      </c>
      <c r="AF745" s="410">
        <v>2088329</v>
      </c>
      <c r="AG745" s="45"/>
      <c r="AH745" s="317"/>
      <c r="AI745" s="45">
        <v>2105000</v>
      </c>
      <c r="AJ745" s="76">
        <f t="shared" si="892"/>
        <v>2105000</v>
      </c>
      <c r="AK745" s="24">
        <f t="shared" si="893"/>
        <v>16671</v>
      </c>
      <c r="AL745" s="281">
        <f t="shared" si="894"/>
        <v>7.982937554379602E-3</v>
      </c>
      <c r="AM745" s="462">
        <f t="shared" si="895"/>
        <v>2105000</v>
      </c>
      <c r="AN745" s="513">
        <v>2088329</v>
      </c>
      <c r="AO745" s="88">
        <v>2300000</v>
      </c>
      <c r="AP745" s="116">
        <v>2500000</v>
      </c>
      <c r="AQ745" s="74">
        <v>2232846</v>
      </c>
      <c r="AR745" s="76">
        <f t="shared" si="870"/>
        <v>2344282</v>
      </c>
      <c r="AS745" s="24">
        <f t="shared" si="871"/>
        <v>255953</v>
      </c>
      <c r="AT745" s="25">
        <f t="shared" si="872"/>
        <v>0.12256354243033545</v>
      </c>
      <c r="AU745" s="309">
        <f t="shared" si="873"/>
        <v>2344282</v>
      </c>
      <c r="AV745" s="462">
        <f t="shared" si="874"/>
        <v>2344282</v>
      </c>
      <c r="AW745" s="513">
        <v>2088329</v>
      </c>
      <c r="AX745" s="74">
        <v>2334338.9999999995</v>
      </c>
      <c r="AY745" s="74">
        <v>2800000</v>
      </c>
      <c r="AZ745" s="75">
        <v>2689564.4999999995</v>
      </c>
      <c r="BA745" s="61">
        <v>3384791.5499999993</v>
      </c>
      <c r="BB745" s="60">
        <v>2400000</v>
      </c>
      <c r="BC745" s="74">
        <v>3892510.2824999988</v>
      </c>
      <c r="BD745" s="79">
        <v>2689564.4999999995</v>
      </c>
      <c r="BE745" s="79">
        <f>1449900*1.4</f>
        <v>2029859.9999999998</v>
      </c>
      <c r="BF745" s="127">
        <v>2435832</v>
      </c>
      <c r="BG745" s="142">
        <v>2456000</v>
      </c>
      <c r="BH745" s="142">
        <v>2300000</v>
      </c>
      <c r="BI745" s="76">
        <f t="shared" si="875"/>
        <v>2916867.555416666</v>
      </c>
      <c r="BJ745" s="24">
        <f t="shared" si="876"/>
        <v>828538.55541666597</v>
      </c>
      <c r="BK745" s="25">
        <f t="shared" si="877"/>
        <v>0.39674713870116535</v>
      </c>
      <c r="BL745" s="259" t="str">
        <f t="shared" si="878"/>
        <v>REVISAR PRECIO</v>
      </c>
      <c r="BM745" s="533">
        <f t="shared" si="879"/>
        <v>2916867.555416666</v>
      </c>
    </row>
    <row r="746" spans="1:65" ht="33" customHeight="1">
      <c r="A746" s="91" t="s">
        <v>32</v>
      </c>
      <c r="B746" s="358" t="s">
        <v>2937</v>
      </c>
      <c r="C746" s="50" t="s">
        <v>344</v>
      </c>
      <c r="D746" s="99" t="s">
        <v>691</v>
      </c>
      <c r="E746" s="391" t="s">
        <v>14</v>
      </c>
      <c r="F746" s="410">
        <v>5243606</v>
      </c>
      <c r="G746" s="10">
        <v>12500000</v>
      </c>
      <c r="H746" s="167">
        <v>875000</v>
      </c>
      <c r="I746" s="10">
        <v>12450000</v>
      </c>
      <c r="J746" s="76">
        <f t="shared" si="884"/>
        <v>12475000</v>
      </c>
      <c r="K746" s="24">
        <f t="shared" si="885"/>
        <v>7231394</v>
      </c>
      <c r="L746" s="281">
        <f t="shared" si="886"/>
        <v>1.3790879787688091</v>
      </c>
      <c r="M746" s="431">
        <f t="shared" si="887"/>
        <v>875000</v>
      </c>
      <c r="N746" s="410">
        <v>4719245</v>
      </c>
      <c r="O746" s="10">
        <v>2320000</v>
      </c>
      <c r="P746" s="10">
        <v>2400000</v>
      </c>
      <c r="Q746" s="268">
        <v>2350000</v>
      </c>
      <c r="R746" s="10">
        <v>2600000</v>
      </c>
      <c r="S746" s="76">
        <f t="shared" si="896"/>
        <v>2417500</v>
      </c>
      <c r="T746" s="24">
        <f t="shared" si="897"/>
        <v>-2301745</v>
      </c>
      <c r="U746" s="281">
        <f t="shared" si="898"/>
        <v>-0.48773585605324582</v>
      </c>
      <c r="V746" s="462">
        <f t="shared" si="899"/>
        <v>2417500</v>
      </c>
      <c r="W746" s="410">
        <v>985353</v>
      </c>
      <c r="X746" s="31">
        <v>1281528</v>
      </c>
      <c r="Y746" s="33">
        <v>1665986</v>
      </c>
      <c r="Z746" s="98">
        <v>1120150.3999999999</v>
      </c>
      <c r="AA746" s="76">
        <f t="shared" si="861"/>
        <v>1355888.1333333333</v>
      </c>
      <c r="AB746" s="24">
        <f t="shared" si="862"/>
        <v>370535.1333333333</v>
      </c>
      <c r="AC746" s="25">
        <f t="shared" si="863"/>
        <v>0.37604303567689273</v>
      </c>
      <c r="AD746" s="309" t="str">
        <f t="shared" si="864"/>
        <v>REVISAR PRECIO</v>
      </c>
      <c r="AE746" s="462">
        <f t="shared" si="865"/>
        <v>1355888.1333333333</v>
      </c>
      <c r="AF746" s="410">
        <v>764290</v>
      </c>
      <c r="AG746" s="45"/>
      <c r="AH746" s="317"/>
      <c r="AI746" s="45">
        <v>1100000</v>
      </c>
      <c r="AJ746" s="76">
        <f t="shared" si="892"/>
        <v>1100000</v>
      </c>
      <c r="AK746" s="24">
        <f t="shared" si="893"/>
        <v>335710</v>
      </c>
      <c r="AL746" s="281">
        <f t="shared" si="894"/>
        <v>0.43924426592000421</v>
      </c>
      <c r="AM746" s="462">
        <f t="shared" si="895"/>
        <v>1100000</v>
      </c>
      <c r="AN746" s="513">
        <v>764290</v>
      </c>
      <c r="AO746" s="88">
        <v>1115000</v>
      </c>
      <c r="AP746" s="116">
        <v>1300000</v>
      </c>
      <c r="AQ746" s="74">
        <v>1114806</v>
      </c>
      <c r="AR746" s="76">
        <f t="shared" si="870"/>
        <v>1176602</v>
      </c>
      <c r="AS746" s="24">
        <f t="shared" si="871"/>
        <v>412312</v>
      </c>
      <c r="AT746" s="25">
        <f t="shared" si="872"/>
        <v>0.53947061979091704</v>
      </c>
      <c r="AU746" s="309" t="str">
        <f t="shared" si="873"/>
        <v>REVISAR PRECIO</v>
      </c>
      <c r="AV746" s="462">
        <f t="shared" si="874"/>
        <v>1176602</v>
      </c>
      <c r="AW746" s="513">
        <v>764290</v>
      </c>
      <c r="AX746" s="74">
        <v>1165478.9999999998</v>
      </c>
      <c r="AY746" s="74">
        <v>1300000</v>
      </c>
      <c r="AZ746" s="75">
        <v>1342834.4999999998</v>
      </c>
      <c r="BA746" s="61">
        <v>1689944.5499999996</v>
      </c>
      <c r="BB746" s="60">
        <v>4000000</v>
      </c>
      <c r="BC746" s="74">
        <v>1943436.2324999995</v>
      </c>
      <c r="BD746" s="79">
        <v>1342834.4999999998</v>
      </c>
      <c r="BE746" s="79">
        <f>723900*1.4</f>
        <v>1013459.9999999999</v>
      </c>
      <c r="BF746" s="127">
        <v>1216152</v>
      </c>
      <c r="BG746" s="142">
        <v>1010900</v>
      </c>
      <c r="BH746" s="142">
        <v>1100000</v>
      </c>
      <c r="BI746" s="76">
        <f t="shared" si="875"/>
        <v>1906949.0470833334</v>
      </c>
      <c r="BJ746" s="24">
        <f t="shared" si="876"/>
        <v>1142659.0470833334</v>
      </c>
      <c r="BK746" s="25">
        <f t="shared" si="877"/>
        <v>1.4950595285602761</v>
      </c>
      <c r="BL746" s="259" t="str">
        <f t="shared" si="878"/>
        <v>REVISAR PRECIO</v>
      </c>
      <c r="BM746" s="533">
        <f t="shared" si="879"/>
        <v>1906949.0470833334</v>
      </c>
    </row>
    <row r="747" spans="1:65" ht="33" customHeight="1">
      <c r="A747" s="91" t="s">
        <v>32</v>
      </c>
      <c r="B747" s="358" t="s">
        <v>2938</v>
      </c>
      <c r="C747" s="50" t="s">
        <v>345</v>
      </c>
      <c r="D747" s="99" t="s">
        <v>34</v>
      </c>
      <c r="E747" s="391" t="s">
        <v>14</v>
      </c>
      <c r="F747" s="410">
        <v>764292</v>
      </c>
      <c r="G747" s="10">
        <v>1013459.9999999999</v>
      </c>
      <c r="H747" s="167">
        <v>1013459.9999999999</v>
      </c>
      <c r="I747" s="10">
        <v>1200000</v>
      </c>
      <c r="J747" s="76">
        <f t="shared" si="884"/>
        <v>1106730</v>
      </c>
      <c r="K747" s="24">
        <f t="shared" si="885"/>
        <v>342438</v>
      </c>
      <c r="L747" s="281">
        <f t="shared" si="886"/>
        <v>0.44804603476158328</v>
      </c>
      <c r="M747" s="431">
        <f t="shared" si="887"/>
        <v>1013459.9999999999</v>
      </c>
      <c r="N747" s="410">
        <v>687858</v>
      </c>
      <c r="O747" s="10">
        <v>1350000</v>
      </c>
      <c r="P747" s="10">
        <v>1400000</v>
      </c>
      <c r="Q747" s="268">
        <v>1420000</v>
      </c>
      <c r="R747" s="10">
        <v>1800000</v>
      </c>
      <c r="S747" s="76">
        <f t="shared" si="896"/>
        <v>1492500</v>
      </c>
      <c r="T747" s="24">
        <f t="shared" si="897"/>
        <v>804642</v>
      </c>
      <c r="U747" s="281">
        <f t="shared" si="898"/>
        <v>1.1697792276894359</v>
      </c>
      <c r="V747" s="462">
        <f t="shared" si="899"/>
        <v>1492500</v>
      </c>
      <c r="W747" s="410">
        <v>1428527</v>
      </c>
      <c r="X747" s="31">
        <v>1857911</v>
      </c>
      <c r="Y747" s="31">
        <v>2415284</v>
      </c>
      <c r="Z747" s="98">
        <v>1623951.4</v>
      </c>
      <c r="AA747" s="76">
        <f t="shared" si="861"/>
        <v>1965715.4666666668</v>
      </c>
      <c r="AB747" s="24">
        <f t="shared" si="862"/>
        <v>537188.46666666679</v>
      </c>
      <c r="AC747" s="25">
        <f t="shared" si="863"/>
        <v>0.37604362162329924</v>
      </c>
      <c r="AD747" s="309" t="str">
        <f t="shared" si="864"/>
        <v>REVISAR PRECIO</v>
      </c>
      <c r="AE747" s="462">
        <f t="shared" si="865"/>
        <v>1965715.4666666668</v>
      </c>
      <c r="AF747" s="410">
        <v>1108039</v>
      </c>
      <c r="AG747" s="45"/>
      <c r="AH747" s="317"/>
      <c r="AI747" s="45">
        <v>1450000</v>
      </c>
      <c r="AJ747" s="76">
        <f t="shared" si="892"/>
        <v>1450000</v>
      </c>
      <c r="AK747" s="24">
        <f t="shared" si="893"/>
        <v>341961</v>
      </c>
      <c r="AL747" s="281">
        <f t="shared" si="894"/>
        <v>0.30861819845691352</v>
      </c>
      <c r="AM747" s="462">
        <f t="shared" si="895"/>
        <v>1450000</v>
      </c>
      <c r="AN747" s="513">
        <v>1108039</v>
      </c>
      <c r="AO747" s="88">
        <v>1460000</v>
      </c>
      <c r="AP747" s="116">
        <v>1600000</v>
      </c>
      <c r="AQ747" s="74">
        <v>1536766</v>
      </c>
      <c r="AR747" s="76">
        <f t="shared" si="870"/>
        <v>1532255.3333333333</v>
      </c>
      <c r="AS747" s="24">
        <f t="shared" si="871"/>
        <v>424216.33333333326</v>
      </c>
      <c r="AT747" s="25">
        <f t="shared" si="872"/>
        <v>0.38285325095356143</v>
      </c>
      <c r="AU747" s="309" t="str">
        <f t="shared" si="873"/>
        <v>REVISAR PRECIO</v>
      </c>
      <c r="AV747" s="462">
        <f t="shared" si="874"/>
        <v>1532255.3333333333</v>
      </c>
      <c r="AW747" s="513">
        <v>1108039</v>
      </c>
      <c r="AX747" s="74">
        <v>1606619</v>
      </c>
      <c r="AY747" s="74">
        <v>2300000</v>
      </c>
      <c r="AZ747" s="75">
        <v>1851104.5</v>
      </c>
      <c r="BA747" s="61">
        <v>2329597.5499999998</v>
      </c>
      <c r="BB747" s="60">
        <v>5000000</v>
      </c>
      <c r="BC747" s="74">
        <v>2679037.1824999996</v>
      </c>
      <c r="BD747" s="79">
        <v>1851104.5</v>
      </c>
      <c r="BE747" s="79">
        <f>997900*1.4</f>
        <v>1397060</v>
      </c>
      <c r="BF747" s="127">
        <v>1676472</v>
      </c>
      <c r="BG747" s="142">
        <v>1650200</v>
      </c>
      <c r="BH747" s="142">
        <v>1400000</v>
      </c>
      <c r="BI747" s="76">
        <f t="shared" si="875"/>
        <v>2627726.3720833333</v>
      </c>
      <c r="BJ747" s="24">
        <f t="shared" si="876"/>
        <v>1519687.3720833333</v>
      </c>
      <c r="BK747" s="25">
        <f t="shared" si="877"/>
        <v>1.3715107248782157</v>
      </c>
      <c r="BL747" s="259" t="str">
        <f t="shared" si="878"/>
        <v>REVISAR PRECIO</v>
      </c>
      <c r="BM747" s="533">
        <f t="shared" si="879"/>
        <v>2627726.3720833333</v>
      </c>
    </row>
    <row r="748" spans="1:65" ht="33" customHeight="1">
      <c r="A748" s="91" t="s">
        <v>32</v>
      </c>
      <c r="B748" s="358" t="s">
        <v>2939</v>
      </c>
      <c r="C748" s="50" t="s">
        <v>346</v>
      </c>
      <c r="D748" s="99" t="s">
        <v>35</v>
      </c>
      <c r="E748" s="391" t="s">
        <v>14</v>
      </c>
      <c r="F748" s="410">
        <v>1108040</v>
      </c>
      <c r="G748" s="10">
        <v>1397060</v>
      </c>
      <c r="H748" s="167">
        <v>2794120</v>
      </c>
      <c r="I748" s="10">
        <v>1367000</v>
      </c>
      <c r="J748" s="76">
        <f t="shared" si="884"/>
        <v>1382030</v>
      </c>
      <c r="K748" s="24">
        <f t="shared" si="885"/>
        <v>273990</v>
      </c>
      <c r="L748" s="281">
        <f t="shared" si="886"/>
        <v>0.24727446662575359</v>
      </c>
      <c r="M748" s="431">
        <f t="shared" si="887"/>
        <v>2794120</v>
      </c>
      <c r="N748" s="410">
        <v>997234</v>
      </c>
      <c r="O748" s="10">
        <v>1600000</v>
      </c>
      <c r="P748" s="10">
        <v>1680000</v>
      </c>
      <c r="Q748" s="268">
        <v>1680000</v>
      </c>
      <c r="R748" s="10">
        <v>2000000</v>
      </c>
      <c r="S748" s="76">
        <f t="shared" si="896"/>
        <v>1740000</v>
      </c>
      <c r="T748" s="24">
        <f t="shared" si="897"/>
        <v>742766</v>
      </c>
      <c r="U748" s="281">
        <f t="shared" si="898"/>
        <v>0.74482618923943633</v>
      </c>
      <c r="V748" s="462">
        <f t="shared" si="899"/>
        <v>1740000</v>
      </c>
      <c r="W748" s="410">
        <v>2375743</v>
      </c>
      <c r="X748" s="31">
        <v>3089840</v>
      </c>
      <c r="Y748" s="31">
        <v>4016791</v>
      </c>
      <c r="Z748" s="98">
        <v>2700748.6</v>
      </c>
      <c r="AA748" s="76">
        <f t="shared" si="861"/>
        <v>3269126.5333333332</v>
      </c>
      <c r="AB748" s="24">
        <f t="shared" si="862"/>
        <v>893383.53333333321</v>
      </c>
      <c r="AC748" s="25">
        <f t="shared" si="863"/>
        <v>0.37604384537104107</v>
      </c>
      <c r="AD748" s="309" t="str">
        <f t="shared" si="864"/>
        <v>REVISAR PRECIO</v>
      </c>
      <c r="AE748" s="462">
        <f t="shared" si="865"/>
        <v>3269126.5333333332</v>
      </c>
      <c r="AF748" s="410">
        <v>1842742</v>
      </c>
      <c r="AG748" s="45"/>
      <c r="AH748" s="317"/>
      <c r="AI748" s="45">
        <v>1890000</v>
      </c>
      <c r="AJ748" s="76">
        <f t="shared" si="892"/>
        <v>1890000</v>
      </c>
      <c r="AK748" s="24">
        <f t="shared" si="893"/>
        <v>47258</v>
      </c>
      <c r="AL748" s="281">
        <f t="shared" si="894"/>
        <v>2.5645478314381503E-2</v>
      </c>
      <c r="AM748" s="462">
        <f t="shared" si="895"/>
        <v>1890000</v>
      </c>
      <c r="AN748" s="513">
        <v>1842742</v>
      </c>
      <c r="AO748" s="88">
        <v>2000000</v>
      </c>
      <c r="AP748" s="116">
        <v>2200000</v>
      </c>
      <c r="AQ748" s="74">
        <v>2060365.9999999998</v>
      </c>
      <c r="AR748" s="76">
        <f t="shared" si="870"/>
        <v>2086788.6666666667</v>
      </c>
      <c r="AS748" s="24">
        <f t="shared" si="871"/>
        <v>244046.66666666674</v>
      </c>
      <c r="AT748" s="25">
        <f t="shared" si="872"/>
        <v>0.13243669849966341</v>
      </c>
      <c r="AU748" s="309">
        <f t="shared" si="873"/>
        <v>2086788.6666666667</v>
      </c>
      <c r="AV748" s="462">
        <f t="shared" si="874"/>
        <v>2086788.6666666667</v>
      </c>
      <c r="AW748" s="513">
        <v>1842742</v>
      </c>
      <c r="AX748" s="74">
        <v>2154018.9999999995</v>
      </c>
      <c r="AY748" s="74">
        <v>3200000</v>
      </c>
      <c r="AZ748" s="75">
        <v>2481804.4999999995</v>
      </c>
      <c r="BA748" s="61">
        <v>3123327.5499999993</v>
      </c>
      <c r="BB748" s="60">
        <v>6000000</v>
      </c>
      <c r="BC748" s="74">
        <v>3591826.6824999992</v>
      </c>
      <c r="BD748" s="79">
        <v>2481804.4999999995</v>
      </c>
      <c r="BE748" s="79">
        <f>1337900*1.4</f>
        <v>1873059.9999999998</v>
      </c>
      <c r="BF748" s="127">
        <v>2247672</v>
      </c>
      <c r="BG748" s="142">
        <v>1859000</v>
      </c>
      <c r="BH748" s="142">
        <v>1900000</v>
      </c>
      <c r="BI748" s="76">
        <f t="shared" si="875"/>
        <v>3425162.9554166659</v>
      </c>
      <c r="BJ748" s="24">
        <f t="shared" si="876"/>
        <v>1582420.9554166659</v>
      </c>
      <c r="BK748" s="25">
        <f t="shared" si="877"/>
        <v>0.85873169191165444</v>
      </c>
      <c r="BL748" s="259" t="str">
        <f t="shared" si="878"/>
        <v>REVISAR PRECIO</v>
      </c>
      <c r="BM748" s="533">
        <f t="shared" si="879"/>
        <v>3425162.9554166659</v>
      </c>
    </row>
    <row r="749" spans="1:65" ht="33" customHeight="1">
      <c r="A749" s="91" t="s">
        <v>32</v>
      </c>
      <c r="B749" s="358" t="s">
        <v>2940</v>
      </c>
      <c r="C749" s="50" t="s">
        <v>347</v>
      </c>
      <c r="D749" s="99" t="s">
        <v>692</v>
      </c>
      <c r="E749" s="391" t="s">
        <v>740</v>
      </c>
      <c r="F749" s="410">
        <v>1842743</v>
      </c>
      <c r="G749" s="10">
        <v>1873059.9999999998</v>
      </c>
      <c r="H749" s="167">
        <v>3746119.9999999995</v>
      </c>
      <c r="I749" s="10">
        <v>1845000</v>
      </c>
      <c r="J749" s="76">
        <f t="shared" si="884"/>
        <v>1859030</v>
      </c>
      <c r="K749" s="24">
        <f t="shared" si="885"/>
        <v>16287</v>
      </c>
      <c r="L749" s="281">
        <f t="shared" si="886"/>
        <v>8.8384544127965755E-3</v>
      </c>
      <c r="M749" s="431">
        <f t="shared" si="887"/>
        <v>3746119.9999999995</v>
      </c>
      <c r="N749" s="410">
        <v>1658466</v>
      </c>
      <c r="O749" s="10">
        <v>2300000</v>
      </c>
      <c r="P749" s="10">
        <v>2400000</v>
      </c>
      <c r="Q749" s="268">
        <v>2380000</v>
      </c>
      <c r="R749" s="10">
        <v>2300000</v>
      </c>
      <c r="S749" s="76">
        <f t="shared" si="896"/>
        <v>2345000</v>
      </c>
      <c r="T749" s="24">
        <f t="shared" si="897"/>
        <v>686534</v>
      </c>
      <c r="U749" s="281">
        <f t="shared" si="898"/>
        <v>0.41395723517997957</v>
      </c>
      <c r="V749" s="462">
        <f t="shared" si="899"/>
        <v>2345000</v>
      </c>
      <c r="W749" s="410">
        <v>1325786</v>
      </c>
      <c r="X749" s="31">
        <v>1724288</v>
      </c>
      <c r="Y749" s="33">
        <v>2241574</v>
      </c>
      <c r="Z749" s="98">
        <v>1507155</v>
      </c>
      <c r="AA749" s="76">
        <f t="shared" si="861"/>
        <v>1824339</v>
      </c>
      <c r="AB749" s="24">
        <f t="shared" si="862"/>
        <v>498553</v>
      </c>
      <c r="AC749" s="25">
        <f t="shared" si="863"/>
        <v>0.37604334334500439</v>
      </c>
      <c r="AD749" s="309" t="str">
        <f t="shared" si="864"/>
        <v>REVISAR PRECIO</v>
      </c>
      <c r="AE749" s="462">
        <f t="shared" si="865"/>
        <v>1824339</v>
      </c>
      <c r="AF749" s="408"/>
      <c r="AG749" s="293"/>
      <c r="AH749" s="293"/>
      <c r="AI749" s="293"/>
      <c r="AJ749" s="293"/>
      <c r="AK749" s="293"/>
      <c r="AL749" s="327"/>
      <c r="AM749" s="463"/>
      <c r="AN749" s="513">
        <v>925510</v>
      </c>
      <c r="AO749" s="88">
        <v>1100000</v>
      </c>
      <c r="AP749" s="116">
        <v>1300000</v>
      </c>
      <c r="AQ749" s="74">
        <v>1154846</v>
      </c>
      <c r="AR749" s="76">
        <f t="shared" si="870"/>
        <v>1184948.6666666667</v>
      </c>
      <c r="AS749" s="24">
        <f t="shared" si="871"/>
        <v>259438.66666666674</v>
      </c>
      <c r="AT749" s="25">
        <f t="shared" si="872"/>
        <v>0.28031967960007642</v>
      </c>
      <c r="AU749" s="309">
        <f t="shared" si="873"/>
        <v>1184948.6666666667</v>
      </c>
      <c r="AV749" s="462">
        <f t="shared" si="874"/>
        <v>1184948.6666666667</v>
      </c>
      <c r="AW749" s="513">
        <v>925510</v>
      </c>
      <c r="AX749" s="74">
        <v>1207339</v>
      </c>
      <c r="AY749" s="74">
        <v>1700000</v>
      </c>
      <c r="AZ749" s="75">
        <v>1391064.5</v>
      </c>
      <c r="BA749" s="61">
        <v>1750641.5499999998</v>
      </c>
      <c r="BB749" s="60"/>
      <c r="BC749" s="74">
        <v>2013237.7824999997</v>
      </c>
      <c r="BD749" s="79">
        <v>1391064.5</v>
      </c>
      <c r="BE749" s="79">
        <f>749900*1.4</f>
        <v>1049860</v>
      </c>
      <c r="BF749" s="127">
        <v>1259832</v>
      </c>
      <c r="BG749" s="142">
        <v>1270900</v>
      </c>
      <c r="BH749" s="142">
        <v>1000000</v>
      </c>
      <c r="BI749" s="76">
        <f t="shared" si="875"/>
        <v>1612456.5665</v>
      </c>
      <c r="BJ749" s="24">
        <f t="shared" si="876"/>
        <v>686946.56649999996</v>
      </c>
      <c r="BK749" s="25">
        <f t="shared" si="877"/>
        <v>0.74223570409828088</v>
      </c>
      <c r="BL749" s="259" t="str">
        <f t="shared" si="878"/>
        <v>REVISAR PRECIO</v>
      </c>
      <c r="BM749" s="533">
        <f t="shared" si="879"/>
        <v>1612456.5665</v>
      </c>
    </row>
    <row r="750" spans="1:65" ht="33" customHeight="1">
      <c r="A750" s="91" t="s">
        <v>32</v>
      </c>
      <c r="B750" s="358" t="s">
        <v>2941</v>
      </c>
      <c r="C750" s="50" t="s">
        <v>348</v>
      </c>
      <c r="D750" s="99" t="s">
        <v>693</v>
      </c>
      <c r="E750" s="391" t="s">
        <v>744</v>
      </c>
      <c r="F750" s="408"/>
      <c r="G750" s="293"/>
      <c r="H750" s="293"/>
      <c r="I750" s="293"/>
      <c r="J750" s="293"/>
      <c r="K750" s="293"/>
      <c r="L750" s="327"/>
      <c r="M750" s="432"/>
      <c r="N750" s="443"/>
      <c r="O750" s="250"/>
      <c r="P750" s="250"/>
      <c r="Q750" s="250"/>
      <c r="R750" s="250"/>
      <c r="S750" s="250"/>
      <c r="T750" s="250"/>
      <c r="U750" s="250"/>
      <c r="V750" s="443"/>
      <c r="W750" s="410">
        <v>165488</v>
      </c>
      <c r="X750" s="31">
        <v>215231</v>
      </c>
      <c r="Y750" s="33">
        <v>279800</v>
      </c>
      <c r="Z750" s="98">
        <v>188127.4</v>
      </c>
      <c r="AA750" s="76">
        <f t="shared" si="861"/>
        <v>227719.46666666667</v>
      </c>
      <c r="AB750" s="24">
        <f t="shared" si="862"/>
        <v>62231.466666666674</v>
      </c>
      <c r="AC750" s="25">
        <f t="shared" si="863"/>
        <v>0.37604821296206781</v>
      </c>
      <c r="AD750" s="309" t="str">
        <f t="shared" si="864"/>
        <v>REVISAR PRECIO</v>
      </c>
      <c r="AE750" s="462">
        <f t="shared" si="865"/>
        <v>227719.46666666667</v>
      </c>
      <c r="AF750" s="408"/>
      <c r="AG750" s="293"/>
      <c r="AH750" s="293"/>
      <c r="AI750" s="293"/>
      <c r="AJ750" s="293"/>
      <c r="AK750" s="293"/>
      <c r="AL750" s="327"/>
      <c r="AM750" s="463"/>
      <c r="AN750" s="513">
        <v>115522</v>
      </c>
      <c r="AO750" s="88">
        <v>100000</v>
      </c>
      <c r="AP750" s="116">
        <v>100000</v>
      </c>
      <c r="AQ750" s="74">
        <v>94875</v>
      </c>
      <c r="AR750" s="76">
        <f t="shared" si="870"/>
        <v>98291.666666666672</v>
      </c>
      <c r="AS750" s="24">
        <f t="shared" si="871"/>
        <v>-17230.333333333328</v>
      </c>
      <c r="AT750" s="25">
        <f t="shared" si="872"/>
        <v>-0.14915196528222616</v>
      </c>
      <c r="AU750" s="309">
        <f t="shared" si="873"/>
        <v>98291.666666666672</v>
      </c>
      <c r="AV750" s="462">
        <f t="shared" si="874"/>
        <v>98291.666666666672</v>
      </c>
      <c r="AW750" s="513">
        <v>115522</v>
      </c>
      <c r="AX750" s="74">
        <v>99187.5</v>
      </c>
      <c r="AY750" s="74">
        <v>150000</v>
      </c>
      <c r="AZ750" s="75">
        <v>114281.25</v>
      </c>
      <c r="BA750" s="61">
        <v>143821.875</v>
      </c>
      <c r="BB750" s="60"/>
      <c r="BC750" s="74">
        <v>165395.15625</v>
      </c>
      <c r="BD750" s="79">
        <v>114281.25</v>
      </c>
      <c r="BE750" s="79">
        <f>75000*1.15</f>
        <v>86250</v>
      </c>
      <c r="BF750" s="127">
        <v>103500</v>
      </c>
      <c r="BG750" s="142">
        <v>85600</v>
      </c>
      <c r="BH750" s="142">
        <v>90000</v>
      </c>
      <c r="BI750" s="76">
        <f t="shared" si="875"/>
        <v>134537.15625</v>
      </c>
      <c r="BJ750" s="24">
        <f t="shared" si="876"/>
        <v>19015.15625</v>
      </c>
      <c r="BK750" s="25">
        <f t="shared" si="877"/>
        <v>0.16460203467737747</v>
      </c>
      <c r="BL750" s="259">
        <f t="shared" si="878"/>
        <v>134537.15625</v>
      </c>
      <c r="BM750" s="533">
        <f t="shared" si="879"/>
        <v>134537.15625</v>
      </c>
    </row>
    <row r="751" spans="1:65" s="68" customFormat="1" ht="24.6" customHeight="1">
      <c r="A751" s="231" t="s">
        <v>32</v>
      </c>
      <c r="B751" s="358" t="s">
        <v>2942</v>
      </c>
      <c r="C751" s="50" t="s">
        <v>349</v>
      </c>
      <c r="D751" s="101" t="s">
        <v>694</v>
      </c>
      <c r="E751" s="395" t="s">
        <v>740</v>
      </c>
      <c r="F751" s="408"/>
      <c r="G751" s="293"/>
      <c r="H751" s="293"/>
      <c r="I751" s="293"/>
      <c r="J751" s="293"/>
      <c r="K751" s="293"/>
      <c r="L751" s="327"/>
      <c r="M751" s="432"/>
      <c r="N751" s="443"/>
      <c r="O751" s="250"/>
      <c r="P751" s="250"/>
      <c r="Q751" s="250"/>
      <c r="R751" s="250"/>
      <c r="S751" s="250"/>
      <c r="T751" s="250"/>
      <c r="U751" s="250"/>
      <c r="V751" s="443"/>
      <c r="W751" s="477">
        <v>154340</v>
      </c>
      <c r="X751" s="92">
        <v>200732</v>
      </c>
      <c r="Y751" s="66">
        <v>260951</v>
      </c>
      <c r="Z751" s="98">
        <v>175454.2</v>
      </c>
      <c r="AA751" s="86">
        <f t="shared" si="861"/>
        <v>212379.06666666665</v>
      </c>
      <c r="AB751" s="67">
        <f t="shared" si="862"/>
        <v>58039.066666666651</v>
      </c>
      <c r="AC751" s="64">
        <f t="shared" si="863"/>
        <v>0.37604682303140241</v>
      </c>
      <c r="AD751" s="486" t="str">
        <f t="shared" si="864"/>
        <v>REVISAR PRECIO</v>
      </c>
      <c r="AE751" s="490">
        <f t="shared" si="865"/>
        <v>212379.06666666665</v>
      </c>
      <c r="AF751" s="408"/>
      <c r="AG751" s="293"/>
      <c r="AH751" s="293"/>
      <c r="AI751" s="293"/>
      <c r="AJ751" s="293"/>
      <c r="AK751" s="293"/>
      <c r="AL751" s="327"/>
      <c r="AM751" s="463"/>
      <c r="AN751" s="515"/>
      <c r="AO751" s="117"/>
      <c r="AP751" s="117"/>
      <c r="AQ751" s="117"/>
      <c r="AR751" s="117"/>
      <c r="AS751" s="117"/>
      <c r="AT751" s="117"/>
      <c r="AU751" s="518"/>
      <c r="AV751" s="548"/>
      <c r="AW751" s="515"/>
      <c r="AX751" s="83"/>
      <c r="AY751" s="83"/>
      <c r="AZ751" s="84"/>
      <c r="BA751" s="85"/>
      <c r="BB751" s="60"/>
      <c r="BC751" s="83"/>
      <c r="BD751" s="250"/>
      <c r="BE751" s="250"/>
      <c r="BF751" s="250"/>
      <c r="BG751" s="250"/>
      <c r="BH751" s="250"/>
      <c r="BI751" s="86"/>
      <c r="BJ751" s="67"/>
      <c r="BK751" s="64"/>
      <c r="BL751" s="478"/>
      <c r="BM751" s="535"/>
    </row>
    <row r="752" spans="1:65" ht="35.450000000000003" customHeight="1">
      <c r="A752" s="91" t="s">
        <v>32</v>
      </c>
      <c r="B752" s="358" t="s">
        <v>2943</v>
      </c>
      <c r="C752" s="50" t="s">
        <v>350</v>
      </c>
      <c r="D752" s="99" t="s">
        <v>695</v>
      </c>
      <c r="E752" s="391" t="s">
        <v>740</v>
      </c>
      <c r="F752" s="408"/>
      <c r="G752" s="293"/>
      <c r="H752" s="293"/>
      <c r="I752" s="293"/>
      <c r="J752" s="293"/>
      <c r="K752" s="293"/>
      <c r="L752" s="327"/>
      <c r="M752" s="432"/>
      <c r="N752" s="443"/>
      <c r="O752" s="250"/>
      <c r="P752" s="250"/>
      <c r="Q752" s="250"/>
      <c r="R752" s="250"/>
      <c r="S752" s="250"/>
      <c r="T752" s="250"/>
      <c r="U752" s="250"/>
      <c r="V752" s="443"/>
      <c r="W752" s="410">
        <v>66629</v>
      </c>
      <c r="X752" s="31">
        <v>86657</v>
      </c>
      <c r="Y752" s="31">
        <v>112653</v>
      </c>
      <c r="Z752" s="98">
        <v>75744.2</v>
      </c>
      <c r="AA752" s="76">
        <f t="shared" si="861"/>
        <v>91684.733333333337</v>
      </c>
      <c r="AB752" s="24">
        <f t="shared" si="862"/>
        <v>25055.733333333337</v>
      </c>
      <c r="AC752" s="25">
        <f t="shared" si="863"/>
        <v>0.37604846738407205</v>
      </c>
      <c r="AD752" s="309" t="str">
        <f t="shared" si="864"/>
        <v>REVISAR PRECIO</v>
      </c>
      <c r="AE752" s="462">
        <f t="shared" si="865"/>
        <v>91684.733333333337</v>
      </c>
      <c r="AF752" s="408"/>
      <c r="AG752" s="293"/>
      <c r="AH752" s="293"/>
      <c r="AI752" s="293"/>
      <c r="AJ752" s="293"/>
      <c r="AK752" s="293"/>
      <c r="AL752" s="327"/>
      <c r="AM752" s="463"/>
      <c r="AN752" s="513">
        <v>46513</v>
      </c>
      <c r="AO752" s="88">
        <v>28000</v>
      </c>
      <c r="AP752" s="116">
        <v>28000</v>
      </c>
      <c r="AQ752" s="74">
        <v>27500</v>
      </c>
      <c r="AR752" s="76">
        <f t="shared" ref="AR752:AR757" si="900">AVERAGE(AO752,AP752,AQ752)</f>
        <v>27833.333333333332</v>
      </c>
      <c r="AS752" s="24">
        <f t="shared" ref="AS752:AS757" si="901">AR752-AN752</f>
        <v>-18679.666666666668</v>
      </c>
      <c r="AT752" s="25">
        <f t="shared" ref="AT752:AT757" si="902">+AS752/AN752</f>
        <v>-0.40160098610424327</v>
      </c>
      <c r="AU752" s="309">
        <f t="shared" ref="AU752:AU757" si="903">+IF(AT752&lt;35%,AR752,"REVISAR PRECIO")</f>
        <v>27833.333333333332</v>
      </c>
      <c r="AV752" s="462">
        <f t="shared" ref="AV752:AV757" si="904">AR752</f>
        <v>27833.333333333332</v>
      </c>
      <c r="AW752" s="513">
        <v>46513</v>
      </c>
      <c r="AX752" s="74">
        <v>28750</v>
      </c>
      <c r="AY752" s="74">
        <v>50000</v>
      </c>
      <c r="AZ752" s="75">
        <v>33125</v>
      </c>
      <c r="BA752" s="61">
        <v>51749.999999999993</v>
      </c>
      <c r="BB752" s="60"/>
      <c r="BC752" s="74">
        <v>59512.499999999985</v>
      </c>
      <c r="BD752" s="79">
        <v>33125</v>
      </c>
      <c r="BE752" s="79">
        <v>25000</v>
      </c>
      <c r="BF752" s="127">
        <v>30000</v>
      </c>
      <c r="BG752" s="128">
        <v>22100</v>
      </c>
      <c r="BH752" s="128">
        <v>30000</v>
      </c>
      <c r="BI752" s="76">
        <f t="shared" ref="BI752:BI757" si="905">AVERAGE(AX752,AY752,AZ752,BA752,BB752,BC752)</f>
        <v>44627.5</v>
      </c>
      <c r="BJ752" s="24">
        <f t="shared" ref="BJ752:BJ757" si="906">BI752-AW752</f>
        <v>-1885.5</v>
      </c>
      <c r="BK752" s="25">
        <f t="shared" ref="BK752:BK757" si="907">+BJ752/AW752</f>
        <v>-4.0537054156902369E-2</v>
      </c>
      <c r="BL752" s="259">
        <f t="shared" ref="BL752:BL757" si="908">+IF(BK752&lt;35%,BI752,"REVISAR PRECIO")</f>
        <v>44627.5</v>
      </c>
      <c r="BM752" s="533">
        <f t="shared" ref="BM752:BM757" si="909">BI752</f>
        <v>44627.5</v>
      </c>
    </row>
    <row r="753" spans="1:65" ht="35.450000000000003" customHeight="1">
      <c r="A753" s="91" t="s">
        <v>32</v>
      </c>
      <c r="B753" s="358" t="s">
        <v>2944</v>
      </c>
      <c r="C753" s="50" t="s">
        <v>351</v>
      </c>
      <c r="D753" s="99" t="s">
        <v>696</v>
      </c>
      <c r="E753" s="391" t="s">
        <v>11</v>
      </c>
      <c r="F753" s="408"/>
      <c r="G753" s="293"/>
      <c r="H753" s="293"/>
      <c r="I753" s="293"/>
      <c r="J753" s="293"/>
      <c r="K753" s="293"/>
      <c r="L753" s="327"/>
      <c r="M753" s="432"/>
      <c r="N753" s="443"/>
      <c r="O753" s="250"/>
      <c r="P753" s="250"/>
      <c r="Q753" s="250"/>
      <c r="R753" s="250"/>
      <c r="S753" s="250"/>
      <c r="T753" s="250"/>
      <c r="U753" s="250"/>
      <c r="V753" s="443"/>
      <c r="W753" s="410">
        <v>76148</v>
      </c>
      <c r="X753" s="33">
        <v>99036</v>
      </c>
      <c r="Y753" s="33">
        <v>99036</v>
      </c>
      <c r="Z753" s="98">
        <v>86564.800000000003</v>
      </c>
      <c r="AA753" s="76">
        <f t="shared" si="861"/>
        <v>94878.933333333334</v>
      </c>
      <c r="AB753" s="24">
        <f t="shared" si="862"/>
        <v>18730.933333333334</v>
      </c>
      <c r="AC753" s="25">
        <f t="shared" si="863"/>
        <v>0.2459806342035685</v>
      </c>
      <c r="AD753" s="309">
        <f t="shared" si="864"/>
        <v>94878.933333333334</v>
      </c>
      <c r="AE753" s="462">
        <f t="shared" si="865"/>
        <v>94878.933333333334</v>
      </c>
      <c r="AF753" s="408"/>
      <c r="AG753" s="293"/>
      <c r="AH753" s="293"/>
      <c r="AI753" s="293"/>
      <c r="AJ753" s="293"/>
      <c r="AK753" s="293"/>
      <c r="AL753" s="327"/>
      <c r="AM753" s="463"/>
      <c r="AN753" s="513">
        <v>53157</v>
      </c>
      <c r="AO753" s="88">
        <v>263000</v>
      </c>
      <c r="AP753" s="116">
        <v>263000</v>
      </c>
      <c r="AQ753" s="74">
        <v>275000</v>
      </c>
      <c r="AR753" s="76">
        <f t="shared" si="900"/>
        <v>267000</v>
      </c>
      <c r="AS753" s="24">
        <f t="shared" si="901"/>
        <v>213843</v>
      </c>
      <c r="AT753" s="25">
        <f t="shared" si="902"/>
        <v>4.0228568203623229</v>
      </c>
      <c r="AU753" s="309" t="str">
        <f t="shared" si="903"/>
        <v>REVISAR PRECIO</v>
      </c>
      <c r="AV753" s="462">
        <f t="shared" si="904"/>
        <v>267000</v>
      </c>
      <c r="AW753" s="513">
        <v>53157</v>
      </c>
      <c r="AX753" s="74">
        <v>287500</v>
      </c>
      <c r="AY753" s="74">
        <v>250000</v>
      </c>
      <c r="AZ753" s="75">
        <v>331250</v>
      </c>
      <c r="BA753" s="61">
        <v>287500</v>
      </c>
      <c r="BB753" s="60"/>
      <c r="BC753" s="74">
        <v>330625</v>
      </c>
      <c r="BD753" s="79">
        <v>331250</v>
      </c>
      <c r="BE753" s="79">
        <v>250000</v>
      </c>
      <c r="BF753" s="127">
        <v>300000</v>
      </c>
      <c r="BG753" s="128">
        <v>282300</v>
      </c>
      <c r="BH753" s="128">
        <v>250000</v>
      </c>
      <c r="BI753" s="76">
        <f t="shared" si="905"/>
        <v>297375</v>
      </c>
      <c r="BJ753" s="24">
        <f t="shared" si="906"/>
        <v>244218</v>
      </c>
      <c r="BK753" s="25">
        <f t="shared" si="907"/>
        <v>4.5942773294203958</v>
      </c>
      <c r="BL753" s="259" t="str">
        <f t="shared" si="908"/>
        <v>REVISAR PRECIO</v>
      </c>
      <c r="BM753" s="533">
        <f t="shared" si="909"/>
        <v>297375</v>
      </c>
    </row>
    <row r="754" spans="1:65" ht="35.450000000000003" customHeight="1">
      <c r="A754" s="91" t="s">
        <v>32</v>
      </c>
      <c r="B754" s="358" t="s">
        <v>2945</v>
      </c>
      <c r="C754" s="50" t="s">
        <v>352</v>
      </c>
      <c r="D754" s="99" t="s">
        <v>697</v>
      </c>
      <c r="E754" s="391" t="s">
        <v>740</v>
      </c>
      <c r="F754" s="408"/>
      <c r="G754" s="293"/>
      <c r="H754" s="293"/>
      <c r="I754" s="293"/>
      <c r="J754" s="293"/>
      <c r="K754" s="293"/>
      <c r="L754" s="327"/>
      <c r="M754" s="432"/>
      <c r="N754" s="443"/>
      <c r="O754" s="250"/>
      <c r="P754" s="250"/>
      <c r="Q754" s="250"/>
      <c r="R754" s="250"/>
      <c r="S754" s="250"/>
      <c r="T754" s="250"/>
      <c r="U754" s="250"/>
      <c r="V754" s="443"/>
      <c r="W754" s="410">
        <v>516716</v>
      </c>
      <c r="X754" s="31">
        <v>672030</v>
      </c>
      <c r="Y754" s="31">
        <v>873639</v>
      </c>
      <c r="Z754" s="98">
        <v>587404</v>
      </c>
      <c r="AA754" s="76">
        <f t="shared" si="861"/>
        <v>711024.33333333337</v>
      </c>
      <c r="AB754" s="24">
        <f t="shared" si="862"/>
        <v>194308.33333333337</v>
      </c>
      <c r="AC754" s="25">
        <f t="shared" si="863"/>
        <v>0.37604473895395801</v>
      </c>
      <c r="AD754" s="309" t="str">
        <f t="shared" si="864"/>
        <v>REVISAR PRECIO</v>
      </c>
      <c r="AE754" s="462">
        <f t="shared" si="865"/>
        <v>711024.33333333337</v>
      </c>
      <c r="AF754" s="408"/>
      <c r="AG754" s="293"/>
      <c r="AH754" s="293"/>
      <c r="AI754" s="293"/>
      <c r="AJ754" s="293"/>
      <c r="AK754" s="293"/>
      <c r="AL754" s="327"/>
      <c r="AM754" s="463"/>
      <c r="AN754" s="513">
        <v>223072</v>
      </c>
      <c r="AO754" s="88">
        <v>250000</v>
      </c>
      <c r="AP754" s="116">
        <v>250000</v>
      </c>
      <c r="AQ754" s="74">
        <v>259188.38</v>
      </c>
      <c r="AR754" s="76">
        <f t="shared" si="900"/>
        <v>253062.79333333333</v>
      </c>
      <c r="AS754" s="24">
        <f t="shared" si="901"/>
        <v>29990.793333333335</v>
      </c>
      <c r="AT754" s="25">
        <f t="shared" si="902"/>
        <v>0.13444445440635011</v>
      </c>
      <c r="AU754" s="309">
        <f t="shared" si="903"/>
        <v>253062.79333333333</v>
      </c>
      <c r="AV754" s="462">
        <f t="shared" si="904"/>
        <v>253062.79333333333</v>
      </c>
      <c r="AW754" s="513">
        <v>223072</v>
      </c>
      <c r="AX754" s="74">
        <v>270969.67</v>
      </c>
      <c r="AY754" s="74">
        <v>1400000</v>
      </c>
      <c r="AZ754" s="75">
        <v>312204.18499999994</v>
      </c>
      <c r="BA754" s="61">
        <v>627900</v>
      </c>
      <c r="BB754" s="60"/>
      <c r="BC754" s="74">
        <v>722085</v>
      </c>
      <c r="BD754" s="79">
        <v>312204.18499999994</v>
      </c>
      <c r="BE754" s="79">
        <f>204892*1.15</f>
        <v>235625.8</v>
      </c>
      <c r="BF754" s="127">
        <v>282750.95999999996</v>
      </c>
      <c r="BG754" s="128">
        <v>240300</v>
      </c>
      <c r="BH754" s="128">
        <v>240000</v>
      </c>
      <c r="BI754" s="76">
        <f t="shared" si="905"/>
        <v>666631.77099999995</v>
      </c>
      <c r="BJ754" s="24">
        <f t="shared" si="906"/>
        <v>443559.77099999995</v>
      </c>
      <c r="BK754" s="25">
        <f t="shared" si="907"/>
        <v>1.9884152695093957</v>
      </c>
      <c r="BL754" s="259" t="str">
        <f t="shared" si="908"/>
        <v>REVISAR PRECIO</v>
      </c>
      <c r="BM754" s="533">
        <f t="shared" si="909"/>
        <v>666631.77099999995</v>
      </c>
    </row>
    <row r="755" spans="1:65" ht="35.450000000000003" customHeight="1">
      <c r="A755" s="91" t="s">
        <v>32</v>
      </c>
      <c r="B755" s="358" t="s">
        <v>2946</v>
      </c>
      <c r="C755" s="50" t="s">
        <v>353</v>
      </c>
      <c r="D755" s="99" t="s">
        <v>698</v>
      </c>
      <c r="E755" s="391" t="s">
        <v>740</v>
      </c>
      <c r="F755" s="408"/>
      <c r="G755" s="293"/>
      <c r="H755" s="293"/>
      <c r="I755" s="293"/>
      <c r="J755" s="293"/>
      <c r="K755" s="293"/>
      <c r="L755" s="327"/>
      <c r="M755" s="432"/>
      <c r="N755" s="443"/>
      <c r="O755" s="250"/>
      <c r="P755" s="250"/>
      <c r="Q755" s="250"/>
      <c r="R755" s="250"/>
      <c r="S755" s="250"/>
      <c r="T755" s="250"/>
      <c r="U755" s="250"/>
      <c r="V755" s="443"/>
      <c r="W755" s="410">
        <v>140379</v>
      </c>
      <c r="X755" s="31">
        <v>182574</v>
      </c>
      <c r="Y755" s="33">
        <v>237346</v>
      </c>
      <c r="Z755" s="98">
        <v>159583.20000000001</v>
      </c>
      <c r="AA755" s="76">
        <f t="shared" si="861"/>
        <v>193167.73333333331</v>
      </c>
      <c r="AB755" s="24">
        <f t="shared" si="862"/>
        <v>52788.733333333308</v>
      </c>
      <c r="AC755" s="25">
        <f t="shared" si="863"/>
        <v>0.37604437510833749</v>
      </c>
      <c r="AD755" s="309" t="str">
        <f t="shared" si="864"/>
        <v>REVISAR PRECIO</v>
      </c>
      <c r="AE755" s="462">
        <f t="shared" si="865"/>
        <v>193167.73333333331</v>
      </c>
      <c r="AF755" s="408"/>
      <c r="AG755" s="293"/>
      <c r="AH755" s="293"/>
      <c r="AI755" s="293"/>
      <c r="AJ755" s="293"/>
      <c r="AK755" s="293"/>
      <c r="AL755" s="327"/>
      <c r="AM755" s="463"/>
      <c r="AN755" s="513">
        <v>72522</v>
      </c>
      <c r="AO755" s="88">
        <v>105000</v>
      </c>
      <c r="AP755" s="116">
        <v>109000</v>
      </c>
      <c r="AQ755" s="74">
        <v>108789.99999999999</v>
      </c>
      <c r="AR755" s="76">
        <f t="shared" si="900"/>
        <v>107596.66666666667</v>
      </c>
      <c r="AS755" s="24">
        <f t="shared" si="901"/>
        <v>35074.666666666672</v>
      </c>
      <c r="AT755" s="25">
        <f t="shared" si="902"/>
        <v>0.48364174549332162</v>
      </c>
      <c r="AU755" s="309" t="str">
        <f t="shared" si="903"/>
        <v>REVISAR PRECIO</v>
      </c>
      <c r="AV755" s="462">
        <f t="shared" si="904"/>
        <v>107596.66666666667</v>
      </c>
      <c r="AW755" s="513">
        <v>72522</v>
      </c>
      <c r="AX755" s="74">
        <v>113734.99999999999</v>
      </c>
      <c r="AY755" s="74">
        <v>160000</v>
      </c>
      <c r="AZ755" s="75">
        <v>131042.49999999997</v>
      </c>
      <c r="BA755" s="61">
        <v>113734.99999999997</v>
      </c>
      <c r="BB755" s="60"/>
      <c r="BC755" s="74">
        <v>130795.24999999996</v>
      </c>
      <c r="BD755" s="79">
        <v>131042.49999999997</v>
      </c>
      <c r="BE755" s="79">
        <f>86000*1.15</f>
        <v>98899.999999999985</v>
      </c>
      <c r="BF755" s="127">
        <v>118679.99999999999</v>
      </c>
      <c r="BG755" s="128">
        <v>114700</v>
      </c>
      <c r="BH755" s="128">
        <v>100000</v>
      </c>
      <c r="BI755" s="76">
        <f t="shared" si="905"/>
        <v>129861.55</v>
      </c>
      <c r="BJ755" s="24">
        <f t="shared" si="906"/>
        <v>57339.55</v>
      </c>
      <c r="BK755" s="25">
        <f t="shared" si="907"/>
        <v>0.79065042331982027</v>
      </c>
      <c r="BL755" s="259" t="str">
        <f t="shared" si="908"/>
        <v>REVISAR PRECIO</v>
      </c>
      <c r="BM755" s="533">
        <f t="shared" si="909"/>
        <v>129861.55</v>
      </c>
    </row>
    <row r="756" spans="1:65" ht="35.450000000000003" customHeight="1">
      <c r="A756" s="91" t="s">
        <v>32</v>
      </c>
      <c r="B756" s="358" t="s">
        <v>2947</v>
      </c>
      <c r="C756" s="50" t="s">
        <v>354</v>
      </c>
      <c r="D756" s="99" t="s">
        <v>699</v>
      </c>
      <c r="E756" s="391" t="s">
        <v>740</v>
      </c>
      <c r="F756" s="408"/>
      <c r="G756" s="293"/>
      <c r="H756" s="293"/>
      <c r="I756" s="293"/>
      <c r="J756" s="293"/>
      <c r="K756" s="293"/>
      <c r="L756" s="327"/>
      <c r="M756" s="432"/>
      <c r="N756" s="443"/>
      <c r="O756" s="250"/>
      <c r="P756" s="250"/>
      <c r="Q756" s="250"/>
      <c r="R756" s="250"/>
      <c r="S756" s="250"/>
      <c r="T756" s="250"/>
      <c r="U756" s="250"/>
      <c r="V756" s="443"/>
      <c r="W756" s="410">
        <v>58066</v>
      </c>
      <c r="X756" s="31">
        <v>75519</v>
      </c>
      <c r="Y756" s="33">
        <v>98175</v>
      </c>
      <c r="Z756" s="98">
        <v>66009.2</v>
      </c>
      <c r="AA756" s="76">
        <f t="shared" si="861"/>
        <v>79901.066666666666</v>
      </c>
      <c r="AB756" s="24">
        <f t="shared" si="862"/>
        <v>21835.066666666666</v>
      </c>
      <c r="AC756" s="25">
        <f t="shared" si="863"/>
        <v>0.3760387604909356</v>
      </c>
      <c r="AD756" s="309" t="str">
        <f t="shared" si="864"/>
        <v>REVISAR PRECIO</v>
      </c>
      <c r="AE756" s="462">
        <f t="shared" si="865"/>
        <v>79901.066666666666</v>
      </c>
      <c r="AF756" s="408"/>
      <c r="AG756" s="293"/>
      <c r="AH756" s="293"/>
      <c r="AI756" s="293"/>
      <c r="AJ756" s="293"/>
      <c r="AK756" s="293"/>
      <c r="AL756" s="327"/>
      <c r="AM756" s="463"/>
      <c r="AN756" s="513">
        <v>31040</v>
      </c>
      <c r="AO756" s="88">
        <v>15000</v>
      </c>
      <c r="AP756" s="116">
        <v>15000</v>
      </c>
      <c r="AQ756" s="74">
        <v>14762.000000000002</v>
      </c>
      <c r="AR756" s="76">
        <f t="shared" si="900"/>
        <v>14920.666666666666</v>
      </c>
      <c r="AS756" s="24">
        <f t="shared" si="901"/>
        <v>-16119.333333333334</v>
      </c>
      <c r="AT756" s="25">
        <f t="shared" si="902"/>
        <v>-0.5193084192439863</v>
      </c>
      <c r="AU756" s="309">
        <f t="shared" si="903"/>
        <v>14920.666666666666</v>
      </c>
      <c r="AV756" s="462">
        <f t="shared" si="904"/>
        <v>14920.666666666666</v>
      </c>
      <c r="AW756" s="513">
        <v>31040</v>
      </c>
      <c r="AX756" s="74">
        <v>15433.000000000002</v>
      </c>
      <c r="AY756" s="74">
        <v>25000</v>
      </c>
      <c r="AZ756" s="75">
        <v>17781.5</v>
      </c>
      <c r="BA756" s="61">
        <v>39675</v>
      </c>
      <c r="BB756" s="60"/>
      <c r="BC756" s="74">
        <v>45626.25</v>
      </c>
      <c r="BD756" s="79">
        <v>17781.5</v>
      </c>
      <c r="BE756" s="79">
        <f>12200*1.1</f>
        <v>13420.000000000002</v>
      </c>
      <c r="BF756" s="127">
        <v>16104.000000000002</v>
      </c>
      <c r="BG756" s="128">
        <v>12700</v>
      </c>
      <c r="BH756" s="128">
        <v>15000</v>
      </c>
      <c r="BI756" s="76">
        <f t="shared" si="905"/>
        <v>28703.15</v>
      </c>
      <c r="BJ756" s="24">
        <f t="shared" si="906"/>
        <v>-2336.8499999999985</v>
      </c>
      <c r="BK756" s="25">
        <f t="shared" si="907"/>
        <v>-7.5285115979381395E-2</v>
      </c>
      <c r="BL756" s="259">
        <f t="shared" si="908"/>
        <v>28703.15</v>
      </c>
      <c r="BM756" s="533">
        <f t="shared" si="909"/>
        <v>28703.15</v>
      </c>
    </row>
    <row r="757" spans="1:65" ht="35.450000000000003" customHeight="1">
      <c r="A757" s="91" t="s">
        <v>32</v>
      </c>
      <c r="B757" s="358" t="s">
        <v>2948</v>
      </c>
      <c r="C757" s="50" t="s">
        <v>355</v>
      </c>
      <c r="D757" s="99" t="s">
        <v>700</v>
      </c>
      <c r="E757" s="391" t="s">
        <v>740</v>
      </c>
      <c r="F757" s="408"/>
      <c r="G757" s="293"/>
      <c r="H757" s="293"/>
      <c r="I757" s="293"/>
      <c r="J757" s="293"/>
      <c r="K757" s="293"/>
      <c r="L757" s="327"/>
      <c r="M757" s="432"/>
      <c r="N757" s="443"/>
      <c r="O757" s="250"/>
      <c r="P757" s="250"/>
      <c r="Q757" s="250"/>
      <c r="R757" s="250"/>
      <c r="S757" s="250"/>
      <c r="T757" s="250"/>
      <c r="U757" s="250"/>
      <c r="V757" s="443"/>
      <c r="W757" s="410">
        <v>20397</v>
      </c>
      <c r="X757" s="33">
        <v>26528</v>
      </c>
      <c r="Y757" s="31">
        <v>34486</v>
      </c>
      <c r="Z757" s="98">
        <v>23187</v>
      </c>
      <c r="AA757" s="76">
        <f t="shared" si="861"/>
        <v>28067</v>
      </c>
      <c r="AB757" s="24">
        <f t="shared" si="862"/>
        <v>7670</v>
      </c>
      <c r="AC757" s="25">
        <f t="shared" si="863"/>
        <v>0.37603569152326322</v>
      </c>
      <c r="AD757" s="309" t="str">
        <f t="shared" si="864"/>
        <v>REVISAR PRECIO</v>
      </c>
      <c r="AE757" s="462">
        <f t="shared" si="865"/>
        <v>28067</v>
      </c>
      <c r="AF757" s="408"/>
      <c r="AG757" s="293"/>
      <c r="AH757" s="293"/>
      <c r="AI757" s="293"/>
      <c r="AJ757" s="293"/>
      <c r="AK757" s="293"/>
      <c r="AL757" s="327"/>
      <c r="AM757" s="463"/>
      <c r="AN757" s="513">
        <v>14239</v>
      </c>
      <c r="AO757" s="88">
        <v>3000</v>
      </c>
      <c r="AP757" s="116">
        <v>3000</v>
      </c>
      <c r="AQ757" s="74">
        <v>2045.5049999999999</v>
      </c>
      <c r="AR757" s="76">
        <f t="shared" si="900"/>
        <v>2681.835</v>
      </c>
      <c r="AS757" s="24">
        <f t="shared" si="901"/>
        <v>-11557.165000000001</v>
      </c>
      <c r="AT757" s="25">
        <f t="shared" si="902"/>
        <v>-0.81165566402134992</v>
      </c>
      <c r="AU757" s="309">
        <f t="shared" si="903"/>
        <v>2681.835</v>
      </c>
      <c r="AV757" s="462">
        <f t="shared" si="904"/>
        <v>2681.835</v>
      </c>
      <c r="AW757" s="513">
        <v>14239</v>
      </c>
      <c r="AX757" s="74">
        <v>2138.4825000000001</v>
      </c>
      <c r="AY757" s="74">
        <v>5000</v>
      </c>
      <c r="AZ757" s="75">
        <v>2463.9037499999999</v>
      </c>
      <c r="BA757" s="61">
        <v>2138.4824999999996</v>
      </c>
      <c r="BB757" s="60"/>
      <c r="BC757" s="74">
        <v>2459.2548749999992</v>
      </c>
      <c r="BD757" s="79">
        <v>2463.9037499999999</v>
      </c>
      <c r="BE757" s="79">
        <f>1617*1.15</f>
        <v>1859.55</v>
      </c>
      <c r="BF757" s="127">
        <v>2231.46</v>
      </c>
      <c r="BG757" s="128">
        <v>1700</v>
      </c>
      <c r="BH757" s="128">
        <v>2000</v>
      </c>
      <c r="BI757" s="76">
        <f t="shared" si="905"/>
        <v>2840.0247249999998</v>
      </c>
      <c r="BJ757" s="24">
        <f t="shared" si="906"/>
        <v>-11398.975275000001</v>
      </c>
      <c r="BK757" s="25">
        <f t="shared" si="907"/>
        <v>-0.80054605484935748</v>
      </c>
      <c r="BL757" s="259">
        <f t="shared" si="908"/>
        <v>2840.0247249999998</v>
      </c>
      <c r="BM757" s="533">
        <f t="shared" si="909"/>
        <v>2840.0247249999998</v>
      </c>
    </row>
    <row r="758" spans="1:65" s="68" customFormat="1" ht="35.450000000000003" customHeight="1">
      <c r="A758" s="231" t="s">
        <v>32</v>
      </c>
      <c r="B758" s="358" t="s">
        <v>2949</v>
      </c>
      <c r="C758" s="50" t="s">
        <v>356</v>
      </c>
      <c r="D758" s="101" t="s">
        <v>701</v>
      </c>
      <c r="E758" s="395" t="s">
        <v>742</v>
      </c>
      <c r="F758" s="408"/>
      <c r="G758" s="293"/>
      <c r="H758" s="293"/>
      <c r="I758" s="293"/>
      <c r="J758" s="293"/>
      <c r="K758" s="293"/>
      <c r="L758" s="327"/>
      <c r="M758" s="432"/>
      <c r="N758" s="443"/>
      <c r="O758" s="250"/>
      <c r="P758" s="250"/>
      <c r="Q758" s="250"/>
      <c r="R758" s="250"/>
      <c r="S758" s="250"/>
      <c r="T758" s="250"/>
      <c r="U758" s="250"/>
      <c r="V758" s="443"/>
      <c r="W758" s="477">
        <v>163174</v>
      </c>
      <c r="X758" s="66">
        <v>212220</v>
      </c>
      <c r="Y758" s="66">
        <v>275886</v>
      </c>
      <c r="Z758" s="98">
        <v>185496</v>
      </c>
      <c r="AA758" s="86">
        <f t="shared" si="861"/>
        <v>224534</v>
      </c>
      <c r="AB758" s="67">
        <f t="shared" si="862"/>
        <v>61360</v>
      </c>
      <c r="AC758" s="64">
        <f t="shared" si="863"/>
        <v>0.37604030053807591</v>
      </c>
      <c r="AD758" s="486" t="str">
        <f t="shared" si="864"/>
        <v>REVISAR PRECIO</v>
      </c>
      <c r="AE758" s="490">
        <f t="shared" si="865"/>
        <v>224534</v>
      </c>
      <c r="AF758" s="408"/>
      <c r="AG758" s="293"/>
      <c r="AH758" s="293"/>
      <c r="AI758" s="293"/>
      <c r="AJ758" s="293"/>
      <c r="AK758" s="293"/>
      <c r="AL758" s="327"/>
      <c r="AM758" s="463"/>
      <c r="AN758" s="515"/>
      <c r="AO758" s="117"/>
      <c r="AP758" s="117"/>
      <c r="AQ758" s="117"/>
      <c r="AR758" s="117"/>
      <c r="AS758" s="117"/>
      <c r="AT758" s="117"/>
      <c r="AU758" s="518"/>
      <c r="AV758" s="548"/>
      <c r="AW758" s="515"/>
      <c r="AX758" s="83"/>
      <c r="AY758" s="83"/>
      <c r="AZ758" s="84"/>
      <c r="BA758" s="85"/>
      <c r="BB758" s="60"/>
      <c r="BC758" s="83"/>
      <c r="BD758" s="250"/>
      <c r="BE758" s="250"/>
      <c r="BF758" s="250"/>
      <c r="BG758" s="250"/>
      <c r="BH758" s="250"/>
      <c r="BI758" s="86"/>
      <c r="BJ758" s="67"/>
      <c r="BK758" s="64"/>
      <c r="BL758" s="478"/>
      <c r="BM758" s="535"/>
    </row>
    <row r="759" spans="1:65" ht="35.450000000000003" customHeight="1">
      <c r="A759" s="91" t="s">
        <v>32</v>
      </c>
      <c r="B759" s="358" t="s">
        <v>2950</v>
      </c>
      <c r="C759" s="50" t="s">
        <v>357</v>
      </c>
      <c r="D759" s="99" t="s">
        <v>702</v>
      </c>
      <c r="E759" s="391" t="s">
        <v>11</v>
      </c>
      <c r="F759" s="408"/>
      <c r="G759" s="293"/>
      <c r="H759" s="293"/>
      <c r="I759" s="293"/>
      <c r="J759" s="293"/>
      <c r="K759" s="293"/>
      <c r="L759" s="327"/>
      <c r="M759" s="432"/>
      <c r="N759" s="443"/>
      <c r="O759" s="250"/>
      <c r="P759" s="250"/>
      <c r="Q759" s="250"/>
      <c r="R759" s="250"/>
      <c r="S759" s="250"/>
      <c r="T759" s="250"/>
      <c r="U759" s="250"/>
      <c r="V759" s="443"/>
      <c r="W759" s="410">
        <v>107423</v>
      </c>
      <c r="X759" s="31">
        <v>139712</v>
      </c>
      <c r="Y759" s="33">
        <v>181625</v>
      </c>
      <c r="Z759" s="98">
        <v>122118.2</v>
      </c>
      <c r="AA759" s="76">
        <f t="shared" si="861"/>
        <v>147818.4</v>
      </c>
      <c r="AB759" s="24">
        <f t="shared" si="862"/>
        <v>40395.399999999994</v>
      </c>
      <c r="AC759" s="25">
        <f t="shared" si="863"/>
        <v>0.37604051273935746</v>
      </c>
      <c r="AD759" s="309" t="str">
        <f t="shared" si="864"/>
        <v>REVISAR PRECIO</v>
      </c>
      <c r="AE759" s="462">
        <f t="shared" si="865"/>
        <v>147818.4</v>
      </c>
      <c r="AF759" s="408"/>
      <c r="AG759" s="293"/>
      <c r="AH759" s="293"/>
      <c r="AI759" s="293"/>
      <c r="AJ759" s="293"/>
      <c r="AK759" s="293"/>
      <c r="AL759" s="327"/>
      <c r="AM759" s="463"/>
      <c r="AN759" s="513">
        <v>74990</v>
      </c>
      <c r="AO759" s="88">
        <v>120000</v>
      </c>
      <c r="AP759" s="116">
        <v>120000</v>
      </c>
      <c r="AQ759" s="74">
        <v>101547.6</v>
      </c>
      <c r="AR759" s="76">
        <f t="shared" ref="AR759:AR768" si="910">AVERAGE(AO759,AP759,AQ759)</f>
        <v>113849.2</v>
      </c>
      <c r="AS759" s="24">
        <f t="shared" ref="AS759:AS768" si="911">AR759-AN759</f>
        <v>38859.199999999997</v>
      </c>
      <c r="AT759" s="25">
        <f t="shared" ref="AT759:AT764" si="912">+AS759/AN759</f>
        <v>0.51819175890118674</v>
      </c>
      <c r="AU759" s="309" t="str">
        <f t="shared" ref="AU759:AU764" si="913">+IF(AT759&lt;35%,AR759,"REVISAR PRECIO")</f>
        <v>REVISAR PRECIO</v>
      </c>
      <c r="AV759" s="462">
        <f t="shared" ref="AV759:AV768" si="914">AR759</f>
        <v>113849.2</v>
      </c>
      <c r="AW759" s="513">
        <v>74990</v>
      </c>
      <c r="AX759" s="74">
        <v>106163.4</v>
      </c>
      <c r="AY759" s="74">
        <v>200000</v>
      </c>
      <c r="AZ759" s="75">
        <v>122318.7</v>
      </c>
      <c r="BA759" s="61">
        <v>106163.4</v>
      </c>
      <c r="BB759" s="60"/>
      <c r="BC759" s="74">
        <v>122087.90999999999</v>
      </c>
      <c r="BD759" s="79">
        <v>122318.7</v>
      </c>
      <c r="BE759" s="79">
        <f>65940*1.4</f>
        <v>92316</v>
      </c>
      <c r="BF759" s="127">
        <v>110779.2</v>
      </c>
      <c r="BG759" s="142">
        <v>89200</v>
      </c>
      <c r="BH759" s="142">
        <v>95000</v>
      </c>
      <c r="BI759" s="76">
        <f t="shared" ref="BI759:BI768" si="915">AVERAGE(AX759,AY759,AZ759,BA759,BB759,BC759)</f>
        <v>131346.682</v>
      </c>
      <c r="BJ759" s="24">
        <f t="shared" ref="BJ759:BJ768" si="916">BI759-AW759</f>
        <v>56356.682000000001</v>
      </c>
      <c r="BK759" s="25">
        <f t="shared" ref="BK759:BK764" si="917">+BJ759/AW759</f>
        <v>0.75152262968395789</v>
      </c>
      <c r="BL759" s="259" t="str">
        <f t="shared" ref="BL759:BL768" si="918">+IF(BK759&lt;35%,BI759,"REVISAR PRECIO")</f>
        <v>REVISAR PRECIO</v>
      </c>
      <c r="BM759" s="533">
        <f t="shared" ref="BM759:BM768" si="919">BI759</f>
        <v>131346.682</v>
      </c>
    </row>
    <row r="760" spans="1:65" ht="45.6" customHeight="1">
      <c r="A760" s="91" t="s">
        <v>32</v>
      </c>
      <c r="B760" s="358" t="s">
        <v>2951</v>
      </c>
      <c r="C760" s="50" t="s">
        <v>358</v>
      </c>
      <c r="D760" s="99" t="s">
        <v>703</v>
      </c>
      <c r="E760" s="391" t="s">
        <v>740</v>
      </c>
      <c r="F760" s="408"/>
      <c r="G760" s="293"/>
      <c r="H760" s="293"/>
      <c r="I760" s="293"/>
      <c r="J760" s="293"/>
      <c r="K760" s="293"/>
      <c r="L760" s="327"/>
      <c r="M760" s="432"/>
      <c r="N760" s="443"/>
      <c r="O760" s="250"/>
      <c r="P760" s="250"/>
      <c r="Q760" s="250"/>
      <c r="R760" s="250"/>
      <c r="S760" s="250"/>
      <c r="T760" s="250"/>
      <c r="U760" s="250"/>
      <c r="V760" s="443"/>
      <c r="W760" s="410">
        <v>329067</v>
      </c>
      <c r="X760" s="31">
        <v>427977</v>
      </c>
      <c r="Y760" s="31">
        <v>556370</v>
      </c>
      <c r="Z760" s="98">
        <v>374083.6</v>
      </c>
      <c r="AA760" s="76">
        <f t="shared" si="861"/>
        <v>452810.2</v>
      </c>
      <c r="AB760" s="24">
        <f t="shared" si="862"/>
        <v>123743.20000000001</v>
      </c>
      <c r="AC760" s="25">
        <f t="shared" si="863"/>
        <v>0.37604256883856485</v>
      </c>
      <c r="AD760" s="309" t="str">
        <f t="shared" si="864"/>
        <v>REVISAR PRECIO</v>
      </c>
      <c r="AE760" s="462">
        <f t="shared" si="865"/>
        <v>452810.2</v>
      </c>
      <c r="AF760" s="408"/>
      <c r="AG760" s="293"/>
      <c r="AH760" s="293"/>
      <c r="AI760" s="293"/>
      <c r="AJ760" s="293"/>
      <c r="AK760" s="293"/>
      <c r="AL760" s="327"/>
      <c r="AM760" s="463"/>
      <c r="AN760" s="513">
        <v>229716</v>
      </c>
      <c r="AO760" s="88">
        <v>185000</v>
      </c>
      <c r="AP760" s="116">
        <v>185000</v>
      </c>
      <c r="AQ760" s="74">
        <v>184411.59</v>
      </c>
      <c r="AR760" s="76">
        <f t="shared" si="910"/>
        <v>184803.86333333331</v>
      </c>
      <c r="AS760" s="24">
        <f t="shared" si="911"/>
        <v>-44912.136666666687</v>
      </c>
      <c r="AT760" s="25">
        <f t="shared" si="912"/>
        <v>-0.1955115737113074</v>
      </c>
      <c r="AU760" s="309">
        <f t="shared" si="913"/>
        <v>184803.86333333331</v>
      </c>
      <c r="AV760" s="462">
        <f t="shared" si="914"/>
        <v>184803.86333333331</v>
      </c>
      <c r="AW760" s="513">
        <v>229716</v>
      </c>
      <c r="AX760" s="74">
        <v>192793.935</v>
      </c>
      <c r="AY760" s="74">
        <v>450000</v>
      </c>
      <c r="AZ760" s="75">
        <v>222132.14249999996</v>
      </c>
      <c r="BA760" s="61">
        <v>368000</v>
      </c>
      <c r="BB760" s="60"/>
      <c r="BC760" s="74">
        <v>423199.99999999994</v>
      </c>
      <c r="BD760" s="79">
        <v>222132.14249999996</v>
      </c>
      <c r="BE760" s="79">
        <f>558823*0.3</f>
        <v>167646.9</v>
      </c>
      <c r="BF760" s="127">
        <v>201176.28</v>
      </c>
      <c r="BG760" s="142">
        <v>206500</v>
      </c>
      <c r="BH760" s="142">
        <v>170000</v>
      </c>
      <c r="BI760" s="76">
        <f t="shared" si="915"/>
        <v>331225.21550000005</v>
      </c>
      <c r="BJ760" s="24">
        <f t="shared" si="916"/>
        <v>101509.21550000005</v>
      </c>
      <c r="BK760" s="25">
        <f t="shared" si="917"/>
        <v>0.44189005337024867</v>
      </c>
      <c r="BL760" s="259" t="str">
        <f t="shared" si="918"/>
        <v>REVISAR PRECIO</v>
      </c>
      <c r="BM760" s="533">
        <f t="shared" si="919"/>
        <v>331225.21550000005</v>
      </c>
    </row>
    <row r="761" spans="1:65" ht="29.1" customHeight="1">
      <c r="A761" s="91" t="s">
        <v>32</v>
      </c>
      <c r="B761" s="358" t="s">
        <v>2952</v>
      </c>
      <c r="C761" s="50" t="s">
        <v>778</v>
      </c>
      <c r="D761" s="99" t="s">
        <v>704</v>
      </c>
      <c r="E761" s="391" t="s">
        <v>12</v>
      </c>
      <c r="F761" s="408"/>
      <c r="G761" s="293"/>
      <c r="H761" s="293"/>
      <c r="I761" s="293"/>
      <c r="J761" s="293"/>
      <c r="K761" s="293"/>
      <c r="L761" s="327"/>
      <c r="M761" s="432"/>
      <c r="N761" s="443"/>
      <c r="O761" s="250"/>
      <c r="P761" s="250"/>
      <c r="Q761" s="250"/>
      <c r="R761" s="250"/>
      <c r="S761" s="250"/>
      <c r="T761" s="250"/>
      <c r="U761" s="250"/>
      <c r="V761" s="443"/>
      <c r="W761" s="410">
        <v>12923</v>
      </c>
      <c r="X761" s="33">
        <v>16808</v>
      </c>
      <c r="Y761" s="31">
        <v>21850</v>
      </c>
      <c r="Z761" s="98">
        <v>14691</v>
      </c>
      <c r="AA761" s="76">
        <f t="shared" si="861"/>
        <v>17783</v>
      </c>
      <c r="AB761" s="24">
        <f t="shared" si="862"/>
        <v>4860</v>
      </c>
      <c r="AC761" s="25">
        <f t="shared" si="863"/>
        <v>0.37607366710516132</v>
      </c>
      <c r="AD761" s="309" t="str">
        <f t="shared" si="864"/>
        <v>REVISAR PRECIO</v>
      </c>
      <c r="AE761" s="462">
        <f t="shared" si="865"/>
        <v>17783</v>
      </c>
      <c r="AF761" s="408"/>
      <c r="AG761" s="293"/>
      <c r="AH761" s="293"/>
      <c r="AI761" s="293"/>
      <c r="AJ761" s="293"/>
      <c r="AK761" s="293"/>
      <c r="AL761" s="327"/>
      <c r="AM761" s="463"/>
      <c r="AN761" s="513">
        <v>9018</v>
      </c>
      <c r="AO761" s="88">
        <v>10000</v>
      </c>
      <c r="AP761" s="116">
        <v>10000</v>
      </c>
      <c r="AQ761" s="74">
        <v>8800</v>
      </c>
      <c r="AR761" s="76">
        <f t="shared" si="910"/>
        <v>9600</v>
      </c>
      <c r="AS761" s="24">
        <f t="shared" si="911"/>
        <v>582</v>
      </c>
      <c r="AT761" s="25">
        <f t="shared" si="912"/>
        <v>6.4537591483699266E-2</v>
      </c>
      <c r="AU761" s="309">
        <f t="shared" si="913"/>
        <v>9600</v>
      </c>
      <c r="AV761" s="462">
        <f t="shared" si="914"/>
        <v>9600</v>
      </c>
      <c r="AW761" s="513">
        <v>9018</v>
      </c>
      <c r="AX761" s="74">
        <v>9200</v>
      </c>
      <c r="AY761" s="74">
        <v>12000</v>
      </c>
      <c r="AZ761" s="75">
        <v>10600</v>
      </c>
      <c r="BA761" s="61">
        <v>9200</v>
      </c>
      <c r="BB761" s="60"/>
      <c r="BC761" s="74">
        <v>10580</v>
      </c>
      <c r="BD761" s="79">
        <v>10600</v>
      </c>
      <c r="BE761" s="79">
        <v>8000</v>
      </c>
      <c r="BF761" s="127">
        <v>9600</v>
      </c>
      <c r="BG761" s="142">
        <v>7600</v>
      </c>
      <c r="BH761" s="142">
        <v>8000</v>
      </c>
      <c r="BI761" s="76">
        <f t="shared" si="915"/>
        <v>10316</v>
      </c>
      <c r="BJ761" s="24">
        <f t="shared" si="916"/>
        <v>1298</v>
      </c>
      <c r="BK761" s="25">
        <f t="shared" si="917"/>
        <v>0.14393435351519185</v>
      </c>
      <c r="BL761" s="259">
        <f t="shared" si="918"/>
        <v>10316</v>
      </c>
      <c r="BM761" s="533">
        <f t="shared" si="919"/>
        <v>10316</v>
      </c>
    </row>
    <row r="762" spans="1:65" ht="29.1" customHeight="1">
      <c r="A762" s="91" t="s">
        <v>32</v>
      </c>
      <c r="B762" s="358" t="s">
        <v>2953</v>
      </c>
      <c r="C762" s="50" t="s">
        <v>779</v>
      </c>
      <c r="D762" s="99" t="s">
        <v>705</v>
      </c>
      <c r="E762" s="391" t="s">
        <v>740</v>
      </c>
      <c r="F762" s="408"/>
      <c r="G762" s="293"/>
      <c r="H762" s="293"/>
      <c r="I762" s="293"/>
      <c r="J762" s="293"/>
      <c r="K762" s="293"/>
      <c r="L762" s="327"/>
      <c r="M762" s="432"/>
      <c r="N762" s="443"/>
      <c r="O762" s="250"/>
      <c r="P762" s="250"/>
      <c r="Q762" s="250"/>
      <c r="R762" s="250"/>
      <c r="S762" s="250"/>
      <c r="T762" s="250"/>
      <c r="U762" s="250"/>
      <c r="V762" s="443"/>
      <c r="W762" s="410">
        <v>73428</v>
      </c>
      <c r="X762" s="33">
        <v>95499</v>
      </c>
      <c r="Y762" s="33">
        <v>95499</v>
      </c>
      <c r="Z762" s="98">
        <v>83473.2</v>
      </c>
      <c r="AA762" s="76">
        <f t="shared" si="861"/>
        <v>91490.400000000009</v>
      </c>
      <c r="AB762" s="24">
        <f t="shared" si="862"/>
        <v>18062.400000000009</v>
      </c>
      <c r="AC762" s="25">
        <f t="shared" si="863"/>
        <v>0.24598790652067343</v>
      </c>
      <c r="AD762" s="309">
        <f t="shared" si="864"/>
        <v>91490.400000000009</v>
      </c>
      <c r="AE762" s="462">
        <f t="shared" si="865"/>
        <v>91490.400000000009</v>
      </c>
      <c r="AF762" s="408"/>
      <c r="AG762" s="293"/>
      <c r="AH762" s="293"/>
      <c r="AI762" s="293"/>
      <c r="AJ762" s="293"/>
      <c r="AK762" s="293"/>
      <c r="AL762" s="327"/>
      <c r="AM762" s="463"/>
      <c r="AN762" s="513">
        <v>37637</v>
      </c>
      <c r="AO762" s="88">
        <v>11000</v>
      </c>
      <c r="AP762" s="116">
        <v>11000</v>
      </c>
      <c r="AQ762" s="74">
        <v>10890</v>
      </c>
      <c r="AR762" s="76">
        <f t="shared" si="910"/>
        <v>10963.333333333334</v>
      </c>
      <c r="AS762" s="24">
        <f t="shared" si="911"/>
        <v>-26673.666666666664</v>
      </c>
      <c r="AT762" s="25">
        <f t="shared" si="912"/>
        <v>-0.70870862892012287</v>
      </c>
      <c r="AU762" s="309">
        <f t="shared" si="913"/>
        <v>10963.333333333334</v>
      </c>
      <c r="AV762" s="462">
        <f t="shared" si="914"/>
        <v>10963.333333333334</v>
      </c>
      <c r="AW762" s="513">
        <v>37637</v>
      </c>
      <c r="AX762" s="74">
        <v>11385</v>
      </c>
      <c r="AY762" s="74">
        <v>70000</v>
      </c>
      <c r="AZ762" s="75">
        <v>13117.5</v>
      </c>
      <c r="BA762" s="61">
        <v>11385</v>
      </c>
      <c r="BB762" s="60"/>
      <c r="BC762" s="74">
        <v>13092.749999999998</v>
      </c>
      <c r="BD762" s="79">
        <v>13117.5</v>
      </c>
      <c r="BE762" s="79">
        <v>9900</v>
      </c>
      <c r="BF762" s="127">
        <v>11880</v>
      </c>
      <c r="BG762" s="142">
        <v>8800</v>
      </c>
      <c r="BH762" s="142">
        <v>10000</v>
      </c>
      <c r="BI762" s="76">
        <f t="shared" si="915"/>
        <v>23796.05</v>
      </c>
      <c r="BJ762" s="24">
        <f t="shared" si="916"/>
        <v>-13840.95</v>
      </c>
      <c r="BK762" s="25">
        <f t="shared" si="917"/>
        <v>-0.36774849217525307</v>
      </c>
      <c r="BL762" s="259">
        <f t="shared" si="918"/>
        <v>23796.05</v>
      </c>
      <c r="BM762" s="533">
        <f t="shared" si="919"/>
        <v>23796.05</v>
      </c>
    </row>
    <row r="763" spans="1:65" ht="34.35" customHeight="1">
      <c r="A763" s="91" t="s">
        <v>32</v>
      </c>
      <c r="B763" s="358" t="s">
        <v>2954</v>
      </c>
      <c r="C763" s="50" t="s">
        <v>780</v>
      </c>
      <c r="D763" s="99" t="s">
        <v>706</v>
      </c>
      <c r="E763" s="391" t="s">
        <v>740</v>
      </c>
      <c r="F763" s="408"/>
      <c r="G763" s="293"/>
      <c r="H763" s="293"/>
      <c r="I763" s="293"/>
      <c r="J763" s="293"/>
      <c r="K763" s="293"/>
      <c r="L763" s="327"/>
      <c r="M763" s="432"/>
      <c r="N763" s="443"/>
      <c r="O763" s="250"/>
      <c r="P763" s="250"/>
      <c r="Q763" s="250"/>
      <c r="R763" s="250"/>
      <c r="S763" s="250"/>
      <c r="T763" s="250"/>
      <c r="U763" s="250"/>
      <c r="V763" s="443"/>
      <c r="W763" s="410">
        <v>652362</v>
      </c>
      <c r="X763" s="31">
        <v>848448</v>
      </c>
      <c r="Y763" s="31">
        <v>1102982</v>
      </c>
      <c r="Z763" s="98">
        <v>741606.40000000002</v>
      </c>
      <c r="AA763" s="76">
        <f t="shared" si="861"/>
        <v>897678.79999999993</v>
      </c>
      <c r="AB763" s="24">
        <f t="shared" si="862"/>
        <v>245316.79999999993</v>
      </c>
      <c r="AC763" s="25">
        <f t="shared" si="863"/>
        <v>0.37604397558410813</v>
      </c>
      <c r="AD763" s="309" t="str">
        <f t="shared" si="864"/>
        <v>REVISAR PRECIO</v>
      </c>
      <c r="AE763" s="462">
        <f t="shared" si="865"/>
        <v>897678.79999999993</v>
      </c>
      <c r="AF763" s="408"/>
      <c r="AG763" s="293"/>
      <c r="AH763" s="293"/>
      <c r="AI763" s="293"/>
      <c r="AJ763" s="293"/>
      <c r="AK763" s="293"/>
      <c r="AL763" s="327"/>
      <c r="AM763" s="463"/>
      <c r="AN763" s="513">
        <v>287620</v>
      </c>
      <c r="AO763" s="88">
        <v>514500</v>
      </c>
      <c r="AP763" s="116">
        <v>514500</v>
      </c>
      <c r="AQ763" s="74">
        <v>538846</v>
      </c>
      <c r="AR763" s="76">
        <f t="shared" si="910"/>
        <v>522615.33333333331</v>
      </c>
      <c r="AS763" s="24">
        <f t="shared" si="911"/>
        <v>234995.33333333331</v>
      </c>
      <c r="AT763" s="25">
        <f t="shared" si="912"/>
        <v>0.81703404955612724</v>
      </c>
      <c r="AU763" s="309" t="str">
        <f t="shared" si="913"/>
        <v>REVISAR PRECIO</v>
      </c>
      <c r="AV763" s="462">
        <f t="shared" si="914"/>
        <v>522615.33333333331</v>
      </c>
      <c r="AW763" s="513">
        <v>287620</v>
      </c>
      <c r="AX763" s="74">
        <v>563338.99999999988</v>
      </c>
      <c r="AY763" s="74">
        <v>750000</v>
      </c>
      <c r="AZ763" s="75">
        <v>649064.49999999988</v>
      </c>
      <c r="BA763" s="61">
        <v>563338.99999999988</v>
      </c>
      <c r="BB763" s="60"/>
      <c r="BC763" s="74">
        <v>647839.84999999986</v>
      </c>
      <c r="BD763" s="79">
        <v>649064.49999999988</v>
      </c>
      <c r="BE763" s="79">
        <f>349900*1.4</f>
        <v>489859.99999999994</v>
      </c>
      <c r="BF763" s="127">
        <v>587832</v>
      </c>
      <c r="BG763" s="142">
        <v>589200</v>
      </c>
      <c r="BH763" s="142">
        <v>500000</v>
      </c>
      <c r="BI763" s="76">
        <f t="shared" si="915"/>
        <v>634716.47</v>
      </c>
      <c r="BJ763" s="24">
        <f t="shared" si="916"/>
        <v>347096.47</v>
      </c>
      <c r="BK763" s="25">
        <f t="shared" si="917"/>
        <v>1.2067883665948125</v>
      </c>
      <c r="BL763" s="259" t="str">
        <f t="shared" si="918"/>
        <v>REVISAR PRECIO</v>
      </c>
      <c r="BM763" s="533">
        <f t="shared" si="919"/>
        <v>634716.47</v>
      </c>
    </row>
    <row r="764" spans="1:65" ht="34.35" customHeight="1">
      <c r="A764" s="91" t="s">
        <v>32</v>
      </c>
      <c r="B764" s="358" t="s">
        <v>2955</v>
      </c>
      <c r="C764" s="50" t="s">
        <v>781</v>
      </c>
      <c r="D764" s="99" t="s">
        <v>707</v>
      </c>
      <c r="E764" s="391" t="s">
        <v>740</v>
      </c>
      <c r="F764" s="408"/>
      <c r="G764" s="293"/>
      <c r="H764" s="293"/>
      <c r="I764" s="293"/>
      <c r="J764" s="293"/>
      <c r="K764" s="293"/>
      <c r="L764" s="327"/>
      <c r="M764" s="432"/>
      <c r="N764" s="443"/>
      <c r="O764" s="250"/>
      <c r="P764" s="250"/>
      <c r="Q764" s="250"/>
      <c r="R764" s="250"/>
      <c r="S764" s="250"/>
      <c r="T764" s="250"/>
      <c r="U764" s="250"/>
      <c r="V764" s="443"/>
      <c r="W764" s="410">
        <v>1040076</v>
      </c>
      <c r="X764" s="31">
        <v>1352700</v>
      </c>
      <c r="Y764" s="31">
        <v>1758510</v>
      </c>
      <c r="Z764" s="98">
        <v>1182360</v>
      </c>
      <c r="AA764" s="76">
        <f t="shared" si="861"/>
        <v>1431190</v>
      </c>
      <c r="AB764" s="24">
        <f t="shared" si="862"/>
        <v>391114</v>
      </c>
      <c r="AC764" s="25">
        <f t="shared" si="863"/>
        <v>0.37604367373153502</v>
      </c>
      <c r="AD764" s="309" t="str">
        <f t="shared" si="864"/>
        <v>REVISAR PRECIO</v>
      </c>
      <c r="AE764" s="462">
        <f t="shared" si="865"/>
        <v>1431190</v>
      </c>
      <c r="AF764" s="408"/>
      <c r="AG764" s="293"/>
      <c r="AH764" s="293"/>
      <c r="AI764" s="293"/>
      <c r="AJ764" s="293"/>
      <c r="AK764" s="293"/>
      <c r="AL764" s="327"/>
      <c r="AM764" s="463"/>
      <c r="AN764" s="513">
        <v>627904</v>
      </c>
      <c r="AO764" s="88">
        <v>820000</v>
      </c>
      <c r="AP764" s="116">
        <v>820000</v>
      </c>
      <c r="AQ764" s="74">
        <v>857857</v>
      </c>
      <c r="AR764" s="76">
        <f t="shared" si="910"/>
        <v>832619</v>
      </c>
      <c r="AS764" s="24">
        <f t="shared" si="911"/>
        <v>204715</v>
      </c>
      <c r="AT764" s="25">
        <f t="shared" si="912"/>
        <v>0.3260291382122108</v>
      </c>
      <c r="AU764" s="309">
        <f t="shared" si="913"/>
        <v>832619</v>
      </c>
      <c r="AV764" s="462">
        <f t="shared" si="914"/>
        <v>832619</v>
      </c>
      <c r="AW764" s="513">
        <v>627904</v>
      </c>
      <c r="AX764" s="74">
        <v>896850.5</v>
      </c>
      <c r="AY764" s="74">
        <v>1800000</v>
      </c>
      <c r="AZ764" s="75">
        <v>1033327.75</v>
      </c>
      <c r="BA764" s="61">
        <v>896850.49999999988</v>
      </c>
      <c r="BB764" s="60"/>
      <c r="BC764" s="74">
        <v>1031378.0749999998</v>
      </c>
      <c r="BD764" s="79">
        <v>1033327.75</v>
      </c>
      <c r="BE764" s="79">
        <f>599900*1.3</f>
        <v>779870</v>
      </c>
      <c r="BF764" s="127">
        <v>857857</v>
      </c>
      <c r="BG764" s="142">
        <v>953700</v>
      </c>
      <c r="BH764" s="142">
        <v>810000</v>
      </c>
      <c r="BI764" s="76">
        <f t="shared" si="915"/>
        <v>1131681.365</v>
      </c>
      <c r="BJ764" s="24">
        <f t="shared" si="916"/>
        <v>503777.36499999999</v>
      </c>
      <c r="BK764" s="25">
        <f t="shared" si="917"/>
        <v>0.80231590338650494</v>
      </c>
      <c r="BL764" s="259" t="str">
        <f t="shared" si="918"/>
        <v>REVISAR PRECIO</v>
      </c>
      <c r="BM764" s="533">
        <f t="shared" si="919"/>
        <v>1131681.365</v>
      </c>
    </row>
    <row r="765" spans="1:65" ht="25.35" customHeight="1">
      <c r="A765" s="91" t="s">
        <v>32</v>
      </c>
      <c r="B765" s="358" t="s">
        <v>2956</v>
      </c>
      <c r="C765" s="50" t="s">
        <v>782</v>
      </c>
      <c r="D765" s="99" t="s">
        <v>708</v>
      </c>
      <c r="E765" s="391" t="s">
        <v>740</v>
      </c>
      <c r="F765" s="408"/>
      <c r="G765" s="293"/>
      <c r="H765" s="293"/>
      <c r="I765" s="293"/>
      <c r="J765" s="293"/>
      <c r="K765" s="293"/>
      <c r="L765" s="327"/>
      <c r="M765" s="432"/>
      <c r="N765" s="443"/>
      <c r="O765" s="250"/>
      <c r="P765" s="250"/>
      <c r="Q765" s="250"/>
      <c r="R765" s="250"/>
      <c r="S765" s="250"/>
      <c r="T765" s="250"/>
      <c r="U765" s="250"/>
      <c r="V765" s="443"/>
      <c r="W765" s="410">
        <v>118332</v>
      </c>
      <c r="X765" s="33">
        <v>153900</v>
      </c>
      <c r="Y765" s="31">
        <v>200070</v>
      </c>
      <c r="Z765" s="98">
        <v>134520</v>
      </c>
      <c r="AA765" s="76">
        <f t="shared" si="861"/>
        <v>162830</v>
      </c>
      <c r="AB765" s="24">
        <f t="shared" si="862"/>
        <v>44498</v>
      </c>
      <c r="AC765" s="25">
        <f t="shared" si="863"/>
        <v>0.37604367373153502</v>
      </c>
      <c r="AD765" s="309" t="str">
        <f t="shared" si="864"/>
        <v>REVISAR PRECIO</v>
      </c>
      <c r="AE765" s="462">
        <f t="shared" si="865"/>
        <v>162830</v>
      </c>
      <c r="AF765" s="408"/>
      <c r="AG765" s="293"/>
      <c r="AH765" s="293"/>
      <c r="AI765" s="293"/>
      <c r="AJ765" s="293"/>
      <c r="AK765" s="293"/>
      <c r="AL765" s="327"/>
      <c r="AM765" s="463"/>
      <c r="AN765" s="513"/>
      <c r="AO765" s="88">
        <v>112000</v>
      </c>
      <c r="AP765" s="116">
        <v>112000</v>
      </c>
      <c r="AQ765" s="74">
        <v>116886</v>
      </c>
      <c r="AR765" s="76">
        <f t="shared" si="910"/>
        <v>113628.66666666667</v>
      </c>
      <c r="AS765" s="24">
        <f t="shared" si="911"/>
        <v>113628.66666666667</v>
      </c>
      <c r="AT765" s="25"/>
      <c r="AU765" s="309"/>
      <c r="AV765" s="462">
        <f t="shared" si="914"/>
        <v>113628.66666666667</v>
      </c>
      <c r="AW765" s="513"/>
      <c r="AX765" s="74">
        <v>122199</v>
      </c>
      <c r="AY765" s="74">
        <v>350000</v>
      </c>
      <c r="AZ765" s="75">
        <v>140794.5</v>
      </c>
      <c r="BA765" s="61">
        <v>122198.99999999999</v>
      </c>
      <c r="BB765" s="60"/>
      <c r="BC765" s="74">
        <v>140528.84999999998</v>
      </c>
      <c r="BD765" s="79">
        <v>140794.5</v>
      </c>
      <c r="BE765" s="79">
        <f>75900*1.4</f>
        <v>106260</v>
      </c>
      <c r="BF765" s="127">
        <v>127512</v>
      </c>
      <c r="BG765" s="142">
        <v>108000</v>
      </c>
      <c r="BH765" s="142">
        <v>110000</v>
      </c>
      <c r="BI765" s="76">
        <f t="shared" si="915"/>
        <v>175144.27</v>
      </c>
      <c r="BJ765" s="24">
        <f t="shared" si="916"/>
        <v>175144.27</v>
      </c>
      <c r="BK765" s="25"/>
      <c r="BL765" s="259">
        <f t="shared" si="918"/>
        <v>175144.27</v>
      </c>
      <c r="BM765" s="533">
        <f t="shared" si="919"/>
        <v>175144.27</v>
      </c>
    </row>
    <row r="766" spans="1:65" ht="34.35" customHeight="1">
      <c r="A766" s="91" t="s">
        <v>32</v>
      </c>
      <c r="B766" s="358" t="s">
        <v>2957</v>
      </c>
      <c r="C766" s="50" t="s">
        <v>783</v>
      </c>
      <c r="D766" s="99" t="s">
        <v>709</v>
      </c>
      <c r="E766" s="391" t="s">
        <v>11</v>
      </c>
      <c r="F766" s="408"/>
      <c r="G766" s="293"/>
      <c r="H766" s="293"/>
      <c r="I766" s="293"/>
      <c r="J766" s="293"/>
      <c r="K766" s="293"/>
      <c r="L766" s="327"/>
      <c r="M766" s="432"/>
      <c r="N766" s="443"/>
      <c r="O766" s="250"/>
      <c r="P766" s="250"/>
      <c r="Q766" s="250"/>
      <c r="R766" s="250"/>
      <c r="S766" s="250"/>
      <c r="T766" s="250"/>
      <c r="U766" s="250"/>
      <c r="V766" s="443"/>
      <c r="W766" s="410">
        <v>120823</v>
      </c>
      <c r="X766" s="31">
        <v>157140</v>
      </c>
      <c r="Y766" s="33">
        <v>204282</v>
      </c>
      <c r="Z766" s="98">
        <v>137352</v>
      </c>
      <c r="AA766" s="76">
        <f t="shared" si="861"/>
        <v>166258</v>
      </c>
      <c r="AB766" s="24">
        <f t="shared" si="862"/>
        <v>45435</v>
      </c>
      <c r="AC766" s="25">
        <f t="shared" si="863"/>
        <v>0.37604595151585379</v>
      </c>
      <c r="AD766" s="309" t="str">
        <f t="shared" si="864"/>
        <v>REVISAR PRECIO</v>
      </c>
      <c r="AE766" s="462">
        <f t="shared" si="865"/>
        <v>166258</v>
      </c>
      <c r="AF766" s="408"/>
      <c r="AG766" s="293"/>
      <c r="AH766" s="293"/>
      <c r="AI766" s="293"/>
      <c r="AJ766" s="293"/>
      <c r="AK766" s="293"/>
      <c r="AL766" s="327"/>
      <c r="AM766" s="463"/>
      <c r="AN766" s="513"/>
      <c r="AO766" s="88">
        <v>130000</v>
      </c>
      <c r="AP766" s="116">
        <v>130000</v>
      </c>
      <c r="AQ766" s="74">
        <v>137500</v>
      </c>
      <c r="AR766" s="76">
        <f t="shared" si="910"/>
        <v>132500</v>
      </c>
      <c r="AS766" s="24">
        <f t="shared" si="911"/>
        <v>132500</v>
      </c>
      <c r="AT766" s="25"/>
      <c r="AU766" s="309"/>
      <c r="AV766" s="462">
        <f t="shared" si="914"/>
        <v>132500</v>
      </c>
      <c r="AW766" s="513"/>
      <c r="AX766" s="74">
        <v>143750</v>
      </c>
      <c r="AY766" s="74">
        <v>270000</v>
      </c>
      <c r="AZ766" s="75">
        <v>165625</v>
      </c>
      <c r="BA766" s="61">
        <v>143750</v>
      </c>
      <c r="BB766" s="60"/>
      <c r="BC766" s="74">
        <v>165312.5</v>
      </c>
      <c r="BD766" s="79">
        <v>165625</v>
      </c>
      <c r="BE766" s="79">
        <v>125000</v>
      </c>
      <c r="BF766" s="127">
        <v>150000</v>
      </c>
      <c r="BG766" s="142">
        <v>126400</v>
      </c>
      <c r="BH766" s="142">
        <v>130000</v>
      </c>
      <c r="BI766" s="76">
        <f t="shared" si="915"/>
        <v>177687.5</v>
      </c>
      <c r="BJ766" s="24">
        <f t="shared" si="916"/>
        <v>177687.5</v>
      </c>
      <c r="BK766" s="25"/>
      <c r="BL766" s="259">
        <f t="shared" si="918"/>
        <v>177687.5</v>
      </c>
      <c r="BM766" s="533">
        <f t="shared" si="919"/>
        <v>177687.5</v>
      </c>
    </row>
    <row r="767" spans="1:65" ht="22.35" customHeight="1">
      <c r="A767" s="91" t="s">
        <v>32</v>
      </c>
      <c r="B767" s="358" t="s">
        <v>2958</v>
      </c>
      <c r="C767" s="50" t="s">
        <v>784</v>
      </c>
      <c r="D767" s="99" t="s">
        <v>710</v>
      </c>
      <c r="E767" s="391" t="s">
        <v>740</v>
      </c>
      <c r="F767" s="408"/>
      <c r="G767" s="293"/>
      <c r="H767" s="293"/>
      <c r="I767" s="293"/>
      <c r="J767" s="293"/>
      <c r="K767" s="293"/>
      <c r="L767" s="327"/>
      <c r="M767" s="432"/>
      <c r="N767" s="443"/>
      <c r="O767" s="250"/>
      <c r="P767" s="250"/>
      <c r="Q767" s="250"/>
      <c r="R767" s="250"/>
      <c r="S767" s="250"/>
      <c r="T767" s="250"/>
      <c r="U767" s="250"/>
      <c r="V767" s="443"/>
      <c r="W767" s="410">
        <v>149472</v>
      </c>
      <c r="X767" s="33">
        <v>194400</v>
      </c>
      <c r="Y767" s="31">
        <v>252720</v>
      </c>
      <c r="Z767" s="98">
        <v>169920</v>
      </c>
      <c r="AA767" s="76">
        <f t="shared" si="861"/>
        <v>205680</v>
      </c>
      <c r="AB767" s="24">
        <f t="shared" si="862"/>
        <v>56208</v>
      </c>
      <c r="AC767" s="25">
        <f t="shared" si="863"/>
        <v>0.37604367373153502</v>
      </c>
      <c r="AD767" s="309" t="str">
        <f t="shared" si="864"/>
        <v>REVISAR PRECIO</v>
      </c>
      <c r="AE767" s="462">
        <f t="shared" si="865"/>
        <v>205680</v>
      </c>
      <c r="AF767" s="408"/>
      <c r="AG767" s="293"/>
      <c r="AH767" s="293"/>
      <c r="AI767" s="293"/>
      <c r="AJ767" s="293"/>
      <c r="AK767" s="293"/>
      <c r="AL767" s="327"/>
      <c r="AM767" s="463"/>
      <c r="AN767" s="513"/>
      <c r="AO767" s="88">
        <v>18000</v>
      </c>
      <c r="AP767" s="116">
        <v>18000</v>
      </c>
      <c r="AQ767" s="74">
        <v>16500</v>
      </c>
      <c r="AR767" s="76">
        <f t="shared" si="910"/>
        <v>17500</v>
      </c>
      <c r="AS767" s="24">
        <f t="shared" si="911"/>
        <v>17500</v>
      </c>
      <c r="AT767" s="25"/>
      <c r="AU767" s="309"/>
      <c r="AV767" s="462">
        <f t="shared" si="914"/>
        <v>17500</v>
      </c>
      <c r="AW767" s="513"/>
      <c r="AX767" s="74">
        <v>17250</v>
      </c>
      <c r="AY767" s="74">
        <v>70000</v>
      </c>
      <c r="AZ767" s="75">
        <v>19875</v>
      </c>
      <c r="BA767" s="61">
        <v>17250</v>
      </c>
      <c r="BB767" s="60"/>
      <c r="BC767" s="74">
        <v>19837.5</v>
      </c>
      <c r="BD767" s="79">
        <v>19875</v>
      </c>
      <c r="BE767" s="79">
        <v>15000</v>
      </c>
      <c r="BF767" s="127">
        <v>18000</v>
      </c>
      <c r="BG767" s="142">
        <v>18100</v>
      </c>
      <c r="BH767" s="142">
        <v>15000</v>
      </c>
      <c r="BI767" s="76">
        <f t="shared" si="915"/>
        <v>28842.5</v>
      </c>
      <c r="BJ767" s="24">
        <f t="shared" si="916"/>
        <v>28842.5</v>
      </c>
      <c r="BK767" s="25"/>
      <c r="BL767" s="259">
        <f t="shared" si="918"/>
        <v>28842.5</v>
      </c>
      <c r="BM767" s="533">
        <f t="shared" si="919"/>
        <v>28842.5</v>
      </c>
    </row>
    <row r="768" spans="1:65" ht="35.1" customHeight="1">
      <c r="A768" s="91" t="s">
        <v>32</v>
      </c>
      <c r="B768" s="358" t="s">
        <v>2959</v>
      </c>
      <c r="C768" s="50" t="s">
        <v>785</v>
      </c>
      <c r="D768" s="99" t="s">
        <v>711</v>
      </c>
      <c r="E768" s="391" t="s">
        <v>12</v>
      </c>
      <c r="F768" s="408"/>
      <c r="G768" s="293"/>
      <c r="H768" s="293"/>
      <c r="I768" s="293"/>
      <c r="J768" s="293"/>
      <c r="K768" s="293"/>
      <c r="L768" s="327"/>
      <c r="M768" s="432"/>
      <c r="N768" s="443"/>
      <c r="O768" s="250"/>
      <c r="P768" s="250"/>
      <c r="Q768" s="250"/>
      <c r="R768" s="250"/>
      <c r="S768" s="250"/>
      <c r="T768" s="250"/>
      <c r="U768" s="250"/>
      <c r="V768" s="443"/>
      <c r="W768" s="410">
        <v>93420</v>
      </c>
      <c r="X768" s="31">
        <v>121500</v>
      </c>
      <c r="Y768" s="31">
        <v>157950</v>
      </c>
      <c r="Z768" s="472">
        <v>106200</v>
      </c>
      <c r="AA768" s="76">
        <f t="shared" si="861"/>
        <v>128550</v>
      </c>
      <c r="AB768" s="24">
        <f t="shared" si="862"/>
        <v>35130</v>
      </c>
      <c r="AC768" s="25">
        <f t="shared" si="863"/>
        <v>0.37604367373153502</v>
      </c>
      <c r="AD768" s="309" t="str">
        <f t="shared" si="864"/>
        <v>REVISAR PRECIO</v>
      </c>
      <c r="AE768" s="462">
        <f t="shared" si="865"/>
        <v>128550</v>
      </c>
      <c r="AF768" s="408"/>
      <c r="AG768" s="293"/>
      <c r="AH768" s="293"/>
      <c r="AI768" s="293"/>
      <c r="AJ768" s="293"/>
      <c r="AK768" s="293"/>
      <c r="AL768" s="327"/>
      <c r="AM768" s="463"/>
      <c r="AN768" s="513">
        <v>48050</v>
      </c>
      <c r="AO768" s="88">
        <v>13000</v>
      </c>
      <c r="AP768" s="116">
        <v>13000</v>
      </c>
      <c r="AQ768" s="74">
        <v>12320</v>
      </c>
      <c r="AR768" s="76">
        <f t="shared" si="910"/>
        <v>12773.333333333334</v>
      </c>
      <c r="AS768" s="24">
        <f t="shared" si="911"/>
        <v>-35276.666666666664</v>
      </c>
      <c r="AT768" s="25">
        <f t="shared" ref="AT768" si="920">+AS768/AN768</f>
        <v>-0.73416579951439465</v>
      </c>
      <c r="AU768" s="309">
        <f t="shared" ref="AU768" si="921">+IF(AT768&lt;35%,AR768,"REVISAR PRECIO")</f>
        <v>12773.333333333334</v>
      </c>
      <c r="AV768" s="462">
        <f t="shared" si="914"/>
        <v>12773.333333333334</v>
      </c>
      <c r="AW768" s="513">
        <v>48050</v>
      </c>
      <c r="AX768" s="74">
        <v>12880</v>
      </c>
      <c r="AY768" s="74">
        <v>25000</v>
      </c>
      <c r="AZ768" s="75">
        <v>14840</v>
      </c>
      <c r="BA768" s="61">
        <v>51749.999999999993</v>
      </c>
      <c r="BB768" s="60"/>
      <c r="BC768" s="74">
        <v>59512.499999999985</v>
      </c>
      <c r="BD768" s="79">
        <v>14840</v>
      </c>
      <c r="BE768" s="79">
        <f>8000*1.4</f>
        <v>11200</v>
      </c>
      <c r="BF768" s="127">
        <v>13440</v>
      </c>
      <c r="BG768" s="142">
        <v>11300</v>
      </c>
      <c r="BH768" s="142">
        <v>12000</v>
      </c>
      <c r="BI768" s="76">
        <f t="shared" si="915"/>
        <v>32796.5</v>
      </c>
      <c r="BJ768" s="24">
        <f t="shared" si="916"/>
        <v>-15253.5</v>
      </c>
      <c r="BK768" s="25">
        <f>+BJ768/AW768</f>
        <v>-0.3174505723204995</v>
      </c>
      <c r="BL768" s="259">
        <f t="shared" si="918"/>
        <v>32796.5</v>
      </c>
      <c r="BM768" s="533">
        <f t="shared" si="919"/>
        <v>32796.5</v>
      </c>
    </row>
    <row r="769" spans="1:65" s="68" customFormat="1" ht="35.1" customHeight="1">
      <c r="A769" s="231" t="s">
        <v>32</v>
      </c>
      <c r="B769" s="358" t="s">
        <v>2960</v>
      </c>
      <c r="C769" s="50" t="s">
        <v>786</v>
      </c>
      <c r="D769" s="101" t="s">
        <v>712</v>
      </c>
      <c r="E769" s="395" t="s">
        <v>740</v>
      </c>
      <c r="F769" s="408"/>
      <c r="G769" s="293"/>
      <c r="H769" s="293"/>
      <c r="I769" s="293"/>
      <c r="J769" s="293"/>
      <c r="K769" s="293"/>
      <c r="L769" s="327"/>
      <c r="M769" s="432"/>
      <c r="N769" s="443"/>
      <c r="O769" s="250"/>
      <c r="P769" s="250"/>
      <c r="Q769" s="250"/>
      <c r="R769" s="250"/>
      <c r="S769" s="250"/>
      <c r="T769" s="250"/>
      <c r="U769" s="250"/>
      <c r="V769" s="443"/>
      <c r="W769" s="477">
        <v>161928</v>
      </c>
      <c r="X769" s="93">
        <v>210600</v>
      </c>
      <c r="Y769" s="92">
        <v>273780</v>
      </c>
      <c r="Z769" s="475">
        <v>184080</v>
      </c>
      <c r="AA769" s="86">
        <f t="shared" si="861"/>
        <v>222820</v>
      </c>
      <c r="AB769" s="67">
        <f t="shared" si="862"/>
        <v>60892</v>
      </c>
      <c r="AC769" s="64">
        <f t="shared" si="863"/>
        <v>0.37604367373153502</v>
      </c>
      <c r="AD769" s="486" t="str">
        <f t="shared" si="864"/>
        <v>REVISAR PRECIO</v>
      </c>
      <c r="AE769" s="490">
        <f t="shared" si="865"/>
        <v>222820</v>
      </c>
      <c r="AF769" s="408"/>
      <c r="AG769" s="293"/>
      <c r="AH769" s="293"/>
      <c r="AI769" s="293"/>
      <c r="AJ769" s="293"/>
      <c r="AK769" s="293"/>
      <c r="AL769" s="327"/>
      <c r="AM769" s="463"/>
      <c r="AN769" s="515"/>
      <c r="AO769" s="117"/>
      <c r="AP769" s="117"/>
      <c r="AQ769" s="117"/>
      <c r="AR769" s="117"/>
      <c r="AS769" s="117"/>
      <c r="AT769" s="117"/>
      <c r="AU769" s="518"/>
      <c r="AV769" s="548"/>
      <c r="AW769" s="515"/>
      <c r="AX769" s="83"/>
      <c r="AY769" s="83"/>
      <c r="AZ769" s="84"/>
      <c r="BA769" s="85"/>
      <c r="BB769" s="60"/>
      <c r="BC769" s="83"/>
      <c r="BD769" s="250"/>
      <c r="BE769" s="250"/>
      <c r="BF769" s="250"/>
      <c r="BG769" s="250"/>
      <c r="BH769" s="250"/>
      <c r="BI769" s="86"/>
      <c r="BJ769" s="67"/>
      <c r="BK769" s="64"/>
      <c r="BL769" s="478"/>
      <c r="BM769" s="535"/>
    </row>
    <row r="770" spans="1:65" ht="35.1" customHeight="1">
      <c r="A770" s="91" t="s">
        <v>32</v>
      </c>
      <c r="B770" s="358" t="s">
        <v>2961</v>
      </c>
      <c r="C770" s="50" t="s">
        <v>787</v>
      </c>
      <c r="D770" s="99" t="s">
        <v>713</v>
      </c>
      <c r="E770" s="391" t="s">
        <v>740</v>
      </c>
      <c r="F770" s="408"/>
      <c r="G770" s="293"/>
      <c r="H770" s="293"/>
      <c r="I770" s="293"/>
      <c r="J770" s="293"/>
      <c r="K770" s="293"/>
      <c r="L770" s="327"/>
      <c r="M770" s="432"/>
      <c r="N770" s="443"/>
      <c r="O770" s="250"/>
      <c r="P770" s="250"/>
      <c r="Q770" s="250"/>
      <c r="R770" s="250"/>
      <c r="S770" s="250"/>
      <c r="T770" s="250"/>
      <c r="U770" s="250"/>
      <c r="V770" s="443"/>
      <c r="W770" s="410">
        <v>743685</v>
      </c>
      <c r="X770" s="44">
        <v>967221</v>
      </c>
      <c r="Y770" s="31">
        <v>1257387</v>
      </c>
      <c r="Z770" s="472">
        <v>845422.8</v>
      </c>
      <c r="AA770" s="76">
        <f t="shared" si="861"/>
        <v>1023343.6</v>
      </c>
      <c r="AB770" s="24">
        <f t="shared" si="862"/>
        <v>279658.59999999998</v>
      </c>
      <c r="AC770" s="25">
        <f t="shared" si="863"/>
        <v>0.37604442741214356</v>
      </c>
      <c r="AD770" s="309" t="str">
        <f t="shared" si="864"/>
        <v>REVISAR PRECIO</v>
      </c>
      <c r="AE770" s="462">
        <f t="shared" si="865"/>
        <v>1023343.6</v>
      </c>
      <c r="AF770" s="408"/>
      <c r="AG770" s="293"/>
      <c r="AH770" s="293"/>
      <c r="AI770" s="293"/>
      <c r="AJ770" s="293"/>
      <c r="AK770" s="293"/>
      <c r="AL770" s="327"/>
      <c r="AM770" s="463"/>
      <c r="AN770" s="513">
        <v>342676</v>
      </c>
      <c r="AO770" s="88">
        <v>600000</v>
      </c>
      <c r="AP770" s="116">
        <v>600000</v>
      </c>
      <c r="AQ770" s="74">
        <v>616000</v>
      </c>
      <c r="AR770" s="76">
        <f t="shared" ref="AR770" si="922">AVERAGE(AO770,AP770,AQ770)</f>
        <v>605333.33333333337</v>
      </c>
      <c r="AS770" s="24">
        <f t="shared" ref="AS770" si="923">AR770-AN770</f>
        <v>262657.33333333337</v>
      </c>
      <c r="AT770" s="25">
        <f t="shared" ref="AT770" si="924">+AS770/AN770</f>
        <v>0.76648885049823556</v>
      </c>
      <c r="AU770" s="309" t="str">
        <f t="shared" ref="AU770" si="925">+IF(AT770&lt;35%,AR770,"REVISAR PRECIO")</f>
        <v>REVISAR PRECIO</v>
      </c>
      <c r="AV770" s="462">
        <f t="shared" ref="AV770" si="926">AR770</f>
        <v>605333.33333333337</v>
      </c>
      <c r="AW770" s="513">
        <v>342676</v>
      </c>
      <c r="AX770" s="74">
        <v>644000</v>
      </c>
      <c r="AY770" s="74">
        <v>750000</v>
      </c>
      <c r="AZ770" s="75">
        <v>742000</v>
      </c>
      <c r="BA770" s="61">
        <v>644000</v>
      </c>
      <c r="BB770" s="60"/>
      <c r="BC770" s="74">
        <v>740600</v>
      </c>
      <c r="BD770" s="79">
        <v>742000</v>
      </c>
      <c r="BE770" s="79">
        <v>560000</v>
      </c>
      <c r="BF770" s="127">
        <v>672000</v>
      </c>
      <c r="BG770" s="142">
        <v>690000</v>
      </c>
      <c r="BH770" s="142">
        <v>600000</v>
      </c>
      <c r="BI770" s="76">
        <f>AVERAGE(AX770,AY770,AZ770,BA770,BB770,BC770)</f>
        <v>704120</v>
      </c>
      <c r="BJ770" s="24">
        <f>BI770-AW770</f>
        <v>361444</v>
      </c>
      <c r="BK770" s="25">
        <f>+BJ770/AW770</f>
        <v>1.0547689362546546</v>
      </c>
      <c r="BL770" s="259" t="str">
        <f t="shared" ref="BL770" si="927">+IF(BK770&lt;35%,BI770,"REVISAR PRECIO")</f>
        <v>REVISAR PRECIO</v>
      </c>
      <c r="BM770" s="533">
        <f t="shared" ref="BM770" si="928">BI770</f>
        <v>704120</v>
      </c>
    </row>
    <row r="771" spans="1:65" ht="35.1" customHeight="1">
      <c r="A771" s="91"/>
      <c r="B771" s="358" t="s">
        <v>2962</v>
      </c>
      <c r="C771" s="50" t="s">
        <v>1182</v>
      </c>
      <c r="D771" s="177" t="s">
        <v>1169</v>
      </c>
      <c r="E771" s="391" t="s">
        <v>740</v>
      </c>
      <c r="F771" s="410">
        <v>741339</v>
      </c>
      <c r="G771" s="10">
        <v>347432</v>
      </c>
      <c r="H771" s="167">
        <v>694864</v>
      </c>
      <c r="I771" s="10">
        <v>478900</v>
      </c>
      <c r="J771" s="76">
        <f t="shared" ref="J771:J775" si="929">AVERAGE(G771,I771)</f>
        <v>413166</v>
      </c>
      <c r="K771" s="24">
        <f t="shared" ref="K771:K775" si="930">J771-F771</f>
        <v>-328173</v>
      </c>
      <c r="L771" s="281">
        <f t="shared" ref="L771:L775" si="931">+K771/F771</f>
        <v>-0.44267602271025808</v>
      </c>
      <c r="M771" s="431">
        <f t="shared" ref="M771:M775" si="932">H771</f>
        <v>694864</v>
      </c>
      <c r="N771" s="443"/>
      <c r="O771" s="250"/>
      <c r="P771" s="250"/>
      <c r="Q771" s="250"/>
      <c r="R771" s="250"/>
      <c r="S771" s="250"/>
      <c r="T771" s="250"/>
      <c r="U771" s="250"/>
      <c r="V771" s="443"/>
      <c r="W771" s="410">
        <v>741339</v>
      </c>
      <c r="X771" s="44"/>
      <c r="Y771" s="31"/>
      <c r="Z771" s="472"/>
      <c r="AA771" s="76"/>
      <c r="AB771" s="24"/>
      <c r="AC771" s="25"/>
      <c r="AD771" s="309"/>
      <c r="AE771" s="462"/>
      <c r="AF771" s="410">
        <v>752406</v>
      </c>
      <c r="AG771" s="45">
        <v>780000</v>
      </c>
      <c r="AH771" s="45">
        <v>874699</v>
      </c>
      <c r="AI771" s="45">
        <v>236000</v>
      </c>
      <c r="AJ771" s="76">
        <f t="shared" ref="AJ771:AJ781" si="933">AVERAGE(AG771,AH771,AI771)</f>
        <v>630233</v>
      </c>
      <c r="AK771" s="24">
        <f t="shared" ref="AK771:AK781" si="934">AJ771-AF771</f>
        <v>-122173</v>
      </c>
      <c r="AL771" s="281">
        <f t="shared" ref="AL771:AL781" si="935">+AK771/AF771</f>
        <v>-0.16237642974670591</v>
      </c>
      <c r="AM771" s="462">
        <f t="shared" ref="AM771:AM775" si="936">AJ771</f>
        <v>630233</v>
      </c>
      <c r="AN771" s="513"/>
      <c r="AO771" s="88"/>
      <c r="AP771" s="116"/>
      <c r="AQ771" s="74"/>
      <c r="AR771" s="76"/>
      <c r="AS771" s="24"/>
      <c r="AT771" s="25"/>
      <c r="AU771" s="309"/>
      <c r="AV771" s="462"/>
      <c r="AW771" s="513"/>
      <c r="AX771" s="74"/>
      <c r="AY771" s="74"/>
      <c r="AZ771" s="75"/>
      <c r="BA771" s="61"/>
      <c r="BB771" s="60"/>
      <c r="BC771" s="74"/>
      <c r="BD771" s="79"/>
      <c r="BE771" s="79"/>
      <c r="BF771" s="127"/>
      <c r="BG771" s="142"/>
      <c r="BH771" s="142"/>
      <c r="BI771" s="76"/>
      <c r="BJ771" s="24"/>
      <c r="BK771" s="25"/>
      <c r="BL771" s="259"/>
      <c r="BM771" s="533"/>
    </row>
    <row r="772" spans="1:65" ht="35.1" customHeight="1">
      <c r="A772" s="91"/>
      <c r="B772" s="358" t="s">
        <v>2963</v>
      </c>
      <c r="C772" s="50" t="s">
        <v>1183</v>
      </c>
      <c r="D772" s="177" t="s">
        <v>1170</v>
      </c>
      <c r="E772" s="384" t="s">
        <v>14</v>
      </c>
      <c r="F772" s="410">
        <v>85860</v>
      </c>
      <c r="G772" s="10">
        <v>22885</v>
      </c>
      <c r="H772" s="167">
        <v>68655</v>
      </c>
      <c r="I772" s="10">
        <v>28000</v>
      </c>
      <c r="J772" s="76">
        <f t="shared" si="929"/>
        <v>25442.5</v>
      </c>
      <c r="K772" s="24">
        <f t="shared" si="930"/>
        <v>-60417.5</v>
      </c>
      <c r="L772" s="281">
        <f t="shared" si="931"/>
        <v>-0.70367458653622172</v>
      </c>
      <c r="M772" s="431">
        <f t="shared" si="932"/>
        <v>68655</v>
      </c>
      <c r="N772" s="443"/>
      <c r="O772" s="250"/>
      <c r="P772" s="250"/>
      <c r="Q772" s="250"/>
      <c r="R772" s="250"/>
      <c r="S772" s="250"/>
      <c r="T772" s="250"/>
      <c r="U772" s="250"/>
      <c r="V772" s="443"/>
      <c r="W772" s="410"/>
      <c r="X772" s="44"/>
      <c r="Y772" s="31"/>
      <c r="Z772" s="472"/>
      <c r="AA772" s="76"/>
      <c r="AB772" s="24"/>
      <c r="AC772" s="25"/>
      <c r="AD772" s="309"/>
      <c r="AE772" s="462"/>
      <c r="AF772" s="410">
        <v>85858</v>
      </c>
      <c r="AG772" s="45">
        <v>80000</v>
      </c>
      <c r="AH772" s="45">
        <v>101304</v>
      </c>
      <c r="AI772" s="45">
        <v>38000</v>
      </c>
      <c r="AJ772" s="76">
        <f t="shared" si="933"/>
        <v>73101.333333333328</v>
      </c>
      <c r="AK772" s="24">
        <f t="shared" si="934"/>
        <v>-12756.666666666672</v>
      </c>
      <c r="AL772" s="281">
        <f t="shared" si="935"/>
        <v>-0.14857866088968613</v>
      </c>
      <c r="AM772" s="462">
        <f t="shared" si="936"/>
        <v>73101.333333333328</v>
      </c>
      <c r="AN772" s="513"/>
      <c r="AO772" s="88"/>
      <c r="AP772" s="116"/>
      <c r="AQ772" s="74"/>
      <c r="AR772" s="76"/>
      <c r="AS772" s="24"/>
      <c r="AT772" s="25"/>
      <c r="AU772" s="309"/>
      <c r="AV772" s="462"/>
      <c r="AW772" s="513"/>
      <c r="AX772" s="74"/>
      <c r="AY772" s="74"/>
      <c r="AZ772" s="75"/>
      <c r="BA772" s="61"/>
      <c r="BB772" s="60"/>
      <c r="BC772" s="74"/>
      <c r="BD772" s="79"/>
      <c r="BE772" s="79"/>
      <c r="BF772" s="127"/>
      <c r="BG772" s="142"/>
      <c r="BH772" s="142"/>
      <c r="BI772" s="76"/>
      <c r="BJ772" s="24"/>
      <c r="BK772" s="25"/>
      <c r="BL772" s="259"/>
      <c r="BM772" s="533"/>
    </row>
    <row r="773" spans="1:65" ht="35.1" customHeight="1">
      <c r="A773" s="91"/>
      <c r="B773" s="358" t="s">
        <v>2964</v>
      </c>
      <c r="C773" s="50" t="s">
        <v>1184</v>
      </c>
      <c r="D773" s="177" t="s">
        <v>1171</v>
      </c>
      <c r="E773" s="384" t="s">
        <v>14</v>
      </c>
      <c r="F773" s="410">
        <v>661584</v>
      </c>
      <c r="G773" s="10">
        <v>334460</v>
      </c>
      <c r="H773" s="167">
        <v>668920</v>
      </c>
      <c r="I773" s="10">
        <v>405000</v>
      </c>
      <c r="J773" s="76">
        <f t="shared" si="929"/>
        <v>369730</v>
      </c>
      <c r="K773" s="24">
        <f t="shared" si="930"/>
        <v>-291854</v>
      </c>
      <c r="L773" s="281">
        <f t="shared" si="931"/>
        <v>-0.44114428402137901</v>
      </c>
      <c r="M773" s="431">
        <f t="shared" si="932"/>
        <v>668920</v>
      </c>
      <c r="N773" s="410">
        <v>595431</v>
      </c>
      <c r="O773" s="10">
        <v>90000</v>
      </c>
      <c r="P773" s="10">
        <v>105000</v>
      </c>
      <c r="Q773" s="268">
        <v>98000</v>
      </c>
      <c r="R773" s="10">
        <v>220000</v>
      </c>
      <c r="S773" s="76">
        <f t="shared" ref="S773:S775" si="937">AVERAGE(O773,P773,Q773,R773)</f>
        <v>128250</v>
      </c>
      <c r="T773" s="24">
        <f t="shared" ref="T773:T775" si="938">S773-N773</f>
        <v>-467181</v>
      </c>
      <c r="U773" s="281">
        <f t="shared" ref="U773:U775" si="939">+T773/N773</f>
        <v>-0.78460980365483157</v>
      </c>
      <c r="V773" s="462">
        <f t="shared" ref="V773:V775" si="940">S773</f>
        <v>128250</v>
      </c>
      <c r="W773" s="410"/>
      <c r="X773" s="44"/>
      <c r="Y773" s="31"/>
      <c r="Z773" s="472"/>
      <c r="AA773" s="76"/>
      <c r="AB773" s="24"/>
      <c r="AC773" s="25"/>
      <c r="AD773" s="309"/>
      <c r="AE773" s="462"/>
      <c r="AF773" s="410">
        <v>661583</v>
      </c>
      <c r="AG773" s="45">
        <v>650000</v>
      </c>
      <c r="AH773" s="45">
        <v>780600</v>
      </c>
      <c r="AI773" s="45">
        <v>345000</v>
      </c>
      <c r="AJ773" s="76">
        <f t="shared" si="933"/>
        <v>591866.66666666663</v>
      </c>
      <c r="AK773" s="24">
        <f t="shared" si="934"/>
        <v>-69716.333333333372</v>
      </c>
      <c r="AL773" s="281">
        <f t="shared" si="935"/>
        <v>-0.10537806039957703</v>
      </c>
      <c r="AM773" s="462">
        <f t="shared" si="936"/>
        <v>591866.66666666663</v>
      </c>
      <c r="AN773" s="513"/>
      <c r="AO773" s="88"/>
      <c r="AP773" s="116"/>
      <c r="AQ773" s="74"/>
      <c r="AR773" s="76"/>
      <c r="AS773" s="24"/>
      <c r="AT773" s="25"/>
      <c r="AU773" s="309"/>
      <c r="AV773" s="462"/>
      <c r="AW773" s="513"/>
      <c r="AX773" s="74"/>
      <c r="AY773" s="74"/>
      <c r="AZ773" s="75"/>
      <c r="BA773" s="61"/>
      <c r="BB773" s="60"/>
      <c r="BC773" s="74"/>
      <c r="BD773" s="79"/>
      <c r="BE773" s="79"/>
      <c r="BF773" s="127"/>
      <c r="BG773" s="142"/>
      <c r="BH773" s="142"/>
      <c r="BI773" s="76"/>
      <c r="BJ773" s="24"/>
      <c r="BK773" s="25"/>
      <c r="BL773" s="259"/>
      <c r="BM773" s="533"/>
    </row>
    <row r="774" spans="1:65" ht="35.1" customHeight="1">
      <c r="A774" s="91"/>
      <c r="B774" s="358" t="s">
        <v>2965</v>
      </c>
      <c r="C774" s="50" t="s">
        <v>1185</v>
      </c>
      <c r="D774" s="177" t="s">
        <v>1172</v>
      </c>
      <c r="E774" s="384" t="s">
        <v>14</v>
      </c>
      <c r="F774" s="410">
        <v>92334</v>
      </c>
      <c r="G774" s="10">
        <v>107698</v>
      </c>
      <c r="H774" s="167">
        <v>215396</v>
      </c>
      <c r="I774" s="10">
        <v>106000</v>
      </c>
      <c r="J774" s="76">
        <f t="shared" si="929"/>
        <v>106849</v>
      </c>
      <c r="K774" s="24">
        <f t="shared" si="930"/>
        <v>14515</v>
      </c>
      <c r="L774" s="281">
        <f t="shared" si="931"/>
        <v>0.15720103103948707</v>
      </c>
      <c r="M774" s="431">
        <f t="shared" si="932"/>
        <v>215396</v>
      </c>
      <c r="N774" s="410">
        <v>83106</v>
      </c>
      <c r="O774" s="10">
        <v>240000</v>
      </c>
      <c r="P774" s="10">
        <v>250000</v>
      </c>
      <c r="Q774" s="268">
        <v>255000</v>
      </c>
      <c r="R774" s="10">
        <v>240000</v>
      </c>
      <c r="S774" s="76">
        <f t="shared" si="937"/>
        <v>246250</v>
      </c>
      <c r="T774" s="24">
        <f t="shared" si="938"/>
        <v>163144</v>
      </c>
      <c r="U774" s="281">
        <f t="shared" si="939"/>
        <v>1.9630832912184439</v>
      </c>
      <c r="V774" s="462">
        <f t="shared" si="940"/>
        <v>246250</v>
      </c>
      <c r="W774" s="410"/>
      <c r="X774" s="44"/>
      <c r="Y774" s="31"/>
      <c r="Z774" s="472"/>
      <c r="AA774" s="76"/>
      <c r="AB774" s="24"/>
      <c r="AC774" s="25"/>
      <c r="AD774" s="309"/>
      <c r="AE774" s="462"/>
      <c r="AF774" s="410">
        <v>92333</v>
      </c>
      <c r="AG774" s="45">
        <v>120000</v>
      </c>
      <c r="AH774" s="45">
        <v>108945</v>
      </c>
      <c r="AI774" s="45">
        <v>110000</v>
      </c>
      <c r="AJ774" s="76">
        <f t="shared" si="933"/>
        <v>112981.66666666667</v>
      </c>
      <c r="AK774" s="24">
        <f t="shared" si="934"/>
        <v>20648.666666666672</v>
      </c>
      <c r="AL774" s="281">
        <f t="shared" si="935"/>
        <v>0.2236325762908892</v>
      </c>
      <c r="AM774" s="462">
        <f t="shared" si="936"/>
        <v>112981.66666666667</v>
      </c>
      <c r="AN774" s="513"/>
      <c r="AO774" s="88"/>
      <c r="AP774" s="116"/>
      <c r="AQ774" s="74"/>
      <c r="AR774" s="76"/>
      <c r="AS774" s="24"/>
      <c r="AT774" s="25"/>
      <c r="AU774" s="309"/>
      <c r="AV774" s="462"/>
      <c r="AW774" s="513"/>
      <c r="AX774" s="74"/>
      <c r="AY774" s="74"/>
      <c r="AZ774" s="75"/>
      <c r="BA774" s="61"/>
      <c r="BB774" s="60"/>
      <c r="BC774" s="74"/>
      <c r="BD774" s="79"/>
      <c r="BE774" s="79"/>
      <c r="BF774" s="127"/>
      <c r="BG774" s="142"/>
      <c r="BH774" s="142"/>
      <c r="BI774" s="76"/>
      <c r="BJ774" s="24"/>
      <c r="BK774" s="25"/>
      <c r="BL774" s="259"/>
      <c r="BM774" s="533"/>
    </row>
    <row r="775" spans="1:65" ht="35.1" customHeight="1">
      <c r="A775" s="91"/>
      <c r="B775" s="358" t="s">
        <v>2966</v>
      </c>
      <c r="C775" s="50" t="s">
        <v>1186</v>
      </c>
      <c r="D775" s="177" t="s">
        <v>1173</v>
      </c>
      <c r="E775" s="384" t="s">
        <v>14</v>
      </c>
      <c r="F775" s="410">
        <v>388155</v>
      </c>
      <c r="G775" s="10">
        <v>450538</v>
      </c>
      <c r="H775" s="167">
        <v>901076</v>
      </c>
      <c r="I775" s="10">
        <v>400000</v>
      </c>
      <c r="J775" s="76">
        <f t="shared" si="929"/>
        <v>425269</v>
      </c>
      <c r="K775" s="24">
        <f t="shared" si="930"/>
        <v>37114</v>
      </c>
      <c r="L775" s="281">
        <f t="shared" si="931"/>
        <v>9.561644188532932E-2</v>
      </c>
      <c r="M775" s="431">
        <f t="shared" si="932"/>
        <v>901076</v>
      </c>
      <c r="N775" s="410">
        <v>349339</v>
      </c>
      <c r="O775" s="10">
        <v>240000</v>
      </c>
      <c r="P775" s="10">
        <v>250000</v>
      </c>
      <c r="Q775" s="268">
        <v>255000</v>
      </c>
      <c r="R775" s="10">
        <v>240000</v>
      </c>
      <c r="S775" s="76">
        <f t="shared" si="937"/>
        <v>246250</v>
      </c>
      <c r="T775" s="24">
        <f t="shared" si="938"/>
        <v>-103089</v>
      </c>
      <c r="U775" s="281">
        <f t="shared" si="939"/>
        <v>-0.29509731235275766</v>
      </c>
      <c r="V775" s="462">
        <f t="shared" si="940"/>
        <v>246250</v>
      </c>
      <c r="W775" s="410"/>
      <c r="X775" s="44"/>
      <c r="Y775" s="31"/>
      <c r="Z775" s="472"/>
      <c r="AA775" s="76"/>
      <c r="AB775" s="24"/>
      <c r="AC775" s="25"/>
      <c r="AD775" s="309"/>
      <c r="AE775" s="462"/>
      <c r="AF775" s="410">
        <v>388154</v>
      </c>
      <c r="AG775" s="45">
        <v>460000</v>
      </c>
      <c r="AH775" s="45">
        <v>457984</v>
      </c>
      <c r="AI775" s="45">
        <v>450000</v>
      </c>
      <c r="AJ775" s="76">
        <f t="shared" si="933"/>
        <v>455994.66666666669</v>
      </c>
      <c r="AK775" s="24">
        <f t="shared" si="934"/>
        <v>67840.666666666686</v>
      </c>
      <c r="AL775" s="281">
        <f t="shared" si="935"/>
        <v>0.17477770850401306</v>
      </c>
      <c r="AM775" s="462">
        <f t="shared" si="936"/>
        <v>455994.66666666669</v>
      </c>
      <c r="AN775" s="513"/>
      <c r="AO775" s="88"/>
      <c r="AP775" s="116"/>
      <c r="AQ775" s="74"/>
      <c r="AR775" s="76"/>
      <c r="AS775" s="24"/>
      <c r="AT775" s="25"/>
      <c r="AU775" s="309"/>
      <c r="AV775" s="462"/>
      <c r="AW775" s="513"/>
      <c r="AX775" s="74"/>
      <c r="AY775" s="74"/>
      <c r="AZ775" s="75"/>
      <c r="BA775" s="61"/>
      <c r="BB775" s="60"/>
      <c r="BC775" s="74"/>
      <c r="BD775" s="79"/>
      <c r="BE775" s="79"/>
      <c r="BF775" s="127"/>
      <c r="BG775" s="142"/>
      <c r="BH775" s="142"/>
      <c r="BI775" s="76"/>
      <c r="BJ775" s="24"/>
      <c r="BK775" s="25"/>
      <c r="BL775" s="259"/>
      <c r="BM775" s="533"/>
    </row>
    <row r="776" spans="1:65" ht="108" customHeight="1">
      <c r="A776" s="91"/>
      <c r="B776" s="358" t="s">
        <v>2967</v>
      </c>
      <c r="C776" s="50" t="s">
        <v>1187</v>
      </c>
      <c r="D776" s="177" t="s">
        <v>1174</v>
      </c>
      <c r="E776" s="384" t="s">
        <v>10</v>
      </c>
      <c r="F776" s="410">
        <v>548235</v>
      </c>
      <c r="G776" s="10"/>
      <c r="H776" s="167"/>
      <c r="I776" s="10"/>
      <c r="J776" s="76"/>
      <c r="K776" s="24"/>
      <c r="L776" s="281"/>
      <c r="M776" s="437" t="s">
        <v>807</v>
      </c>
      <c r="N776" s="443"/>
      <c r="O776" s="250"/>
      <c r="P776" s="250"/>
      <c r="Q776" s="250"/>
      <c r="R776" s="250"/>
      <c r="S776" s="250"/>
      <c r="T776" s="250"/>
      <c r="U776" s="250"/>
      <c r="V776" s="443"/>
      <c r="W776" s="410"/>
      <c r="X776" s="44"/>
      <c r="Y776" s="31"/>
      <c r="Z776" s="472"/>
      <c r="AA776" s="76"/>
      <c r="AB776" s="24"/>
      <c r="AC776" s="25"/>
      <c r="AD776" s="309"/>
      <c r="AE776" s="462"/>
      <c r="AF776" s="410">
        <v>556416</v>
      </c>
      <c r="AG776" s="45"/>
      <c r="AH776" s="45">
        <v>646855</v>
      </c>
      <c r="AI776" s="45">
        <v>25000</v>
      </c>
      <c r="AJ776" s="76">
        <f t="shared" si="933"/>
        <v>335927.5</v>
      </c>
      <c r="AK776" s="24">
        <f t="shared" si="934"/>
        <v>-220488.5</v>
      </c>
      <c r="AL776" s="281">
        <f t="shared" si="935"/>
        <v>-0.39626556389463996</v>
      </c>
      <c r="AM776" s="464" t="s">
        <v>807</v>
      </c>
      <c r="AN776" s="513"/>
      <c r="AO776" s="88"/>
      <c r="AP776" s="116"/>
      <c r="AQ776" s="74"/>
      <c r="AR776" s="76"/>
      <c r="AS776" s="24"/>
      <c r="AT776" s="25"/>
      <c r="AU776" s="309"/>
      <c r="AV776" s="462"/>
      <c r="AW776" s="513"/>
      <c r="AX776" s="74"/>
      <c r="AY776" s="74"/>
      <c r="AZ776" s="75"/>
      <c r="BA776" s="61"/>
      <c r="BB776" s="60"/>
      <c r="BC776" s="74"/>
      <c r="BD776" s="79"/>
      <c r="BE776" s="79"/>
      <c r="BF776" s="127"/>
      <c r="BG776" s="142"/>
      <c r="BH776" s="142"/>
      <c r="BI776" s="76"/>
      <c r="BJ776" s="24"/>
      <c r="BK776" s="25"/>
      <c r="BL776" s="259"/>
      <c r="BM776" s="533"/>
    </row>
    <row r="777" spans="1:65" ht="35.1" customHeight="1">
      <c r="A777" s="91"/>
      <c r="B777" s="358" t="s">
        <v>2968</v>
      </c>
      <c r="C777" s="50" t="s">
        <v>1188</v>
      </c>
      <c r="D777" s="177" t="s">
        <v>1175</v>
      </c>
      <c r="E777" s="384" t="s">
        <v>13</v>
      </c>
      <c r="F777" s="410">
        <v>233504</v>
      </c>
      <c r="G777" s="10"/>
      <c r="H777" s="167"/>
      <c r="I777" s="10"/>
      <c r="J777" s="76"/>
      <c r="K777" s="24"/>
      <c r="L777" s="281"/>
      <c r="M777" s="431" t="s">
        <v>894</v>
      </c>
      <c r="N777" s="410">
        <v>212231</v>
      </c>
      <c r="O777" s="10"/>
      <c r="P777" s="10"/>
      <c r="Q777" s="268"/>
      <c r="R777" s="10" t="s">
        <v>1421</v>
      </c>
      <c r="S777" s="76"/>
      <c r="T777" s="24"/>
      <c r="U777" s="281"/>
      <c r="V777" s="462" t="s">
        <v>894</v>
      </c>
      <c r="W777" s="410"/>
      <c r="X777" s="44"/>
      <c r="Y777" s="31"/>
      <c r="Z777" s="472"/>
      <c r="AA777" s="76"/>
      <c r="AB777" s="24"/>
      <c r="AC777" s="25"/>
      <c r="AD777" s="309"/>
      <c r="AE777" s="462"/>
      <c r="AF777" s="410">
        <v>236987</v>
      </c>
      <c r="AG777" s="45"/>
      <c r="AH777" s="45">
        <v>275509</v>
      </c>
      <c r="AI777" s="45">
        <v>60000</v>
      </c>
      <c r="AJ777" s="76">
        <f t="shared" si="933"/>
        <v>167754.5</v>
      </c>
      <c r="AK777" s="24">
        <f t="shared" si="934"/>
        <v>-69232.5</v>
      </c>
      <c r="AL777" s="281">
        <f t="shared" si="935"/>
        <v>-0.29213627751733218</v>
      </c>
      <c r="AM777" s="462">
        <f t="shared" ref="AM777:AM781" si="941">AJ777</f>
        <v>167754.5</v>
      </c>
      <c r="AN777" s="513"/>
      <c r="AO777" s="88"/>
      <c r="AP777" s="116"/>
      <c r="AQ777" s="74"/>
      <c r="AR777" s="76"/>
      <c r="AS777" s="24"/>
      <c r="AT777" s="25"/>
      <c r="AU777" s="309"/>
      <c r="AV777" s="462"/>
      <c r="AW777" s="513"/>
      <c r="AX777" s="74"/>
      <c r="AY777" s="74"/>
      <c r="AZ777" s="75"/>
      <c r="BA777" s="61"/>
      <c r="BB777" s="60"/>
      <c r="BC777" s="74"/>
      <c r="BD777" s="79"/>
      <c r="BE777" s="79"/>
      <c r="BF777" s="127"/>
      <c r="BG777" s="142"/>
      <c r="BH777" s="142"/>
      <c r="BI777" s="76"/>
      <c r="BJ777" s="24"/>
      <c r="BK777" s="25"/>
      <c r="BL777" s="259"/>
      <c r="BM777" s="533"/>
    </row>
    <row r="778" spans="1:65" ht="35.1" customHeight="1">
      <c r="A778" s="91"/>
      <c r="B778" s="358" t="s">
        <v>2969</v>
      </c>
      <c r="C778" s="50" t="s">
        <v>1189</v>
      </c>
      <c r="D778" s="177" t="s">
        <v>1176</v>
      </c>
      <c r="E778" s="384" t="s">
        <v>14</v>
      </c>
      <c r="F778" s="410">
        <v>61038</v>
      </c>
      <c r="G778" s="10">
        <v>103663</v>
      </c>
      <c r="H778" s="167">
        <v>310989</v>
      </c>
      <c r="I778" s="10">
        <v>105900</v>
      </c>
      <c r="J778" s="76">
        <f t="shared" ref="J778:J783" si="942">AVERAGE(G778,I778)</f>
        <v>104781.5</v>
      </c>
      <c r="K778" s="24">
        <f t="shared" ref="K778:K783" si="943">J778-F778</f>
        <v>43743.5</v>
      </c>
      <c r="L778" s="281">
        <f t="shared" ref="L778:L783" si="944">+K778/F778</f>
        <v>0.71666011337199775</v>
      </c>
      <c r="M778" s="431">
        <f t="shared" ref="M778:M783" si="945">H778</f>
        <v>310989</v>
      </c>
      <c r="N778" s="410">
        <v>54932</v>
      </c>
      <c r="O778" s="10">
        <v>165000</v>
      </c>
      <c r="P778" s="10">
        <v>170000</v>
      </c>
      <c r="Q778" s="268">
        <v>175000</v>
      </c>
      <c r="R778" s="10">
        <v>200000</v>
      </c>
      <c r="S778" s="76">
        <f t="shared" ref="S778:S779" si="946">AVERAGE(O778,P778,Q778,R778)</f>
        <v>177500</v>
      </c>
      <c r="T778" s="24">
        <f t="shared" ref="T778:T779" si="947">S778-N778</f>
        <v>122568</v>
      </c>
      <c r="U778" s="281">
        <f t="shared" ref="U778:U779" si="948">+T778/N778</f>
        <v>2.2312677492172139</v>
      </c>
      <c r="V778" s="462">
        <f t="shared" ref="V778:V779" si="949">S778</f>
        <v>177500</v>
      </c>
      <c r="W778" s="410"/>
      <c r="X778" s="44"/>
      <c r="Y778" s="31"/>
      <c r="Z778" s="472"/>
      <c r="AA778" s="76"/>
      <c r="AB778" s="24"/>
      <c r="AC778" s="25"/>
      <c r="AD778" s="309"/>
      <c r="AE778" s="462"/>
      <c r="AF778" s="410">
        <v>61036</v>
      </c>
      <c r="AG778" s="45"/>
      <c r="AH778" s="45">
        <v>72016</v>
      </c>
      <c r="AI778" s="45">
        <v>48000</v>
      </c>
      <c r="AJ778" s="76">
        <f t="shared" si="933"/>
        <v>60008</v>
      </c>
      <c r="AK778" s="24">
        <f t="shared" si="934"/>
        <v>-1028</v>
      </c>
      <c r="AL778" s="281">
        <f t="shared" si="935"/>
        <v>-1.6842519169015007E-2</v>
      </c>
      <c r="AM778" s="462">
        <f t="shared" si="941"/>
        <v>60008</v>
      </c>
      <c r="AN778" s="513"/>
      <c r="AO778" s="88"/>
      <c r="AP778" s="116"/>
      <c r="AQ778" s="74"/>
      <c r="AR778" s="76"/>
      <c r="AS778" s="24"/>
      <c r="AT778" s="25"/>
      <c r="AU778" s="309"/>
      <c r="AV778" s="462"/>
      <c r="AW778" s="513"/>
      <c r="AX778" s="74"/>
      <c r="AY778" s="74"/>
      <c r="AZ778" s="75"/>
      <c r="BA778" s="61"/>
      <c r="BB778" s="60"/>
      <c r="BC778" s="74"/>
      <c r="BD778" s="79"/>
      <c r="BE778" s="79"/>
      <c r="BF778" s="127"/>
      <c r="BG778" s="142"/>
      <c r="BH778" s="142"/>
      <c r="BI778" s="76"/>
      <c r="BJ778" s="24"/>
      <c r="BK778" s="25"/>
      <c r="BL778" s="259"/>
      <c r="BM778" s="533"/>
    </row>
    <row r="779" spans="1:65" ht="35.1" customHeight="1">
      <c r="A779" s="91"/>
      <c r="B779" s="358" t="s">
        <v>2970</v>
      </c>
      <c r="C779" s="50" t="s">
        <v>1190</v>
      </c>
      <c r="D779" s="177" t="s">
        <v>1177</v>
      </c>
      <c r="E779" s="384" t="s">
        <v>14</v>
      </c>
      <c r="F779" s="410">
        <v>132059</v>
      </c>
      <c r="G779" s="10">
        <v>103663</v>
      </c>
      <c r="H779" s="167">
        <v>310989</v>
      </c>
      <c r="I779" s="10">
        <v>105900</v>
      </c>
      <c r="J779" s="76">
        <f t="shared" si="942"/>
        <v>104781.5</v>
      </c>
      <c r="K779" s="24">
        <f t="shared" si="943"/>
        <v>-27277.5</v>
      </c>
      <c r="L779" s="281">
        <f t="shared" si="944"/>
        <v>-0.2065554032667217</v>
      </c>
      <c r="M779" s="431">
        <f t="shared" si="945"/>
        <v>310989</v>
      </c>
      <c r="N779" s="410">
        <v>120032</v>
      </c>
      <c r="O779" s="10">
        <v>165000</v>
      </c>
      <c r="P779" s="10">
        <v>170000</v>
      </c>
      <c r="Q779" s="268">
        <v>175000</v>
      </c>
      <c r="R779" s="10" t="s">
        <v>1421</v>
      </c>
      <c r="S779" s="76">
        <f t="shared" si="946"/>
        <v>170000</v>
      </c>
      <c r="T779" s="24">
        <f t="shared" si="947"/>
        <v>49968</v>
      </c>
      <c r="U779" s="281">
        <f t="shared" si="948"/>
        <v>0.41628898960277261</v>
      </c>
      <c r="V779" s="462">
        <f t="shared" si="949"/>
        <v>170000</v>
      </c>
      <c r="W779" s="410"/>
      <c r="X779" s="44"/>
      <c r="Y779" s="31"/>
      <c r="Z779" s="472"/>
      <c r="AA779" s="76"/>
      <c r="AB779" s="24"/>
      <c r="AC779" s="25"/>
      <c r="AD779" s="309"/>
      <c r="AE779" s="462"/>
      <c r="AF779" s="410">
        <v>134033</v>
      </c>
      <c r="AG779" s="45"/>
      <c r="AH779" s="45">
        <v>155812</v>
      </c>
      <c r="AI779" s="45">
        <v>48000</v>
      </c>
      <c r="AJ779" s="76">
        <f t="shared" si="933"/>
        <v>101906</v>
      </c>
      <c r="AK779" s="24">
        <f t="shared" si="934"/>
        <v>-32127</v>
      </c>
      <c r="AL779" s="281">
        <f t="shared" si="935"/>
        <v>-0.23969470205098745</v>
      </c>
      <c r="AM779" s="462">
        <f t="shared" si="941"/>
        <v>101906</v>
      </c>
      <c r="AN779" s="513"/>
      <c r="AO779" s="88"/>
      <c r="AP779" s="116"/>
      <c r="AQ779" s="74"/>
      <c r="AR779" s="76"/>
      <c r="AS779" s="24"/>
      <c r="AT779" s="25"/>
      <c r="AU779" s="309"/>
      <c r="AV779" s="462"/>
      <c r="AW779" s="513"/>
      <c r="AX779" s="74"/>
      <c r="AY779" s="74"/>
      <c r="AZ779" s="75"/>
      <c r="BA779" s="61"/>
      <c r="BB779" s="60"/>
      <c r="BC779" s="74"/>
      <c r="BD779" s="79"/>
      <c r="BE779" s="79"/>
      <c r="BF779" s="127"/>
      <c r="BG779" s="142"/>
      <c r="BH779" s="142"/>
      <c r="BI779" s="76"/>
      <c r="BJ779" s="24"/>
      <c r="BK779" s="25"/>
      <c r="BL779" s="259"/>
      <c r="BM779" s="533"/>
    </row>
    <row r="780" spans="1:65" ht="35.1" customHeight="1">
      <c r="A780" s="91"/>
      <c r="B780" s="358" t="s">
        <v>2971</v>
      </c>
      <c r="C780" s="50" t="s">
        <v>1191</v>
      </c>
      <c r="D780" s="177" t="s">
        <v>1178</v>
      </c>
      <c r="E780" s="384" t="s">
        <v>14</v>
      </c>
      <c r="F780" s="410">
        <v>335842</v>
      </c>
      <c r="G780" s="10">
        <v>700287</v>
      </c>
      <c r="H780" s="167">
        <v>2801148</v>
      </c>
      <c r="I780" s="10">
        <v>680900</v>
      </c>
      <c r="J780" s="76">
        <f t="shared" si="942"/>
        <v>690593.5</v>
      </c>
      <c r="K780" s="24">
        <f t="shared" si="943"/>
        <v>354751.5</v>
      </c>
      <c r="L780" s="281">
        <f t="shared" si="944"/>
        <v>1.0563047504481273</v>
      </c>
      <c r="M780" s="431">
        <f t="shared" si="945"/>
        <v>2801148</v>
      </c>
      <c r="N780" s="443"/>
      <c r="O780" s="250"/>
      <c r="P780" s="250"/>
      <c r="Q780" s="250"/>
      <c r="R780" s="250"/>
      <c r="S780" s="250"/>
      <c r="T780" s="250"/>
      <c r="U780" s="250"/>
      <c r="V780" s="443"/>
      <c r="W780" s="410"/>
      <c r="X780" s="44"/>
      <c r="Y780" s="31"/>
      <c r="Z780" s="472"/>
      <c r="AA780" s="76"/>
      <c r="AB780" s="24"/>
      <c r="AC780" s="25"/>
      <c r="AD780" s="309"/>
      <c r="AE780" s="462"/>
      <c r="AF780" s="410">
        <v>340854</v>
      </c>
      <c r="AG780" s="45"/>
      <c r="AH780" s="45">
        <v>396250</v>
      </c>
      <c r="AI780" s="45">
        <v>195000</v>
      </c>
      <c r="AJ780" s="76">
        <f t="shared" si="933"/>
        <v>295625</v>
      </c>
      <c r="AK780" s="24">
        <f t="shared" si="934"/>
        <v>-45229</v>
      </c>
      <c r="AL780" s="281">
        <f t="shared" si="935"/>
        <v>-0.13269317655066393</v>
      </c>
      <c r="AM780" s="462">
        <f t="shared" si="941"/>
        <v>295625</v>
      </c>
      <c r="AN780" s="513"/>
      <c r="AO780" s="88"/>
      <c r="AP780" s="116"/>
      <c r="AQ780" s="74"/>
      <c r="AR780" s="76"/>
      <c r="AS780" s="24"/>
      <c r="AT780" s="25"/>
      <c r="AU780" s="309"/>
      <c r="AV780" s="462"/>
      <c r="AW780" s="513"/>
      <c r="AX780" s="74"/>
      <c r="AY780" s="74"/>
      <c r="AZ780" s="75"/>
      <c r="BA780" s="61"/>
      <c r="BB780" s="60"/>
      <c r="BC780" s="74"/>
      <c r="BD780" s="79"/>
      <c r="BE780" s="79"/>
      <c r="BF780" s="127"/>
      <c r="BG780" s="142"/>
      <c r="BH780" s="142"/>
      <c r="BI780" s="76"/>
      <c r="BJ780" s="24"/>
      <c r="BK780" s="25"/>
      <c r="BL780" s="259"/>
      <c r="BM780" s="533"/>
    </row>
    <row r="781" spans="1:65" ht="35.1" customHeight="1">
      <c r="A781" s="91"/>
      <c r="B781" s="358" t="s">
        <v>2972</v>
      </c>
      <c r="C781" s="50" t="s">
        <v>1192</v>
      </c>
      <c r="D781" s="177" t="s">
        <v>1179</v>
      </c>
      <c r="E781" s="384" t="s">
        <v>14</v>
      </c>
      <c r="F781" s="410">
        <v>329254</v>
      </c>
      <c r="G781" s="10">
        <v>347432</v>
      </c>
      <c r="H781" s="167">
        <v>694864</v>
      </c>
      <c r="I781" s="10">
        <v>345000</v>
      </c>
      <c r="J781" s="76">
        <f t="shared" si="942"/>
        <v>346216</v>
      </c>
      <c r="K781" s="24">
        <f t="shared" si="943"/>
        <v>16962</v>
      </c>
      <c r="L781" s="281">
        <f t="shared" si="944"/>
        <v>5.1516458418120963E-2</v>
      </c>
      <c r="M781" s="431">
        <f t="shared" si="945"/>
        <v>694864</v>
      </c>
      <c r="N781" s="410">
        <v>299258</v>
      </c>
      <c r="O781" s="10">
        <v>700000</v>
      </c>
      <c r="P781" s="10">
        <v>750000</v>
      </c>
      <c r="Q781" s="268">
        <v>750000</v>
      </c>
      <c r="R781" s="10">
        <v>800000</v>
      </c>
      <c r="S781" s="76">
        <f t="shared" ref="S781" si="950">AVERAGE(O781,P781,Q781,R781)</f>
        <v>750000</v>
      </c>
      <c r="T781" s="24">
        <f t="shared" ref="T781" si="951">S781-N781</f>
        <v>450742</v>
      </c>
      <c r="U781" s="281">
        <f t="shared" ref="U781" si="952">+T781/N781</f>
        <v>1.5061986646973515</v>
      </c>
      <c r="V781" s="462">
        <f t="shared" ref="V781" si="953">S781</f>
        <v>750000</v>
      </c>
      <c r="W781" s="410"/>
      <c r="X781" s="44"/>
      <c r="Y781" s="31"/>
      <c r="Z781" s="472"/>
      <c r="AA781" s="76"/>
      <c r="AB781" s="24"/>
      <c r="AC781" s="25"/>
      <c r="AD781" s="309"/>
      <c r="AE781" s="462"/>
      <c r="AF781" s="410">
        <v>334171</v>
      </c>
      <c r="AG781" s="45"/>
      <c r="AH781" s="45">
        <v>388481</v>
      </c>
      <c r="AI781" s="45">
        <v>240000</v>
      </c>
      <c r="AJ781" s="76">
        <f t="shared" si="933"/>
        <v>314240.5</v>
      </c>
      <c r="AK781" s="24">
        <f t="shared" si="934"/>
        <v>-19930.5</v>
      </c>
      <c r="AL781" s="281">
        <f t="shared" si="935"/>
        <v>-5.964162060741357E-2</v>
      </c>
      <c r="AM781" s="462">
        <f t="shared" si="941"/>
        <v>314240.5</v>
      </c>
      <c r="AN781" s="513"/>
      <c r="AO781" s="88"/>
      <c r="AP781" s="116"/>
      <c r="AQ781" s="74"/>
      <c r="AR781" s="76"/>
      <c r="AS781" s="24"/>
      <c r="AT781" s="25"/>
      <c r="AU781" s="309"/>
      <c r="AV781" s="462"/>
      <c r="AW781" s="513"/>
      <c r="AX781" s="74"/>
      <c r="AY781" s="74"/>
      <c r="AZ781" s="75"/>
      <c r="BA781" s="61"/>
      <c r="BB781" s="60"/>
      <c r="BC781" s="74"/>
      <c r="BD781" s="79"/>
      <c r="BE781" s="79"/>
      <c r="BF781" s="127"/>
      <c r="BG781" s="142"/>
      <c r="BH781" s="142"/>
      <c r="BI781" s="76"/>
      <c r="BJ781" s="24"/>
      <c r="BK781" s="25"/>
      <c r="BL781" s="259"/>
      <c r="BM781" s="533"/>
    </row>
    <row r="782" spans="1:65" ht="35.1" customHeight="1">
      <c r="A782" s="91"/>
      <c r="B782" s="358" t="s">
        <v>2973</v>
      </c>
      <c r="C782" s="50" t="s">
        <v>1193</v>
      </c>
      <c r="D782" s="177" t="s">
        <v>1180</v>
      </c>
      <c r="E782" s="384" t="s">
        <v>14</v>
      </c>
      <c r="F782" s="410">
        <v>132221</v>
      </c>
      <c r="G782" s="10"/>
      <c r="H782" s="167">
        <v>230000</v>
      </c>
      <c r="I782" s="10">
        <v>150000</v>
      </c>
      <c r="J782" s="76">
        <f t="shared" si="942"/>
        <v>150000</v>
      </c>
      <c r="K782" s="24">
        <f t="shared" si="943"/>
        <v>17779</v>
      </c>
      <c r="L782" s="281">
        <f t="shared" si="944"/>
        <v>0.13446426815710061</v>
      </c>
      <c r="M782" s="431">
        <f t="shared" si="945"/>
        <v>230000</v>
      </c>
      <c r="N782" s="443"/>
      <c r="O782" s="250"/>
      <c r="P782" s="250"/>
      <c r="Q782" s="250"/>
      <c r="R782" s="250"/>
      <c r="S782" s="250"/>
      <c r="T782" s="250"/>
      <c r="U782" s="250"/>
      <c r="V782" s="443"/>
      <c r="W782" s="410"/>
      <c r="X782" s="44"/>
      <c r="Y782" s="31"/>
      <c r="Z782" s="472"/>
      <c r="AA782" s="76"/>
      <c r="AB782" s="24"/>
      <c r="AC782" s="25"/>
      <c r="AD782" s="309"/>
      <c r="AE782" s="462"/>
      <c r="AF782" s="408"/>
      <c r="AG782" s="293"/>
      <c r="AH782" s="293"/>
      <c r="AI782" s="293"/>
      <c r="AJ782" s="293"/>
      <c r="AK782" s="293"/>
      <c r="AL782" s="327"/>
      <c r="AM782" s="463"/>
      <c r="AN782" s="513"/>
      <c r="AO782" s="88"/>
      <c r="AP782" s="116"/>
      <c r="AQ782" s="74"/>
      <c r="AR782" s="76"/>
      <c r="AS782" s="24"/>
      <c r="AT782" s="25"/>
      <c r="AU782" s="309"/>
      <c r="AV782" s="462"/>
      <c r="AW782" s="513"/>
      <c r="AX782" s="74"/>
      <c r="AY782" s="74"/>
      <c r="AZ782" s="75"/>
      <c r="BA782" s="61"/>
      <c r="BB782" s="60"/>
      <c r="BC782" s="74"/>
      <c r="BD782" s="79"/>
      <c r="BE782" s="79"/>
      <c r="BF782" s="127"/>
      <c r="BG782" s="142"/>
      <c r="BH782" s="142"/>
      <c r="BI782" s="76"/>
      <c r="BJ782" s="24"/>
      <c r="BK782" s="25"/>
      <c r="BL782" s="259"/>
      <c r="BM782" s="533"/>
    </row>
    <row r="783" spans="1:65" ht="35.1" customHeight="1">
      <c r="A783" s="91"/>
      <c r="B783" s="358" t="s">
        <v>2974</v>
      </c>
      <c r="C783" s="50" t="s">
        <v>1194</v>
      </c>
      <c r="D783" s="177" t="s">
        <v>1181</v>
      </c>
      <c r="E783" s="384" t="s">
        <v>14</v>
      </c>
      <c r="F783" s="410">
        <v>359944</v>
      </c>
      <c r="G783" s="10">
        <v>235626</v>
      </c>
      <c r="H783" s="167">
        <v>471252</v>
      </c>
      <c r="I783" s="10">
        <v>234000</v>
      </c>
      <c r="J783" s="76">
        <f t="shared" si="942"/>
        <v>234813</v>
      </c>
      <c r="K783" s="24">
        <f t="shared" si="943"/>
        <v>-125131</v>
      </c>
      <c r="L783" s="281">
        <f t="shared" si="944"/>
        <v>-0.3476401884737626</v>
      </c>
      <c r="M783" s="431">
        <f t="shared" si="945"/>
        <v>471252</v>
      </c>
      <c r="N783" s="443"/>
      <c r="O783" s="250"/>
      <c r="P783" s="250"/>
      <c r="Q783" s="250"/>
      <c r="R783" s="250"/>
      <c r="S783" s="250"/>
      <c r="T783" s="250"/>
      <c r="U783" s="250"/>
      <c r="V783" s="443"/>
      <c r="W783" s="410"/>
      <c r="X783" s="44"/>
      <c r="Y783" s="31"/>
      <c r="Z783" s="472"/>
      <c r="AA783" s="76"/>
      <c r="AB783" s="24"/>
      <c r="AC783" s="25"/>
      <c r="AD783" s="309"/>
      <c r="AE783" s="462"/>
      <c r="AF783" s="408"/>
      <c r="AG783" s="293"/>
      <c r="AH783" s="293"/>
      <c r="AI783" s="293"/>
      <c r="AJ783" s="293"/>
      <c r="AK783" s="293"/>
      <c r="AL783" s="327"/>
      <c r="AM783" s="463"/>
      <c r="AN783" s="513"/>
      <c r="AO783" s="88"/>
      <c r="AP783" s="116"/>
      <c r="AQ783" s="74"/>
      <c r="AR783" s="76"/>
      <c r="AS783" s="24"/>
      <c r="AT783" s="25"/>
      <c r="AU783" s="309"/>
      <c r="AV783" s="462"/>
      <c r="AW783" s="513"/>
      <c r="AX783" s="74"/>
      <c r="AY783" s="74"/>
      <c r="AZ783" s="75"/>
      <c r="BA783" s="61"/>
      <c r="BB783" s="60"/>
      <c r="BC783" s="74"/>
      <c r="BD783" s="79"/>
      <c r="BE783" s="79"/>
      <c r="BF783" s="127"/>
      <c r="BG783" s="142"/>
      <c r="BH783" s="142"/>
      <c r="BI783" s="76"/>
      <c r="BJ783" s="24"/>
      <c r="BK783" s="25"/>
      <c r="BL783" s="259"/>
      <c r="BM783" s="533"/>
    </row>
    <row r="784" spans="1:65" ht="35.1" customHeight="1">
      <c r="A784" s="91"/>
      <c r="B784" s="358" t="s">
        <v>2975</v>
      </c>
      <c r="C784" s="50" t="s">
        <v>1195</v>
      </c>
      <c r="D784" s="264" t="s">
        <v>1169</v>
      </c>
      <c r="E784" s="393" t="s">
        <v>999</v>
      </c>
      <c r="F784" s="410"/>
      <c r="G784" s="10"/>
      <c r="H784" s="167"/>
      <c r="I784" s="10"/>
      <c r="J784" s="76"/>
      <c r="K784" s="24"/>
      <c r="L784" s="281"/>
      <c r="M784" s="431"/>
      <c r="N784" s="410">
        <v>673809</v>
      </c>
      <c r="O784" s="10">
        <v>750000</v>
      </c>
      <c r="P784" s="10">
        <v>800000</v>
      </c>
      <c r="Q784" s="268">
        <v>780000</v>
      </c>
      <c r="R784" s="10">
        <v>800000</v>
      </c>
      <c r="S784" s="76">
        <f t="shared" ref="S784:S847" si="954">AVERAGE(O784,P784,Q784,R784)</f>
        <v>782500</v>
      </c>
      <c r="T784" s="24">
        <f t="shared" ref="T784:T847" si="955">S784-N784</f>
        <v>108691</v>
      </c>
      <c r="U784" s="281">
        <f t="shared" ref="U784:U847" si="956">+T784/N784</f>
        <v>0.16130832327855521</v>
      </c>
      <c r="V784" s="462">
        <f t="shared" ref="V784:V847" si="957">S784</f>
        <v>782500</v>
      </c>
      <c r="W784" s="410"/>
      <c r="X784" s="44"/>
      <c r="Y784" s="31"/>
      <c r="Z784" s="472"/>
      <c r="AA784" s="76"/>
      <c r="AB784" s="24"/>
      <c r="AC784" s="25"/>
      <c r="AD784" s="309"/>
      <c r="AE784" s="462"/>
      <c r="AF784" s="408"/>
      <c r="AG784" s="293"/>
      <c r="AH784" s="293"/>
      <c r="AI784" s="293"/>
      <c r="AJ784" s="293"/>
      <c r="AK784" s="293"/>
      <c r="AL784" s="327"/>
      <c r="AM784" s="463"/>
      <c r="AN784" s="513"/>
      <c r="AO784" s="88"/>
      <c r="AP784" s="116"/>
      <c r="AQ784" s="74"/>
      <c r="AR784" s="76"/>
      <c r="AS784" s="24"/>
      <c r="AT784" s="25"/>
      <c r="AU784" s="309"/>
      <c r="AV784" s="462"/>
      <c r="AW784" s="513"/>
      <c r="AX784" s="74"/>
      <c r="AY784" s="74"/>
      <c r="AZ784" s="75"/>
      <c r="BA784" s="61"/>
      <c r="BB784" s="60"/>
      <c r="BC784" s="74"/>
      <c r="BD784" s="79"/>
      <c r="BE784" s="79"/>
      <c r="BF784" s="127"/>
      <c r="BG784" s="142"/>
      <c r="BH784" s="142"/>
      <c r="BI784" s="76"/>
      <c r="BJ784" s="24"/>
      <c r="BK784" s="25"/>
      <c r="BL784" s="259"/>
      <c r="BM784" s="533"/>
    </row>
    <row r="785" spans="1:65" ht="35.1" customHeight="1">
      <c r="A785" s="91"/>
      <c r="B785" s="358" t="s">
        <v>2976</v>
      </c>
      <c r="C785" s="50" t="s">
        <v>1196</v>
      </c>
      <c r="D785" s="264" t="s">
        <v>1835</v>
      </c>
      <c r="E785" s="393" t="s">
        <v>999</v>
      </c>
      <c r="F785" s="410"/>
      <c r="G785" s="10"/>
      <c r="H785" s="167"/>
      <c r="I785" s="10"/>
      <c r="J785" s="76"/>
      <c r="K785" s="24"/>
      <c r="L785" s="281"/>
      <c r="M785" s="431"/>
      <c r="N785" s="410">
        <v>43485</v>
      </c>
      <c r="O785" s="10">
        <v>312000</v>
      </c>
      <c r="P785" s="10">
        <v>320000</v>
      </c>
      <c r="Q785" s="268">
        <v>320000</v>
      </c>
      <c r="R785" s="10">
        <v>350000</v>
      </c>
      <c r="S785" s="76">
        <f t="shared" si="954"/>
        <v>325500</v>
      </c>
      <c r="T785" s="24">
        <f t="shared" si="955"/>
        <v>282015</v>
      </c>
      <c r="U785" s="281">
        <f t="shared" si="956"/>
        <v>6.4853397723352879</v>
      </c>
      <c r="V785" s="462">
        <f t="shared" si="957"/>
        <v>325500</v>
      </c>
      <c r="W785" s="410"/>
      <c r="X785" s="44"/>
      <c r="Y785" s="31"/>
      <c r="Z785" s="472"/>
      <c r="AA785" s="76"/>
      <c r="AB785" s="24"/>
      <c r="AC785" s="25"/>
      <c r="AD785" s="309"/>
      <c r="AE785" s="462"/>
      <c r="AF785" s="408"/>
      <c r="AG785" s="293"/>
      <c r="AH785" s="293"/>
      <c r="AI785" s="293"/>
      <c r="AJ785" s="293"/>
      <c r="AK785" s="293"/>
      <c r="AL785" s="327"/>
      <c r="AM785" s="463"/>
      <c r="AN785" s="513"/>
      <c r="AO785" s="88"/>
      <c r="AP785" s="116"/>
      <c r="AQ785" s="74"/>
      <c r="AR785" s="76"/>
      <c r="AS785" s="24"/>
      <c r="AT785" s="25"/>
      <c r="AU785" s="309"/>
      <c r="AV785" s="462"/>
      <c r="AW785" s="513"/>
      <c r="AX785" s="74"/>
      <c r="AY785" s="74"/>
      <c r="AZ785" s="75"/>
      <c r="BA785" s="61"/>
      <c r="BB785" s="60"/>
      <c r="BC785" s="74"/>
      <c r="BD785" s="79"/>
      <c r="BE785" s="79"/>
      <c r="BF785" s="127"/>
      <c r="BG785" s="142"/>
      <c r="BH785" s="142"/>
      <c r="BI785" s="76"/>
      <c r="BJ785" s="24"/>
      <c r="BK785" s="25"/>
      <c r="BL785" s="259"/>
      <c r="BM785" s="533"/>
    </row>
    <row r="786" spans="1:65" ht="35.1" customHeight="1">
      <c r="A786" s="91"/>
      <c r="B786" s="358" t="s">
        <v>2977</v>
      </c>
      <c r="C786" s="50" t="s">
        <v>1197</v>
      </c>
      <c r="D786" s="264" t="s">
        <v>1170</v>
      </c>
      <c r="E786" s="393" t="s">
        <v>999</v>
      </c>
      <c r="F786" s="410"/>
      <c r="G786" s="10"/>
      <c r="H786" s="167"/>
      <c r="I786" s="10"/>
      <c r="J786" s="76"/>
      <c r="K786" s="24"/>
      <c r="L786" s="281"/>
      <c r="M786" s="431"/>
      <c r="N786" s="410">
        <v>77277</v>
      </c>
      <c r="O786" s="10">
        <v>60000</v>
      </c>
      <c r="P786" s="10">
        <v>71000</v>
      </c>
      <c r="Q786" s="268">
        <v>68000</v>
      </c>
      <c r="R786" s="10">
        <v>65000</v>
      </c>
      <c r="S786" s="76">
        <f t="shared" si="954"/>
        <v>66000</v>
      </c>
      <c r="T786" s="24">
        <f t="shared" si="955"/>
        <v>-11277</v>
      </c>
      <c r="U786" s="281">
        <f t="shared" si="956"/>
        <v>-0.14592957801156878</v>
      </c>
      <c r="V786" s="462">
        <f t="shared" si="957"/>
        <v>66000</v>
      </c>
      <c r="W786" s="410"/>
      <c r="X786" s="44"/>
      <c r="Y786" s="31"/>
      <c r="Z786" s="472"/>
      <c r="AA786" s="76"/>
      <c r="AB786" s="24"/>
      <c r="AC786" s="25"/>
      <c r="AD786" s="309"/>
      <c r="AE786" s="462"/>
      <c r="AF786" s="408"/>
      <c r="AG786" s="293"/>
      <c r="AH786" s="293"/>
      <c r="AI786" s="293"/>
      <c r="AJ786" s="293"/>
      <c r="AK786" s="293"/>
      <c r="AL786" s="327"/>
      <c r="AM786" s="463"/>
      <c r="AN786" s="513"/>
      <c r="AO786" s="88"/>
      <c r="AP786" s="116"/>
      <c r="AQ786" s="74"/>
      <c r="AR786" s="76"/>
      <c r="AS786" s="24"/>
      <c r="AT786" s="25"/>
      <c r="AU786" s="309"/>
      <c r="AV786" s="462"/>
      <c r="AW786" s="513"/>
      <c r="AX786" s="74"/>
      <c r="AY786" s="74"/>
      <c r="AZ786" s="75"/>
      <c r="BA786" s="61"/>
      <c r="BB786" s="60"/>
      <c r="BC786" s="74"/>
      <c r="BD786" s="79"/>
      <c r="BE786" s="79"/>
      <c r="BF786" s="127"/>
      <c r="BG786" s="142"/>
      <c r="BH786" s="142"/>
      <c r="BI786" s="76"/>
      <c r="BJ786" s="24"/>
      <c r="BK786" s="25"/>
      <c r="BL786" s="259"/>
      <c r="BM786" s="533"/>
    </row>
    <row r="787" spans="1:65" ht="108.95" customHeight="1">
      <c r="A787" s="91"/>
      <c r="B787" s="358" t="s">
        <v>2978</v>
      </c>
      <c r="C787" s="50" t="s">
        <v>1198</v>
      </c>
      <c r="D787" s="264" t="s">
        <v>1836</v>
      </c>
      <c r="E787" s="393" t="s">
        <v>827</v>
      </c>
      <c r="F787" s="410"/>
      <c r="G787" s="10"/>
      <c r="H787" s="167"/>
      <c r="I787" s="10"/>
      <c r="J787" s="76"/>
      <c r="K787" s="24"/>
      <c r="L787" s="281"/>
      <c r="M787" s="431"/>
      <c r="N787" s="410">
        <v>498294</v>
      </c>
      <c r="O787" s="10">
        <v>1680000</v>
      </c>
      <c r="P787" s="10">
        <v>1710000</v>
      </c>
      <c r="Q787" s="268">
        <v>1750000</v>
      </c>
      <c r="R787" s="10">
        <v>2000000</v>
      </c>
      <c r="S787" s="76">
        <f t="shared" si="954"/>
        <v>1785000</v>
      </c>
      <c r="T787" s="24">
        <f t="shared" si="955"/>
        <v>1286706</v>
      </c>
      <c r="U787" s="281">
        <f t="shared" si="956"/>
        <v>2.5822225433178003</v>
      </c>
      <c r="V787" s="462">
        <f t="shared" si="957"/>
        <v>1785000</v>
      </c>
      <c r="W787" s="410"/>
      <c r="X787" s="44"/>
      <c r="Y787" s="31"/>
      <c r="Z787" s="472"/>
      <c r="AA787" s="76"/>
      <c r="AB787" s="24"/>
      <c r="AC787" s="25"/>
      <c r="AD787" s="309"/>
      <c r="AE787" s="462"/>
      <c r="AF787" s="408"/>
      <c r="AG787" s="293"/>
      <c r="AH787" s="293"/>
      <c r="AI787" s="293"/>
      <c r="AJ787" s="293"/>
      <c r="AK787" s="293"/>
      <c r="AL787" s="327"/>
      <c r="AM787" s="463"/>
      <c r="AN787" s="513"/>
      <c r="AO787" s="88"/>
      <c r="AP787" s="116"/>
      <c r="AQ787" s="74"/>
      <c r="AR787" s="76"/>
      <c r="AS787" s="24"/>
      <c r="AT787" s="25"/>
      <c r="AU787" s="309"/>
      <c r="AV787" s="462"/>
      <c r="AW787" s="513"/>
      <c r="AX787" s="74"/>
      <c r="AY787" s="74"/>
      <c r="AZ787" s="75"/>
      <c r="BA787" s="61"/>
      <c r="BB787" s="60"/>
      <c r="BC787" s="74"/>
      <c r="BD787" s="79"/>
      <c r="BE787" s="79"/>
      <c r="BF787" s="127"/>
      <c r="BG787" s="142"/>
      <c r="BH787" s="142"/>
      <c r="BI787" s="76"/>
      <c r="BJ787" s="24"/>
      <c r="BK787" s="25"/>
      <c r="BL787" s="259"/>
      <c r="BM787" s="533"/>
    </row>
    <row r="788" spans="1:65" ht="35.1" customHeight="1">
      <c r="A788" s="91"/>
      <c r="B788" s="358" t="s">
        <v>2979</v>
      </c>
      <c r="C788" s="50" t="s">
        <v>1199</v>
      </c>
      <c r="D788" s="264" t="s">
        <v>1837</v>
      </c>
      <c r="E788" s="393" t="s">
        <v>999</v>
      </c>
      <c r="F788" s="410"/>
      <c r="G788" s="10"/>
      <c r="H788" s="167"/>
      <c r="I788" s="10"/>
      <c r="J788" s="76"/>
      <c r="K788" s="24"/>
      <c r="L788" s="281"/>
      <c r="M788" s="431"/>
      <c r="N788" s="410">
        <v>305248</v>
      </c>
      <c r="O788" s="10">
        <v>840000</v>
      </c>
      <c r="P788" s="10">
        <v>870000</v>
      </c>
      <c r="Q788" s="268">
        <v>900000</v>
      </c>
      <c r="R788" s="10">
        <v>800000</v>
      </c>
      <c r="S788" s="76">
        <f t="shared" si="954"/>
        <v>852500</v>
      </c>
      <c r="T788" s="24">
        <f t="shared" si="955"/>
        <v>547252</v>
      </c>
      <c r="U788" s="281">
        <f t="shared" si="956"/>
        <v>1.7928110913093616</v>
      </c>
      <c r="V788" s="462">
        <f t="shared" si="957"/>
        <v>852500</v>
      </c>
      <c r="W788" s="410"/>
      <c r="X788" s="44"/>
      <c r="Y788" s="31"/>
      <c r="Z788" s="472"/>
      <c r="AA788" s="76"/>
      <c r="AB788" s="24"/>
      <c r="AC788" s="25"/>
      <c r="AD788" s="309"/>
      <c r="AE788" s="462"/>
      <c r="AF788" s="408"/>
      <c r="AG788" s="293"/>
      <c r="AH788" s="293"/>
      <c r="AI788" s="293"/>
      <c r="AJ788" s="293"/>
      <c r="AK788" s="293"/>
      <c r="AL788" s="327"/>
      <c r="AM788" s="463"/>
      <c r="AN788" s="513"/>
      <c r="AO788" s="88"/>
      <c r="AP788" s="116"/>
      <c r="AQ788" s="74"/>
      <c r="AR788" s="76"/>
      <c r="AS788" s="24"/>
      <c r="AT788" s="25"/>
      <c r="AU788" s="309"/>
      <c r="AV788" s="462"/>
      <c r="AW788" s="513"/>
      <c r="AX788" s="74"/>
      <c r="AY788" s="74"/>
      <c r="AZ788" s="75"/>
      <c r="BA788" s="61"/>
      <c r="BB788" s="60"/>
      <c r="BC788" s="74"/>
      <c r="BD788" s="79"/>
      <c r="BE788" s="79"/>
      <c r="BF788" s="127"/>
      <c r="BG788" s="142"/>
      <c r="BH788" s="142"/>
      <c r="BI788" s="76"/>
      <c r="BJ788" s="24"/>
      <c r="BK788" s="25"/>
      <c r="BL788" s="259"/>
      <c r="BM788" s="533"/>
    </row>
    <row r="789" spans="1:65" ht="48.95" customHeight="1">
      <c r="A789" s="91"/>
      <c r="B789" s="358" t="s">
        <v>2980</v>
      </c>
      <c r="C789" s="50" t="s">
        <v>1911</v>
      </c>
      <c r="D789" s="264" t="s">
        <v>1838</v>
      </c>
      <c r="E789" s="393" t="s">
        <v>999</v>
      </c>
      <c r="F789" s="410"/>
      <c r="G789" s="10"/>
      <c r="H789" s="167"/>
      <c r="I789" s="10"/>
      <c r="J789" s="76"/>
      <c r="K789" s="24"/>
      <c r="L789" s="281"/>
      <c r="M789" s="431"/>
      <c r="N789" s="410">
        <v>259494</v>
      </c>
      <c r="O789" s="10">
        <v>512000</v>
      </c>
      <c r="P789" s="10">
        <v>540000</v>
      </c>
      <c r="Q789" s="268">
        <v>525000</v>
      </c>
      <c r="R789" s="10">
        <v>500000</v>
      </c>
      <c r="S789" s="76">
        <f t="shared" si="954"/>
        <v>519250</v>
      </c>
      <c r="T789" s="24">
        <f t="shared" si="955"/>
        <v>259756</v>
      </c>
      <c r="U789" s="281">
        <f t="shared" si="956"/>
        <v>1.0010096572560445</v>
      </c>
      <c r="V789" s="462">
        <f t="shared" si="957"/>
        <v>519250</v>
      </c>
      <c r="W789" s="410"/>
      <c r="X789" s="44"/>
      <c r="Y789" s="31"/>
      <c r="Z789" s="472"/>
      <c r="AA789" s="76"/>
      <c r="AB789" s="24"/>
      <c r="AC789" s="25"/>
      <c r="AD789" s="309"/>
      <c r="AE789" s="462"/>
      <c r="AF789" s="408"/>
      <c r="AG789" s="293"/>
      <c r="AH789" s="293"/>
      <c r="AI789" s="293"/>
      <c r="AJ789" s="293"/>
      <c r="AK789" s="293"/>
      <c r="AL789" s="327"/>
      <c r="AM789" s="463"/>
      <c r="AN789" s="513"/>
      <c r="AO789" s="88"/>
      <c r="AP789" s="116"/>
      <c r="AQ789" s="74"/>
      <c r="AR789" s="76"/>
      <c r="AS789" s="24"/>
      <c r="AT789" s="25"/>
      <c r="AU789" s="309"/>
      <c r="AV789" s="462"/>
      <c r="AW789" s="513"/>
      <c r="AX789" s="74"/>
      <c r="AY789" s="74"/>
      <c r="AZ789" s="75"/>
      <c r="BA789" s="61"/>
      <c r="BB789" s="60"/>
      <c r="BC789" s="74"/>
      <c r="BD789" s="79"/>
      <c r="BE789" s="79"/>
      <c r="BF789" s="127"/>
      <c r="BG789" s="142"/>
      <c r="BH789" s="142"/>
      <c r="BI789" s="76"/>
      <c r="BJ789" s="24"/>
      <c r="BK789" s="25"/>
      <c r="BL789" s="259"/>
      <c r="BM789" s="533"/>
    </row>
    <row r="790" spans="1:65" ht="48" customHeight="1">
      <c r="A790" s="91"/>
      <c r="B790" s="358" t="s">
        <v>2981</v>
      </c>
      <c r="C790" s="50" t="s">
        <v>1912</v>
      </c>
      <c r="D790" s="264" t="s">
        <v>1839</v>
      </c>
      <c r="E790" s="393" t="s">
        <v>827</v>
      </c>
      <c r="F790" s="410"/>
      <c r="G790" s="10"/>
      <c r="H790" s="167"/>
      <c r="I790" s="10"/>
      <c r="J790" s="76"/>
      <c r="K790" s="24"/>
      <c r="L790" s="281"/>
      <c r="M790" s="431"/>
      <c r="N790" s="410">
        <v>334199</v>
      </c>
      <c r="O790" s="10">
        <v>800000</v>
      </c>
      <c r="P790" s="10">
        <v>850000</v>
      </c>
      <c r="Q790" s="268">
        <v>845000</v>
      </c>
      <c r="R790" s="10">
        <v>850000</v>
      </c>
      <c r="S790" s="76">
        <f t="shared" si="954"/>
        <v>836250</v>
      </c>
      <c r="T790" s="24">
        <f t="shared" si="955"/>
        <v>502051</v>
      </c>
      <c r="U790" s="281">
        <f t="shared" si="956"/>
        <v>1.5022516524585652</v>
      </c>
      <c r="V790" s="462">
        <f t="shared" si="957"/>
        <v>836250</v>
      </c>
      <c r="W790" s="410"/>
      <c r="X790" s="44"/>
      <c r="Y790" s="31"/>
      <c r="Z790" s="472"/>
      <c r="AA790" s="76"/>
      <c r="AB790" s="24"/>
      <c r="AC790" s="25"/>
      <c r="AD790" s="309"/>
      <c r="AE790" s="462"/>
      <c r="AF790" s="408"/>
      <c r="AG790" s="293"/>
      <c r="AH790" s="293"/>
      <c r="AI790" s="293"/>
      <c r="AJ790" s="293"/>
      <c r="AK790" s="293"/>
      <c r="AL790" s="327"/>
      <c r="AM790" s="463"/>
      <c r="AN790" s="513"/>
      <c r="AO790" s="88"/>
      <c r="AP790" s="116"/>
      <c r="AQ790" s="74"/>
      <c r="AR790" s="76"/>
      <c r="AS790" s="24"/>
      <c r="AT790" s="25"/>
      <c r="AU790" s="309"/>
      <c r="AV790" s="462"/>
      <c r="AW790" s="513"/>
      <c r="AX790" s="74"/>
      <c r="AY790" s="74"/>
      <c r="AZ790" s="75"/>
      <c r="BA790" s="61"/>
      <c r="BB790" s="60"/>
      <c r="BC790" s="74"/>
      <c r="BD790" s="79"/>
      <c r="BE790" s="79"/>
      <c r="BF790" s="127"/>
      <c r="BG790" s="142"/>
      <c r="BH790" s="142"/>
      <c r="BI790" s="76"/>
      <c r="BJ790" s="24"/>
      <c r="BK790" s="25"/>
      <c r="BL790" s="259"/>
      <c r="BM790" s="533"/>
    </row>
    <row r="791" spans="1:65" ht="45" customHeight="1">
      <c r="A791" s="91"/>
      <c r="B791" s="358" t="s">
        <v>2982</v>
      </c>
      <c r="C791" s="50" t="s">
        <v>1913</v>
      </c>
      <c r="D791" s="264" t="s">
        <v>1840</v>
      </c>
      <c r="E791" s="393" t="s">
        <v>827</v>
      </c>
      <c r="F791" s="410"/>
      <c r="G791" s="10"/>
      <c r="H791" s="167"/>
      <c r="I791" s="10"/>
      <c r="J791" s="76"/>
      <c r="K791" s="24"/>
      <c r="L791" s="281"/>
      <c r="M791" s="431"/>
      <c r="N791" s="410">
        <v>158969</v>
      </c>
      <c r="O791" s="10">
        <v>340000</v>
      </c>
      <c r="P791" s="10">
        <v>380000</v>
      </c>
      <c r="Q791" s="268">
        <v>360000</v>
      </c>
      <c r="R791" s="10">
        <v>350000</v>
      </c>
      <c r="S791" s="76">
        <f t="shared" si="954"/>
        <v>357500</v>
      </c>
      <c r="T791" s="24">
        <f t="shared" si="955"/>
        <v>198531</v>
      </c>
      <c r="U791" s="281">
        <f t="shared" si="956"/>
        <v>1.2488661311324849</v>
      </c>
      <c r="V791" s="462">
        <f t="shared" si="957"/>
        <v>357500</v>
      </c>
      <c r="W791" s="410"/>
      <c r="X791" s="44"/>
      <c r="Y791" s="31"/>
      <c r="Z791" s="472"/>
      <c r="AA791" s="76"/>
      <c r="AB791" s="24"/>
      <c r="AC791" s="25"/>
      <c r="AD791" s="309"/>
      <c r="AE791" s="462"/>
      <c r="AF791" s="408"/>
      <c r="AG791" s="293"/>
      <c r="AH791" s="293"/>
      <c r="AI791" s="293"/>
      <c r="AJ791" s="293"/>
      <c r="AK791" s="293"/>
      <c r="AL791" s="327"/>
      <c r="AM791" s="463"/>
      <c r="AN791" s="513"/>
      <c r="AO791" s="88"/>
      <c r="AP791" s="116"/>
      <c r="AQ791" s="74"/>
      <c r="AR791" s="76"/>
      <c r="AS791" s="24"/>
      <c r="AT791" s="25"/>
      <c r="AU791" s="309"/>
      <c r="AV791" s="462"/>
      <c r="AW791" s="513"/>
      <c r="AX791" s="74"/>
      <c r="AY791" s="74"/>
      <c r="AZ791" s="75"/>
      <c r="BA791" s="61"/>
      <c r="BB791" s="60"/>
      <c r="BC791" s="74"/>
      <c r="BD791" s="79"/>
      <c r="BE791" s="79"/>
      <c r="BF791" s="127"/>
      <c r="BG791" s="142"/>
      <c r="BH791" s="142"/>
      <c r="BI791" s="76"/>
      <c r="BJ791" s="24"/>
      <c r="BK791" s="25"/>
      <c r="BL791" s="259"/>
      <c r="BM791" s="533"/>
    </row>
    <row r="792" spans="1:65" ht="35.1" customHeight="1">
      <c r="A792" s="91"/>
      <c r="B792" s="358" t="s">
        <v>2983</v>
      </c>
      <c r="C792" s="50" t="s">
        <v>1914</v>
      </c>
      <c r="D792" s="264" t="s">
        <v>1841</v>
      </c>
      <c r="E792" s="393" t="s">
        <v>1399</v>
      </c>
      <c r="F792" s="410"/>
      <c r="G792" s="10"/>
      <c r="H792" s="167"/>
      <c r="I792" s="10"/>
      <c r="J792" s="76"/>
      <c r="K792" s="24"/>
      <c r="L792" s="281"/>
      <c r="M792" s="431"/>
      <c r="N792" s="410">
        <v>62507</v>
      </c>
      <c r="O792" s="10">
        <v>40000</v>
      </c>
      <c r="P792" s="10">
        <v>49000</v>
      </c>
      <c r="Q792" s="268">
        <v>48000</v>
      </c>
      <c r="R792" s="10">
        <v>60000</v>
      </c>
      <c r="S792" s="76">
        <f t="shared" si="954"/>
        <v>49250</v>
      </c>
      <c r="T792" s="24">
        <f t="shared" si="955"/>
        <v>-13257</v>
      </c>
      <c r="U792" s="281">
        <f t="shared" si="956"/>
        <v>-0.21208824611643495</v>
      </c>
      <c r="V792" s="462">
        <f t="shared" si="957"/>
        <v>49250</v>
      </c>
      <c r="W792" s="410"/>
      <c r="X792" s="44"/>
      <c r="Y792" s="31"/>
      <c r="Z792" s="472"/>
      <c r="AA792" s="76"/>
      <c r="AB792" s="24"/>
      <c r="AC792" s="25"/>
      <c r="AD792" s="309"/>
      <c r="AE792" s="462"/>
      <c r="AF792" s="408"/>
      <c r="AG792" s="293"/>
      <c r="AH792" s="293"/>
      <c r="AI792" s="293"/>
      <c r="AJ792" s="293"/>
      <c r="AK792" s="293"/>
      <c r="AL792" s="327"/>
      <c r="AM792" s="463"/>
      <c r="AN792" s="513"/>
      <c r="AO792" s="88"/>
      <c r="AP792" s="116"/>
      <c r="AQ792" s="74"/>
      <c r="AR792" s="76"/>
      <c r="AS792" s="24"/>
      <c r="AT792" s="25"/>
      <c r="AU792" s="309"/>
      <c r="AV792" s="462"/>
      <c r="AW792" s="513"/>
      <c r="AX792" s="74"/>
      <c r="AY792" s="74"/>
      <c r="AZ792" s="75"/>
      <c r="BA792" s="61"/>
      <c r="BB792" s="60"/>
      <c r="BC792" s="74"/>
      <c r="BD792" s="79"/>
      <c r="BE792" s="79"/>
      <c r="BF792" s="127"/>
      <c r="BG792" s="142"/>
      <c r="BH792" s="142"/>
      <c r="BI792" s="76"/>
      <c r="BJ792" s="24"/>
      <c r="BK792" s="25"/>
      <c r="BL792" s="259"/>
      <c r="BM792" s="533"/>
    </row>
    <row r="793" spans="1:65" ht="35.1" customHeight="1">
      <c r="A793" s="91"/>
      <c r="B793" s="358" t="s">
        <v>2984</v>
      </c>
      <c r="C793" s="50" t="s">
        <v>1915</v>
      </c>
      <c r="D793" s="264" t="s">
        <v>1842</v>
      </c>
      <c r="E793" s="393" t="s">
        <v>827</v>
      </c>
      <c r="F793" s="410"/>
      <c r="G793" s="10"/>
      <c r="H793" s="167"/>
      <c r="I793" s="10"/>
      <c r="J793" s="76"/>
      <c r="K793" s="24"/>
      <c r="L793" s="281"/>
      <c r="M793" s="431"/>
      <c r="N793" s="410">
        <v>8515</v>
      </c>
      <c r="O793" s="10">
        <v>43000</v>
      </c>
      <c r="P793" s="10">
        <v>48000</v>
      </c>
      <c r="Q793" s="268">
        <v>50000</v>
      </c>
      <c r="R793" s="10">
        <v>60000</v>
      </c>
      <c r="S793" s="76">
        <f t="shared" si="954"/>
        <v>50250</v>
      </c>
      <c r="T793" s="24">
        <f t="shared" si="955"/>
        <v>41735</v>
      </c>
      <c r="U793" s="281">
        <f t="shared" si="956"/>
        <v>4.9013505578391072</v>
      </c>
      <c r="V793" s="462">
        <f t="shared" si="957"/>
        <v>50250</v>
      </c>
      <c r="W793" s="410"/>
      <c r="X793" s="44"/>
      <c r="Y793" s="31"/>
      <c r="Z793" s="472"/>
      <c r="AA793" s="76"/>
      <c r="AB793" s="24"/>
      <c r="AC793" s="25"/>
      <c r="AD793" s="309"/>
      <c r="AE793" s="462"/>
      <c r="AF793" s="408"/>
      <c r="AG793" s="293"/>
      <c r="AH793" s="293"/>
      <c r="AI793" s="293"/>
      <c r="AJ793" s="293"/>
      <c r="AK793" s="293"/>
      <c r="AL793" s="327"/>
      <c r="AM793" s="463"/>
      <c r="AN793" s="513"/>
      <c r="AO793" s="88"/>
      <c r="AP793" s="116"/>
      <c r="AQ793" s="74"/>
      <c r="AR793" s="76"/>
      <c r="AS793" s="24"/>
      <c r="AT793" s="25"/>
      <c r="AU793" s="309"/>
      <c r="AV793" s="462"/>
      <c r="AW793" s="513"/>
      <c r="AX793" s="74"/>
      <c r="AY793" s="74"/>
      <c r="AZ793" s="75"/>
      <c r="BA793" s="61"/>
      <c r="BB793" s="60"/>
      <c r="BC793" s="74"/>
      <c r="BD793" s="79"/>
      <c r="BE793" s="79"/>
      <c r="BF793" s="127"/>
      <c r="BG793" s="142"/>
      <c r="BH793" s="142"/>
      <c r="BI793" s="76"/>
      <c r="BJ793" s="24"/>
      <c r="BK793" s="25"/>
      <c r="BL793" s="259"/>
      <c r="BM793" s="533"/>
    </row>
    <row r="794" spans="1:65" ht="35.1" customHeight="1">
      <c r="A794" s="91"/>
      <c r="B794" s="358" t="s">
        <v>2985</v>
      </c>
      <c r="C794" s="50" t="s">
        <v>1916</v>
      </c>
      <c r="D794" s="264" t="s">
        <v>1843</v>
      </c>
      <c r="E794" s="393" t="s">
        <v>999</v>
      </c>
      <c r="F794" s="410"/>
      <c r="G794" s="10"/>
      <c r="H794" s="167"/>
      <c r="I794" s="10"/>
      <c r="J794" s="76"/>
      <c r="K794" s="24"/>
      <c r="L794" s="281"/>
      <c r="M794" s="431"/>
      <c r="N794" s="410">
        <v>70462</v>
      </c>
      <c r="O794" s="10">
        <v>90000</v>
      </c>
      <c r="P794" s="10">
        <v>98000</v>
      </c>
      <c r="Q794" s="268">
        <v>98000</v>
      </c>
      <c r="R794" s="10">
        <v>100000</v>
      </c>
      <c r="S794" s="76">
        <f t="shared" si="954"/>
        <v>96500</v>
      </c>
      <c r="T794" s="24">
        <f t="shared" si="955"/>
        <v>26038</v>
      </c>
      <c r="U794" s="281">
        <f t="shared" si="956"/>
        <v>0.36953251397916609</v>
      </c>
      <c r="V794" s="462">
        <f t="shared" si="957"/>
        <v>96500</v>
      </c>
      <c r="W794" s="410"/>
      <c r="X794" s="44"/>
      <c r="Y794" s="31"/>
      <c r="Z794" s="472"/>
      <c r="AA794" s="76"/>
      <c r="AB794" s="24"/>
      <c r="AC794" s="25"/>
      <c r="AD794" s="309"/>
      <c r="AE794" s="462"/>
      <c r="AF794" s="408"/>
      <c r="AG794" s="293"/>
      <c r="AH794" s="293"/>
      <c r="AI794" s="293"/>
      <c r="AJ794" s="293"/>
      <c r="AK794" s="293"/>
      <c r="AL794" s="327"/>
      <c r="AM794" s="463"/>
      <c r="AN794" s="513"/>
      <c r="AO794" s="88"/>
      <c r="AP794" s="116"/>
      <c r="AQ794" s="74"/>
      <c r="AR794" s="76"/>
      <c r="AS794" s="24"/>
      <c r="AT794" s="25"/>
      <c r="AU794" s="309"/>
      <c r="AV794" s="462"/>
      <c r="AW794" s="513"/>
      <c r="AX794" s="74"/>
      <c r="AY794" s="74"/>
      <c r="AZ794" s="75"/>
      <c r="BA794" s="61"/>
      <c r="BB794" s="60"/>
      <c r="BC794" s="74"/>
      <c r="BD794" s="79"/>
      <c r="BE794" s="79"/>
      <c r="BF794" s="127"/>
      <c r="BG794" s="142"/>
      <c r="BH794" s="142"/>
      <c r="BI794" s="76"/>
      <c r="BJ794" s="24"/>
      <c r="BK794" s="25"/>
      <c r="BL794" s="259"/>
      <c r="BM794" s="533"/>
    </row>
    <row r="795" spans="1:65" ht="35.1" customHeight="1">
      <c r="A795" s="91"/>
      <c r="B795" s="358" t="s">
        <v>2986</v>
      </c>
      <c r="C795" s="50" t="s">
        <v>1917</v>
      </c>
      <c r="D795" s="264" t="s">
        <v>1844</v>
      </c>
      <c r="E795" s="393" t="s">
        <v>1457</v>
      </c>
      <c r="F795" s="410"/>
      <c r="G795" s="10"/>
      <c r="H795" s="167"/>
      <c r="I795" s="10"/>
      <c r="J795" s="76"/>
      <c r="K795" s="24"/>
      <c r="L795" s="281"/>
      <c r="M795" s="431"/>
      <c r="N795" s="410">
        <v>16783</v>
      </c>
      <c r="O795" s="10">
        <v>190000</v>
      </c>
      <c r="P795" s="10">
        <v>2200</v>
      </c>
      <c r="Q795" s="268">
        <v>205000</v>
      </c>
      <c r="R795" s="10">
        <v>190000</v>
      </c>
      <c r="S795" s="76">
        <f t="shared" si="954"/>
        <v>146800</v>
      </c>
      <c r="T795" s="24">
        <f t="shared" si="955"/>
        <v>130017</v>
      </c>
      <c r="U795" s="281">
        <f t="shared" si="956"/>
        <v>7.7469463147232318</v>
      </c>
      <c r="V795" s="462">
        <f t="shared" si="957"/>
        <v>146800</v>
      </c>
      <c r="W795" s="410"/>
      <c r="X795" s="44"/>
      <c r="Y795" s="31"/>
      <c r="Z795" s="472"/>
      <c r="AA795" s="76"/>
      <c r="AB795" s="24"/>
      <c r="AC795" s="25"/>
      <c r="AD795" s="309"/>
      <c r="AE795" s="462"/>
      <c r="AF795" s="408"/>
      <c r="AG795" s="293"/>
      <c r="AH795" s="293"/>
      <c r="AI795" s="293"/>
      <c r="AJ795" s="293"/>
      <c r="AK795" s="293"/>
      <c r="AL795" s="327"/>
      <c r="AM795" s="463"/>
      <c r="AN795" s="513"/>
      <c r="AO795" s="88"/>
      <c r="AP795" s="116"/>
      <c r="AQ795" s="74"/>
      <c r="AR795" s="76"/>
      <c r="AS795" s="24"/>
      <c r="AT795" s="25"/>
      <c r="AU795" s="309"/>
      <c r="AV795" s="462"/>
      <c r="AW795" s="513"/>
      <c r="AX795" s="74"/>
      <c r="AY795" s="74"/>
      <c r="AZ795" s="75"/>
      <c r="BA795" s="61"/>
      <c r="BB795" s="60"/>
      <c r="BC795" s="74"/>
      <c r="BD795" s="79"/>
      <c r="BE795" s="79"/>
      <c r="BF795" s="127"/>
      <c r="BG795" s="142"/>
      <c r="BH795" s="142"/>
      <c r="BI795" s="76"/>
      <c r="BJ795" s="24"/>
      <c r="BK795" s="25"/>
      <c r="BL795" s="259"/>
      <c r="BM795" s="533"/>
    </row>
    <row r="796" spans="1:65" ht="35.1" customHeight="1">
      <c r="A796" s="91"/>
      <c r="B796" s="358" t="s">
        <v>2987</v>
      </c>
      <c r="C796" s="50" t="s">
        <v>1918</v>
      </c>
      <c r="D796" s="264" t="s">
        <v>1845</v>
      </c>
      <c r="E796" s="393" t="s">
        <v>1399</v>
      </c>
      <c r="F796" s="410"/>
      <c r="G796" s="10"/>
      <c r="H796" s="167"/>
      <c r="I796" s="10"/>
      <c r="J796" s="76"/>
      <c r="K796" s="24"/>
      <c r="L796" s="281"/>
      <c r="M796" s="431"/>
      <c r="N796" s="410">
        <v>18349</v>
      </c>
      <c r="O796" s="10">
        <v>160000</v>
      </c>
      <c r="P796" s="10">
        <v>180000</v>
      </c>
      <c r="Q796" s="268">
        <v>175000</v>
      </c>
      <c r="R796" s="10">
        <v>185000</v>
      </c>
      <c r="S796" s="76">
        <f t="shared" si="954"/>
        <v>175000</v>
      </c>
      <c r="T796" s="24">
        <f t="shared" si="955"/>
        <v>156651</v>
      </c>
      <c r="U796" s="281">
        <f t="shared" si="956"/>
        <v>8.5373044852580531</v>
      </c>
      <c r="V796" s="462">
        <f t="shared" si="957"/>
        <v>175000</v>
      </c>
      <c r="W796" s="410"/>
      <c r="X796" s="44"/>
      <c r="Y796" s="31"/>
      <c r="Z796" s="472"/>
      <c r="AA796" s="76"/>
      <c r="AB796" s="24"/>
      <c r="AC796" s="25"/>
      <c r="AD796" s="309"/>
      <c r="AE796" s="462"/>
      <c r="AF796" s="408"/>
      <c r="AG796" s="293"/>
      <c r="AH796" s="293"/>
      <c r="AI796" s="293"/>
      <c r="AJ796" s="293"/>
      <c r="AK796" s="293"/>
      <c r="AL796" s="327"/>
      <c r="AM796" s="463"/>
      <c r="AN796" s="513"/>
      <c r="AO796" s="88"/>
      <c r="AP796" s="116"/>
      <c r="AQ796" s="74"/>
      <c r="AR796" s="76"/>
      <c r="AS796" s="24"/>
      <c r="AT796" s="25"/>
      <c r="AU796" s="309"/>
      <c r="AV796" s="462"/>
      <c r="AW796" s="513"/>
      <c r="AX796" s="74"/>
      <c r="AY796" s="74"/>
      <c r="AZ796" s="75"/>
      <c r="BA796" s="61"/>
      <c r="BB796" s="60"/>
      <c r="BC796" s="74"/>
      <c r="BD796" s="79"/>
      <c r="BE796" s="79"/>
      <c r="BF796" s="127"/>
      <c r="BG796" s="142"/>
      <c r="BH796" s="142"/>
      <c r="BI796" s="76"/>
      <c r="BJ796" s="24"/>
      <c r="BK796" s="25"/>
      <c r="BL796" s="259"/>
      <c r="BM796" s="533"/>
    </row>
    <row r="797" spans="1:65" ht="35.1" customHeight="1">
      <c r="A797" s="91"/>
      <c r="B797" s="358" t="s">
        <v>2988</v>
      </c>
      <c r="C797" s="50" t="s">
        <v>1919</v>
      </c>
      <c r="D797" s="264" t="s">
        <v>1846</v>
      </c>
      <c r="E797" s="393" t="s">
        <v>999</v>
      </c>
      <c r="F797" s="410"/>
      <c r="G797" s="10"/>
      <c r="H797" s="167"/>
      <c r="I797" s="10"/>
      <c r="J797" s="76"/>
      <c r="K797" s="24"/>
      <c r="L797" s="281"/>
      <c r="M797" s="431"/>
      <c r="N797" s="410">
        <v>104274</v>
      </c>
      <c r="O797" s="10">
        <v>250000</v>
      </c>
      <c r="P797" s="10">
        <v>280000</v>
      </c>
      <c r="Q797" s="268">
        <v>265000</v>
      </c>
      <c r="R797" s="10">
        <v>250000</v>
      </c>
      <c r="S797" s="76">
        <f t="shared" si="954"/>
        <v>261250</v>
      </c>
      <c r="T797" s="24">
        <f t="shared" si="955"/>
        <v>156976</v>
      </c>
      <c r="U797" s="281">
        <f t="shared" si="956"/>
        <v>1.5054184168632641</v>
      </c>
      <c r="V797" s="462">
        <f t="shared" si="957"/>
        <v>261250</v>
      </c>
      <c r="W797" s="410"/>
      <c r="X797" s="44"/>
      <c r="Y797" s="31"/>
      <c r="Z797" s="472"/>
      <c r="AA797" s="76"/>
      <c r="AB797" s="24"/>
      <c r="AC797" s="25"/>
      <c r="AD797" s="309"/>
      <c r="AE797" s="462"/>
      <c r="AF797" s="408"/>
      <c r="AG797" s="293"/>
      <c r="AH797" s="293"/>
      <c r="AI797" s="293"/>
      <c r="AJ797" s="293"/>
      <c r="AK797" s="293"/>
      <c r="AL797" s="327"/>
      <c r="AM797" s="463"/>
      <c r="AN797" s="513"/>
      <c r="AO797" s="88"/>
      <c r="AP797" s="116"/>
      <c r="AQ797" s="74"/>
      <c r="AR797" s="76"/>
      <c r="AS797" s="24"/>
      <c r="AT797" s="25"/>
      <c r="AU797" s="309"/>
      <c r="AV797" s="462"/>
      <c r="AW797" s="513"/>
      <c r="AX797" s="74"/>
      <c r="AY797" s="74"/>
      <c r="AZ797" s="75"/>
      <c r="BA797" s="61"/>
      <c r="BB797" s="60"/>
      <c r="BC797" s="74"/>
      <c r="BD797" s="79"/>
      <c r="BE797" s="79"/>
      <c r="BF797" s="127"/>
      <c r="BG797" s="142"/>
      <c r="BH797" s="142"/>
      <c r="BI797" s="76"/>
      <c r="BJ797" s="24"/>
      <c r="BK797" s="25"/>
      <c r="BL797" s="259"/>
      <c r="BM797" s="533"/>
    </row>
    <row r="798" spans="1:65" ht="35.1" customHeight="1">
      <c r="A798" s="91"/>
      <c r="B798" s="358" t="s">
        <v>2989</v>
      </c>
      <c r="C798" s="50" t="s">
        <v>1920</v>
      </c>
      <c r="D798" s="264" t="s">
        <v>1847</v>
      </c>
      <c r="E798" s="393" t="s">
        <v>999</v>
      </c>
      <c r="F798" s="410"/>
      <c r="G798" s="10"/>
      <c r="H798" s="167"/>
      <c r="I798" s="10"/>
      <c r="J798" s="76"/>
      <c r="K798" s="24"/>
      <c r="L798" s="281"/>
      <c r="M798" s="431"/>
      <c r="N798" s="410">
        <v>37021</v>
      </c>
      <c r="O798" s="10">
        <v>340000</v>
      </c>
      <c r="P798" s="10">
        <v>390000</v>
      </c>
      <c r="Q798" s="268">
        <v>370000</v>
      </c>
      <c r="R798" s="10">
        <v>350000</v>
      </c>
      <c r="S798" s="76">
        <f t="shared" si="954"/>
        <v>362500</v>
      </c>
      <c r="T798" s="24">
        <f t="shared" si="955"/>
        <v>325479</v>
      </c>
      <c r="U798" s="281">
        <f t="shared" si="956"/>
        <v>8.7917398233435069</v>
      </c>
      <c r="V798" s="462">
        <f t="shared" si="957"/>
        <v>362500</v>
      </c>
      <c r="W798" s="410"/>
      <c r="X798" s="44"/>
      <c r="Y798" s="31"/>
      <c r="Z798" s="472"/>
      <c r="AA798" s="76"/>
      <c r="AB798" s="24"/>
      <c r="AC798" s="25"/>
      <c r="AD798" s="309"/>
      <c r="AE798" s="462"/>
      <c r="AF798" s="408"/>
      <c r="AG798" s="293"/>
      <c r="AH798" s="293"/>
      <c r="AI798" s="293"/>
      <c r="AJ798" s="293"/>
      <c r="AK798" s="293"/>
      <c r="AL798" s="327"/>
      <c r="AM798" s="463"/>
      <c r="AN798" s="513"/>
      <c r="AO798" s="88"/>
      <c r="AP798" s="116"/>
      <c r="AQ798" s="74"/>
      <c r="AR798" s="76"/>
      <c r="AS798" s="24"/>
      <c r="AT798" s="25"/>
      <c r="AU798" s="309"/>
      <c r="AV798" s="462"/>
      <c r="AW798" s="513"/>
      <c r="AX798" s="74"/>
      <c r="AY798" s="74"/>
      <c r="AZ798" s="75"/>
      <c r="BA798" s="61"/>
      <c r="BB798" s="60"/>
      <c r="BC798" s="74"/>
      <c r="BD798" s="79"/>
      <c r="BE798" s="79"/>
      <c r="BF798" s="127"/>
      <c r="BG798" s="142"/>
      <c r="BH798" s="142"/>
      <c r="BI798" s="76"/>
      <c r="BJ798" s="24"/>
      <c r="BK798" s="25"/>
      <c r="BL798" s="259"/>
      <c r="BM798" s="533"/>
    </row>
    <row r="799" spans="1:65" ht="35.1" customHeight="1">
      <c r="A799" s="91"/>
      <c r="B799" s="358" t="s">
        <v>2990</v>
      </c>
      <c r="C799" s="50" t="s">
        <v>1921</v>
      </c>
      <c r="D799" s="264" t="s">
        <v>1848</v>
      </c>
      <c r="E799" s="393" t="s">
        <v>999</v>
      </c>
      <c r="F799" s="410"/>
      <c r="G799" s="10"/>
      <c r="H799" s="167"/>
      <c r="I799" s="10"/>
      <c r="J799" s="76"/>
      <c r="K799" s="24"/>
      <c r="L799" s="281"/>
      <c r="M799" s="431"/>
      <c r="N799" s="410">
        <v>56821</v>
      </c>
      <c r="O799" s="10">
        <v>90000</v>
      </c>
      <c r="P799" s="10">
        <v>120000</v>
      </c>
      <c r="Q799" s="268">
        <v>110000</v>
      </c>
      <c r="R799" s="10">
        <v>120000</v>
      </c>
      <c r="S799" s="76">
        <f t="shared" si="954"/>
        <v>110000</v>
      </c>
      <c r="T799" s="24">
        <f t="shared" si="955"/>
        <v>53179</v>
      </c>
      <c r="U799" s="281">
        <f t="shared" si="956"/>
        <v>0.93590397916263357</v>
      </c>
      <c r="V799" s="462">
        <f t="shared" si="957"/>
        <v>110000</v>
      </c>
      <c r="W799" s="410"/>
      <c r="X799" s="44"/>
      <c r="Y799" s="31"/>
      <c r="Z799" s="472"/>
      <c r="AA799" s="76"/>
      <c r="AB799" s="24"/>
      <c r="AC799" s="25"/>
      <c r="AD799" s="309"/>
      <c r="AE799" s="462"/>
      <c r="AF799" s="408"/>
      <c r="AG799" s="293"/>
      <c r="AH799" s="293"/>
      <c r="AI799" s="293"/>
      <c r="AJ799" s="293"/>
      <c r="AK799" s="293"/>
      <c r="AL799" s="327"/>
      <c r="AM799" s="463"/>
      <c r="AN799" s="513"/>
      <c r="AO799" s="88"/>
      <c r="AP799" s="116"/>
      <c r="AQ799" s="74"/>
      <c r="AR799" s="76"/>
      <c r="AS799" s="24"/>
      <c r="AT799" s="25"/>
      <c r="AU799" s="309"/>
      <c r="AV799" s="462"/>
      <c r="AW799" s="513"/>
      <c r="AX799" s="74"/>
      <c r="AY799" s="74"/>
      <c r="AZ799" s="75"/>
      <c r="BA799" s="61"/>
      <c r="BB799" s="60"/>
      <c r="BC799" s="74"/>
      <c r="BD799" s="79"/>
      <c r="BE799" s="79"/>
      <c r="BF799" s="127"/>
      <c r="BG799" s="142"/>
      <c r="BH799" s="142"/>
      <c r="BI799" s="76"/>
      <c r="BJ799" s="24"/>
      <c r="BK799" s="25"/>
      <c r="BL799" s="259"/>
      <c r="BM799" s="533"/>
    </row>
    <row r="800" spans="1:65" ht="35.1" customHeight="1">
      <c r="A800" s="91"/>
      <c r="B800" s="358" t="s">
        <v>2991</v>
      </c>
      <c r="C800" s="50" t="s">
        <v>1922</v>
      </c>
      <c r="D800" s="264" t="s">
        <v>1849</v>
      </c>
      <c r="E800" s="393" t="s">
        <v>999</v>
      </c>
      <c r="F800" s="410"/>
      <c r="G800" s="10"/>
      <c r="H800" s="167"/>
      <c r="I800" s="10"/>
      <c r="J800" s="76"/>
      <c r="K800" s="24"/>
      <c r="L800" s="281"/>
      <c r="M800" s="431"/>
      <c r="N800" s="410">
        <v>56821</v>
      </c>
      <c r="O800" s="10">
        <v>90000</v>
      </c>
      <c r="P800" s="10">
        <v>120000</v>
      </c>
      <c r="Q800" s="268">
        <v>110000</v>
      </c>
      <c r="R800" s="10">
        <v>120000</v>
      </c>
      <c r="S800" s="76">
        <f t="shared" si="954"/>
        <v>110000</v>
      </c>
      <c r="T800" s="24">
        <f t="shared" si="955"/>
        <v>53179</v>
      </c>
      <c r="U800" s="281">
        <f t="shared" si="956"/>
        <v>0.93590397916263357</v>
      </c>
      <c r="V800" s="462">
        <f t="shared" si="957"/>
        <v>110000</v>
      </c>
      <c r="W800" s="410"/>
      <c r="X800" s="44"/>
      <c r="Y800" s="31"/>
      <c r="Z800" s="472"/>
      <c r="AA800" s="76"/>
      <c r="AB800" s="24"/>
      <c r="AC800" s="25"/>
      <c r="AD800" s="309"/>
      <c r="AE800" s="462"/>
      <c r="AF800" s="408"/>
      <c r="AG800" s="293"/>
      <c r="AH800" s="293"/>
      <c r="AI800" s="293"/>
      <c r="AJ800" s="293"/>
      <c r="AK800" s="293"/>
      <c r="AL800" s="327"/>
      <c r="AM800" s="463"/>
      <c r="AN800" s="513"/>
      <c r="AO800" s="88"/>
      <c r="AP800" s="116"/>
      <c r="AQ800" s="74"/>
      <c r="AR800" s="76"/>
      <c r="AS800" s="24"/>
      <c r="AT800" s="25"/>
      <c r="AU800" s="309"/>
      <c r="AV800" s="462"/>
      <c r="AW800" s="513"/>
      <c r="AX800" s="74"/>
      <c r="AY800" s="74"/>
      <c r="AZ800" s="75"/>
      <c r="BA800" s="61"/>
      <c r="BB800" s="60"/>
      <c r="BC800" s="74"/>
      <c r="BD800" s="79"/>
      <c r="BE800" s="79"/>
      <c r="BF800" s="127"/>
      <c r="BG800" s="142"/>
      <c r="BH800" s="142"/>
      <c r="BI800" s="76"/>
      <c r="BJ800" s="24"/>
      <c r="BK800" s="25"/>
      <c r="BL800" s="259"/>
      <c r="BM800" s="533"/>
    </row>
    <row r="801" spans="1:65" ht="35.1" customHeight="1">
      <c r="A801" s="91"/>
      <c r="B801" s="358" t="s">
        <v>2992</v>
      </c>
      <c r="C801" s="50" t="s">
        <v>1923</v>
      </c>
      <c r="D801" s="264" t="s">
        <v>1850</v>
      </c>
      <c r="E801" s="393" t="s">
        <v>999</v>
      </c>
      <c r="F801" s="410"/>
      <c r="G801" s="10"/>
      <c r="H801" s="167"/>
      <c r="I801" s="10"/>
      <c r="J801" s="76"/>
      <c r="K801" s="24"/>
      <c r="L801" s="281"/>
      <c r="M801" s="431"/>
      <c r="N801" s="410">
        <v>3119091</v>
      </c>
      <c r="O801" s="10">
        <v>6250000</v>
      </c>
      <c r="P801" s="10">
        <v>52000</v>
      </c>
      <c r="Q801" s="268">
        <v>6500</v>
      </c>
      <c r="R801" s="10">
        <v>6250000</v>
      </c>
      <c r="S801" s="76">
        <f t="shared" si="954"/>
        <v>3139625</v>
      </c>
      <c r="T801" s="24">
        <f t="shared" si="955"/>
        <v>20534</v>
      </c>
      <c r="U801" s="281">
        <f t="shared" si="956"/>
        <v>6.5833282837852438E-3</v>
      </c>
      <c r="V801" s="462">
        <f t="shared" si="957"/>
        <v>3139625</v>
      </c>
      <c r="W801" s="410"/>
      <c r="X801" s="44"/>
      <c r="Y801" s="31"/>
      <c r="Z801" s="472"/>
      <c r="AA801" s="76"/>
      <c r="AB801" s="24"/>
      <c r="AC801" s="25"/>
      <c r="AD801" s="309"/>
      <c r="AE801" s="462"/>
      <c r="AF801" s="408"/>
      <c r="AG801" s="293"/>
      <c r="AH801" s="293"/>
      <c r="AI801" s="293"/>
      <c r="AJ801" s="293"/>
      <c r="AK801" s="293"/>
      <c r="AL801" s="327"/>
      <c r="AM801" s="463"/>
      <c r="AN801" s="513"/>
      <c r="AO801" s="88"/>
      <c r="AP801" s="116"/>
      <c r="AQ801" s="74"/>
      <c r="AR801" s="76"/>
      <c r="AS801" s="24"/>
      <c r="AT801" s="25"/>
      <c r="AU801" s="309"/>
      <c r="AV801" s="462"/>
      <c r="AW801" s="513"/>
      <c r="AX801" s="74"/>
      <c r="AY801" s="74"/>
      <c r="AZ801" s="75"/>
      <c r="BA801" s="61"/>
      <c r="BB801" s="60"/>
      <c r="BC801" s="74"/>
      <c r="BD801" s="79"/>
      <c r="BE801" s="79"/>
      <c r="BF801" s="127"/>
      <c r="BG801" s="142"/>
      <c r="BH801" s="142"/>
      <c r="BI801" s="76"/>
      <c r="BJ801" s="24"/>
      <c r="BK801" s="25"/>
      <c r="BL801" s="259"/>
      <c r="BM801" s="533"/>
    </row>
    <row r="802" spans="1:65" ht="35.1" customHeight="1">
      <c r="A802" s="91"/>
      <c r="B802" s="358" t="s">
        <v>2993</v>
      </c>
      <c r="C802" s="50" t="s">
        <v>1924</v>
      </c>
      <c r="D802" s="264" t="s">
        <v>1851</v>
      </c>
      <c r="E802" s="393" t="s">
        <v>999</v>
      </c>
      <c r="F802" s="410"/>
      <c r="G802" s="10"/>
      <c r="H802" s="167"/>
      <c r="I802" s="10"/>
      <c r="J802" s="76"/>
      <c r="K802" s="24"/>
      <c r="L802" s="281"/>
      <c r="M802" s="431"/>
      <c r="N802" s="410">
        <v>29569</v>
      </c>
      <c r="O802" s="10">
        <v>40000</v>
      </c>
      <c r="P802" s="10">
        <v>52000</v>
      </c>
      <c r="Q802" s="268">
        <v>48000</v>
      </c>
      <c r="R802" s="10">
        <v>45000</v>
      </c>
      <c r="S802" s="76">
        <f t="shared" si="954"/>
        <v>46250</v>
      </c>
      <c r="T802" s="24">
        <f t="shared" si="955"/>
        <v>16681</v>
      </c>
      <c r="U802" s="281">
        <f t="shared" si="956"/>
        <v>0.56413811762318644</v>
      </c>
      <c r="V802" s="462">
        <f t="shared" si="957"/>
        <v>46250</v>
      </c>
      <c r="W802" s="410"/>
      <c r="X802" s="44"/>
      <c r="Y802" s="31"/>
      <c r="Z802" s="472"/>
      <c r="AA802" s="76"/>
      <c r="AB802" s="24"/>
      <c r="AC802" s="25"/>
      <c r="AD802" s="309"/>
      <c r="AE802" s="462"/>
      <c r="AF802" s="408"/>
      <c r="AG802" s="293"/>
      <c r="AH802" s="293"/>
      <c r="AI802" s="293"/>
      <c r="AJ802" s="293"/>
      <c r="AK802" s="293"/>
      <c r="AL802" s="327"/>
      <c r="AM802" s="463"/>
      <c r="AN802" s="513"/>
      <c r="AO802" s="88"/>
      <c r="AP802" s="116"/>
      <c r="AQ802" s="74"/>
      <c r="AR802" s="76"/>
      <c r="AS802" s="24"/>
      <c r="AT802" s="25"/>
      <c r="AU802" s="309"/>
      <c r="AV802" s="462"/>
      <c r="AW802" s="513"/>
      <c r="AX802" s="74"/>
      <c r="AY802" s="74"/>
      <c r="AZ802" s="75"/>
      <c r="BA802" s="61"/>
      <c r="BB802" s="60"/>
      <c r="BC802" s="74"/>
      <c r="BD802" s="79"/>
      <c r="BE802" s="79"/>
      <c r="BF802" s="127"/>
      <c r="BG802" s="142"/>
      <c r="BH802" s="142"/>
      <c r="BI802" s="76"/>
      <c r="BJ802" s="24"/>
      <c r="BK802" s="25"/>
      <c r="BL802" s="259"/>
      <c r="BM802" s="533"/>
    </row>
    <row r="803" spans="1:65" ht="35.1" customHeight="1">
      <c r="A803" s="91"/>
      <c r="B803" s="358" t="s">
        <v>2994</v>
      </c>
      <c r="C803" s="50" t="s">
        <v>1925</v>
      </c>
      <c r="D803" s="264" t="s">
        <v>1852</v>
      </c>
      <c r="E803" s="393" t="s">
        <v>999</v>
      </c>
      <c r="F803" s="410"/>
      <c r="G803" s="10"/>
      <c r="H803" s="167"/>
      <c r="I803" s="10"/>
      <c r="J803" s="76"/>
      <c r="K803" s="24"/>
      <c r="L803" s="281"/>
      <c r="M803" s="431"/>
      <c r="N803" s="410">
        <v>5192</v>
      </c>
      <c r="O803" s="10">
        <v>19000</v>
      </c>
      <c r="P803" s="10">
        <v>28000</v>
      </c>
      <c r="Q803" s="268">
        <v>25000</v>
      </c>
      <c r="R803" s="10">
        <v>20000</v>
      </c>
      <c r="S803" s="76">
        <f t="shared" si="954"/>
        <v>23000</v>
      </c>
      <c r="T803" s="24">
        <f t="shared" si="955"/>
        <v>17808</v>
      </c>
      <c r="U803" s="281">
        <f t="shared" si="956"/>
        <v>3.4298921417565484</v>
      </c>
      <c r="V803" s="462">
        <f t="shared" si="957"/>
        <v>23000</v>
      </c>
      <c r="W803" s="410"/>
      <c r="X803" s="44"/>
      <c r="Y803" s="31"/>
      <c r="Z803" s="472"/>
      <c r="AA803" s="76"/>
      <c r="AB803" s="24"/>
      <c r="AC803" s="25"/>
      <c r="AD803" s="309"/>
      <c r="AE803" s="462"/>
      <c r="AF803" s="408"/>
      <c r="AG803" s="293"/>
      <c r="AH803" s="293"/>
      <c r="AI803" s="293"/>
      <c r="AJ803" s="293"/>
      <c r="AK803" s="293"/>
      <c r="AL803" s="327"/>
      <c r="AM803" s="463"/>
      <c r="AN803" s="513"/>
      <c r="AO803" s="88"/>
      <c r="AP803" s="116"/>
      <c r="AQ803" s="74"/>
      <c r="AR803" s="76"/>
      <c r="AS803" s="24"/>
      <c r="AT803" s="25"/>
      <c r="AU803" s="309"/>
      <c r="AV803" s="462"/>
      <c r="AW803" s="513"/>
      <c r="AX803" s="74"/>
      <c r="AY803" s="74"/>
      <c r="AZ803" s="75"/>
      <c r="BA803" s="61"/>
      <c r="BB803" s="60"/>
      <c r="BC803" s="74"/>
      <c r="BD803" s="79"/>
      <c r="BE803" s="79"/>
      <c r="BF803" s="127"/>
      <c r="BG803" s="142"/>
      <c r="BH803" s="142"/>
      <c r="BI803" s="76"/>
      <c r="BJ803" s="24"/>
      <c r="BK803" s="25"/>
      <c r="BL803" s="259"/>
      <c r="BM803" s="533"/>
    </row>
    <row r="804" spans="1:65" ht="35.1" customHeight="1">
      <c r="A804" s="91"/>
      <c r="B804" s="358" t="s">
        <v>2995</v>
      </c>
      <c r="C804" s="50" t="s">
        <v>1926</v>
      </c>
      <c r="D804" s="264" t="s">
        <v>1853</v>
      </c>
      <c r="E804" s="393" t="s">
        <v>1399</v>
      </c>
      <c r="F804" s="410"/>
      <c r="G804" s="10"/>
      <c r="H804" s="167"/>
      <c r="I804" s="10"/>
      <c r="J804" s="76"/>
      <c r="K804" s="24"/>
      <c r="L804" s="281"/>
      <c r="M804" s="431"/>
      <c r="N804" s="410">
        <v>77762</v>
      </c>
      <c r="O804" s="10">
        <v>93000</v>
      </c>
      <c r="P804" s="10">
        <v>110000</v>
      </c>
      <c r="Q804" s="268">
        <v>100000</v>
      </c>
      <c r="R804" s="10">
        <v>100000</v>
      </c>
      <c r="S804" s="76">
        <f t="shared" si="954"/>
        <v>100750</v>
      </c>
      <c r="T804" s="24">
        <f t="shared" si="955"/>
        <v>22988</v>
      </c>
      <c r="U804" s="281">
        <f t="shared" si="956"/>
        <v>0.29561996862220624</v>
      </c>
      <c r="V804" s="462">
        <f t="shared" si="957"/>
        <v>100750</v>
      </c>
      <c r="W804" s="410"/>
      <c r="X804" s="44"/>
      <c r="Y804" s="31"/>
      <c r="Z804" s="472"/>
      <c r="AA804" s="76"/>
      <c r="AB804" s="24"/>
      <c r="AC804" s="25"/>
      <c r="AD804" s="309"/>
      <c r="AE804" s="462"/>
      <c r="AF804" s="408"/>
      <c r="AG804" s="293"/>
      <c r="AH804" s="293"/>
      <c r="AI804" s="293"/>
      <c r="AJ804" s="293"/>
      <c r="AK804" s="293"/>
      <c r="AL804" s="327"/>
      <c r="AM804" s="463"/>
      <c r="AN804" s="513"/>
      <c r="AO804" s="88"/>
      <c r="AP804" s="116"/>
      <c r="AQ804" s="74"/>
      <c r="AR804" s="76"/>
      <c r="AS804" s="24"/>
      <c r="AT804" s="25"/>
      <c r="AU804" s="309"/>
      <c r="AV804" s="462"/>
      <c r="AW804" s="513"/>
      <c r="AX804" s="74"/>
      <c r="AY804" s="74"/>
      <c r="AZ804" s="75"/>
      <c r="BA804" s="61"/>
      <c r="BB804" s="60"/>
      <c r="BC804" s="74"/>
      <c r="BD804" s="79"/>
      <c r="BE804" s="79"/>
      <c r="BF804" s="127"/>
      <c r="BG804" s="142"/>
      <c r="BH804" s="142"/>
      <c r="BI804" s="76"/>
      <c r="BJ804" s="24"/>
      <c r="BK804" s="25"/>
      <c r="BL804" s="259"/>
      <c r="BM804" s="533"/>
    </row>
    <row r="805" spans="1:65" ht="35.1" customHeight="1">
      <c r="A805" s="91"/>
      <c r="B805" s="358" t="s">
        <v>2996</v>
      </c>
      <c r="C805" s="50" t="s">
        <v>1927</v>
      </c>
      <c r="D805" s="264" t="s">
        <v>1854</v>
      </c>
      <c r="E805" s="393" t="s">
        <v>999</v>
      </c>
      <c r="F805" s="410"/>
      <c r="G805" s="10"/>
      <c r="H805" s="167"/>
      <c r="I805" s="10"/>
      <c r="J805" s="76"/>
      <c r="K805" s="24"/>
      <c r="L805" s="281"/>
      <c r="M805" s="431"/>
      <c r="N805" s="410">
        <v>85479</v>
      </c>
      <c r="O805" s="10">
        <v>90000</v>
      </c>
      <c r="P805" s="10">
        <v>110000</v>
      </c>
      <c r="Q805" s="268">
        <v>100000</v>
      </c>
      <c r="R805" s="10">
        <v>120000</v>
      </c>
      <c r="S805" s="76">
        <f t="shared" si="954"/>
        <v>105000</v>
      </c>
      <c r="T805" s="24">
        <f t="shared" si="955"/>
        <v>19521</v>
      </c>
      <c r="U805" s="281">
        <f t="shared" si="956"/>
        <v>0.22837188081283122</v>
      </c>
      <c r="V805" s="462">
        <f t="shared" si="957"/>
        <v>105000</v>
      </c>
      <c r="W805" s="410"/>
      <c r="X805" s="44"/>
      <c r="Y805" s="31"/>
      <c r="Z805" s="472"/>
      <c r="AA805" s="76"/>
      <c r="AB805" s="24"/>
      <c r="AC805" s="25"/>
      <c r="AD805" s="309"/>
      <c r="AE805" s="462"/>
      <c r="AF805" s="408"/>
      <c r="AG805" s="293"/>
      <c r="AH805" s="293"/>
      <c r="AI805" s="293"/>
      <c r="AJ805" s="293"/>
      <c r="AK805" s="293"/>
      <c r="AL805" s="327"/>
      <c r="AM805" s="463"/>
      <c r="AN805" s="513"/>
      <c r="AO805" s="88"/>
      <c r="AP805" s="116"/>
      <c r="AQ805" s="74"/>
      <c r="AR805" s="76"/>
      <c r="AS805" s="24"/>
      <c r="AT805" s="25"/>
      <c r="AU805" s="309"/>
      <c r="AV805" s="462"/>
      <c r="AW805" s="513"/>
      <c r="AX805" s="74"/>
      <c r="AY805" s="74"/>
      <c r="AZ805" s="75"/>
      <c r="BA805" s="61"/>
      <c r="BB805" s="60"/>
      <c r="BC805" s="74"/>
      <c r="BD805" s="79"/>
      <c r="BE805" s="79"/>
      <c r="BF805" s="127"/>
      <c r="BG805" s="142"/>
      <c r="BH805" s="142"/>
      <c r="BI805" s="76"/>
      <c r="BJ805" s="24"/>
      <c r="BK805" s="25"/>
      <c r="BL805" s="259"/>
      <c r="BM805" s="533"/>
    </row>
    <row r="806" spans="1:65" ht="35.1" customHeight="1">
      <c r="A806" s="91"/>
      <c r="B806" s="358" t="s">
        <v>2997</v>
      </c>
      <c r="C806" s="50" t="s">
        <v>1928</v>
      </c>
      <c r="D806" s="264" t="s">
        <v>1855</v>
      </c>
      <c r="E806" s="393" t="s">
        <v>999</v>
      </c>
      <c r="F806" s="410"/>
      <c r="G806" s="10"/>
      <c r="H806" s="167"/>
      <c r="I806" s="10"/>
      <c r="J806" s="76"/>
      <c r="K806" s="24"/>
      <c r="L806" s="281"/>
      <c r="M806" s="431"/>
      <c r="N806" s="410">
        <v>85479</v>
      </c>
      <c r="O806" s="10">
        <v>90000</v>
      </c>
      <c r="P806" s="10">
        <v>110000</v>
      </c>
      <c r="Q806" s="268">
        <v>100000</v>
      </c>
      <c r="R806" s="10">
        <v>120000</v>
      </c>
      <c r="S806" s="76">
        <f t="shared" si="954"/>
        <v>105000</v>
      </c>
      <c r="T806" s="24">
        <f t="shared" si="955"/>
        <v>19521</v>
      </c>
      <c r="U806" s="281">
        <f t="shared" si="956"/>
        <v>0.22837188081283122</v>
      </c>
      <c r="V806" s="462">
        <f t="shared" si="957"/>
        <v>105000</v>
      </c>
      <c r="W806" s="410"/>
      <c r="X806" s="44"/>
      <c r="Y806" s="31"/>
      <c r="Z806" s="472"/>
      <c r="AA806" s="76"/>
      <c r="AB806" s="24"/>
      <c r="AC806" s="25"/>
      <c r="AD806" s="309"/>
      <c r="AE806" s="462"/>
      <c r="AF806" s="408"/>
      <c r="AG806" s="293"/>
      <c r="AH806" s="293"/>
      <c r="AI806" s="293"/>
      <c r="AJ806" s="293"/>
      <c r="AK806" s="293"/>
      <c r="AL806" s="327"/>
      <c r="AM806" s="463"/>
      <c r="AN806" s="513"/>
      <c r="AO806" s="88"/>
      <c r="AP806" s="116"/>
      <c r="AQ806" s="74"/>
      <c r="AR806" s="76"/>
      <c r="AS806" s="24"/>
      <c r="AT806" s="25"/>
      <c r="AU806" s="309"/>
      <c r="AV806" s="462"/>
      <c r="AW806" s="513"/>
      <c r="AX806" s="74"/>
      <c r="AY806" s="74"/>
      <c r="AZ806" s="75"/>
      <c r="BA806" s="61"/>
      <c r="BB806" s="60"/>
      <c r="BC806" s="74"/>
      <c r="BD806" s="79"/>
      <c r="BE806" s="79"/>
      <c r="BF806" s="127"/>
      <c r="BG806" s="142"/>
      <c r="BH806" s="142"/>
      <c r="BI806" s="76"/>
      <c r="BJ806" s="24"/>
      <c r="BK806" s="25"/>
      <c r="BL806" s="259"/>
      <c r="BM806" s="533"/>
    </row>
    <row r="807" spans="1:65" ht="35.1" customHeight="1">
      <c r="A807" s="91"/>
      <c r="B807" s="358" t="s">
        <v>2998</v>
      </c>
      <c r="C807" s="50" t="s">
        <v>1929</v>
      </c>
      <c r="D807" s="264" t="s">
        <v>1856</v>
      </c>
      <c r="E807" s="393" t="s">
        <v>999</v>
      </c>
      <c r="F807" s="410"/>
      <c r="G807" s="10"/>
      <c r="H807" s="167"/>
      <c r="I807" s="10"/>
      <c r="J807" s="76"/>
      <c r="K807" s="24"/>
      <c r="L807" s="281"/>
      <c r="M807" s="431"/>
      <c r="N807" s="410">
        <v>12226</v>
      </c>
      <c r="O807" s="10">
        <v>43000</v>
      </c>
      <c r="P807" s="10">
        <v>51000</v>
      </c>
      <c r="Q807" s="268">
        <v>48000</v>
      </c>
      <c r="R807" s="10">
        <v>55000</v>
      </c>
      <c r="S807" s="76">
        <f t="shared" si="954"/>
        <v>49250</v>
      </c>
      <c r="T807" s="24">
        <f t="shared" si="955"/>
        <v>37024</v>
      </c>
      <c r="U807" s="281">
        <f t="shared" si="956"/>
        <v>3.0283003435301814</v>
      </c>
      <c r="V807" s="462">
        <f t="shared" si="957"/>
        <v>49250</v>
      </c>
      <c r="W807" s="410"/>
      <c r="X807" s="44"/>
      <c r="Y807" s="31"/>
      <c r="Z807" s="472"/>
      <c r="AA807" s="76"/>
      <c r="AB807" s="24"/>
      <c r="AC807" s="25"/>
      <c r="AD807" s="309"/>
      <c r="AE807" s="462"/>
      <c r="AF807" s="408"/>
      <c r="AG807" s="293"/>
      <c r="AH807" s="293"/>
      <c r="AI807" s="293"/>
      <c r="AJ807" s="293"/>
      <c r="AK807" s="293"/>
      <c r="AL807" s="327"/>
      <c r="AM807" s="463"/>
      <c r="AN807" s="513"/>
      <c r="AO807" s="88"/>
      <c r="AP807" s="116"/>
      <c r="AQ807" s="74"/>
      <c r="AR807" s="76"/>
      <c r="AS807" s="24"/>
      <c r="AT807" s="25"/>
      <c r="AU807" s="309"/>
      <c r="AV807" s="462"/>
      <c r="AW807" s="513"/>
      <c r="AX807" s="74"/>
      <c r="AY807" s="74"/>
      <c r="AZ807" s="75"/>
      <c r="BA807" s="61"/>
      <c r="BB807" s="60"/>
      <c r="BC807" s="74"/>
      <c r="BD807" s="79"/>
      <c r="BE807" s="79"/>
      <c r="BF807" s="127"/>
      <c r="BG807" s="142"/>
      <c r="BH807" s="142"/>
      <c r="BI807" s="76"/>
      <c r="BJ807" s="24"/>
      <c r="BK807" s="25"/>
      <c r="BL807" s="259"/>
      <c r="BM807" s="533"/>
    </row>
    <row r="808" spans="1:65" ht="35.1" customHeight="1">
      <c r="A808" s="91"/>
      <c r="B808" s="358" t="s">
        <v>2999</v>
      </c>
      <c r="C808" s="50" t="s">
        <v>1930</v>
      </c>
      <c r="D808" s="264" t="s">
        <v>1857</v>
      </c>
      <c r="E808" s="393" t="s">
        <v>999</v>
      </c>
      <c r="F808" s="410"/>
      <c r="G808" s="10"/>
      <c r="H808" s="167"/>
      <c r="I808" s="10"/>
      <c r="J808" s="76"/>
      <c r="K808" s="24"/>
      <c r="L808" s="281"/>
      <c r="M808" s="431"/>
      <c r="N808" s="410">
        <v>62441</v>
      </c>
      <c r="O808" s="10">
        <v>90000</v>
      </c>
      <c r="P808" s="10">
        <v>105000</v>
      </c>
      <c r="Q808" s="268">
        <v>100000</v>
      </c>
      <c r="R808" s="10">
        <v>90000</v>
      </c>
      <c r="S808" s="76">
        <f t="shared" si="954"/>
        <v>96250</v>
      </c>
      <c r="T808" s="24">
        <f t="shared" si="955"/>
        <v>33809</v>
      </c>
      <c r="U808" s="281">
        <f t="shared" si="956"/>
        <v>0.54145513364616193</v>
      </c>
      <c r="V808" s="462">
        <f t="shared" si="957"/>
        <v>96250</v>
      </c>
      <c r="W808" s="410"/>
      <c r="X808" s="44"/>
      <c r="Y808" s="31"/>
      <c r="Z808" s="472"/>
      <c r="AA808" s="76"/>
      <c r="AB808" s="24"/>
      <c r="AC808" s="25"/>
      <c r="AD808" s="309"/>
      <c r="AE808" s="462"/>
      <c r="AF808" s="408"/>
      <c r="AG808" s="293"/>
      <c r="AH808" s="293"/>
      <c r="AI808" s="293"/>
      <c r="AJ808" s="293"/>
      <c r="AK808" s="293"/>
      <c r="AL808" s="327"/>
      <c r="AM808" s="463"/>
      <c r="AN808" s="513"/>
      <c r="AO808" s="88"/>
      <c r="AP808" s="116"/>
      <c r="AQ808" s="74"/>
      <c r="AR808" s="76"/>
      <c r="AS808" s="24"/>
      <c r="AT808" s="25"/>
      <c r="AU808" s="309"/>
      <c r="AV808" s="462"/>
      <c r="AW808" s="513"/>
      <c r="AX808" s="74"/>
      <c r="AY808" s="74"/>
      <c r="AZ808" s="75"/>
      <c r="BA808" s="61"/>
      <c r="BB808" s="60"/>
      <c r="BC808" s="74"/>
      <c r="BD808" s="79"/>
      <c r="BE808" s="79"/>
      <c r="BF808" s="127"/>
      <c r="BG808" s="142"/>
      <c r="BH808" s="142"/>
      <c r="BI808" s="76"/>
      <c r="BJ808" s="24"/>
      <c r="BK808" s="25"/>
      <c r="BL808" s="259"/>
      <c r="BM808" s="533"/>
    </row>
    <row r="809" spans="1:65" ht="35.1" customHeight="1">
      <c r="A809" s="91"/>
      <c r="B809" s="358" t="s">
        <v>3000</v>
      </c>
      <c r="C809" s="50" t="s">
        <v>1931</v>
      </c>
      <c r="D809" s="264" t="s">
        <v>1858</v>
      </c>
      <c r="E809" s="393" t="s">
        <v>999</v>
      </c>
      <c r="F809" s="410"/>
      <c r="G809" s="10"/>
      <c r="H809" s="167"/>
      <c r="I809" s="10"/>
      <c r="J809" s="76"/>
      <c r="K809" s="24"/>
      <c r="L809" s="281"/>
      <c r="M809" s="431"/>
      <c r="N809" s="410">
        <v>1347751</v>
      </c>
      <c r="O809" s="10">
        <v>600000</v>
      </c>
      <c r="P809" s="10">
        <v>680000</v>
      </c>
      <c r="Q809" s="268">
        <v>630000</v>
      </c>
      <c r="R809" s="10">
        <v>600000</v>
      </c>
      <c r="S809" s="76">
        <f t="shared" si="954"/>
        <v>627500</v>
      </c>
      <c r="T809" s="24">
        <f t="shared" si="955"/>
        <v>-720251</v>
      </c>
      <c r="U809" s="281">
        <f t="shared" si="956"/>
        <v>-0.53440954597696455</v>
      </c>
      <c r="V809" s="462">
        <f t="shared" si="957"/>
        <v>627500</v>
      </c>
      <c r="W809" s="410"/>
      <c r="X809" s="44"/>
      <c r="Y809" s="31"/>
      <c r="Z809" s="472"/>
      <c r="AA809" s="76"/>
      <c r="AB809" s="24"/>
      <c r="AC809" s="25"/>
      <c r="AD809" s="309"/>
      <c r="AE809" s="462"/>
      <c r="AF809" s="408"/>
      <c r="AG809" s="293"/>
      <c r="AH809" s="293"/>
      <c r="AI809" s="293"/>
      <c r="AJ809" s="293"/>
      <c r="AK809" s="293"/>
      <c r="AL809" s="327"/>
      <c r="AM809" s="463"/>
      <c r="AN809" s="513"/>
      <c r="AO809" s="88"/>
      <c r="AP809" s="116"/>
      <c r="AQ809" s="74"/>
      <c r="AR809" s="76"/>
      <c r="AS809" s="24"/>
      <c r="AT809" s="25"/>
      <c r="AU809" s="309"/>
      <c r="AV809" s="462"/>
      <c r="AW809" s="513"/>
      <c r="AX809" s="74"/>
      <c r="AY809" s="74"/>
      <c r="AZ809" s="75"/>
      <c r="BA809" s="61"/>
      <c r="BB809" s="60"/>
      <c r="BC809" s="74"/>
      <c r="BD809" s="79"/>
      <c r="BE809" s="79"/>
      <c r="BF809" s="127"/>
      <c r="BG809" s="142"/>
      <c r="BH809" s="142"/>
      <c r="BI809" s="76"/>
      <c r="BJ809" s="24"/>
      <c r="BK809" s="25"/>
      <c r="BL809" s="259"/>
      <c r="BM809" s="533"/>
    </row>
    <row r="810" spans="1:65" ht="35.1" customHeight="1">
      <c r="A810" s="91"/>
      <c r="B810" s="358" t="s">
        <v>3001</v>
      </c>
      <c r="C810" s="50" t="s">
        <v>1932</v>
      </c>
      <c r="D810" s="264" t="s">
        <v>1859</v>
      </c>
      <c r="E810" s="393" t="s">
        <v>999</v>
      </c>
      <c r="F810" s="410"/>
      <c r="G810" s="10"/>
      <c r="H810" s="167"/>
      <c r="I810" s="10"/>
      <c r="J810" s="76"/>
      <c r="K810" s="24"/>
      <c r="L810" s="281"/>
      <c r="M810" s="431"/>
      <c r="N810" s="410">
        <v>1027430</v>
      </c>
      <c r="O810" s="10">
        <v>700000</v>
      </c>
      <c r="P810" s="10">
        <v>750000</v>
      </c>
      <c r="Q810" s="268">
        <v>730000</v>
      </c>
      <c r="R810" s="10">
        <v>750000</v>
      </c>
      <c r="S810" s="76">
        <f t="shared" si="954"/>
        <v>732500</v>
      </c>
      <c r="T810" s="24">
        <f t="shared" si="955"/>
        <v>-294930</v>
      </c>
      <c r="U810" s="281">
        <f t="shared" si="956"/>
        <v>-0.28705605248046095</v>
      </c>
      <c r="V810" s="462">
        <f t="shared" si="957"/>
        <v>732500</v>
      </c>
      <c r="W810" s="410"/>
      <c r="X810" s="44"/>
      <c r="Y810" s="31"/>
      <c r="Z810" s="472"/>
      <c r="AA810" s="76"/>
      <c r="AB810" s="24"/>
      <c r="AC810" s="25"/>
      <c r="AD810" s="309"/>
      <c r="AE810" s="462"/>
      <c r="AF810" s="408"/>
      <c r="AG810" s="293"/>
      <c r="AH810" s="293"/>
      <c r="AI810" s="293"/>
      <c r="AJ810" s="293"/>
      <c r="AK810" s="293"/>
      <c r="AL810" s="327"/>
      <c r="AM810" s="463"/>
      <c r="AN810" s="513"/>
      <c r="AO810" s="88"/>
      <c r="AP810" s="116"/>
      <c r="AQ810" s="74"/>
      <c r="AR810" s="76"/>
      <c r="AS810" s="24"/>
      <c r="AT810" s="25"/>
      <c r="AU810" s="309"/>
      <c r="AV810" s="462"/>
      <c r="AW810" s="513"/>
      <c r="AX810" s="74"/>
      <c r="AY810" s="74"/>
      <c r="AZ810" s="75"/>
      <c r="BA810" s="61"/>
      <c r="BB810" s="60"/>
      <c r="BC810" s="74"/>
      <c r="BD810" s="79"/>
      <c r="BE810" s="79"/>
      <c r="BF810" s="127"/>
      <c r="BG810" s="142"/>
      <c r="BH810" s="142"/>
      <c r="BI810" s="76"/>
      <c r="BJ810" s="24"/>
      <c r="BK810" s="25"/>
      <c r="BL810" s="259"/>
      <c r="BM810" s="533"/>
    </row>
    <row r="811" spans="1:65" ht="35.1" customHeight="1">
      <c r="A811" s="91"/>
      <c r="B811" s="358" t="s">
        <v>3002</v>
      </c>
      <c r="C811" s="50" t="s">
        <v>1933</v>
      </c>
      <c r="D811" s="264" t="s">
        <v>1860</v>
      </c>
      <c r="E811" s="393" t="s">
        <v>999</v>
      </c>
      <c r="F811" s="410"/>
      <c r="G811" s="10"/>
      <c r="H811" s="167"/>
      <c r="I811" s="10"/>
      <c r="J811" s="76"/>
      <c r="K811" s="24"/>
      <c r="L811" s="281"/>
      <c r="M811" s="431"/>
      <c r="N811" s="410">
        <v>99908</v>
      </c>
      <c r="O811" s="10">
        <v>190000</v>
      </c>
      <c r="P811" s="10">
        <v>205000</v>
      </c>
      <c r="Q811" s="268">
        <v>200000</v>
      </c>
      <c r="R811" s="10">
        <v>200000</v>
      </c>
      <c r="S811" s="76">
        <f t="shared" si="954"/>
        <v>198750</v>
      </c>
      <c r="T811" s="24">
        <f t="shared" si="955"/>
        <v>98842</v>
      </c>
      <c r="U811" s="281">
        <f t="shared" si="956"/>
        <v>0.98933018376906756</v>
      </c>
      <c r="V811" s="462">
        <f t="shared" si="957"/>
        <v>198750</v>
      </c>
      <c r="W811" s="410"/>
      <c r="X811" s="44"/>
      <c r="Y811" s="31"/>
      <c r="Z811" s="472"/>
      <c r="AA811" s="76"/>
      <c r="AB811" s="24"/>
      <c r="AC811" s="25"/>
      <c r="AD811" s="309"/>
      <c r="AE811" s="462"/>
      <c r="AF811" s="408"/>
      <c r="AG811" s="293"/>
      <c r="AH811" s="293"/>
      <c r="AI811" s="293"/>
      <c r="AJ811" s="293"/>
      <c r="AK811" s="293"/>
      <c r="AL811" s="327"/>
      <c r="AM811" s="463"/>
      <c r="AN811" s="513"/>
      <c r="AO811" s="88"/>
      <c r="AP811" s="116"/>
      <c r="AQ811" s="74"/>
      <c r="AR811" s="76"/>
      <c r="AS811" s="24"/>
      <c r="AT811" s="25"/>
      <c r="AU811" s="309"/>
      <c r="AV811" s="462"/>
      <c r="AW811" s="513"/>
      <c r="AX811" s="74"/>
      <c r="AY811" s="74"/>
      <c r="AZ811" s="75"/>
      <c r="BA811" s="61"/>
      <c r="BB811" s="60"/>
      <c r="BC811" s="74"/>
      <c r="BD811" s="79"/>
      <c r="BE811" s="79"/>
      <c r="BF811" s="127"/>
      <c r="BG811" s="142"/>
      <c r="BH811" s="142"/>
      <c r="BI811" s="76"/>
      <c r="BJ811" s="24"/>
      <c r="BK811" s="25"/>
      <c r="BL811" s="259"/>
      <c r="BM811" s="533"/>
    </row>
    <row r="812" spans="1:65" ht="35.1" customHeight="1">
      <c r="A812" s="91"/>
      <c r="B812" s="358" t="s">
        <v>3003</v>
      </c>
      <c r="C812" s="50" t="s">
        <v>1934</v>
      </c>
      <c r="D812" s="264" t="s">
        <v>1861</v>
      </c>
      <c r="E812" s="393" t="s">
        <v>999</v>
      </c>
      <c r="F812" s="410"/>
      <c r="G812" s="10"/>
      <c r="H812" s="167"/>
      <c r="I812" s="10"/>
      <c r="J812" s="76"/>
      <c r="K812" s="24"/>
      <c r="L812" s="281"/>
      <c r="M812" s="431"/>
      <c r="N812" s="410">
        <v>88763</v>
      </c>
      <c r="O812" s="10">
        <v>190000</v>
      </c>
      <c r="P812" s="10">
        <v>2050000</v>
      </c>
      <c r="Q812" s="268">
        <v>2000000</v>
      </c>
      <c r="R812" s="10">
        <v>200000</v>
      </c>
      <c r="S812" s="76">
        <f t="shared" si="954"/>
        <v>1110000</v>
      </c>
      <c r="T812" s="24">
        <f t="shared" si="955"/>
        <v>1021237</v>
      </c>
      <c r="U812" s="281">
        <f t="shared" si="956"/>
        <v>11.505210504376823</v>
      </c>
      <c r="V812" s="462">
        <f t="shared" si="957"/>
        <v>1110000</v>
      </c>
      <c r="W812" s="410"/>
      <c r="X812" s="44"/>
      <c r="Y812" s="31"/>
      <c r="Z812" s="472"/>
      <c r="AA812" s="76"/>
      <c r="AB812" s="24"/>
      <c r="AC812" s="25"/>
      <c r="AD812" s="309"/>
      <c r="AE812" s="462"/>
      <c r="AF812" s="408"/>
      <c r="AG812" s="293"/>
      <c r="AH812" s="293"/>
      <c r="AI812" s="293"/>
      <c r="AJ812" s="293"/>
      <c r="AK812" s="293"/>
      <c r="AL812" s="327"/>
      <c r="AM812" s="463"/>
      <c r="AN812" s="513"/>
      <c r="AO812" s="88"/>
      <c r="AP812" s="116"/>
      <c r="AQ812" s="74"/>
      <c r="AR812" s="76"/>
      <c r="AS812" s="24"/>
      <c r="AT812" s="25"/>
      <c r="AU812" s="309"/>
      <c r="AV812" s="462"/>
      <c r="AW812" s="513"/>
      <c r="AX812" s="74"/>
      <c r="AY812" s="74"/>
      <c r="AZ812" s="75"/>
      <c r="BA812" s="61"/>
      <c r="BB812" s="60"/>
      <c r="BC812" s="74"/>
      <c r="BD812" s="79"/>
      <c r="BE812" s="79"/>
      <c r="BF812" s="127"/>
      <c r="BG812" s="142"/>
      <c r="BH812" s="142"/>
      <c r="BI812" s="76"/>
      <c r="BJ812" s="24"/>
      <c r="BK812" s="25"/>
      <c r="BL812" s="259"/>
      <c r="BM812" s="533"/>
    </row>
    <row r="813" spans="1:65" ht="35.1" customHeight="1">
      <c r="A813" s="91"/>
      <c r="B813" s="358" t="s">
        <v>3004</v>
      </c>
      <c r="C813" s="50" t="s">
        <v>1935</v>
      </c>
      <c r="D813" s="264" t="s">
        <v>1862</v>
      </c>
      <c r="E813" s="393" t="s">
        <v>999</v>
      </c>
      <c r="F813" s="410"/>
      <c r="G813" s="10"/>
      <c r="H813" s="167"/>
      <c r="I813" s="10"/>
      <c r="J813" s="76"/>
      <c r="K813" s="24"/>
      <c r="L813" s="281"/>
      <c r="M813" s="431"/>
      <c r="N813" s="410">
        <v>88763</v>
      </c>
      <c r="O813" s="10">
        <v>190000</v>
      </c>
      <c r="P813" s="10">
        <v>205000</v>
      </c>
      <c r="Q813" s="268">
        <v>200000</v>
      </c>
      <c r="R813" s="10">
        <v>200000</v>
      </c>
      <c r="S813" s="76">
        <f t="shared" si="954"/>
        <v>198750</v>
      </c>
      <c r="T813" s="24">
        <f t="shared" si="955"/>
        <v>109987</v>
      </c>
      <c r="U813" s="281">
        <f t="shared" si="956"/>
        <v>1.2391086376080123</v>
      </c>
      <c r="V813" s="462">
        <f t="shared" si="957"/>
        <v>198750</v>
      </c>
      <c r="W813" s="410"/>
      <c r="X813" s="44"/>
      <c r="Y813" s="31"/>
      <c r="Z813" s="472"/>
      <c r="AA813" s="76"/>
      <c r="AB813" s="24"/>
      <c r="AC813" s="25"/>
      <c r="AD813" s="309"/>
      <c r="AE813" s="462"/>
      <c r="AF813" s="408"/>
      <c r="AG813" s="293"/>
      <c r="AH813" s="293"/>
      <c r="AI813" s="293"/>
      <c r="AJ813" s="293"/>
      <c r="AK813" s="293"/>
      <c r="AL813" s="327"/>
      <c r="AM813" s="463"/>
      <c r="AN813" s="513"/>
      <c r="AO813" s="88"/>
      <c r="AP813" s="116"/>
      <c r="AQ813" s="74"/>
      <c r="AR813" s="76"/>
      <c r="AS813" s="24"/>
      <c r="AT813" s="25"/>
      <c r="AU813" s="309"/>
      <c r="AV813" s="462"/>
      <c r="AW813" s="513"/>
      <c r="AX813" s="74"/>
      <c r="AY813" s="74"/>
      <c r="AZ813" s="75"/>
      <c r="BA813" s="61"/>
      <c r="BB813" s="60"/>
      <c r="BC813" s="74"/>
      <c r="BD813" s="79"/>
      <c r="BE813" s="79"/>
      <c r="BF813" s="127"/>
      <c r="BG813" s="142"/>
      <c r="BH813" s="142"/>
      <c r="BI813" s="76"/>
      <c r="BJ813" s="24"/>
      <c r="BK813" s="25"/>
      <c r="BL813" s="259"/>
      <c r="BM813" s="533"/>
    </row>
    <row r="814" spans="1:65" ht="35.1" customHeight="1">
      <c r="A814" s="91"/>
      <c r="B814" s="358" t="s">
        <v>3005</v>
      </c>
      <c r="C814" s="50" t="s">
        <v>1936</v>
      </c>
      <c r="D814" s="264" t="s">
        <v>1863</v>
      </c>
      <c r="E814" s="393" t="s">
        <v>999</v>
      </c>
      <c r="F814" s="410"/>
      <c r="G814" s="10"/>
      <c r="H814" s="167"/>
      <c r="I814" s="10"/>
      <c r="J814" s="76"/>
      <c r="K814" s="24"/>
      <c r="L814" s="281"/>
      <c r="M814" s="431"/>
      <c r="N814" s="410">
        <v>285703</v>
      </c>
      <c r="O814" s="10">
        <v>600000</v>
      </c>
      <c r="P814" s="10">
        <v>650000</v>
      </c>
      <c r="Q814" s="268">
        <v>620000</v>
      </c>
      <c r="R814" s="10">
        <v>700000</v>
      </c>
      <c r="S814" s="76">
        <f t="shared" si="954"/>
        <v>642500</v>
      </c>
      <c r="T814" s="24">
        <f t="shared" si="955"/>
        <v>356797</v>
      </c>
      <c r="U814" s="281">
        <f t="shared" si="956"/>
        <v>1.2488388291337509</v>
      </c>
      <c r="V814" s="462">
        <f t="shared" si="957"/>
        <v>642500</v>
      </c>
      <c r="W814" s="410"/>
      <c r="X814" s="44"/>
      <c r="Y814" s="31"/>
      <c r="Z814" s="472"/>
      <c r="AA814" s="76"/>
      <c r="AB814" s="24"/>
      <c r="AC814" s="25"/>
      <c r="AD814" s="309"/>
      <c r="AE814" s="462"/>
      <c r="AF814" s="408"/>
      <c r="AG814" s="293"/>
      <c r="AH814" s="293"/>
      <c r="AI814" s="293"/>
      <c r="AJ814" s="293"/>
      <c r="AK814" s="293"/>
      <c r="AL814" s="327"/>
      <c r="AM814" s="463"/>
      <c r="AN814" s="513"/>
      <c r="AO814" s="88"/>
      <c r="AP814" s="116"/>
      <c r="AQ814" s="74"/>
      <c r="AR814" s="76"/>
      <c r="AS814" s="24"/>
      <c r="AT814" s="25"/>
      <c r="AU814" s="309"/>
      <c r="AV814" s="462"/>
      <c r="AW814" s="513"/>
      <c r="AX814" s="74"/>
      <c r="AY814" s="74"/>
      <c r="AZ814" s="75"/>
      <c r="BA814" s="61"/>
      <c r="BB814" s="60"/>
      <c r="BC814" s="74"/>
      <c r="BD814" s="79"/>
      <c r="BE814" s="79"/>
      <c r="BF814" s="127"/>
      <c r="BG814" s="142"/>
      <c r="BH814" s="142"/>
      <c r="BI814" s="76"/>
      <c r="BJ814" s="24"/>
      <c r="BK814" s="25"/>
      <c r="BL814" s="259"/>
      <c r="BM814" s="533"/>
    </row>
    <row r="815" spans="1:65" ht="35.1" customHeight="1">
      <c r="A815" s="91"/>
      <c r="B815" s="358" t="s">
        <v>3006</v>
      </c>
      <c r="C815" s="50" t="s">
        <v>1937</v>
      </c>
      <c r="D815" s="264" t="s">
        <v>1864</v>
      </c>
      <c r="E815" s="393" t="s">
        <v>999</v>
      </c>
      <c r="F815" s="410"/>
      <c r="G815" s="10"/>
      <c r="H815" s="167"/>
      <c r="I815" s="10"/>
      <c r="J815" s="76"/>
      <c r="K815" s="24"/>
      <c r="L815" s="281"/>
      <c r="M815" s="431"/>
      <c r="N815" s="410">
        <v>56053</v>
      </c>
      <c r="O815" s="10">
        <v>150000</v>
      </c>
      <c r="P815" s="10">
        <v>180000</v>
      </c>
      <c r="Q815" s="268">
        <v>170000</v>
      </c>
      <c r="R815" s="10">
        <v>120000</v>
      </c>
      <c r="S815" s="76">
        <f t="shared" si="954"/>
        <v>155000</v>
      </c>
      <c r="T815" s="24">
        <f t="shared" si="955"/>
        <v>98947</v>
      </c>
      <c r="U815" s="281">
        <f t="shared" si="956"/>
        <v>1.7652400406757889</v>
      </c>
      <c r="V815" s="462">
        <f t="shared" si="957"/>
        <v>155000</v>
      </c>
      <c r="W815" s="410"/>
      <c r="X815" s="44"/>
      <c r="Y815" s="31"/>
      <c r="Z815" s="472"/>
      <c r="AA815" s="76"/>
      <c r="AB815" s="24"/>
      <c r="AC815" s="25"/>
      <c r="AD815" s="309"/>
      <c r="AE815" s="462"/>
      <c r="AF815" s="408"/>
      <c r="AG815" s="293"/>
      <c r="AH815" s="293"/>
      <c r="AI815" s="293"/>
      <c r="AJ815" s="293"/>
      <c r="AK815" s="293"/>
      <c r="AL815" s="327"/>
      <c r="AM815" s="463"/>
      <c r="AN815" s="513"/>
      <c r="AO815" s="88"/>
      <c r="AP815" s="116"/>
      <c r="AQ815" s="74"/>
      <c r="AR815" s="76"/>
      <c r="AS815" s="24"/>
      <c r="AT815" s="25"/>
      <c r="AU815" s="309"/>
      <c r="AV815" s="462"/>
      <c r="AW815" s="513"/>
      <c r="AX815" s="74"/>
      <c r="AY815" s="74"/>
      <c r="AZ815" s="75"/>
      <c r="BA815" s="61"/>
      <c r="BB815" s="60"/>
      <c r="BC815" s="74"/>
      <c r="BD815" s="79"/>
      <c r="BE815" s="79"/>
      <c r="BF815" s="127"/>
      <c r="BG815" s="142"/>
      <c r="BH815" s="142"/>
      <c r="BI815" s="76"/>
      <c r="BJ815" s="24"/>
      <c r="BK815" s="25"/>
      <c r="BL815" s="259"/>
      <c r="BM815" s="533"/>
    </row>
    <row r="816" spans="1:65" ht="35.1" customHeight="1">
      <c r="A816" s="91"/>
      <c r="B816" s="358" t="s">
        <v>3007</v>
      </c>
      <c r="C816" s="50" t="s">
        <v>1938</v>
      </c>
      <c r="D816" s="264" t="s">
        <v>1865</v>
      </c>
      <c r="E816" s="393" t="s">
        <v>999</v>
      </c>
      <c r="F816" s="410"/>
      <c r="G816" s="10"/>
      <c r="H816" s="167"/>
      <c r="I816" s="10"/>
      <c r="J816" s="76"/>
      <c r="K816" s="24"/>
      <c r="L816" s="281"/>
      <c r="M816" s="431"/>
      <c r="N816" s="410">
        <v>122385</v>
      </c>
      <c r="O816" s="10">
        <v>250000</v>
      </c>
      <c r="P816" s="10">
        <v>285000</v>
      </c>
      <c r="Q816" s="268">
        <v>265000</v>
      </c>
      <c r="R816" s="10">
        <v>250000</v>
      </c>
      <c r="S816" s="76">
        <f t="shared" si="954"/>
        <v>262500</v>
      </c>
      <c r="T816" s="24">
        <f t="shared" si="955"/>
        <v>140115</v>
      </c>
      <c r="U816" s="281">
        <f t="shared" si="956"/>
        <v>1.1448706949381051</v>
      </c>
      <c r="V816" s="462">
        <f t="shared" si="957"/>
        <v>262500</v>
      </c>
      <c r="W816" s="410"/>
      <c r="X816" s="44"/>
      <c r="Y816" s="31"/>
      <c r="Z816" s="472"/>
      <c r="AA816" s="76"/>
      <c r="AB816" s="24"/>
      <c r="AC816" s="25"/>
      <c r="AD816" s="309"/>
      <c r="AE816" s="462"/>
      <c r="AF816" s="408"/>
      <c r="AG816" s="293"/>
      <c r="AH816" s="293"/>
      <c r="AI816" s="293"/>
      <c r="AJ816" s="293"/>
      <c r="AK816" s="293"/>
      <c r="AL816" s="327"/>
      <c r="AM816" s="463"/>
      <c r="AN816" s="513"/>
      <c r="AO816" s="88"/>
      <c r="AP816" s="116"/>
      <c r="AQ816" s="74"/>
      <c r="AR816" s="76"/>
      <c r="AS816" s="24"/>
      <c r="AT816" s="25"/>
      <c r="AU816" s="309"/>
      <c r="AV816" s="462"/>
      <c r="AW816" s="513"/>
      <c r="AX816" s="74"/>
      <c r="AY816" s="74"/>
      <c r="AZ816" s="75"/>
      <c r="BA816" s="61"/>
      <c r="BB816" s="60"/>
      <c r="BC816" s="74"/>
      <c r="BD816" s="79"/>
      <c r="BE816" s="79"/>
      <c r="BF816" s="127"/>
      <c r="BG816" s="142"/>
      <c r="BH816" s="142"/>
      <c r="BI816" s="76"/>
      <c r="BJ816" s="24"/>
      <c r="BK816" s="25"/>
      <c r="BL816" s="259"/>
      <c r="BM816" s="533"/>
    </row>
    <row r="817" spans="1:65" ht="35.1" customHeight="1">
      <c r="A817" s="91"/>
      <c r="B817" s="358" t="s">
        <v>3008</v>
      </c>
      <c r="C817" s="50" t="s">
        <v>1939</v>
      </c>
      <c r="D817" s="264" t="s">
        <v>1866</v>
      </c>
      <c r="E817" s="393" t="s">
        <v>999</v>
      </c>
      <c r="F817" s="410"/>
      <c r="G817" s="10"/>
      <c r="H817" s="167"/>
      <c r="I817" s="10"/>
      <c r="J817" s="76"/>
      <c r="K817" s="24"/>
      <c r="L817" s="281"/>
      <c r="M817" s="431"/>
      <c r="N817" s="410">
        <v>662816</v>
      </c>
      <c r="O817" s="10">
        <v>950000</v>
      </c>
      <c r="P817" s="10">
        <v>1020000</v>
      </c>
      <c r="Q817" s="268">
        <v>1010000</v>
      </c>
      <c r="R817" s="10">
        <v>1000000</v>
      </c>
      <c r="S817" s="76">
        <f t="shared" si="954"/>
        <v>995000</v>
      </c>
      <c r="T817" s="24">
        <f t="shared" si="955"/>
        <v>332184</v>
      </c>
      <c r="U817" s="281">
        <f t="shared" si="956"/>
        <v>0.5011707623231787</v>
      </c>
      <c r="V817" s="462">
        <f t="shared" si="957"/>
        <v>995000</v>
      </c>
      <c r="W817" s="410"/>
      <c r="X817" s="44"/>
      <c r="Y817" s="31"/>
      <c r="Z817" s="472"/>
      <c r="AA817" s="76"/>
      <c r="AB817" s="24"/>
      <c r="AC817" s="25"/>
      <c r="AD817" s="309"/>
      <c r="AE817" s="462"/>
      <c r="AF817" s="408"/>
      <c r="AG817" s="293"/>
      <c r="AH817" s="293"/>
      <c r="AI817" s="293"/>
      <c r="AJ817" s="293"/>
      <c r="AK817" s="293"/>
      <c r="AL817" s="327"/>
      <c r="AM817" s="463"/>
      <c r="AN817" s="513"/>
      <c r="AO817" s="88"/>
      <c r="AP817" s="116"/>
      <c r="AQ817" s="74"/>
      <c r="AR817" s="76"/>
      <c r="AS817" s="24"/>
      <c r="AT817" s="25"/>
      <c r="AU817" s="309"/>
      <c r="AV817" s="462"/>
      <c r="AW817" s="513"/>
      <c r="AX817" s="74"/>
      <c r="AY817" s="74"/>
      <c r="AZ817" s="75"/>
      <c r="BA817" s="61"/>
      <c r="BB817" s="60"/>
      <c r="BC817" s="74"/>
      <c r="BD817" s="79"/>
      <c r="BE817" s="79"/>
      <c r="BF817" s="127"/>
      <c r="BG817" s="142"/>
      <c r="BH817" s="142"/>
      <c r="BI817" s="76"/>
      <c r="BJ817" s="24"/>
      <c r="BK817" s="25"/>
      <c r="BL817" s="259"/>
      <c r="BM817" s="533"/>
    </row>
    <row r="818" spans="1:65" ht="35.1" customHeight="1">
      <c r="A818" s="91"/>
      <c r="B818" s="358" t="s">
        <v>3009</v>
      </c>
      <c r="C818" s="50" t="s">
        <v>1940</v>
      </c>
      <c r="D818" s="264" t="s">
        <v>1867</v>
      </c>
      <c r="E818" s="393" t="s">
        <v>1396</v>
      </c>
      <c r="F818" s="410"/>
      <c r="G818" s="10"/>
      <c r="H818" s="167"/>
      <c r="I818" s="10"/>
      <c r="J818" s="76"/>
      <c r="K818" s="24"/>
      <c r="L818" s="281"/>
      <c r="M818" s="431"/>
      <c r="N818" s="410">
        <v>89684</v>
      </c>
      <c r="O818" s="10">
        <v>150000</v>
      </c>
      <c r="P818" s="10">
        <v>175000</v>
      </c>
      <c r="Q818" s="268">
        <v>165000</v>
      </c>
      <c r="R818" s="10" t="s">
        <v>1421</v>
      </c>
      <c r="S818" s="76">
        <f t="shared" si="954"/>
        <v>163333.33333333334</v>
      </c>
      <c r="T818" s="24">
        <f t="shared" si="955"/>
        <v>73649.333333333343</v>
      </c>
      <c r="U818" s="281">
        <f t="shared" si="956"/>
        <v>0.82120928296388818</v>
      </c>
      <c r="V818" s="462">
        <f t="shared" si="957"/>
        <v>163333.33333333334</v>
      </c>
      <c r="W818" s="410"/>
      <c r="X818" s="44"/>
      <c r="Y818" s="31"/>
      <c r="Z818" s="472"/>
      <c r="AA818" s="76"/>
      <c r="AB818" s="24"/>
      <c r="AC818" s="25"/>
      <c r="AD818" s="309"/>
      <c r="AE818" s="462"/>
      <c r="AF818" s="408"/>
      <c r="AG818" s="293"/>
      <c r="AH818" s="293"/>
      <c r="AI818" s="293"/>
      <c r="AJ818" s="293"/>
      <c r="AK818" s="293"/>
      <c r="AL818" s="327"/>
      <c r="AM818" s="463"/>
      <c r="AN818" s="513"/>
      <c r="AO818" s="88"/>
      <c r="AP818" s="116"/>
      <c r="AQ818" s="74"/>
      <c r="AR818" s="76"/>
      <c r="AS818" s="24"/>
      <c r="AT818" s="25"/>
      <c r="AU818" s="309"/>
      <c r="AV818" s="462"/>
      <c r="AW818" s="513"/>
      <c r="AX818" s="74"/>
      <c r="AY818" s="74"/>
      <c r="AZ818" s="75"/>
      <c r="BA818" s="61"/>
      <c r="BB818" s="60"/>
      <c r="BC818" s="74"/>
      <c r="BD818" s="79"/>
      <c r="BE818" s="79"/>
      <c r="BF818" s="127"/>
      <c r="BG818" s="142"/>
      <c r="BH818" s="142"/>
      <c r="BI818" s="76"/>
      <c r="BJ818" s="24"/>
      <c r="BK818" s="25"/>
      <c r="BL818" s="259"/>
      <c r="BM818" s="533"/>
    </row>
    <row r="819" spans="1:65" ht="35.1" customHeight="1">
      <c r="A819" s="91"/>
      <c r="B819" s="358" t="s">
        <v>3010</v>
      </c>
      <c r="C819" s="50" t="s">
        <v>1941</v>
      </c>
      <c r="D819" s="264" t="s">
        <v>1868</v>
      </c>
      <c r="E819" s="393" t="s">
        <v>999</v>
      </c>
      <c r="F819" s="410"/>
      <c r="G819" s="10"/>
      <c r="H819" s="167"/>
      <c r="I819" s="10"/>
      <c r="J819" s="76"/>
      <c r="K819" s="24"/>
      <c r="L819" s="281"/>
      <c r="M819" s="431"/>
      <c r="N819" s="410">
        <v>205663</v>
      </c>
      <c r="O819" s="10">
        <v>250000</v>
      </c>
      <c r="P819" s="10">
        <v>275000</v>
      </c>
      <c r="Q819" s="268">
        <v>265000</v>
      </c>
      <c r="R819" s="10">
        <v>250000</v>
      </c>
      <c r="S819" s="76">
        <f t="shared" si="954"/>
        <v>260000</v>
      </c>
      <c r="T819" s="24">
        <f t="shared" si="955"/>
        <v>54337</v>
      </c>
      <c r="U819" s="281">
        <f t="shared" si="956"/>
        <v>0.2642040619848976</v>
      </c>
      <c r="V819" s="462">
        <f t="shared" si="957"/>
        <v>260000</v>
      </c>
      <c r="W819" s="410"/>
      <c r="X819" s="44"/>
      <c r="Y819" s="31"/>
      <c r="Z819" s="472"/>
      <c r="AA819" s="76"/>
      <c r="AB819" s="24"/>
      <c r="AC819" s="25"/>
      <c r="AD819" s="309"/>
      <c r="AE819" s="462"/>
      <c r="AF819" s="408"/>
      <c r="AG819" s="293"/>
      <c r="AH819" s="293"/>
      <c r="AI819" s="293"/>
      <c r="AJ819" s="293"/>
      <c r="AK819" s="293"/>
      <c r="AL819" s="327"/>
      <c r="AM819" s="463"/>
      <c r="AN819" s="513"/>
      <c r="AO819" s="88"/>
      <c r="AP819" s="116"/>
      <c r="AQ819" s="74"/>
      <c r="AR819" s="76"/>
      <c r="AS819" s="24"/>
      <c r="AT819" s="25"/>
      <c r="AU819" s="309"/>
      <c r="AV819" s="462"/>
      <c r="AW819" s="513"/>
      <c r="AX819" s="74"/>
      <c r="AY819" s="74"/>
      <c r="AZ819" s="75"/>
      <c r="BA819" s="61"/>
      <c r="BB819" s="60"/>
      <c r="BC819" s="74"/>
      <c r="BD819" s="79"/>
      <c r="BE819" s="79"/>
      <c r="BF819" s="127"/>
      <c r="BG819" s="142"/>
      <c r="BH819" s="142"/>
      <c r="BI819" s="76"/>
      <c r="BJ819" s="24"/>
      <c r="BK819" s="25"/>
      <c r="BL819" s="259"/>
      <c r="BM819" s="533"/>
    </row>
    <row r="820" spans="1:65" ht="35.1" customHeight="1">
      <c r="A820" s="91"/>
      <c r="B820" s="358" t="s">
        <v>3011</v>
      </c>
      <c r="C820" s="50" t="s">
        <v>1942</v>
      </c>
      <c r="D820" s="264" t="s">
        <v>1869</v>
      </c>
      <c r="E820" s="393" t="s">
        <v>1399</v>
      </c>
      <c r="F820" s="410"/>
      <c r="G820" s="10"/>
      <c r="H820" s="167"/>
      <c r="I820" s="10"/>
      <c r="J820" s="76"/>
      <c r="K820" s="24"/>
      <c r="L820" s="281"/>
      <c r="M820" s="431"/>
      <c r="N820" s="410">
        <v>60002</v>
      </c>
      <c r="O820" s="10">
        <v>90000</v>
      </c>
      <c r="P820" s="10">
        <v>105000</v>
      </c>
      <c r="Q820" s="268">
        <v>100000</v>
      </c>
      <c r="R820" s="10">
        <v>120000</v>
      </c>
      <c r="S820" s="76">
        <f t="shared" si="954"/>
        <v>103750</v>
      </c>
      <c r="T820" s="24">
        <f t="shared" si="955"/>
        <v>43748</v>
      </c>
      <c r="U820" s="281">
        <f t="shared" si="956"/>
        <v>0.72910902969901004</v>
      </c>
      <c r="V820" s="462">
        <f t="shared" si="957"/>
        <v>103750</v>
      </c>
      <c r="W820" s="410"/>
      <c r="X820" s="44"/>
      <c r="Y820" s="31"/>
      <c r="Z820" s="472"/>
      <c r="AA820" s="76"/>
      <c r="AB820" s="24"/>
      <c r="AC820" s="25"/>
      <c r="AD820" s="309"/>
      <c r="AE820" s="462"/>
      <c r="AF820" s="408"/>
      <c r="AG820" s="293"/>
      <c r="AH820" s="293"/>
      <c r="AI820" s="293"/>
      <c r="AJ820" s="293"/>
      <c r="AK820" s="293"/>
      <c r="AL820" s="327"/>
      <c r="AM820" s="463"/>
      <c r="AN820" s="513"/>
      <c r="AO820" s="88"/>
      <c r="AP820" s="116"/>
      <c r="AQ820" s="74"/>
      <c r="AR820" s="76"/>
      <c r="AS820" s="24"/>
      <c r="AT820" s="25"/>
      <c r="AU820" s="309"/>
      <c r="AV820" s="462"/>
      <c r="AW820" s="513"/>
      <c r="AX820" s="74"/>
      <c r="AY820" s="74"/>
      <c r="AZ820" s="75"/>
      <c r="BA820" s="61"/>
      <c r="BB820" s="60"/>
      <c r="BC820" s="74"/>
      <c r="BD820" s="79"/>
      <c r="BE820" s="79"/>
      <c r="BF820" s="127"/>
      <c r="BG820" s="142"/>
      <c r="BH820" s="142"/>
      <c r="BI820" s="76"/>
      <c r="BJ820" s="24"/>
      <c r="BK820" s="25"/>
      <c r="BL820" s="259"/>
      <c r="BM820" s="533"/>
    </row>
    <row r="821" spans="1:65" ht="35.1" customHeight="1">
      <c r="A821" s="91"/>
      <c r="B821" s="358" t="s">
        <v>3012</v>
      </c>
      <c r="C821" s="50" t="s">
        <v>1943</v>
      </c>
      <c r="D821" s="264" t="s">
        <v>1870</v>
      </c>
      <c r="E821" s="393" t="s">
        <v>999</v>
      </c>
      <c r="F821" s="410"/>
      <c r="G821" s="10"/>
      <c r="H821" s="167"/>
      <c r="I821" s="10"/>
      <c r="J821" s="76"/>
      <c r="K821" s="24"/>
      <c r="L821" s="281"/>
      <c r="M821" s="431"/>
      <c r="N821" s="410">
        <v>1317992</v>
      </c>
      <c r="O821" s="10">
        <v>165000</v>
      </c>
      <c r="P821" s="10">
        <v>190000</v>
      </c>
      <c r="Q821" s="268">
        <v>170000</v>
      </c>
      <c r="R821" s="10">
        <v>185000</v>
      </c>
      <c r="S821" s="76">
        <f t="shared" si="954"/>
        <v>177500</v>
      </c>
      <c r="T821" s="24">
        <f t="shared" si="955"/>
        <v>-1140492</v>
      </c>
      <c r="U821" s="281">
        <f t="shared" si="956"/>
        <v>-0.86532543444876753</v>
      </c>
      <c r="V821" s="462">
        <f t="shared" si="957"/>
        <v>177500</v>
      </c>
      <c r="W821" s="410"/>
      <c r="X821" s="44"/>
      <c r="Y821" s="31"/>
      <c r="Z821" s="472"/>
      <c r="AA821" s="76"/>
      <c r="AB821" s="24"/>
      <c r="AC821" s="25"/>
      <c r="AD821" s="309"/>
      <c r="AE821" s="462"/>
      <c r="AF821" s="408"/>
      <c r="AG821" s="293"/>
      <c r="AH821" s="293"/>
      <c r="AI821" s="293"/>
      <c r="AJ821" s="293"/>
      <c r="AK821" s="293"/>
      <c r="AL821" s="327"/>
      <c r="AM821" s="463"/>
      <c r="AN821" s="513"/>
      <c r="AO821" s="88"/>
      <c r="AP821" s="116"/>
      <c r="AQ821" s="74"/>
      <c r="AR821" s="76"/>
      <c r="AS821" s="24"/>
      <c r="AT821" s="25"/>
      <c r="AU821" s="309"/>
      <c r="AV821" s="462"/>
      <c r="AW821" s="513"/>
      <c r="AX821" s="74"/>
      <c r="AY821" s="74"/>
      <c r="AZ821" s="75"/>
      <c r="BA821" s="61"/>
      <c r="BB821" s="60"/>
      <c r="BC821" s="74"/>
      <c r="BD821" s="79"/>
      <c r="BE821" s="79"/>
      <c r="BF821" s="127"/>
      <c r="BG821" s="142"/>
      <c r="BH821" s="142"/>
      <c r="BI821" s="76"/>
      <c r="BJ821" s="24"/>
      <c r="BK821" s="25"/>
      <c r="BL821" s="259"/>
      <c r="BM821" s="533"/>
    </row>
    <row r="822" spans="1:65" ht="35.1" customHeight="1">
      <c r="A822" s="91"/>
      <c r="B822" s="358" t="s">
        <v>3013</v>
      </c>
      <c r="C822" s="50" t="s">
        <v>1944</v>
      </c>
      <c r="D822" s="264" t="s">
        <v>1871</v>
      </c>
      <c r="E822" s="393" t="s">
        <v>999</v>
      </c>
      <c r="F822" s="410"/>
      <c r="G822" s="10"/>
      <c r="H822" s="167"/>
      <c r="I822" s="10"/>
      <c r="J822" s="76"/>
      <c r="K822" s="24"/>
      <c r="L822" s="281"/>
      <c r="M822" s="431"/>
      <c r="N822" s="410">
        <v>85479</v>
      </c>
      <c r="O822" s="10">
        <v>90000</v>
      </c>
      <c r="P822" s="10">
        <v>120000</v>
      </c>
      <c r="Q822" s="268">
        <v>110000</v>
      </c>
      <c r="R822" s="10">
        <v>120000</v>
      </c>
      <c r="S822" s="76">
        <f t="shared" si="954"/>
        <v>110000</v>
      </c>
      <c r="T822" s="24">
        <f t="shared" si="955"/>
        <v>24521</v>
      </c>
      <c r="U822" s="281">
        <f t="shared" si="956"/>
        <v>0.28686577989915651</v>
      </c>
      <c r="V822" s="462">
        <f t="shared" si="957"/>
        <v>110000</v>
      </c>
      <c r="W822" s="410"/>
      <c r="X822" s="44"/>
      <c r="Y822" s="31"/>
      <c r="Z822" s="472"/>
      <c r="AA822" s="76"/>
      <c r="AB822" s="24"/>
      <c r="AC822" s="25"/>
      <c r="AD822" s="309"/>
      <c r="AE822" s="462"/>
      <c r="AF822" s="408"/>
      <c r="AG822" s="293"/>
      <c r="AH822" s="293"/>
      <c r="AI822" s="293"/>
      <c r="AJ822" s="293"/>
      <c r="AK822" s="293"/>
      <c r="AL822" s="327"/>
      <c r="AM822" s="463"/>
      <c r="AN822" s="513"/>
      <c r="AO822" s="88"/>
      <c r="AP822" s="116"/>
      <c r="AQ822" s="74"/>
      <c r="AR822" s="76"/>
      <c r="AS822" s="24"/>
      <c r="AT822" s="25"/>
      <c r="AU822" s="309"/>
      <c r="AV822" s="462"/>
      <c r="AW822" s="513"/>
      <c r="AX822" s="74"/>
      <c r="AY822" s="74"/>
      <c r="AZ822" s="75"/>
      <c r="BA822" s="61"/>
      <c r="BB822" s="60"/>
      <c r="BC822" s="74"/>
      <c r="BD822" s="79"/>
      <c r="BE822" s="79"/>
      <c r="BF822" s="127"/>
      <c r="BG822" s="142"/>
      <c r="BH822" s="142"/>
      <c r="BI822" s="76"/>
      <c r="BJ822" s="24"/>
      <c r="BK822" s="25"/>
      <c r="BL822" s="259"/>
      <c r="BM822" s="533"/>
    </row>
    <row r="823" spans="1:65" ht="35.1" customHeight="1">
      <c r="A823" s="91"/>
      <c r="B823" s="358" t="s">
        <v>3014</v>
      </c>
      <c r="C823" s="50" t="s">
        <v>1945</v>
      </c>
      <c r="D823" s="264" t="s">
        <v>1872</v>
      </c>
      <c r="E823" s="393" t="s">
        <v>999</v>
      </c>
      <c r="F823" s="410"/>
      <c r="G823" s="10"/>
      <c r="H823" s="167"/>
      <c r="I823" s="10"/>
      <c r="J823" s="76"/>
      <c r="K823" s="24"/>
      <c r="L823" s="281"/>
      <c r="M823" s="431"/>
      <c r="N823" s="410">
        <v>79100</v>
      </c>
      <c r="O823" s="10">
        <v>150000</v>
      </c>
      <c r="P823" s="10">
        <v>170000</v>
      </c>
      <c r="Q823" s="268">
        <v>160000</v>
      </c>
      <c r="R823" s="10">
        <v>150000</v>
      </c>
      <c r="S823" s="76">
        <f t="shared" si="954"/>
        <v>157500</v>
      </c>
      <c r="T823" s="24">
        <f t="shared" si="955"/>
        <v>78400</v>
      </c>
      <c r="U823" s="281">
        <f t="shared" si="956"/>
        <v>0.99115044247787609</v>
      </c>
      <c r="V823" s="462">
        <f t="shared" si="957"/>
        <v>157500</v>
      </c>
      <c r="W823" s="410"/>
      <c r="X823" s="44"/>
      <c r="Y823" s="31"/>
      <c r="Z823" s="472"/>
      <c r="AA823" s="76"/>
      <c r="AB823" s="24"/>
      <c r="AC823" s="25"/>
      <c r="AD823" s="309"/>
      <c r="AE823" s="462"/>
      <c r="AF823" s="408"/>
      <c r="AG823" s="293"/>
      <c r="AH823" s="293"/>
      <c r="AI823" s="293"/>
      <c r="AJ823" s="293"/>
      <c r="AK823" s="293"/>
      <c r="AL823" s="327"/>
      <c r="AM823" s="463"/>
      <c r="AN823" s="513"/>
      <c r="AO823" s="88"/>
      <c r="AP823" s="116"/>
      <c r="AQ823" s="74"/>
      <c r="AR823" s="76"/>
      <c r="AS823" s="24"/>
      <c r="AT823" s="25"/>
      <c r="AU823" s="309"/>
      <c r="AV823" s="462"/>
      <c r="AW823" s="513"/>
      <c r="AX823" s="74"/>
      <c r="AY823" s="74"/>
      <c r="AZ823" s="75"/>
      <c r="BA823" s="61"/>
      <c r="BB823" s="60"/>
      <c r="BC823" s="74"/>
      <c r="BD823" s="79"/>
      <c r="BE823" s="79"/>
      <c r="BF823" s="127"/>
      <c r="BG823" s="142"/>
      <c r="BH823" s="142"/>
      <c r="BI823" s="76"/>
      <c r="BJ823" s="24"/>
      <c r="BK823" s="25"/>
      <c r="BL823" s="259"/>
      <c r="BM823" s="533"/>
    </row>
    <row r="824" spans="1:65" ht="35.1" customHeight="1">
      <c r="A824" s="91"/>
      <c r="B824" s="358" t="s">
        <v>3015</v>
      </c>
      <c r="C824" s="50" t="s">
        <v>1946</v>
      </c>
      <c r="D824" s="264" t="s">
        <v>1873</v>
      </c>
      <c r="E824" s="393" t="s">
        <v>999</v>
      </c>
      <c r="F824" s="410"/>
      <c r="G824" s="10"/>
      <c r="H824" s="167"/>
      <c r="I824" s="10"/>
      <c r="J824" s="76"/>
      <c r="K824" s="24"/>
      <c r="L824" s="281"/>
      <c r="M824" s="431"/>
      <c r="N824" s="410">
        <v>198685</v>
      </c>
      <c r="O824" s="10">
        <v>150000</v>
      </c>
      <c r="P824" s="10">
        <v>170000</v>
      </c>
      <c r="Q824" s="268">
        <v>160000</v>
      </c>
      <c r="R824" s="10">
        <v>150000</v>
      </c>
      <c r="S824" s="76">
        <f t="shared" si="954"/>
        <v>157500</v>
      </c>
      <c r="T824" s="24">
        <f t="shared" si="955"/>
        <v>-41185</v>
      </c>
      <c r="U824" s="281">
        <f t="shared" si="956"/>
        <v>-0.20728791806125274</v>
      </c>
      <c r="V824" s="462">
        <f t="shared" si="957"/>
        <v>157500</v>
      </c>
      <c r="W824" s="410"/>
      <c r="X824" s="44"/>
      <c r="Y824" s="31"/>
      <c r="Z824" s="472"/>
      <c r="AA824" s="76"/>
      <c r="AB824" s="24"/>
      <c r="AC824" s="25"/>
      <c r="AD824" s="309"/>
      <c r="AE824" s="462"/>
      <c r="AF824" s="408"/>
      <c r="AG824" s="293"/>
      <c r="AH824" s="293"/>
      <c r="AI824" s="293"/>
      <c r="AJ824" s="293"/>
      <c r="AK824" s="293"/>
      <c r="AL824" s="327"/>
      <c r="AM824" s="463"/>
      <c r="AN824" s="513"/>
      <c r="AO824" s="88"/>
      <c r="AP824" s="116"/>
      <c r="AQ824" s="74"/>
      <c r="AR824" s="76"/>
      <c r="AS824" s="24"/>
      <c r="AT824" s="25"/>
      <c r="AU824" s="309"/>
      <c r="AV824" s="462"/>
      <c r="AW824" s="513"/>
      <c r="AX824" s="74"/>
      <c r="AY824" s="74"/>
      <c r="AZ824" s="75"/>
      <c r="BA824" s="61"/>
      <c r="BB824" s="60"/>
      <c r="BC824" s="74"/>
      <c r="BD824" s="79"/>
      <c r="BE824" s="79"/>
      <c r="BF824" s="127"/>
      <c r="BG824" s="142"/>
      <c r="BH824" s="142"/>
      <c r="BI824" s="76"/>
      <c r="BJ824" s="24"/>
      <c r="BK824" s="25"/>
      <c r="BL824" s="259"/>
      <c r="BM824" s="533"/>
    </row>
    <row r="825" spans="1:65" ht="35.1" customHeight="1">
      <c r="A825" s="91"/>
      <c r="B825" s="358" t="s">
        <v>3016</v>
      </c>
      <c r="C825" s="50" t="s">
        <v>1947</v>
      </c>
      <c r="D825" s="264" t="s">
        <v>1874</v>
      </c>
      <c r="E825" s="393" t="s">
        <v>999</v>
      </c>
      <c r="F825" s="410"/>
      <c r="G825" s="10"/>
      <c r="H825" s="167"/>
      <c r="I825" s="10"/>
      <c r="J825" s="76"/>
      <c r="K825" s="24"/>
      <c r="L825" s="281"/>
      <c r="M825" s="431"/>
      <c r="N825" s="410">
        <v>162748</v>
      </c>
      <c r="O825" s="10">
        <v>30000</v>
      </c>
      <c r="P825" s="10">
        <v>45000</v>
      </c>
      <c r="Q825" s="268">
        <v>40000</v>
      </c>
      <c r="R825" s="10">
        <v>55000</v>
      </c>
      <c r="S825" s="76">
        <f t="shared" si="954"/>
        <v>42500</v>
      </c>
      <c r="T825" s="24">
        <f t="shared" si="955"/>
        <v>-120248</v>
      </c>
      <c r="U825" s="281">
        <f t="shared" si="956"/>
        <v>-0.73886007815764254</v>
      </c>
      <c r="V825" s="462">
        <f t="shared" si="957"/>
        <v>42500</v>
      </c>
      <c r="W825" s="410"/>
      <c r="X825" s="44"/>
      <c r="Y825" s="31"/>
      <c r="Z825" s="472"/>
      <c r="AA825" s="76"/>
      <c r="AB825" s="24"/>
      <c r="AC825" s="25"/>
      <c r="AD825" s="309"/>
      <c r="AE825" s="462"/>
      <c r="AF825" s="408"/>
      <c r="AG825" s="293"/>
      <c r="AH825" s="293"/>
      <c r="AI825" s="293"/>
      <c r="AJ825" s="293"/>
      <c r="AK825" s="293"/>
      <c r="AL825" s="327"/>
      <c r="AM825" s="463"/>
      <c r="AN825" s="513"/>
      <c r="AO825" s="88"/>
      <c r="AP825" s="116"/>
      <c r="AQ825" s="74"/>
      <c r="AR825" s="76"/>
      <c r="AS825" s="24"/>
      <c r="AT825" s="25"/>
      <c r="AU825" s="309"/>
      <c r="AV825" s="462"/>
      <c r="AW825" s="513"/>
      <c r="AX825" s="74"/>
      <c r="AY825" s="74"/>
      <c r="AZ825" s="75"/>
      <c r="BA825" s="61"/>
      <c r="BB825" s="60"/>
      <c r="BC825" s="74"/>
      <c r="BD825" s="79"/>
      <c r="BE825" s="79"/>
      <c r="BF825" s="127"/>
      <c r="BG825" s="142"/>
      <c r="BH825" s="142"/>
      <c r="BI825" s="76"/>
      <c r="BJ825" s="24"/>
      <c r="BK825" s="25"/>
      <c r="BL825" s="259"/>
      <c r="BM825" s="533"/>
    </row>
    <row r="826" spans="1:65" ht="35.1" customHeight="1">
      <c r="A826" s="91"/>
      <c r="B826" s="358" t="s">
        <v>3017</v>
      </c>
      <c r="C826" s="50" t="s">
        <v>1948</v>
      </c>
      <c r="D826" s="264" t="s">
        <v>1875</v>
      </c>
      <c r="E826" s="393" t="s">
        <v>999</v>
      </c>
      <c r="F826" s="410"/>
      <c r="G826" s="10"/>
      <c r="H826" s="167"/>
      <c r="I826" s="10"/>
      <c r="J826" s="76"/>
      <c r="K826" s="24"/>
      <c r="L826" s="281"/>
      <c r="M826" s="431"/>
      <c r="N826" s="410">
        <v>28239</v>
      </c>
      <c r="O826" s="10">
        <v>240000</v>
      </c>
      <c r="P826" s="10">
        <v>260000</v>
      </c>
      <c r="Q826" s="268">
        <v>250000</v>
      </c>
      <c r="R826" s="10">
        <v>250000</v>
      </c>
      <c r="S826" s="76">
        <f t="shared" si="954"/>
        <v>250000</v>
      </c>
      <c r="T826" s="24">
        <f t="shared" si="955"/>
        <v>221761</v>
      </c>
      <c r="U826" s="281">
        <f t="shared" si="956"/>
        <v>7.8530047097985056</v>
      </c>
      <c r="V826" s="462">
        <f t="shared" si="957"/>
        <v>250000</v>
      </c>
      <c r="W826" s="410"/>
      <c r="X826" s="44"/>
      <c r="Y826" s="31"/>
      <c r="Z826" s="472"/>
      <c r="AA826" s="76"/>
      <c r="AB826" s="24"/>
      <c r="AC826" s="25"/>
      <c r="AD826" s="309"/>
      <c r="AE826" s="462"/>
      <c r="AF826" s="408"/>
      <c r="AG826" s="293"/>
      <c r="AH826" s="293"/>
      <c r="AI826" s="293"/>
      <c r="AJ826" s="293"/>
      <c r="AK826" s="293"/>
      <c r="AL826" s="327"/>
      <c r="AM826" s="463"/>
      <c r="AN826" s="513"/>
      <c r="AO826" s="88"/>
      <c r="AP826" s="116"/>
      <c r="AQ826" s="74"/>
      <c r="AR826" s="76"/>
      <c r="AS826" s="24"/>
      <c r="AT826" s="25"/>
      <c r="AU826" s="309"/>
      <c r="AV826" s="462"/>
      <c r="AW826" s="513"/>
      <c r="AX826" s="74"/>
      <c r="AY826" s="74"/>
      <c r="AZ826" s="75"/>
      <c r="BA826" s="61"/>
      <c r="BB826" s="60"/>
      <c r="BC826" s="74"/>
      <c r="BD826" s="79"/>
      <c r="BE826" s="79"/>
      <c r="BF826" s="127"/>
      <c r="BG826" s="142"/>
      <c r="BH826" s="142"/>
      <c r="BI826" s="76"/>
      <c r="BJ826" s="24"/>
      <c r="BK826" s="25"/>
      <c r="BL826" s="259"/>
      <c r="BM826" s="533"/>
    </row>
    <row r="827" spans="1:65" ht="35.1" customHeight="1">
      <c r="A827" s="91"/>
      <c r="B827" s="358" t="s">
        <v>3018</v>
      </c>
      <c r="C827" s="50" t="s">
        <v>1949</v>
      </c>
      <c r="D827" s="264" t="s">
        <v>1876</v>
      </c>
      <c r="E827" s="393" t="s">
        <v>827</v>
      </c>
      <c r="F827" s="410"/>
      <c r="G827" s="10"/>
      <c r="H827" s="167"/>
      <c r="I827" s="10"/>
      <c r="J827" s="76"/>
      <c r="K827" s="24"/>
      <c r="L827" s="281"/>
      <c r="M827" s="431"/>
      <c r="N827" s="410">
        <v>132903</v>
      </c>
      <c r="O827" s="10">
        <v>600000</v>
      </c>
      <c r="P827" s="10">
        <v>650000</v>
      </c>
      <c r="Q827" s="268">
        <v>630000</v>
      </c>
      <c r="R827" s="10">
        <v>650000</v>
      </c>
      <c r="S827" s="76">
        <f t="shared" si="954"/>
        <v>632500</v>
      </c>
      <c r="T827" s="24">
        <f t="shared" si="955"/>
        <v>499597</v>
      </c>
      <c r="U827" s="281">
        <f t="shared" si="956"/>
        <v>3.7591100276141245</v>
      </c>
      <c r="V827" s="462">
        <f t="shared" si="957"/>
        <v>632500</v>
      </c>
      <c r="W827" s="410"/>
      <c r="X827" s="44"/>
      <c r="Y827" s="31"/>
      <c r="Z827" s="472"/>
      <c r="AA827" s="76"/>
      <c r="AB827" s="24"/>
      <c r="AC827" s="25"/>
      <c r="AD827" s="309"/>
      <c r="AE827" s="462"/>
      <c r="AF827" s="408"/>
      <c r="AG827" s="293"/>
      <c r="AH827" s="293"/>
      <c r="AI827" s="293"/>
      <c r="AJ827" s="293"/>
      <c r="AK827" s="293"/>
      <c r="AL827" s="327"/>
      <c r="AM827" s="463"/>
      <c r="AN827" s="513"/>
      <c r="AO827" s="88"/>
      <c r="AP827" s="116"/>
      <c r="AQ827" s="74"/>
      <c r="AR827" s="76"/>
      <c r="AS827" s="24"/>
      <c r="AT827" s="25"/>
      <c r="AU827" s="309"/>
      <c r="AV827" s="462"/>
      <c r="AW827" s="513"/>
      <c r="AX827" s="74"/>
      <c r="AY827" s="74"/>
      <c r="AZ827" s="75"/>
      <c r="BA827" s="61"/>
      <c r="BB827" s="60"/>
      <c r="BC827" s="74"/>
      <c r="BD827" s="79"/>
      <c r="BE827" s="79"/>
      <c r="BF827" s="127"/>
      <c r="BG827" s="142"/>
      <c r="BH827" s="142"/>
      <c r="BI827" s="76"/>
      <c r="BJ827" s="24"/>
      <c r="BK827" s="25"/>
      <c r="BL827" s="259"/>
      <c r="BM827" s="533"/>
    </row>
    <row r="828" spans="1:65" ht="35.1" customHeight="1">
      <c r="A828" s="91"/>
      <c r="B828" s="358" t="s">
        <v>3019</v>
      </c>
      <c r="C828" s="50" t="s">
        <v>1950</v>
      </c>
      <c r="D828" s="264" t="s">
        <v>1877</v>
      </c>
      <c r="E828" s="393" t="s">
        <v>999</v>
      </c>
      <c r="F828" s="410"/>
      <c r="G828" s="10"/>
      <c r="H828" s="167"/>
      <c r="I828" s="10"/>
      <c r="J828" s="76"/>
      <c r="K828" s="24"/>
      <c r="L828" s="281"/>
      <c r="M828" s="431"/>
      <c r="N828" s="410">
        <v>283225</v>
      </c>
      <c r="O828" s="10">
        <v>600000</v>
      </c>
      <c r="P828" s="10">
        <v>650000</v>
      </c>
      <c r="Q828" s="268">
        <v>630000</v>
      </c>
      <c r="R828" s="10">
        <v>650000</v>
      </c>
      <c r="S828" s="76">
        <f t="shared" si="954"/>
        <v>632500</v>
      </c>
      <c r="T828" s="24">
        <f t="shared" si="955"/>
        <v>349275</v>
      </c>
      <c r="U828" s="281">
        <f t="shared" si="956"/>
        <v>1.2332068143702004</v>
      </c>
      <c r="V828" s="462">
        <f t="shared" si="957"/>
        <v>632500</v>
      </c>
      <c r="W828" s="410"/>
      <c r="X828" s="44"/>
      <c r="Y828" s="31"/>
      <c r="Z828" s="472"/>
      <c r="AA828" s="76"/>
      <c r="AB828" s="24"/>
      <c r="AC828" s="25"/>
      <c r="AD828" s="309"/>
      <c r="AE828" s="462"/>
      <c r="AF828" s="408"/>
      <c r="AG828" s="293"/>
      <c r="AH828" s="293"/>
      <c r="AI828" s="293"/>
      <c r="AJ828" s="293"/>
      <c r="AK828" s="293"/>
      <c r="AL828" s="327"/>
      <c r="AM828" s="463"/>
      <c r="AN828" s="513"/>
      <c r="AO828" s="88"/>
      <c r="AP828" s="116"/>
      <c r="AQ828" s="74"/>
      <c r="AR828" s="76"/>
      <c r="AS828" s="24"/>
      <c r="AT828" s="25"/>
      <c r="AU828" s="309"/>
      <c r="AV828" s="462"/>
      <c r="AW828" s="513"/>
      <c r="AX828" s="74"/>
      <c r="AY828" s="74"/>
      <c r="AZ828" s="75"/>
      <c r="BA828" s="61"/>
      <c r="BB828" s="60"/>
      <c r="BC828" s="74"/>
      <c r="BD828" s="79"/>
      <c r="BE828" s="79"/>
      <c r="BF828" s="127"/>
      <c r="BG828" s="142"/>
      <c r="BH828" s="142"/>
      <c r="BI828" s="76"/>
      <c r="BJ828" s="24"/>
      <c r="BK828" s="25"/>
      <c r="BL828" s="259"/>
      <c r="BM828" s="533"/>
    </row>
    <row r="829" spans="1:65" ht="35.1" customHeight="1">
      <c r="A829" s="91"/>
      <c r="B829" s="358" t="s">
        <v>3020</v>
      </c>
      <c r="C829" s="50" t="s">
        <v>1951</v>
      </c>
      <c r="D829" s="264" t="s">
        <v>1878</v>
      </c>
      <c r="E829" s="393" t="s">
        <v>999</v>
      </c>
      <c r="F829" s="410"/>
      <c r="G829" s="10"/>
      <c r="H829" s="167"/>
      <c r="I829" s="10"/>
      <c r="J829" s="76"/>
      <c r="K829" s="24"/>
      <c r="L829" s="281"/>
      <c r="M829" s="431"/>
      <c r="N829" s="410">
        <v>212497</v>
      </c>
      <c r="O829" s="10">
        <v>350000</v>
      </c>
      <c r="P829" s="10">
        <v>390000</v>
      </c>
      <c r="Q829" s="268">
        <v>370000</v>
      </c>
      <c r="R829" s="10">
        <v>350000</v>
      </c>
      <c r="S829" s="76">
        <f t="shared" si="954"/>
        <v>365000</v>
      </c>
      <c r="T829" s="24">
        <f t="shared" si="955"/>
        <v>152503</v>
      </c>
      <c r="U829" s="281">
        <f t="shared" si="956"/>
        <v>0.71767130830082304</v>
      </c>
      <c r="V829" s="462">
        <f t="shared" si="957"/>
        <v>365000</v>
      </c>
      <c r="W829" s="410"/>
      <c r="X829" s="44"/>
      <c r="Y829" s="31"/>
      <c r="Z829" s="472"/>
      <c r="AA829" s="76"/>
      <c r="AB829" s="24"/>
      <c r="AC829" s="25"/>
      <c r="AD829" s="309"/>
      <c r="AE829" s="462"/>
      <c r="AF829" s="408"/>
      <c r="AG829" s="293"/>
      <c r="AH829" s="293"/>
      <c r="AI829" s="293"/>
      <c r="AJ829" s="293"/>
      <c r="AK829" s="293"/>
      <c r="AL829" s="327"/>
      <c r="AM829" s="463"/>
      <c r="AN829" s="513"/>
      <c r="AO829" s="88"/>
      <c r="AP829" s="116"/>
      <c r="AQ829" s="74"/>
      <c r="AR829" s="76"/>
      <c r="AS829" s="24"/>
      <c r="AT829" s="25"/>
      <c r="AU829" s="309"/>
      <c r="AV829" s="462"/>
      <c r="AW829" s="513"/>
      <c r="AX829" s="74"/>
      <c r="AY829" s="74"/>
      <c r="AZ829" s="75"/>
      <c r="BA829" s="61"/>
      <c r="BB829" s="60"/>
      <c r="BC829" s="74"/>
      <c r="BD829" s="79"/>
      <c r="BE829" s="79"/>
      <c r="BF829" s="127"/>
      <c r="BG829" s="142"/>
      <c r="BH829" s="142"/>
      <c r="BI829" s="76"/>
      <c r="BJ829" s="24"/>
      <c r="BK829" s="25"/>
      <c r="BL829" s="259"/>
      <c r="BM829" s="533"/>
    </row>
    <row r="830" spans="1:65" ht="35.1" customHeight="1">
      <c r="A830" s="91"/>
      <c r="B830" s="358" t="s">
        <v>3021</v>
      </c>
      <c r="C830" s="50" t="s">
        <v>1952</v>
      </c>
      <c r="D830" s="264" t="s">
        <v>1879</v>
      </c>
      <c r="E830" s="393" t="s">
        <v>999</v>
      </c>
      <c r="F830" s="410"/>
      <c r="G830" s="10"/>
      <c r="H830" s="167"/>
      <c r="I830" s="10"/>
      <c r="J830" s="76"/>
      <c r="K830" s="24"/>
      <c r="L830" s="281"/>
      <c r="M830" s="431"/>
      <c r="N830" s="410">
        <v>61701</v>
      </c>
      <c r="O830" s="10">
        <v>650000</v>
      </c>
      <c r="P830" s="10">
        <v>680000</v>
      </c>
      <c r="Q830" s="268">
        <v>660000</v>
      </c>
      <c r="R830" s="10">
        <v>680000</v>
      </c>
      <c r="S830" s="76">
        <f t="shared" si="954"/>
        <v>667500</v>
      </c>
      <c r="T830" s="24">
        <f t="shared" si="955"/>
        <v>605799</v>
      </c>
      <c r="U830" s="281">
        <f t="shared" si="956"/>
        <v>9.8183011620557199</v>
      </c>
      <c r="V830" s="462">
        <f t="shared" si="957"/>
        <v>667500</v>
      </c>
      <c r="W830" s="410"/>
      <c r="X830" s="44"/>
      <c r="Y830" s="31"/>
      <c r="Z830" s="472"/>
      <c r="AA830" s="76"/>
      <c r="AB830" s="24"/>
      <c r="AC830" s="25"/>
      <c r="AD830" s="309"/>
      <c r="AE830" s="462"/>
      <c r="AF830" s="408"/>
      <c r="AG830" s="293"/>
      <c r="AH830" s="293"/>
      <c r="AI830" s="293"/>
      <c r="AJ830" s="293"/>
      <c r="AK830" s="293"/>
      <c r="AL830" s="327"/>
      <c r="AM830" s="463"/>
      <c r="AN830" s="513"/>
      <c r="AO830" s="88"/>
      <c r="AP830" s="116"/>
      <c r="AQ830" s="74"/>
      <c r="AR830" s="76"/>
      <c r="AS830" s="24"/>
      <c r="AT830" s="25"/>
      <c r="AU830" s="309"/>
      <c r="AV830" s="462"/>
      <c r="AW830" s="513"/>
      <c r="AX830" s="74"/>
      <c r="AY830" s="74"/>
      <c r="AZ830" s="75"/>
      <c r="BA830" s="61"/>
      <c r="BB830" s="60"/>
      <c r="BC830" s="74"/>
      <c r="BD830" s="79"/>
      <c r="BE830" s="79"/>
      <c r="BF830" s="127"/>
      <c r="BG830" s="142"/>
      <c r="BH830" s="142"/>
      <c r="BI830" s="76"/>
      <c r="BJ830" s="24"/>
      <c r="BK830" s="25"/>
      <c r="BL830" s="259"/>
      <c r="BM830" s="533"/>
    </row>
    <row r="831" spans="1:65" ht="35.1" customHeight="1">
      <c r="A831" s="91"/>
      <c r="B831" s="358" t="s">
        <v>3022</v>
      </c>
      <c r="C831" s="50" t="s">
        <v>1953</v>
      </c>
      <c r="D831" s="264" t="s">
        <v>1880</v>
      </c>
      <c r="E831" s="393" t="s">
        <v>999</v>
      </c>
      <c r="F831" s="410"/>
      <c r="G831" s="10"/>
      <c r="H831" s="167"/>
      <c r="I831" s="10"/>
      <c r="J831" s="76"/>
      <c r="K831" s="24"/>
      <c r="L831" s="281"/>
      <c r="M831" s="431"/>
      <c r="N831" s="410">
        <v>61843</v>
      </c>
      <c r="O831" s="10">
        <v>250000</v>
      </c>
      <c r="P831" s="10">
        <v>275000</v>
      </c>
      <c r="Q831" s="268">
        <v>265000</v>
      </c>
      <c r="R831" s="10">
        <v>250000</v>
      </c>
      <c r="S831" s="76">
        <f t="shared" si="954"/>
        <v>260000</v>
      </c>
      <c r="T831" s="24">
        <f t="shared" si="955"/>
        <v>198157</v>
      </c>
      <c r="U831" s="281">
        <f t="shared" si="956"/>
        <v>3.2041944925052146</v>
      </c>
      <c r="V831" s="462">
        <f t="shared" si="957"/>
        <v>260000</v>
      </c>
      <c r="W831" s="410"/>
      <c r="X831" s="44"/>
      <c r="Y831" s="31"/>
      <c r="Z831" s="472"/>
      <c r="AA831" s="76"/>
      <c r="AB831" s="24"/>
      <c r="AC831" s="25"/>
      <c r="AD831" s="309"/>
      <c r="AE831" s="462"/>
      <c r="AF831" s="408"/>
      <c r="AG831" s="293"/>
      <c r="AH831" s="293"/>
      <c r="AI831" s="293"/>
      <c r="AJ831" s="293"/>
      <c r="AK831" s="293"/>
      <c r="AL831" s="327"/>
      <c r="AM831" s="463"/>
      <c r="AN831" s="513"/>
      <c r="AO831" s="88"/>
      <c r="AP831" s="116"/>
      <c r="AQ831" s="74"/>
      <c r="AR831" s="76"/>
      <c r="AS831" s="24"/>
      <c r="AT831" s="25"/>
      <c r="AU831" s="309"/>
      <c r="AV831" s="462"/>
      <c r="AW831" s="513"/>
      <c r="AX831" s="74"/>
      <c r="AY831" s="74"/>
      <c r="AZ831" s="75"/>
      <c r="BA831" s="61"/>
      <c r="BB831" s="60"/>
      <c r="BC831" s="74"/>
      <c r="BD831" s="79"/>
      <c r="BE831" s="79"/>
      <c r="BF831" s="127"/>
      <c r="BG831" s="142"/>
      <c r="BH831" s="142"/>
      <c r="BI831" s="76"/>
      <c r="BJ831" s="24"/>
      <c r="BK831" s="25"/>
      <c r="BL831" s="259"/>
      <c r="BM831" s="533"/>
    </row>
    <row r="832" spans="1:65" ht="35.1" customHeight="1">
      <c r="A832" s="91"/>
      <c r="B832" s="358" t="s">
        <v>3023</v>
      </c>
      <c r="C832" s="50" t="s">
        <v>1954</v>
      </c>
      <c r="D832" s="264" t="s">
        <v>1881</v>
      </c>
      <c r="E832" s="393" t="s">
        <v>999</v>
      </c>
      <c r="F832" s="410"/>
      <c r="G832" s="10"/>
      <c r="H832" s="167"/>
      <c r="I832" s="10"/>
      <c r="J832" s="76"/>
      <c r="K832" s="24"/>
      <c r="L832" s="281"/>
      <c r="M832" s="431"/>
      <c r="N832" s="410">
        <v>3455</v>
      </c>
      <c r="O832" s="10">
        <v>240000</v>
      </c>
      <c r="P832" s="10">
        <v>275000</v>
      </c>
      <c r="Q832" s="268">
        <v>265000</v>
      </c>
      <c r="R832" s="10">
        <v>250000</v>
      </c>
      <c r="S832" s="76">
        <f t="shared" si="954"/>
        <v>257500</v>
      </c>
      <c r="T832" s="24">
        <f t="shared" si="955"/>
        <v>254045</v>
      </c>
      <c r="U832" s="281">
        <f t="shared" si="956"/>
        <v>73.529667149059335</v>
      </c>
      <c r="V832" s="462">
        <f t="shared" si="957"/>
        <v>257500</v>
      </c>
      <c r="W832" s="410"/>
      <c r="X832" s="44"/>
      <c r="Y832" s="31"/>
      <c r="Z832" s="472"/>
      <c r="AA832" s="76"/>
      <c r="AB832" s="24"/>
      <c r="AC832" s="25"/>
      <c r="AD832" s="309"/>
      <c r="AE832" s="462"/>
      <c r="AF832" s="408"/>
      <c r="AG832" s="293"/>
      <c r="AH832" s="293"/>
      <c r="AI832" s="293"/>
      <c r="AJ832" s="293"/>
      <c r="AK832" s="293"/>
      <c r="AL832" s="327"/>
      <c r="AM832" s="463"/>
      <c r="AN832" s="513"/>
      <c r="AO832" s="88"/>
      <c r="AP832" s="116"/>
      <c r="AQ832" s="74"/>
      <c r="AR832" s="76"/>
      <c r="AS832" s="24"/>
      <c r="AT832" s="25"/>
      <c r="AU832" s="309"/>
      <c r="AV832" s="462"/>
      <c r="AW832" s="513"/>
      <c r="AX832" s="74"/>
      <c r="AY832" s="74"/>
      <c r="AZ832" s="75"/>
      <c r="BA832" s="61"/>
      <c r="BB832" s="60"/>
      <c r="BC832" s="74"/>
      <c r="BD832" s="79"/>
      <c r="BE832" s="79"/>
      <c r="BF832" s="127"/>
      <c r="BG832" s="142"/>
      <c r="BH832" s="142"/>
      <c r="BI832" s="76"/>
      <c r="BJ832" s="24"/>
      <c r="BK832" s="25"/>
      <c r="BL832" s="259"/>
      <c r="BM832" s="533"/>
    </row>
    <row r="833" spans="1:65" ht="35.1" customHeight="1">
      <c r="A833" s="91"/>
      <c r="B833" s="358" t="s">
        <v>3024</v>
      </c>
      <c r="C833" s="50" t="s">
        <v>1955</v>
      </c>
      <c r="D833" s="264" t="s">
        <v>1882</v>
      </c>
      <c r="E833" s="393" t="s">
        <v>1457</v>
      </c>
      <c r="F833" s="410"/>
      <c r="G833" s="10"/>
      <c r="H833" s="167"/>
      <c r="I833" s="10"/>
      <c r="J833" s="76"/>
      <c r="K833" s="24"/>
      <c r="L833" s="281"/>
      <c r="M833" s="431"/>
      <c r="N833" s="410">
        <v>34286</v>
      </c>
      <c r="O833" s="10">
        <v>460000</v>
      </c>
      <c r="P833" s="10">
        <v>490000</v>
      </c>
      <c r="Q833" s="268">
        <v>470000</v>
      </c>
      <c r="R833" s="10">
        <v>190000</v>
      </c>
      <c r="S833" s="76">
        <f t="shared" si="954"/>
        <v>402500</v>
      </c>
      <c r="T833" s="24">
        <f t="shared" si="955"/>
        <v>368214</v>
      </c>
      <c r="U833" s="281">
        <f t="shared" si="956"/>
        <v>10.739485504287464</v>
      </c>
      <c r="V833" s="462">
        <f t="shared" si="957"/>
        <v>402500</v>
      </c>
      <c r="W833" s="410"/>
      <c r="X833" s="44"/>
      <c r="Y833" s="31"/>
      <c r="Z833" s="472"/>
      <c r="AA833" s="76"/>
      <c r="AB833" s="24"/>
      <c r="AC833" s="25"/>
      <c r="AD833" s="309"/>
      <c r="AE833" s="462"/>
      <c r="AF833" s="408"/>
      <c r="AG833" s="293"/>
      <c r="AH833" s="293"/>
      <c r="AI833" s="293"/>
      <c r="AJ833" s="293"/>
      <c r="AK833" s="293"/>
      <c r="AL833" s="327"/>
      <c r="AM833" s="463"/>
      <c r="AN833" s="513"/>
      <c r="AO833" s="88"/>
      <c r="AP833" s="116"/>
      <c r="AQ833" s="74"/>
      <c r="AR833" s="76"/>
      <c r="AS833" s="24"/>
      <c r="AT833" s="25"/>
      <c r="AU833" s="309"/>
      <c r="AV833" s="462"/>
      <c r="AW833" s="513"/>
      <c r="AX833" s="74"/>
      <c r="AY833" s="74"/>
      <c r="AZ833" s="75"/>
      <c r="BA833" s="61"/>
      <c r="BB833" s="60"/>
      <c r="BC833" s="74"/>
      <c r="BD833" s="79"/>
      <c r="BE833" s="79"/>
      <c r="BF833" s="127"/>
      <c r="BG833" s="142"/>
      <c r="BH833" s="142"/>
      <c r="BI833" s="76"/>
      <c r="BJ833" s="24"/>
      <c r="BK833" s="25"/>
      <c r="BL833" s="259"/>
      <c r="BM833" s="533"/>
    </row>
    <row r="834" spans="1:65" ht="35.1" customHeight="1">
      <c r="A834" s="91"/>
      <c r="B834" s="358" t="s">
        <v>3025</v>
      </c>
      <c r="C834" s="50" t="s">
        <v>1956</v>
      </c>
      <c r="D834" s="264" t="s">
        <v>1883</v>
      </c>
      <c r="E834" s="393" t="s">
        <v>999</v>
      </c>
      <c r="F834" s="410"/>
      <c r="G834" s="10"/>
      <c r="H834" s="167"/>
      <c r="I834" s="10"/>
      <c r="J834" s="76"/>
      <c r="K834" s="24"/>
      <c r="L834" s="281"/>
      <c r="M834" s="431"/>
      <c r="N834" s="410">
        <v>144874</v>
      </c>
      <c r="O834" s="10">
        <v>640000</v>
      </c>
      <c r="P834" s="10">
        <v>680000</v>
      </c>
      <c r="Q834" s="268">
        <v>660000</v>
      </c>
      <c r="R834" s="10">
        <v>640000</v>
      </c>
      <c r="S834" s="76">
        <f t="shared" si="954"/>
        <v>655000</v>
      </c>
      <c r="T834" s="24">
        <f t="shared" si="955"/>
        <v>510126</v>
      </c>
      <c r="U834" s="281">
        <f t="shared" si="956"/>
        <v>3.5211701202424175</v>
      </c>
      <c r="V834" s="462">
        <f t="shared" si="957"/>
        <v>655000</v>
      </c>
      <c r="W834" s="410"/>
      <c r="X834" s="44"/>
      <c r="Y834" s="31"/>
      <c r="Z834" s="472"/>
      <c r="AA834" s="76"/>
      <c r="AB834" s="24"/>
      <c r="AC834" s="25"/>
      <c r="AD834" s="309"/>
      <c r="AE834" s="462"/>
      <c r="AF834" s="408"/>
      <c r="AG834" s="293"/>
      <c r="AH834" s="293"/>
      <c r="AI834" s="293"/>
      <c r="AJ834" s="293"/>
      <c r="AK834" s="293"/>
      <c r="AL834" s="327"/>
      <c r="AM834" s="463"/>
      <c r="AN834" s="513"/>
      <c r="AO834" s="88"/>
      <c r="AP834" s="116"/>
      <c r="AQ834" s="74"/>
      <c r="AR834" s="76"/>
      <c r="AS834" s="24"/>
      <c r="AT834" s="25"/>
      <c r="AU834" s="309"/>
      <c r="AV834" s="462"/>
      <c r="AW834" s="513"/>
      <c r="AX834" s="74"/>
      <c r="AY834" s="74"/>
      <c r="AZ834" s="75"/>
      <c r="BA834" s="61"/>
      <c r="BB834" s="60"/>
      <c r="BC834" s="74"/>
      <c r="BD834" s="79"/>
      <c r="BE834" s="79"/>
      <c r="BF834" s="127"/>
      <c r="BG834" s="142"/>
      <c r="BH834" s="142"/>
      <c r="BI834" s="76"/>
      <c r="BJ834" s="24"/>
      <c r="BK834" s="25"/>
      <c r="BL834" s="259"/>
      <c r="BM834" s="533"/>
    </row>
    <row r="835" spans="1:65" ht="35.1" customHeight="1">
      <c r="A835" s="91"/>
      <c r="B835" s="358" t="s">
        <v>3026</v>
      </c>
      <c r="C835" s="50" t="s">
        <v>1957</v>
      </c>
      <c r="D835" s="264" t="s">
        <v>1884</v>
      </c>
      <c r="E835" s="393" t="s">
        <v>827</v>
      </c>
      <c r="F835" s="410"/>
      <c r="G835" s="10"/>
      <c r="H835" s="167"/>
      <c r="I835" s="10"/>
      <c r="J835" s="76"/>
      <c r="K835" s="24"/>
      <c r="L835" s="281"/>
      <c r="M835" s="431"/>
      <c r="N835" s="410">
        <v>180242</v>
      </c>
      <c r="O835" s="10">
        <v>145000</v>
      </c>
      <c r="P835" s="10">
        <v>1500000</v>
      </c>
      <c r="Q835" s="268">
        <v>160000</v>
      </c>
      <c r="R835" s="10">
        <v>145000</v>
      </c>
      <c r="S835" s="76">
        <f t="shared" si="954"/>
        <v>487500</v>
      </c>
      <c r="T835" s="24">
        <f t="shared" si="955"/>
        <v>307258</v>
      </c>
      <c r="U835" s="281">
        <f t="shared" si="956"/>
        <v>1.7046970184529688</v>
      </c>
      <c r="V835" s="462">
        <f t="shared" si="957"/>
        <v>487500</v>
      </c>
      <c r="W835" s="410"/>
      <c r="X835" s="44"/>
      <c r="Y835" s="31"/>
      <c r="Z835" s="472"/>
      <c r="AA835" s="76"/>
      <c r="AB835" s="24"/>
      <c r="AC835" s="25"/>
      <c r="AD835" s="309"/>
      <c r="AE835" s="462"/>
      <c r="AF835" s="408"/>
      <c r="AG835" s="293"/>
      <c r="AH835" s="293"/>
      <c r="AI835" s="293"/>
      <c r="AJ835" s="293"/>
      <c r="AK835" s="293"/>
      <c r="AL835" s="327"/>
      <c r="AM835" s="463"/>
      <c r="AN835" s="513"/>
      <c r="AO835" s="88"/>
      <c r="AP835" s="116"/>
      <c r="AQ835" s="74"/>
      <c r="AR835" s="76"/>
      <c r="AS835" s="24"/>
      <c r="AT835" s="25"/>
      <c r="AU835" s="309"/>
      <c r="AV835" s="462"/>
      <c r="AW835" s="513"/>
      <c r="AX835" s="74"/>
      <c r="AY835" s="74"/>
      <c r="AZ835" s="75"/>
      <c r="BA835" s="61"/>
      <c r="BB835" s="60"/>
      <c r="BC835" s="74"/>
      <c r="BD835" s="79"/>
      <c r="BE835" s="79"/>
      <c r="BF835" s="127"/>
      <c r="BG835" s="142"/>
      <c r="BH835" s="142"/>
      <c r="BI835" s="76"/>
      <c r="BJ835" s="24"/>
      <c r="BK835" s="25"/>
      <c r="BL835" s="259"/>
      <c r="BM835" s="533"/>
    </row>
    <row r="836" spans="1:65" ht="35.1" customHeight="1">
      <c r="A836" s="91"/>
      <c r="B836" s="358" t="s">
        <v>3027</v>
      </c>
      <c r="C836" s="50" t="s">
        <v>1958</v>
      </c>
      <c r="D836" s="264" t="s">
        <v>1885</v>
      </c>
      <c r="E836" s="393" t="s">
        <v>827</v>
      </c>
      <c r="F836" s="410"/>
      <c r="G836" s="10"/>
      <c r="H836" s="167"/>
      <c r="I836" s="10"/>
      <c r="J836" s="76"/>
      <c r="K836" s="24"/>
      <c r="L836" s="281"/>
      <c r="M836" s="431"/>
      <c r="N836" s="410">
        <v>457914</v>
      </c>
      <c r="O836" s="10">
        <v>540000</v>
      </c>
      <c r="P836" s="10">
        <v>580000</v>
      </c>
      <c r="Q836" s="268">
        <v>560000</v>
      </c>
      <c r="R836" s="10">
        <v>600000</v>
      </c>
      <c r="S836" s="76">
        <f t="shared" si="954"/>
        <v>570000</v>
      </c>
      <c r="T836" s="24">
        <f t="shared" si="955"/>
        <v>112086</v>
      </c>
      <c r="U836" s="281">
        <f t="shared" si="956"/>
        <v>0.24477521980109801</v>
      </c>
      <c r="V836" s="462">
        <f t="shared" si="957"/>
        <v>570000</v>
      </c>
      <c r="W836" s="410"/>
      <c r="X836" s="44"/>
      <c r="Y836" s="31"/>
      <c r="Z836" s="472"/>
      <c r="AA836" s="76"/>
      <c r="AB836" s="24"/>
      <c r="AC836" s="25"/>
      <c r="AD836" s="309"/>
      <c r="AE836" s="462"/>
      <c r="AF836" s="408"/>
      <c r="AG836" s="293"/>
      <c r="AH836" s="293"/>
      <c r="AI836" s="293"/>
      <c r="AJ836" s="293"/>
      <c r="AK836" s="293"/>
      <c r="AL836" s="327"/>
      <c r="AM836" s="463"/>
      <c r="AN836" s="513"/>
      <c r="AO836" s="88"/>
      <c r="AP836" s="116"/>
      <c r="AQ836" s="74"/>
      <c r="AR836" s="76"/>
      <c r="AS836" s="24"/>
      <c r="AT836" s="25"/>
      <c r="AU836" s="309"/>
      <c r="AV836" s="462"/>
      <c r="AW836" s="513"/>
      <c r="AX836" s="74"/>
      <c r="AY836" s="74"/>
      <c r="AZ836" s="75"/>
      <c r="BA836" s="61"/>
      <c r="BB836" s="60"/>
      <c r="BC836" s="74"/>
      <c r="BD836" s="79"/>
      <c r="BE836" s="79"/>
      <c r="BF836" s="127"/>
      <c r="BG836" s="142"/>
      <c r="BH836" s="142"/>
      <c r="BI836" s="76"/>
      <c r="BJ836" s="24"/>
      <c r="BK836" s="25"/>
      <c r="BL836" s="259"/>
      <c r="BM836" s="533"/>
    </row>
    <row r="837" spans="1:65" ht="35.1" customHeight="1">
      <c r="A837" s="91"/>
      <c r="B837" s="358" t="s">
        <v>3028</v>
      </c>
      <c r="C837" s="50" t="s">
        <v>1959</v>
      </c>
      <c r="D837" s="264" t="s">
        <v>1886</v>
      </c>
      <c r="E837" s="393" t="s">
        <v>999</v>
      </c>
      <c r="F837" s="410"/>
      <c r="G837" s="10"/>
      <c r="H837" s="167"/>
      <c r="I837" s="10"/>
      <c r="J837" s="76"/>
      <c r="K837" s="24"/>
      <c r="L837" s="281"/>
      <c r="M837" s="431"/>
      <c r="N837" s="410">
        <v>160545</v>
      </c>
      <c r="O837" s="10">
        <v>300000</v>
      </c>
      <c r="P837" s="10">
        <v>330000</v>
      </c>
      <c r="Q837" s="268">
        <v>320000</v>
      </c>
      <c r="R837" s="10">
        <v>450000</v>
      </c>
      <c r="S837" s="76">
        <f t="shared" si="954"/>
        <v>350000</v>
      </c>
      <c r="T837" s="24">
        <f t="shared" si="955"/>
        <v>189455</v>
      </c>
      <c r="U837" s="281">
        <f t="shared" si="956"/>
        <v>1.1800741225201656</v>
      </c>
      <c r="V837" s="462">
        <f t="shared" si="957"/>
        <v>350000</v>
      </c>
      <c r="W837" s="410"/>
      <c r="X837" s="44"/>
      <c r="Y837" s="31"/>
      <c r="Z837" s="472"/>
      <c r="AA837" s="76"/>
      <c r="AB837" s="24"/>
      <c r="AC837" s="25"/>
      <c r="AD837" s="309"/>
      <c r="AE837" s="462"/>
      <c r="AF837" s="408"/>
      <c r="AG837" s="293"/>
      <c r="AH837" s="293"/>
      <c r="AI837" s="293"/>
      <c r="AJ837" s="293"/>
      <c r="AK837" s="293"/>
      <c r="AL837" s="327"/>
      <c r="AM837" s="463"/>
      <c r="AN837" s="513"/>
      <c r="AO837" s="88"/>
      <c r="AP837" s="116"/>
      <c r="AQ837" s="74"/>
      <c r="AR837" s="76"/>
      <c r="AS837" s="24"/>
      <c r="AT837" s="25"/>
      <c r="AU837" s="309"/>
      <c r="AV837" s="462"/>
      <c r="AW837" s="513"/>
      <c r="AX837" s="74"/>
      <c r="AY837" s="74"/>
      <c r="AZ837" s="75"/>
      <c r="BA837" s="61"/>
      <c r="BB837" s="60"/>
      <c r="BC837" s="74"/>
      <c r="BD837" s="79"/>
      <c r="BE837" s="79"/>
      <c r="BF837" s="127"/>
      <c r="BG837" s="142"/>
      <c r="BH837" s="142"/>
      <c r="BI837" s="76"/>
      <c r="BJ837" s="24"/>
      <c r="BK837" s="25"/>
      <c r="BL837" s="259"/>
      <c r="BM837" s="533"/>
    </row>
    <row r="838" spans="1:65" ht="35.1" customHeight="1">
      <c r="A838" s="91"/>
      <c r="B838" s="358" t="s">
        <v>3029</v>
      </c>
      <c r="C838" s="50" t="s">
        <v>1960</v>
      </c>
      <c r="D838" s="264" t="s">
        <v>1887</v>
      </c>
      <c r="E838" s="393" t="s">
        <v>1399</v>
      </c>
      <c r="F838" s="410"/>
      <c r="G838" s="10"/>
      <c r="H838" s="167"/>
      <c r="I838" s="10"/>
      <c r="J838" s="76"/>
      <c r="K838" s="24"/>
      <c r="L838" s="281"/>
      <c r="M838" s="431"/>
      <c r="N838" s="410">
        <v>34799</v>
      </c>
      <c r="O838" s="10">
        <v>120000</v>
      </c>
      <c r="P838" s="10">
        <v>135000</v>
      </c>
      <c r="Q838" s="268">
        <v>125000</v>
      </c>
      <c r="R838" s="10">
        <v>140000</v>
      </c>
      <c r="S838" s="76">
        <f t="shared" si="954"/>
        <v>130000</v>
      </c>
      <c r="T838" s="24">
        <f t="shared" si="955"/>
        <v>95201</v>
      </c>
      <c r="U838" s="281">
        <f t="shared" si="956"/>
        <v>2.7357395327451939</v>
      </c>
      <c r="V838" s="462">
        <f t="shared" si="957"/>
        <v>130000</v>
      </c>
      <c r="W838" s="410"/>
      <c r="X838" s="44"/>
      <c r="Y838" s="31"/>
      <c r="Z838" s="472"/>
      <c r="AA838" s="76"/>
      <c r="AB838" s="24"/>
      <c r="AC838" s="25"/>
      <c r="AD838" s="309"/>
      <c r="AE838" s="462"/>
      <c r="AF838" s="408"/>
      <c r="AG838" s="293"/>
      <c r="AH838" s="293"/>
      <c r="AI838" s="293"/>
      <c r="AJ838" s="293"/>
      <c r="AK838" s="293"/>
      <c r="AL838" s="327"/>
      <c r="AM838" s="463"/>
      <c r="AN838" s="513"/>
      <c r="AO838" s="88"/>
      <c r="AP838" s="116"/>
      <c r="AQ838" s="74"/>
      <c r="AR838" s="76"/>
      <c r="AS838" s="24"/>
      <c r="AT838" s="25"/>
      <c r="AU838" s="309"/>
      <c r="AV838" s="462"/>
      <c r="AW838" s="513"/>
      <c r="AX838" s="74"/>
      <c r="AY838" s="74"/>
      <c r="AZ838" s="75"/>
      <c r="BA838" s="61"/>
      <c r="BB838" s="60"/>
      <c r="BC838" s="74"/>
      <c r="BD838" s="79"/>
      <c r="BE838" s="79"/>
      <c r="BF838" s="127"/>
      <c r="BG838" s="142"/>
      <c r="BH838" s="142"/>
      <c r="BI838" s="76"/>
      <c r="BJ838" s="24"/>
      <c r="BK838" s="25"/>
      <c r="BL838" s="259"/>
      <c r="BM838" s="533"/>
    </row>
    <row r="839" spans="1:65" ht="35.1" customHeight="1">
      <c r="A839" s="91"/>
      <c r="B839" s="358" t="s">
        <v>3030</v>
      </c>
      <c r="C839" s="50" t="s">
        <v>1961</v>
      </c>
      <c r="D839" s="264" t="s">
        <v>1888</v>
      </c>
      <c r="E839" s="393" t="s">
        <v>999</v>
      </c>
      <c r="F839" s="410"/>
      <c r="G839" s="10"/>
      <c r="H839" s="167"/>
      <c r="I839" s="10"/>
      <c r="J839" s="76"/>
      <c r="K839" s="24"/>
      <c r="L839" s="281"/>
      <c r="M839" s="431"/>
      <c r="N839" s="410">
        <v>293762</v>
      </c>
      <c r="O839" s="10">
        <v>800000</v>
      </c>
      <c r="P839" s="10">
        <v>850000</v>
      </c>
      <c r="Q839" s="268">
        <v>820000</v>
      </c>
      <c r="R839" s="10">
        <v>350000</v>
      </c>
      <c r="S839" s="76">
        <f t="shared" si="954"/>
        <v>705000</v>
      </c>
      <c r="T839" s="24">
        <f t="shared" si="955"/>
        <v>411238</v>
      </c>
      <c r="U839" s="281">
        <f t="shared" si="956"/>
        <v>1.3999019614517876</v>
      </c>
      <c r="V839" s="462">
        <f t="shared" si="957"/>
        <v>705000</v>
      </c>
      <c r="W839" s="410"/>
      <c r="X839" s="44"/>
      <c r="Y839" s="31"/>
      <c r="Z839" s="472"/>
      <c r="AA839" s="76"/>
      <c r="AB839" s="24"/>
      <c r="AC839" s="25"/>
      <c r="AD839" s="309"/>
      <c r="AE839" s="462"/>
      <c r="AF839" s="408"/>
      <c r="AG839" s="293"/>
      <c r="AH839" s="293"/>
      <c r="AI839" s="293"/>
      <c r="AJ839" s="293"/>
      <c r="AK839" s="293"/>
      <c r="AL839" s="327"/>
      <c r="AM839" s="463"/>
      <c r="AN839" s="513"/>
      <c r="AO839" s="88"/>
      <c r="AP839" s="116"/>
      <c r="AQ839" s="74"/>
      <c r="AR839" s="76"/>
      <c r="AS839" s="24"/>
      <c r="AT839" s="25"/>
      <c r="AU839" s="309"/>
      <c r="AV839" s="462"/>
      <c r="AW839" s="513"/>
      <c r="AX839" s="74"/>
      <c r="AY839" s="74"/>
      <c r="AZ839" s="75"/>
      <c r="BA839" s="61"/>
      <c r="BB839" s="60"/>
      <c r="BC839" s="74"/>
      <c r="BD839" s="79"/>
      <c r="BE839" s="79"/>
      <c r="BF839" s="127"/>
      <c r="BG839" s="142"/>
      <c r="BH839" s="142"/>
      <c r="BI839" s="76"/>
      <c r="BJ839" s="24"/>
      <c r="BK839" s="25"/>
      <c r="BL839" s="259"/>
      <c r="BM839" s="533"/>
    </row>
    <row r="840" spans="1:65" ht="35.1" customHeight="1">
      <c r="A840" s="91"/>
      <c r="B840" s="358" t="s">
        <v>3031</v>
      </c>
      <c r="C840" s="50" t="s">
        <v>1962</v>
      </c>
      <c r="D840" s="264" t="s">
        <v>1889</v>
      </c>
      <c r="E840" s="393" t="s">
        <v>827</v>
      </c>
      <c r="F840" s="410"/>
      <c r="G840" s="10"/>
      <c r="H840" s="167"/>
      <c r="I840" s="10"/>
      <c r="J840" s="76"/>
      <c r="K840" s="24"/>
      <c r="L840" s="281"/>
      <c r="M840" s="431"/>
      <c r="N840" s="410">
        <v>429436</v>
      </c>
      <c r="O840" s="10">
        <v>2300000</v>
      </c>
      <c r="P840" s="10">
        <v>2400000</v>
      </c>
      <c r="Q840" s="268">
        <v>2350000</v>
      </c>
      <c r="R840" s="10">
        <v>2300000</v>
      </c>
      <c r="S840" s="76">
        <f t="shared" si="954"/>
        <v>2337500</v>
      </c>
      <c r="T840" s="24">
        <f t="shared" si="955"/>
        <v>1908064</v>
      </c>
      <c r="U840" s="281">
        <f t="shared" si="956"/>
        <v>4.44318594621783</v>
      </c>
      <c r="V840" s="462">
        <f t="shared" si="957"/>
        <v>2337500</v>
      </c>
      <c r="W840" s="410"/>
      <c r="X840" s="44"/>
      <c r="Y840" s="31"/>
      <c r="Z840" s="472"/>
      <c r="AA840" s="76"/>
      <c r="AB840" s="24"/>
      <c r="AC840" s="25"/>
      <c r="AD840" s="309"/>
      <c r="AE840" s="462"/>
      <c r="AF840" s="408"/>
      <c r="AG840" s="293"/>
      <c r="AH840" s="293"/>
      <c r="AI840" s="293"/>
      <c r="AJ840" s="293"/>
      <c r="AK840" s="293"/>
      <c r="AL840" s="327"/>
      <c r="AM840" s="463"/>
      <c r="AN840" s="513"/>
      <c r="AO840" s="88"/>
      <c r="AP840" s="116"/>
      <c r="AQ840" s="74"/>
      <c r="AR840" s="76"/>
      <c r="AS840" s="24"/>
      <c r="AT840" s="25"/>
      <c r="AU840" s="309"/>
      <c r="AV840" s="462"/>
      <c r="AW840" s="513"/>
      <c r="AX840" s="74"/>
      <c r="AY840" s="74"/>
      <c r="AZ840" s="75"/>
      <c r="BA840" s="61"/>
      <c r="BB840" s="60"/>
      <c r="BC840" s="74"/>
      <c r="BD840" s="79"/>
      <c r="BE840" s="79"/>
      <c r="BF840" s="127"/>
      <c r="BG840" s="142"/>
      <c r="BH840" s="142"/>
      <c r="BI840" s="76"/>
      <c r="BJ840" s="24"/>
      <c r="BK840" s="25"/>
      <c r="BL840" s="259"/>
      <c r="BM840" s="533"/>
    </row>
    <row r="841" spans="1:65" ht="35.1" customHeight="1">
      <c r="A841" s="91"/>
      <c r="B841" s="358" t="s">
        <v>3032</v>
      </c>
      <c r="C841" s="50" t="s">
        <v>1963</v>
      </c>
      <c r="D841" s="264" t="s">
        <v>1890</v>
      </c>
      <c r="E841" s="393" t="s">
        <v>999</v>
      </c>
      <c r="F841" s="410"/>
      <c r="G841" s="10"/>
      <c r="H841" s="167"/>
      <c r="I841" s="10"/>
      <c r="J841" s="76"/>
      <c r="K841" s="24"/>
      <c r="L841" s="281"/>
      <c r="M841" s="431"/>
      <c r="N841" s="410">
        <v>294236</v>
      </c>
      <c r="O841" s="10">
        <v>1400000</v>
      </c>
      <c r="P841" s="10">
        <v>1500000</v>
      </c>
      <c r="Q841" s="268">
        <v>1450000</v>
      </c>
      <c r="R841" s="10">
        <v>1400000</v>
      </c>
      <c r="S841" s="76">
        <f t="shared" si="954"/>
        <v>1437500</v>
      </c>
      <c r="T841" s="24">
        <f t="shared" si="955"/>
        <v>1143264</v>
      </c>
      <c r="U841" s="281">
        <f t="shared" si="956"/>
        <v>3.885534061093816</v>
      </c>
      <c r="V841" s="462">
        <f t="shared" si="957"/>
        <v>1437500</v>
      </c>
      <c r="W841" s="410"/>
      <c r="X841" s="44"/>
      <c r="Y841" s="31"/>
      <c r="Z841" s="472"/>
      <c r="AA841" s="76"/>
      <c r="AB841" s="24"/>
      <c r="AC841" s="25"/>
      <c r="AD841" s="309"/>
      <c r="AE841" s="462"/>
      <c r="AF841" s="408"/>
      <c r="AG841" s="293"/>
      <c r="AH841" s="293"/>
      <c r="AI841" s="293"/>
      <c r="AJ841" s="293"/>
      <c r="AK841" s="293"/>
      <c r="AL841" s="327"/>
      <c r="AM841" s="463"/>
      <c r="AN841" s="513"/>
      <c r="AO841" s="88"/>
      <c r="AP841" s="116"/>
      <c r="AQ841" s="74"/>
      <c r="AR841" s="76"/>
      <c r="AS841" s="24"/>
      <c r="AT841" s="25"/>
      <c r="AU841" s="309"/>
      <c r="AV841" s="462"/>
      <c r="AW841" s="513"/>
      <c r="AX841" s="74"/>
      <c r="AY841" s="74"/>
      <c r="AZ841" s="75"/>
      <c r="BA841" s="61"/>
      <c r="BB841" s="60"/>
      <c r="BC841" s="74"/>
      <c r="BD841" s="79"/>
      <c r="BE841" s="79"/>
      <c r="BF841" s="127"/>
      <c r="BG841" s="142"/>
      <c r="BH841" s="142"/>
      <c r="BI841" s="76"/>
      <c r="BJ841" s="24"/>
      <c r="BK841" s="25"/>
      <c r="BL841" s="259"/>
      <c r="BM841" s="533"/>
    </row>
    <row r="842" spans="1:65" ht="35.1" customHeight="1">
      <c r="A842" s="91"/>
      <c r="B842" s="358" t="s">
        <v>3033</v>
      </c>
      <c r="C842" s="50" t="s">
        <v>1964</v>
      </c>
      <c r="D842" s="264" t="s">
        <v>1891</v>
      </c>
      <c r="E842" s="393" t="s">
        <v>999</v>
      </c>
      <c r="F842" s="410"/>
      <c r="G842" s="10"/>
      <c r="H842" s="167"/>
      <c r="I842" s="10"/>
      <c r="J842" s="76"/>
      <c r="K842" s="24"/>
      <c r="L842" s="281"/>
      <c r="M842" s="431"/>
      <c r="N842" s="410">
        <v>3692148</v>
      </c>
      <c r="O842" s="10">
        <v>4700000</v>
      </c>
      <c r="P842" s="10">
        <v>4750000</v>
      </c>
      <c r="Q842" s="268">
        <v>4750000</v>
      </c>
      <c r="R842" s="10">
        <v>4700000</v>
      </c>
      <c r="S842" s="76">
        <f t="shared" si="954"/>
        <v>4725000</v>
      </c>
      <c r="T842" s="24">
        <f t="shared" si="955"/>
        <v>1032852</v>
      </c>
      <c r="U842" s="281">
        <f t="shared" si="956"/>
        <v>0.27974284887821399</v>
      </c>
      <c r="V842" s="462">
        <f t="shared" si="957"/>
        <v>4725000</v>
      </c>
      <c r="W842" s="410"/>
      <c r="X842" s="44"/>
      <c r="Y842" s="31"/>
      <c r="Z842" s="472"/>
      <c r="AA842" s="76"/>
      <c r="AB842" s="24"/>
      <c r="AC842" s="25"/>
      <c r="AD842" s="309"/>
      <c r="AE842" s="462"/>
      <c r="AF842" s="408"/>
      <c r="AG842" s="293"/>
      <c r="AH842" s="293"/>
      <c r="AI842" s="293"/>
      <c r="AJ842" s="293"/>
      <c r="AK842" s="293"/>
      <c r="AL842" s="327"/>
      <c r="AM842" s="463"/>
      <c r="AN842" s="513"/>
      <c r="AO842" s="88"/>
      <c r="AP842" s="116"/>
      <c r="AQ842" s="74"/>
      <c r="AR842" s="76"/>
      <c r="AS842" s="24"/>
      <c r="AT842" s="25"/>
      <c r="AU842" s="309"/>
      <c r="AV842" s="462"/>
      <c r="AW842" s="513"/>
      <c r="AX842" s="74"/>
      <c r="AY842" s="74"/>
      <c r="AZ842" s="75"/>
      <c r="BA842" s="61"/>
      <c r="BB842" s="60"/>
      <c r="BC842" s="74"/>
      <c r="BD842" s="79"/>
      <c r="BE842" s="79"/>
      <c r="BF842" s="127"/>
      <c r="BG842" s="142"/>
      <c r="BH842" s="142"/>
      <c r="BI842" s="76"/>
      <c r="BJ842" s="24"/>
      <c r="BK842" s="25"/>
      <c r="BL842" s="259"/>
      <c r="BM842" s="533"/>
    </row>
    <row r="843" spans="1:65" ht="35.1" customHeight="1">
      <c r="A843" s="91"/>
      <c r="B843" s="358" t="s">
        <v>3034</v>
      </c>
      <c r="C843" s="50" t="s">
        <v>1965</v>
      </c>
      <c r="D843" s="264" t="s">
        <v>1883</v>
      </c>
      <c r="E843" s="393" t="s">
        <v>999</v>
      </c>
      <c r="F843" s="410"/>
      <c r="G843" s="10"/>
      <c r="H843" s="167"/>
      <c r="I843" s="10"/>
      <c r="J843" s="76"/>
      <c r="K843" s="24"/>
      <c r="L843" s="281"/>
      <c r="M843" s="431"/>
      <c r="N843" s="410">
        <v>436262</v>
      </c>
      <c r="O843" s="10">
        <v>340000</v>
      </c>
      <c r="P843" s="10">
        <v>3650000</v>
      </c>
      <c r="Q843" s="268">
        <v>3500000</v>
      </c>
      <c r="R843" s="10">
        <v>350000</v>
      </c>
      <c r="S843" s="76">
        <f t="shared" si="954"/>
        <v>1960000</v>
      </c>
      <c r="T843" s="24">
        <f t="shared" si="955"/>
        <v>1523738</v>
      </c>
      <c r="U843" s="281">
        <f t="shared" si="956"/>
        <v>3.4927130944249098</v>
      </c>
      <c r="V843" s="462">
        <f t="shared" si="957"/>
        <v>1960000</v>
      </c>
      <c r="W843" s="410"/>
      <c r="X843" s="44"/>
      <c r="Y843" s="31"/>
      <c r="Z843" s="472"/>
      <c r="AA843" s="76"/>
      <c r="AB843" s="24"/>
      <c r="AC843" s="25"/>
      <c r="AD843" s="309"/>
      <c r="AE843" s="462"/>
      <c r="AF843" s="408"/>
      <c r="AG843" s="293"/>
      <c r="AH843" s="293"/>
      <c r="AI843" s="293"/>
      <c r="AJ843" s="293"/>
      <c r="AK843" s="293"/>
      <c r="AL843" s="327"/>
      <c r="AM843" s="463"/>
      <c r="AN843" s="513"/>
      <c r="AO843" s="88"/>
      <c r="AP843" s="116"/>
      <c r="AQ843" s="74"/>
      <c r="AR843" s="76"/>
      <c r="AS843" s="24"/>
      <c r="AT843" s="25"/>
      <c r="AU843" s="309"/>
      <c r="AV843" s="462"/>
      <c r="AW843" s="513"/>
      <c r="AX843" s="74"/>
      <c r="AY843" s="74"/>
      <c r="AZ843" s="75"/>
      <c r="BA843" s="61"/>
      <c r="BB843" s="60"/>
      <c r="BC843" s="74"/>
      <c r="BD843" s="79"/>
      <c r="BE843" s="79"/>
      <c r="BF843" s="127"/>
      <c r="BG843" s="142"/>
      <c r="BH843" s="142"/>
      <c r="BI843" s="76"/>
      <c r="BJ843" s="24"/>
      <c r="BK843" s="25"/>
      <c r="BL843" s="259"/>
      <c r="BM843" s="533"/>
    </row>
    <row r="844" spans="1:65" ht="35.1" customHeight="1">
      <c r="A844" s="91"/>
      <c r="B844" s="358" t="s">
        <v>3035</v>
      </c>
      <c r="C844" s="50" t="s">
        <v>1966</v>
      </c>
      <c r="D844" s="264" t="s">
        <v>1892</v>
      </c>
      <c r="E844" s="393" t="s">
        <v>827</v>
      </c>
      <c r="F844" s="410"/>
      <c r="G844" s="10"/>
      <c r="H844" s="167"/>
      <c r="I844" s="10"/>
      <c r="J844" s="76"/>
      <c r="K844" s="24"/>
      <c r="L844" s="281"/>
      <c r="M844" s="431"/>
      <c r="N844" s="410">
        <v>166051</v>
      </c>
      <c r="O844" s="10">
        <v>421000</v>
      </c>
      <c r="P844" s="10">
        <v>435000</v>
      </c>
      <c r="Q844" s="268">
        <v>430000</v>
      </c>
      <c r="R844" s="10">
        <v>450000</v>
      </c>
      <c r="S844" s="76">
        <f t="shared" si="954"/>
        <v>434000</v>
      </c>
      <c r="T844" s="24">
        <f t="shared" si="955"/>
        <v>267949</v>
      </c>
      <c r="U844" s="281">
        <f t="shared" si="956"/>
        <v>1.6136548409825897</v>
      </c>
      <c r="V844" s="462">
        <f t="shared" si="957"/>
        <v>434000</v>
      </c>
      <c r="W844" s="410"/>
      <c r="X844" s="44"/>
      <c r="Y844" s="31"/>
      <c r="Z844" s="472"/>
      <c r="AA844" s="76"/>
      <c r="AB844" s="24"/>
      <c r="AC844" s="25"/>
      <c r="AD844" s="309"/>
      <c r="AE844" s="462"/>
      <c r="AF844" s="408"/>
      <c r="AG844" s="293"/>
      <c r="AH844" s="293"/>
      <c r="AI844" s="293"/>
      <c r="AJ844" s="293"/>
      <c r="AK844" s="293"/>
      <c r="AL844" s="327"/>
      <c r="AM844" s="463"/>
      <c r="AN844" s="513"/>
      <c r="AO844" s="88"/>
      <c r="AP844" s="116"/>
      <c r="AQ844" s="74"/>
      <c r="AR844" s="76"/>
      <c r="AS844" s="24"/>
      <c r="AT844" s="25"/>
      <c r="AU844" s="309"/>
      <c r="AV844" s="462"/>
      <c r="AW844" s="513"/>
      <c r="AX844" s="74"/>
      <c r="AY844" s="74"/>
      <c r="AZ844" s="75"/>
      <c r="BA844" s="61"/>
      <c r="BB844" s="60"/>
      <c r="BC844" s="74"/>
      <c r="BD844" s="79"/>
      <c r="BE844" s="79"/>
      <c r="BF844" s="127"/>
      <c r="BG844" s="142"/>
      <c r="BH844" s="142"/>
      <c r="BI844" s="76"/>
      <c r="BJ844" s="24"/>
      <c r="BK844" s="25"/>
      <c r="BL844" s="259"/>
      <c r="BM844" s="533"/>
    </row>
    <row r="845" spans="1:65" ht="35.1" customHeight="1">
      <c r="A845" s="91"/>
      <c r="B845" s="358" t="s">
        <v>3036</v>
      </c>
      <c r="C845" s="50" t="s">
        <v>1967</v>
      </c>
      <c r="D845" s="264" t="s">
        <v>1893</v>
      </c>
      <c r="E845" s="393" t="s">
        <v>1457</v>
      </c>
      <c r="F845" s="410"/>
      <c r="G845" s="10"/>
      <c r="H845" s="167"/>
      <c r="I845" s="10"/>
      <c r="J845" s="76"/>
      <c r="K845" s="24"/>
      <c r="L845" s="281"/>
      <c r="M845" s="431"/>
      <c r="N845" s="410">
        <v>97088</v>
      </c>
      <c r="O845" s="10">
        <v>455000</v>
      </c>
      <c r="P845" s="10">
        <v>470000</v>
      </c>
      <c r="Q845" s="268">
        <v>465000</v>
      </c>
      <c r="R845" s="10">
        <v>455000</v>
      </c>
      <c r="S845" s="76">
        <f t="shared" si="954"/>
        <v>461250</v>
      </c>
      <c r="T845" s="24">
        <f t="shared" si="955"/>
        <v>364162</v>
      </c>
      <c r="U845" s="281">
        <f t="shared" si="956"/>
        <v>3.7508445945945947</v>
      </c>
      <c r="V845" s="462">
        <f t="shared" si="957"/>
        <v>461250</v>
      </c>
      <c r="W845" s="410"/>
      <c r="X845" s="44"/>
      <c r="Y845" s="31"/>
      <c r="Z845" s="472"/>
      <c r="AA845" s="76"/>
      <c r="AB845" s="24"/>
      <c r="AC845" s="25"/>
      <c r="AD845" s="309"/>
      <c r="AE845" s="462"/>
      <c r="AF845" s="408"/>
      <c r="AG845" s="293"/>
      <c r="AH845" s="293"/>
      <c r="AI845" s="293"/>
      <c r="AJ845" s="293"/>
      <c r="AK845" s="293"/>
      <c r="AL845" s="327"/>
      <c r="AM845" s="463"/>
      <c r="AN845" s="513"/>
      <c r="AO845" s="88"/>
      <c r="AP845" s="116"/>
      <c r="AQ845" s="74"/>
      <c r="AR845" s="76"/>
      <c r="AS845" s="24"/>
      <c r="AT845" s="25"/>
      <c r="AU845" s="309"/>
      <c r="AV845" s="462"/>
      <c r="AW845" s="513"/>
      <c r="AX845" s="74"/>
      <c r="AY845" s="74"/>
      <c r="AZ845" s="75"/>
      <c r="BA845" s="61"/>
      <c r="BB845" s="60"/>
      <c r="BC845" s="74"/>
      <c r="BD845" s="79"/>
      <c r="BE845" s="79"/>
      <c r="BF845" s="127"/>
      <c r="BG845" s="142"/>
      <c r="BH845" s="142"/>
      <c r="BI845" s="76"/>
      <c r="BJ845" s="24"/>
      <c r="BK845" s="25"/>
      <c r="BL845" s="259"/>
      <c r="BM845" s="533"/>
    </row>
    <row r="846" spans="1:65" ht="35.1" customHeight="1">
      <c r="A846" s="91"/>
      <c r="B846" s="358" t="s">
        <v>3037</v>
      </c>
      <c r="C846" s="50" t="s">
        <v>1968</v>
      </c>
      <c r="D846" s="264" t="s">
        <v>1894</v>
      </c>
      <c r="E846" s="393" t="s">
        <v>1399</v>
      </c>
      <c r="F846" s="410"/>
      <c r="G846" s="10"/>
      <c r="H846" s="167"/>
      <c r="I846" s="10"/>
      <c r="J846" s="76"/>
      <c r="K846" s="24"/>
      <c r="L846" s="281"/>
      <c r="M846" s="431"/>
      <c r="N846" s="410">
        <v>58056</v>
      </c>
      <c r="O846" s="10">
        <v>450000</v>
      </c>
      <c r="P846" s="10">
        <v>470000</v>
      </c>
      <c r="Q846" s="268">
        <v>460000</v>
      </c>
      <c r="R846" s="10">
        <v>450000</v>
      </c>
      <c r="S846" s="76">
        <f t="shared" si="954"/>
        <v>457500</v>
      </c>
      <c r="T846" s="24">
        <f t="shared" si="955"/>
        <v>399444</v>
      </c>
      <c r="U846" s="281">
        <f t="shared" si="956"/>
        <v>6.8803224472922695</v>
      </c>
      <c r="V846" s="462">
        <f t="shared" si="957"/>
        <v>457500</v>
      </c>
      <c r="W846" s="410"/>
      <c r="X846" s="44"/>
      <c r="Y846" s="31"/>
      <c r="Z846" s="472"/>
      <c r="AA846" s="76"/>
      <c r="AB846" s="24"/>
      <c r="AC846" s="25"/>
      <c r="AD846" s="309"/>
      <c r="AE846" s="462"/>
      <c r="AF846" s="408"/>
      <c r="AG846" s="293"/>
      <c r="AH846" s="293"/>
      <c r="AI846" s="293"/>
      <c r="AJ846" s="293"/>
      <c r="AK846" s="293"/>
      <c r="AL846" s="327"/>
      <c r="AM846" s="463"/>
      <c r="AN846" s="513"/>
      <c r="AO846" s="88"/>
      <c r="AP846" s="116"/>
      <c r="AQ846" s="74"/>
      <c r="AR846" s="76"/>
      <c r="AS846" s="24"/>
      <c r="AT846" s="25"/>
      <c r="AU846" s="309"/>
      <c r="AV846" s="462"/>
      <c r="AW846" s="513"/>
      <c r="AX846" s="74"/>
      <c r="AY846" s="74"/>
      <c r="AZ846" s="75"/>
      <c r="BA846" s="61"/>
      <c r="BB846" s="60"/>
      <c r="BC846" s="74"/>
      <c r="BD846" s="79"/>
      <c r="BE846" s="79"/>
      <c r="BF846" s="127"/>
      <c r="BG846" s="142"/>
      <c r="BH846" s="142"/>
      <c r="BI846" s="76"/>
      <c r="BJ846" s="24"/>
      <c r="BK846" s="25"/>
      <c r="BL846" s="259"/>
      <c r="BM846" s="533"/>
    </row>
    <row r="847" spans="1:65" ht="35.1" customHeight="1">
      <c r="A847" s="91"/>
      <c r="B847" s="358" t="s">
        <v>3038</v>
      </c>
      <c r="C847" s="50" t="s">
        <v>1969</v>
      </c>
      <c r="D847" s="264" t="s">
        <v>1895</v>
      </c>
      <c r="E847" s="393" t="s">
        <v>1399</v>
      </c>
      <c r="F847" s="410"/>
      <c r="G847" s="10"/>
      <c r="H847" s="167"/>
      <c r="I847" s="10"/>
      <c r="J847" s="76"/>
      <c r="K847" s="24"/>
      <c r="L847" s="281"/>
      <c r="M847" s="431"/>
      <c r="N847" s="410">
        <v>314930</v>
      </c>
      <c r="O847" s="10">
        <v>340000</v>
      </c>
      <c r="P847" s="10">
        <v>375000</v>
      </c>
      <c r="Q847" s="268">
        <v>365000</v>
      </c>
      <c r="R847" s="10">
        <v>450000</v>
      </c>
      <c r="S847" s="76">
        <f t="shared" si="954"/>
        <v>382500</v>
      </c>
      <c r="T847" s="24">
        <f t="shared" si="955"/>
        <v>67570</v>
      </c>
      <c r="U847" s="281">
        <f t="shared" si="956"/>
        <v>0.21455561553361063</v>
      </c>
      <c r="V847" s="462">
        <f t="shared" si="957"/>
        <v>382500</v>
      </c>
      <c r="W847" s="410"/>
      <c r="X847" s="44"/>
      <c r="Y847" s="31"/>
      <c r="Z847" s="472"/>
      <c r="AA847" s="76"/>
      <c r="AB847" s="24"/>
      <c r="AC847" s="25"/>
      <c r="AD847" s="309"/>
      <c r="AE847" s="462"/>
      <c r="AF847" s="408"/>
      <c r="AG847" s="293"/>
      <c r="AH847" s="293"/>
      <c r="AI847" s="293"/>
      <c r="AJ847" s="293"/>
      <c r="AK847" s="293"/>
      <c r="AL847" s="327"/>
      <c r="AM847" s="463"/>
      <c r="AN847" s="513"/>
      <c r="AO847" s="88"/>
      <c r="AP847" s="116"/>
      <c r="AQ847" s="74"/>
      <c r="AR847" s="76"/>
      <c r="AS847" s="24"/>
      <c r="AT847" s="25"/>
      <c r="AU847" s="309"/>
      <c r="AV847" s="462"/>
      <c r="AW847" s="513"/>
      <c r="AX847" s="74"/>
      <c r="AY847" s="74"/>
      <c r="AZ847" s="75"/>
      <c r="BA847" s="61"/>
      <c r="BB847" s="60"/>
      <c r="BC847" s="74"/>
      <c r="BD847" s="79"/>
      <c r="BE847" s="79"/>
      <c r="BF847" s="127"/>
      <c r="BG847" s="142"/>
      <c r="BH847" s="142"/>
      <c r="BI847" s="76"/>
      <c r="BJ847" s="24"/>
      <c r="BK847" s="25"/>
      <c r="BL847" s="259"/>
      <c r="BM847" s="533"/>
    </row>
    <row r="848" spans="1:65" ht="35.1" customHeight="1">
      <c r="A848" s="91"/>
      <c r="B848" s="358" t="s">
        <v>3039</v>
      </c>
      <c r="C848" s="50" t="s">
        <v>1970</v>
      </c>
      <c r="D848" s="264" t="s">
        <v>1896</v>
      </c>
      <c r="E848" s="393" t="s">
        <v>1399</v>
      </c>
      <c r="F848" s="410"/>
      <c r="G848" s="10"/>
      <c r="H848" s="167"/>
      <c r="I848" s="10"/>
      <c r="J848" s="76"/>
      <c r="K848" s="24"/>
      <c r="L848" s="281"/>
      <c r="M848" s="431"/>
      <c r="N848" s="410">
        <v>57713</v>
      </c>
      <c r="O848" s="10">
        <v>190000</v>
      </c>
      <c r="P848" s="10">
        <v>210000</v>
      </c>
      <c r="Q848" s="268">
        <v>205000</v>
      </c>
      <c r="R848" s="10">
        <v>190000</v>
      </c>
      <c r="S848" s="76">
        <f t="shared" ref="S848:S862" si="958">AVERAGE(O848,P848,Q848,R848)</f>
        <v>198750</v>
      </c>
      <c r="T848" s="24">
        <f t="shared" ref="T848:T862" si="959">S848-N848</f>
        <v>141037</v>
      </c>
      <c r="U848" s="281">
        <f t="shared" ref="U848:U862" si="960">+T848/N848</f>
        <v>2.4437648363453643</v>
      </c>
      <c r="V848" s="462">
        <f t="shared" ref="V848:V862" si="961">S848</f>
        <v>198750</v>
      </c>
      <c r="W848" s="410"/>
      <c r="X848" s="44"/>
      <c r="Y848" s="31"/>
      <c r="Z848" s="472"/>
      <c r="AA848" s="76"/>
      <c r="AB848" s="24"/>
      <c r="AC848" s="25"/>
      <c r="AD848" s="309"/>
      <c r="AE848" s="462"/>
      <c r="AF848" s="408"/>
      <c r="AG848" s="293"/>
      <c r="AH848" s="293"/>
      <c r="AI848" s="293"/>
      <c r="AJ848" s="293"/>
      <c r="AK848" s="293"/>
      <c r="AL848" s="327"/>
      <c r="AM848" s="463"/>
      <c r="AN848" s="513"/>
      <c r="AO848" s="88"/>
      <c r="AP848" s="116"/>
      <c r="AQ848" s="74"/>
      <c r="AR848" s="76"/>
      <c r="AS848" s="24"/>
      <c r="AT848" s="25"/>
      <c r="AU848" s="309"/>
      <c r="AV848" s="462"/>
      <c r="AW848" s="513"/>
      <c r="AX848" s="74"/>
      <c r="AY848" s="74"/>
      <c r="AZ848" s="75"/>
      <c r="BA848" s="61"/>
      <c r="BB848" s="60"/>
      <c r="BC848" s="74"/>
      <c r="BD848" s="79"/>
      <c r="BE848" s="79"/>
      <c r="BF848" s="127"/>
      <c r="BG848" s="142"/>
      <c r="BH848" s="142"/>
      <c r="BI848" s="76"/>
      <c r="BJ848" s="24"/>
      <c r="BK848" s="25"/>
      <c r="BL848" s="259"/>
      <c r="BM848" s="533"/>
    </row>
    <row r="849" spans="1:65" ht="35.1" customHeight="1">
      <c r="A849" s="91"/>
      <c r="B849" s="358" t="s">
        <v>3040</v>
      </c>
      <c r="C849" s="50" t="s">
        <v>1971</v>
      </c>
      <c r="D849" s="264" t="s">
        <v>1897</v>
      </c>
      <c r="E849" s="393" t="s">
        <v>1399</v>
      </c>
      <c r="F849" s="410"/>
      <c r="G849" s="10"/>
      <c r="H849" s="167"/>
      <c r="I849" s="10"/>
      <c r="J849" s="76"/>
      <c r="K849" s="24"/>
      <c r="L849" s="281"/>
      <c r="M849" s="431"/>
      <c r="N849" s="410">
        <v>129610</v>
      </c>
      <c r="O849" s="10">
        <v>190000</v>
      </c>
      <c r="P849" s="10">
        <v>205000</v>
      </c>
      <c r="Q849" s="268">
        <v>205000</v>
      </c>
      <c r="R849" s="10">
        <v>190000</v>
      </c>
      <c r="S849" s="76">
        <f t="shared" si="958"/>
        <v>197500</v>
      </c>
      <c r="T849" s="24">
        <f t="shared" si="959"/>
        <v>67890</v>
      </c>
      <c r="U849" s="281">
        <f t="shared" si="960"/>
        <v>0.52380217575804333</v>
      </c>
      <c r="V849" s="462">
        <f t="shared" si="961"/>
        <v>197500</v>
      </c>
      <c r="W849" s="410"/>
      <c r="X849" s="44"/>
      <c r="Y849" s="31"/>
      <c r="Z849" s="472"/>
      <c r="AA849" s="76"/>
      <c r="AB849" s="24"/>
      <c r="AC849" s="25"/>
      <c r="AD849" s="309"/>
      <c r="AE849" s="462"/>
      <c r="AF849" s="408"/>
      <c r="AG849" s="293"/>
      <c r="AH849" s="293"/>
      <c r="AI849" s="293"/>
      <c r="AJ849" s="293"/>
      <c r="AK849" s="293"/>
      <c r="AL849" s="327"/>
      <c r="AM849" s="463"/>
      <c r="AN849" s="513"/>
      <c r="AO849" s="88"/>
      <c r="AP849" s="116"/>
      <c r="AQ849" s="74"/>
      <c r="AR849" s="76"/>
      <c r="AS849" s="24"/>
      <c r="AT849" s="25"/>
      <c r="AU849" s="309"/>
      <c r="AV849" s="462"/>
      <c r="AW849" s="513"/>
      <c r="AX849" s="74"/>
      <c r="AY849" s="74"/>
      <c r="AZ849" s="75"/>
      <c r="BA849" s="61"/>
      <c r="BB849" s="60"/>
      <c r="BC849" s="74"/>
      <c r="BD849" s="79"/>
      <c r="BE849" s="79"/>
      <c r="BF849" s="127"/>
      <c r="BG849" s="142"/>
      <c r="BH849" s="142"/>
      <c r="BI849" s="76"/>
      <c r="BJ849" s="24"/>
      <c r="BK849" s="25"/>
      <c r="BL849" s="259"/>
      <c r="BM849" s="533"/>
    </row>
    <row r="850" spans="1:65" ht="35.1" customHeight="1">
      <c r="A850" s="91"/>
      <c r="B850" s="358" t="s">
        <v>3041</v>
      </c>
      <c r="C850" s="50" t="s">
        <v>1972</v>
      </c>
      <c r="D850" s="264" t="s">
        <v>1898</v>
      </c>
      <c r="E850" s="393" t="s">
        <v>999</v>
      </c>
      <c r="F850" s="410"/>
      <c r="G850" s="10"/>
      <c r="H850" s="167"/>
      <c r="I850" s="10"/>
      <c r="J850" s="76"/>
      <c r="K850" s="24"/>
      <c r="L850" s="281"/>
      <c r="M850" s="431"/>
      <c r="N850" s="410">
        <v>168850</v>
      </c>
      <c r="O850" s="10">
        <v>90000</v>
      </c>
      <c r="P850" s="10">
        <v>110000</v>
      </c>
      <c r="Q850" s="268">
        <v>100000</v>
      </c>
      <c r="R850" s="10">
        <v>120000</v>
      </c>
      <c r="S850" s="76">
        <f t="shared" si="958"/>
        <v>105000</v>
      </c>
      <c r="T850" s="24">
        <f t="shared" si="959"/>
        <v>-63850</v>
      </c>
      <c r="U850" s="281">
        <f t="shared" si="960"/>
        <v>-0.37814628368374298</v>
      </c>
      <c r="V850" s="462">
        <f t="shared" si="961"/>
        <v>105000</v>
      </c>
      <c r="W850" s="410"/>
      <c r="X850" s="44"/>
      <c r="Y850" s="31"/>
      <c r="Z850" s="472"/>
      <c r="AA850" s="76"/>
      <c r="AB850" s="24"/>
      <c r="AC850" s="25"/>
      <c r="AD850" s="309"/>
      <c r="AE850" s="462"/>
      <c r="AF850" s="408"/>
      <c r="AG850" s="293"/>
      <c r="AH850" s="293"/>
      <c r="AI850" s="293"/>
      <c r="AJ850" s="293"/>
      <c r="AK850" s="293"/>
      <c r="AL850" s="327"/>
      <c r="AM850" s="463"/>
      <c r="AN850" s="513"/>
      <c r="AO850" s="88"/>
      <c r="AP850" s="116"/>
      <c r="AQ850" s="74"/>
      <c r="AR850" s="76"/>
      <c r="AS850" s="24"/>
      <c r="AT850" s="25"/>
      <c r="AU850" s="309"/>
      <c r="AV850" s="462"/>
      <c r="AW850" s="513"/>
      <c r="AX850" s="74"/>
      <c r="AY850" s="74"/>
      <c r="AZ850" s="75"/>
      <c r="BA850" s="61"/>
      <c r="BB850" s="60"/>
      <c r="BC850" s="74"/>
      <c r="BD850" s="79"/>
      <c r="BE850" s="79"/>
      <c r="BF850" s="127"/>
      <c r="BG850" s="142"/>
      <c r="BH850" s="142"/>
      <c r="BI850" s="76"/>
      <c r="BJ850" s="24"/>
      <c r="BK850" s="25"/>
      <c r="BL850" s="259"/>
      <c r="BM850" s="533"/>
    </row>
    <row r="851" spans="1:65" ht="35.1" customHeight="1">
      <c r="A851" s="91"/>
      <c r="B851" s="358" t="s">
        <v>3042</v>
      </c>
      <c r="C851" s="50" t="s">
        <v>1973</v>
      </c>
      <c r="D851" s="264" t="s">
        <v>1899</v>
      </c>
      <c r="E851" s="393" t="s">
        <v>1457</v>
      </c>
      <c r="F851" s="410"/>
      <c r="G851" s="10"/>
      <c r="H851" s="167"/>
      <c r="I851" s="10"/>
      <c r="J851" s="76"/>
      <c r="K851" s="24"/>
      <c r="L851" s="281"/>
      <c r="M851" s="431"/>
      <c r="N851" s="410">
        <v>89893</v>
      </c>
      <c r="O851" s="10">
        <v>452000</v>
      </c>
      <c r="P851" s="10">
        <v>475000</v>
      </c>
      <c r="Q851" s="268">
        <v>465000</v>
      </c>
      <c r="R851" s="10">
        <v>500000</v>
      </c>
      <c r="S851" s="76">
        <f t="shared" si="958"/>
        <v>473000</v>
      </c>
      <c r="T851" s="24">
        <f t="shared" si="959"/>
        <v>383107</v>
      </c>
      <c r="U851" s="281">
        <f t="shared" si="960"/>
        <v>4.2618112645033541</v>
      </c>
      <c r="V851" s="462">
        <f t="shared" si="961"/>
        <v>473000</v>
      </c>
      <c r="W851" s="410"/>
      <c r="X851" s="44"/>
      <c r="Y851" s="31"/>
      <c r="Z851" s="472"/>
      <c r="AA851" s="76"/>
      <c r="AB851" s="24"/>
      <c r="AC851" s="25"/>
      <c r="AD851" s="309"/>
      <c r="AE851" s="462"/>
      <c r="AF851" s="408"/>
      <c r="AG851" s="293"/>
      <c r="AH851" s="293"/>
      <c r="AI851" s="293"/>
      <c r="AJ851" s="293"/>
      <c r="AK851" s="293"/>
      <c r="AL851" s="327"/>
      <c r="AM851" s="463"/>
      <c r="AN851" s="513"/>
      <c r="AO851" s="88"/>
      <c r="AP851" s="116"/>
      <c r="AQ851" s="74"/>
      <c r="AR851" s="76"/>
      <c r="AS851" s="24"/>
      <c r="AT851" s="25"/>
      <c r="AU851" s="309"/>
      <c r="AV851" s="462"/>
      <c r="AW851" s="513"/>
      <c r="AX851" s="74"/>
      <c r="AY851" s="74"/>
      <c r="AZ851" s="75"/>
      <c r="BA851" s="61"/>
      <c r="BB851" s="60"/>
      <c r="BC851" s="74"/>
      <c r="BD851" s="79"/>
      <c r="BE851" s="79"/>
      <c r="BF851" s="127"/>
      <c r="BG851" s="142"/>
      <c r="BH851" s="142"/>
      <c r="BI851" s="76"/>
      <c r="BJ851" s="24"/>
      <c r="BK851" s="25"/>
      <c r="BL851" s="259"/>
      <c r="BM851" s="533"/>
    </row>
    <row r="852" spans="1:65" ht="35.1" customHeight="1">
      <c r="A852" s="91"/>
      <c r="B852" s="358" t="s">
        <v>3043</v>
      </c>
      <c r="C852" s="50" t="s">
        <v>1974</v>
      </c>
      <c r="D852" s="264" t="s">
        <v>1900</v>
      </c>
      <c r="E852" s="393" t="s">
        <v>1457</v>
      </c>
      <c r="F852" s="410"/>
      <c r="G852" s="10"/>
      <c r="H852" s="167"/>
      <c r="I852" s="10"/>
      <c r="J852" s="76"/>
      <c r="K852" s="24"/>
      <c r="L852" s="281"/>
      <c r="M852" s="431"/>
      <c r="N852" s="410">
        <v>43171</v>
      </c>
      <c r="O852" s="10">
        <v>150000</v>
      </c>
      <c r="P852" s="10">
        <v>165000</v>
      </c>
      <c r="Q852" s="268">
        <v>160000</v>
      </c>
      <c r="R852" s="10">
        <v>200000</v>
      </c>
      <c r="S852" s="76">
        <f t="shared" si="958"/>
        <v>168750</v>
      </c>
      <c r="T852" s="24">
        <f t="shared" si="959"/>
        <v>125579</v>
      </c>
      <c r="U852" s="281">
        <f t="shared" si="960"/>
        <v>2.9088740126473791</v>
      </c>
      <c r="V852" s="462">
        <f t="shared" si="961"/>
        <v>168750</v>
      </c>
      <c r="W852" s="410"/>
      <c r="X852" s="44"/>
      <c r="Y852" s="31"/>
      <c r="Z852" s="472"/>
      <c r="AA852" s="76"/>
      <c r="AB852" s="24"/>
      <c r="AC852" s="25"/>
      <c r="AD852" s="309"/>
      <c r="AE852" s="462"/>
      <c r="AF852" s="408"/>
      <c r="AG852" s="293"/>
      <c r="AH852" s="293"/>
      <c r="AI852" s="293"/>
      <c r="AJ852" s="293"/>
      <c r="AK852" s="293"/>
      <c r="AL852" s="327"/>
      <c r="AM852" s="463"/>
      <c r="AN852" s="513"/>
      <c r="AO852" s="88"/>
      <c r="AP852" s="116"/>
      <c r="AQ852" s="74"/>
      <c r="AR852" s="76"/>
      <c r="AS852" s="24"/>
      <c r="AT852" s="25"/>
      <c r="AU852" s="309"/>
      <c r="AV852" s="462"/>
      <c r="AW852" s="513"/>
      <c r="AX852" s="74"/>
      <c r="AY852" s="74"/>
      <c r="AZ852" s="75"/>
      <c r="BA852" s="61"/>
      <c r="BB852" s="60"/>
      <c r="BC852" s="74"/>
      <c r="BD852" s="79"/>
      <c r="BE852" s="79"/>
      <c r="BF852" s="127"/>
      <c r="BG852" s="142"/>
      <c r="BH852" s="142"/>
      <c r="BI852" s="76"/>
      <c r="BJ852" s="24"/>
      <c r="BK852" s="25"/>
      <c r="BL852" s="259"/>
      <c r="BM852" s="533"/>
    </row>
    <row r="853" spans="1:65" ht="35.1" customHeight="1">
      <c r="A853" s="91"/>
      <c r="B853" s="358" t="s">
        <v>3044</v>
      </c>
      <c r="C853" s="50" t="s">
        <v>1975</v>
      </c>
      <c r="D853" s="264" t="s">
        <v>1901</v>
      </c>
      <c r="E853" s="393" t="s">
        <v>999</v>
      </c>
      <c r="F853" s="410"/>
      <c r="G853" s="10"/>
      <c r="H853" s="167"/>
      <c r="I853" s="10"/>
      <c r="J853" s="76"/>
      <c r="K853" s="24"/>
      <c r="L853" s="281"/>
      <c r="M853" s="431"/>
      <c r="N853" s="410">
        <v>52635</v>
      </c>
      <c r="O853" s="10">
        <v>190000</v>
      </c>
      <c r="P853" s="10">
        <v>205000</v>
      </c>
      <c r="Q853" s="268">
        <v>200000</v>
      </c>
      <c r="R853" s="10">
        <v>190000</v>
      </c>
      <c r="S853" s="76">
        <f t="shared" si="958"/>
        <v>196250</v>
      </c>
      <c r="T853" s="24">
        <f t="shared" si="959"/>
        <v>143615</v>
      </c>
      <c r="U853" s="281">
        <f t="shared" si="960"/>
        <v>2.728507647002945</v>
      </c>
      <c r="V853" s="462">
        <f t="shared" si="961"/>
        <v>196250</v>
      </c>
      <c r="W853" s="410"/>
      <c r="X853" s="44"/>
      <c r="Y853" s="31"/>
      <c r="Z853" s="472"/>
      <c r="AA853" s="76"/>
      <c r="AB853" s="24"/>
      <c r="AC853" s="25"/>
      <c r="AD853" s="309"/>
      <c r="AE853" s="462"/>
      <c r="AF853" s="408"/>
      <c r="AG853" s="293"/>
      <c r="AH853" s="293"/>
      <c r="AI853" s="293"/>
      <c r="AJ853" s="293"/>
      <c r="AK853" s="293"/>
      <c r="AL853" s="327"/>
      <c r="AM853" s="463"/>
      <c r="AN853" s="513"/>
      <c r="AO853" s="88"/>
      <c r="AP853" s="116"/>
      <c r="AQ853" s="74"/>
      <c r="AR853" s="76"/>
      <c r="AS853" s="24"/>
      <c r="AT853" s="25"/>
      <c r="AU853" s="309"/>
      <c r="AV853" s="462"/>
      <c r="AW853" s="513"/>
      <c r="AX853" s="74"/>
      <c r="AY853" s="74"/>
      <c r="AZ853" s="75"/>
      <c r="BA853" s="61"/>
      <c r="BB853" s="60"/>
      <c r="BC853" s="74"/>
      <c r="BD853" s="79"/>
      <c r="BE853" s="79"/>
      <c r="BF853" s="127"/>
      <c r="BG853" s="142"/>
      <c r="BH853" s="142"/>
      <c r="BI853" s="76"/>
      <c r="BJ853" s="24"/>
      <c r="BK853" s="25"/>
      <c r="BL853" s="259"/>
      <c r="BM853" s="533"/>
    </row>
    <row r="854" spans="1:65" ht="35.1" customHeight="1">
      <c r="A854" s="91"/>
      <c r="B854" s="358" t="s">
        <v>3045</v>
      </c>
      <c r="C854" s="50" t="s">
        <v>1976</v>
      </c>
      <c r="D854" s="264" t="s">
        <v>1902</v>
      </c>
      <c r="E854" s="393" t="s">
        <v>1399</v>
      </c>
      <c r="F854" s="410"/>
      <c r="G854" s="10"/>
      <c r="H854" s="167"/>
      <c r="I854" s="10"/>
      <c r="J854" s="76"/>
      <c r="K854" s="24"/>
      <c r="L854" s="281"/>
      <c r="M854" s="431"/>
      <c r="N854" s="410">
        <v>105479</v>
      </c>
      <c r="O854" s="10">
        <v>240000</v>
      </c>
      <c r="P854" s="10">
        <v>265000</v>
      </c>
      <c r="Q854" s="268">
        <v>260000</v>
      </c>
      <c r="R854" s="10">
        <v>250000</v>
      </c>
      <c r="S854" s="76">
        <f t="shared" si="958"/>
        <v>253750</v>
      </c>
      <c r="T854" s="24">
        <f t="shared" si="959"/>
        <v>148271</v>
      </c>
      <c r="U854" s="281">
        <f t="shared" si="960"/>
        <v>1.4056921282909394</v>
      </c>
      <c r="V854" s="462">
        <f t="shared" si="961"/>
        <v>253750</v>
      </c>
      <c r="W854" s="410"/>
      <c r="X854" s="44"/>
      <c r="Y854" s="31"/>
      <c r="Z854" s="472"/>
      <c r="AA854" s="76"/>
      <c r="AB854" s="24"/>
      <c r="AC854" s="25"/>
      <c r="AD854" s="309"/>
      <c r="AE854" s="462"/>
      <c r="AF854" s="408"/>
      <c r="AG854" s="293"/>
      <c r="AH854" s="293"/>
      <c r="AI854" s="293"/>
      <c r="AJ854" s="293"/>
      <c r="AK854" s="293"/>
      <c r="AL854" s="327"/>
      <c r="AM854" s="463"/>
      <c r="AN854" s="513"/>
      <c r="AO854" s="88"/>
      <c r="AP854" s="116"/>
      <c r="AQ854" s="74"/>
      <c r="AR854" s="76"/>
      <c r="AS854" s="24"/>
      <c r="AT854" s="25"/>
      <c r="AU854" s="309"/>
      <c r="AV854" s="462"/>
      <c r="AW854" s="513"/>
      <c r="AX854" s="74"/>
      <c r="AY854" s="74"/>
      <c r="AZ854" s="75"/>
      <c r="BA854" s="61"/>
      <c r="BB854" s="60"/>
      <c r="BC854" s="74"/>
      <c r="BD854" s="79"/>
      <c r="BE854" s="79"/>
      <c r="BF854" s="127"/>
      <c r="BG854" s="142"/>
      <c r="BH854" s="142"/>
      <c r="BI854" s="76"/>
      <c r="BJ854" s="24"/>
      <c r="BK854" s="25"/>
      <c r="BL854" s="259"/>
      <c r="BM854" s="533"/>
    </row>
    <row r="855" spans="1:65" ht="35.1" customHeight="1">
      <c r="A855" s="91"/>
      <c r="B855" s="358" t="s">
        <v>3046</v>
      </c>
      <c r="C855" s="50" t="s">
        <v>1977</v>
      </c>
      <c r="D855" s="264" t="s">
        <v>1903</v>
      </c>
      <c r="E855" s="393" t="s">
        <v>999</v>
      </c>
      <c r="F855" s="410"/>
      <c r="G855" s="10"/>
      <c r="H855" s="167"/>
      <c r="I855" s="10"/>
      <c r="J855" s="76"/>
      <c r="K855" s="24"/>
      <c r="L855" s="281"/>
      <c r="M855" s="431"/>
      <c r="N855" s="410">
        <v>212497</v>
      </c>
      <c r="O855" s="10">
        <v>430000</v>
      </c>
      <c r="P855" s="10">
        <v>470000</v>
      </c>
      <c r="Q855" s="268">
        <v>450000</v>
      </c>
      <c r="R855" s="10">
        <v>450000</v>
      </c>
      <c r="S855" s="76">
        <f t="shared" si="958"/>
        <v>450000</v>
      </c>
      <c r="T855" s="24">
        <f t="shared" si="959"/>
        <v>237503</v>
      </c>
      <c r="U855" s="281">
        <f t="shared" si="960"/>
        <v>1.1176769554393708</v>
      </c>
      <c r="V855" s="462">
        <f t="shared" si="961"/>
        <v>450000</v>
      </c>
      <c r="W855" s="410"/>
      <c r="X855" s="44"/>
      <c r="Y855" s="31"/>
      <c r="Z855" s="472"/>
      <c r="AA855" s="76"/>
      <c r="AB855" s="24"/>
      <c r="AC855" s="25"/>
      <c r="AD855" s="309"/>
      <c r="AE855" s="462"/>
      <c r="AF855" s="408"/>
      <c r="AG855" s="293"/>
      <c r="AH855" s="293"/>
      <c r="AI855" s="293"/>
      <c r="AJ855" s="293"/>
      <c r="AK855" s="293"/>
      <c r="AL855" s="327"/>
      <c r="AM855" s="463"/>
      <c r="AN855" s="513"/>
      <c r="AO855" s="88"/>
      <c r="AP855" s="116"/>
      <c r="AQ855" s="74"/>
      <c r="AR855" s="76"/>
      <c r="AS855" s="24"/>
      <c r="AT855" s="25"/>
      <c r="AU855" s="309"/>
      <c r="AV855" s="462"/>
      <c r="AW855" s="513"/>
      <c r="AX855" s="74"/>
      <c r="AY855" s="74"/>
      <c r="AZ855" s="75"/>
      <c r="BA855" s="61"/>
      <c r="BB855" s="60"/>
      <c r="BC855" s="74"/>
      <c r="BD855" s="79"/>
      <c r="BE855" s="79"/>
      <c r="BF855" s="127"/>
      <c r="BG855" s="142"/>
      <c r="BH855" s="142"/>
      <c r="BI855" s="76"/>
      <c r="BJ855" s="24"/>
      <c r="BK855" s="25"/>
      <c r="BL855" s="259"/>
      <c r="BM855" s="533"/>
    </row>
    <row r="856" spans="1:65" ht="35.1" customHeight="1">
      <c r="A856" s="91"/>
      <c r="B856" s="358" t="s">
        <v>3047</v>
      </c>
      <c r="C856" s="50" t="s">
        <v>1978</v>
      </c>
      <c r="D856" s="264" t="s">
        <v>1904</v>
      </c>
      <c r="E856" s="393" t="s">
        <v>999</v>
      </c>
      <c r="F856" s="410"/>
      <c r="G856" s="10"/>
      <c r="H856" s="167"/>
      <c r="I856" s="10"/>
      <c r="J856" s="76"/>
      <c r="K856" s="24"/>
      <c r="L856" s="281"/>
      <c r="M856" s="431"/>
      <c r="N856" s="410">
        <v>432360</v>
      </c>
      <c r="O856" s="10">
        <v>1240000</v>
      </c>
      <c r="P856" s="10">
        <v>1290000</v>
      </c>
      <c r="Q856" s="268">
        <v>1260000</v>
      </c>
      <c r="R856" s="10">
        <v>1350000</v>
      </c>
      <c r="S856" s="76">
        <f t="shared" si="958"/>
        <v>1285000</v>
      </c>
      <c r="T856" s="24">
        <f t="shared" si="959"/>
        <v>852640</v>
      </c>
      <c r="U856" s="281">
        <f t="shared" si="960"/>
        <v>1.9720603201036173</v>
      </c>
      <c r="V856" s="462">
        <f t="shared" si="961"/>
        <v>1285000</v>
      </c>
      <c r="W856" s="410"/>
      <c r="X856" s="44"/>
      <c r="Y856" s="31"/>
      <c r="Z856" s="472"/>
      <c r="AA856" s="76"/>
      <c r="AB856" s="24"/>
      <c r="AC856" s="25"/>
      <c r="AD856" s="309"/>
      <c r="AE856" s="462"/>
      <c r="AF856" s="408"/>
      <c r="AG856" s="293"/>
      <c r="AH856" s="293"/>
      <c r="AI856" s="293"/>
      <c r="AJ856" s="293"/>
      <c r="AK856" s="293"/>
      <c r="AL856" s="327"/>
      <c r="AM856" s="463"/>
      <c r="AN856" s="513"/>
      <c r="AO856" s="88"/>
      <c r="AP856" s="116"/>
      <c r="AQ856" s="74"/>
      <c r="AR856" s="76"/>
      <c r="AS856" s="24"/>
      <c r="AT856" s="25"/>
      <c r="AU856" s="309"/>
      <c r="AV856" s="462"/>
      <c r="AW856" s="513"/>
      <c r="AX856" s="74"/>
      <c r="AY856" s="74"/>
      <c r="AZ856" s="75"/>
      <c r="BA856" s="61"/>
      <c r="BB856" s="60"/>
      <c r="BC856" s="74"/>
      <c r="BD856" s="79"/>
      <c r="BE856" s="79"/>
      <c r="BF856" s="127"/>
      <c r="BG856" s="142"/>
      <c r="BH856" s="142"/>
      <c r="BI856" s="76"/>
      <c r="BJ856" s="24"/>
      <c r="BK856" s="25"/>
      <c r="BL856" s="259"/>
      <c r="BM856" s="533"/>
    </row>
    <row r="857" spans="1:65" ht="35.1" customHeight="1">
      <c r="A857" s="91"/>
      <c r="B857" s="358" t="s">
        <v>3048</v>
      </c>
      <c r="C857" s="50" t="s">
        <v>1979</v>
      </c>
      <c r="D857" s="264" t="s">
        <v>1905</v>
      </c>
      <c r="E857" s="393" t="s">
        <v>1399</v>
      </c>
      <c r="F857" s="410"/>
      <c r="G857" s="10"/>
      <c r="H857" s="167"/>
      <c r="I857" s="10"/>
      <c r="J857" s="76"/>
      <c r="K857" s="24"/>
      <c r="L857" s="281"/>
      <c r="M857" s="431"/>
      <c r="N857" s="410">
        <v>86219</v>
      </c>
      <c r="O857" s="10">
        <v>190000</v>
      </c>
      <c r="P857" s="10">
        <v>205000</v>
      </c>
      <c r="Q857" s="268">
        <v>200000</v>
      </c>
      <c r="R857" s="10">
        <v>200000</v>
      </c>
      <c r="S857" s="76">
        <f t="shared" si="958"/>
        <v>198750</v>
      </c>
      <c r="T857" s="24">
        <f t="shared" si="959"/>
        <v>112531</v>
      </c>
      <c r="U857" s="281">
        <f t="shared" si="960"/>
        <v>1.3051763532400051</v>
      </c>
      <c r="V857" s="462">
        <f t="shared" si="961"/>
        <v>198750</v>
      </c>
      <c r="W857" s="410"/>
      <c r="X857" s="44"/>
      <c r="Y857" s="31"/>
      <c r="Z857" s="472"/>
      <c r="AA857" s="76"/>
      <c r="AB857" s="24"/>
      <c r="AC857" s="25"/>
      <c r="AD857" s="309"/>
      <c r="AE857" s="462"/>
      <c r="AF857" s="408"/>
      <c r="AG857" s="293"/>
      <c r="AH857" s="293"/>
      <c r="AI857" s="293"/>
      <c r="AJ857" s="293"/>
      <c r="AK857" s="293"/>
      <c r="AL857" s="327"/>
      <c r="AM857" s="463"/>
      <c r="AN857" s="513"/>
      <c r="AO857" s="88"/>
      <c r="AP857" s="116"/>
      <c r="AQ857" s="74"/>
      <c r="AR857" s="76"/>
      <c r="AS857" s="24"/>
      <c r="AT857" s="25"/>
      <c r="AU857" s="309"/>
      <c r="AV857" s="462"/>
      <c r="AW857" s="513"/>
      <c r="AX857" s="74"/>
      <c r="AY857" s="74"/>
      <c r="AZ857" s="75"/>
      <c r="BA857" s="61"/>
      <c r="BB857" s="60"/>
      <c r="BC857" s="74"/>
      <c r="BD857" s="79"/>
      <c r="BE857" s="79"/>
      <c r="BF857" s="127"/>
      <c r="BG857" s="142"/>
      <c r="BH857" s="142"/>
      <c r="BI857" s="76"/>
      <c r="BJ857" s="24"/>
      <c r="BK857" s="25"/>
      <c r="BL857" s="259"/>
      <c r="BM857" s="533"/>
    </row>
    <row r="858" spans="1:65" ht="35.1" customHeight="1">
      <c r="A858" s="91"/>
      <c r="B858" s="358" t="s">
        <v>3049</v>
      </c>
      <c r="C858" s="50" t="s">
        <v>1980</v>
      </c>
      <c r="D858" s="264" t="s">
        <v>1906</v>
      </c>
      <c r="E858" s="393" t="s">
        <v>1457</v>
      </c>
      <c r="F858" s="410"/>
      <c r="G858" s="10"/>
      <c r="H858" s="167"/>
      <c r="I858" s="10"/>
      <c r="J858" s="76"/>
      <c r="K858" s="24"/>
      <c r="L858" s="281"/>
      <c r="M858" s="431"/>
      <c r="N858" s="410">
        <v>56100</v>
      </c>
      <c r="O858" s="10">
        <v>190000</v>
      </c>
      <c r="P858" s="10">
        <v>205000</v>
      </c>
      <c r="Q858" s="268">
        <v>200000</v>
      </c>
      <c r="R858" s="10">
        <v>200000</v>
      </c>
      <c r="S858" s="76">
        <f t="shared" si="958"/>
        <v>198750</v>
      </c>
      <c r="T858" s="24">
        <f t="shared" si="959"/>
        <v>142650</v>
      </c>
      <c r="U858" s="281">
        <f t="shared" si="960"/>
        <v>2.5427807486631018</v>
      </c>
      <c r="V858" s="462">
        <f t="shared" si="961"/>
        <v>198750</v>
      </c>
      <c r="W858" s="410"/>
      <c r="X858" s="44"/>
      <c r="Y858" s="31"/>
      <c r="Z858" s="472"/>
      <c r="AA858" s="76"/>
      <c r="AB858" s="24"/>
      <c r="AC858" s="25"/>
      <c r="AD858" s="309"/>
      <c r="AE858" s="462"/>
      <c r="AF858" s="408"/>
      <c r="AG858" s="293"/>
      <c r="AH858" s="293"/>
      <c r="AI858" s="293"/>
      <c r="AJ858" s="293"/>
      <c r="AK858" s="293"/>
      <c r="AL858" s="327"/>
      <c r="AM858" s="463"/>
      <c r="AN858" s="513"/>
      <c r="AO858" s="88"/>
      <c r="AP858" s="116"/>
      <c r="AQ858" s="74"/>
      <c r="AR858" s="76"/>
      <c r="AS858" s="24"/>
      <c r="AT858" s="25"/>
      <c r="AU858" s="309"/>
      <c r="AV858" s="462"/>
      <c r="AW858" s="513"/>
      <c r="AX858" s="74"/>
      <c r="AY858" s="74"/>
      <c r="AZ858" s="75"/>
      <c r="BA858" s="61"/>
      <c r="BB858" s="60"/>
      <c r="BC858" s="74"/>
      <c r="BD858" s="79"/>
      <c r="BE858" s="79"/>
      <c r="BF858" s="127"/>
      <c r="BG858" s="142"/>
      <c r="BH858" s="142"/>
      <c r="BI858" s="76"/>
      <c r="BJ858" s="24"/>
      <c r="BK858" s="25"/>
      <c r="BL858" s="259"/>
      <c r="BM858" s="533"/>
    </row>
    <row r="859" spans="1:65" ht="35.1" customHeight="1">
      <c r="A859" s="91"/>
      <c r="B859" s="358" t="s">
        <v>3050</v>
      </c>
      <c r="C859" s="50" t="s">
        <v>1981</v>
      </c>
      <c r="D859" s="264" t="s">
        <v>1907</v>
      </c>
      <c r="E859" s="393" t="s">
        <v>999</v>
      </c>
      <c r="F859" s="410"/>
      <c r="G859" s="10"/>
      <c r="H859" s="167"/>
      <c r="I859" s="10"/>
      <c r="J859" s="76"/>
      <c r="K859" s="24"/>
      <c r="L859" s="281"/>
      <c r="M859" s="431"/>
      <c r="N859" s="410">
        <v>427561</v>
      </c>
      <c r="O859" s="10">
        <v>450000</v>
      </c>
      <c r="P859" s="10">
        <v>4900000</v>
      </c>
      <c r="Q859" s="268">
        <v>4600000</v>
      </c>
      <c r="R859" s="10">
        <v>520000</v>
      </c>
      <c r="S859" s="76">
        <f t="shared" si="958"/>
        <v>2617500</v>
      </c>
      <c r="T859" s="24">
        <f t="shared" si="959"/>
        <v>2189939</v>
      </c>
      <c r="U859" s="281">
        <f t="shared" si="960"/>
        <v>5.1219334784978052</v>
      </c>
      <c r="V859" s="462">
        <f t="shared" si="961"/>
        <v>2617500</v>
      </c>
      <c r="W859" s="410"/>
      <c r="X859" s="44"/>
      <c r="Y859" s="31"/>
      <c r="Z859" s="472"/>
      <c r="AA859" s="76"/>
      <c r="AB859" s="24"/>
      <c r="AC859" s="25"/>
      <c r="AD859" s="309"/>
      <c r="AE859" s="462"/>
      <c r="AF859" s="408"/>
      <c r="AG859" s="293"/>
      <c r="AH859" s="293"/>
      <c r="AI859" s="293"/>
      <c r="AJ859" s="293"/>
      <c r="AK859" s="293"/>
      <c r="AL859" s="327"/>
      <c r="AM859" s="463"/>
      <c r="AN859" s="513"/>
      <c r="AO859" s="88"/>
      <c r="AP859" s="116"/>
      <c r="AQ859" s="74"/>
      <c r="AR859" s="76"/>
      <c r="AS859" s="24"/>
      <c r="AT859" s="25"/>
      <c r="AU859" s="309"/>
      <c r="AV859" s="462"/>
      <c r="AW859" s="513"/>
      <c r="AX859" s="74"/>
      <c r="AY859" s="74"/>
      <c r="AZ859" s="75"/>
      <c r="BA859" s="61"/>
      <c r="BB859" s="60"/>
      <c r="BC859" s="74"/>
      <c r="BD859" s="79"/>
      <c r="BE859" s="79"/>
      <c r="BF859" s="127"/>
      <c r="BG859" s="142"/>
      <c r="BH859" s="142"/>
      <c r="BI859" s="76"/>
      <c r="BJ859" s="24"/>
      <c r="BK859" s="25"/>
      <c r="BL859" s="259"/>
      <c r="BM859" s="533"/>
    </row>
    <row r="860" spans="1:65" ht="35.1" customHeight="1">
      <c r="A860" s="91"/>
      <c r="B860" s="358" t="s">
        <v>3051</v>
      </c>
      <c r="C860" s="50" t="s">
        <v>1982</v>
      </c>
      <c r="D860" s="264" t="s">
        <v>1908</v>
      </c>
      <c r="E860" s="393" t="s">
        <v>1466</v>
      </c>
      <c r="F860" s="410"/>
      <c r="G860" s="10"/>
      <c r="H860" s="167"/>
      <c r="I860" s="10"/>
      <c r="J860" s="76"/>
      <c r="K860" s="24"/>
      <c r="L860" s="281"/>
      <c r="M860" s="431"/>
      <c r="N860" s="410">
        <v>1517216</v>
      </c>
      <c r="O860" s="10">
        <v>830000</v>
      </c>
      <c r="P860" s="10">
        <v>900000</v>
      </c>
      <c r="Q860" s="268">
        <v>850000</v>
      </c>
      <c r="R860" s="10">
        <v>1200000</v>
      </c>
      <c r="S860" s="76">
        <f t="shared" si="958"/>
        <v>945000</v>
      </c>
      <c r="T860" s="24">
        <f t="shared" si="959"/>
        <v>-572216</v>
      </c>
      <c r="U860" s="281">
        <f t="shared" si="960"/>
        <v>-0.37714867230506399</v>
      </c>
      <c r="V860" s="462">
        <f t="shared" si="961"/>
        <v>945000</v>
      </c>
      <c r="W860" s="410"/>
      <c r="X860" s="44"/>
      <c r="Y860" s="31"/>
      <c r="Z860" s="472"/>
      <c r="AA860" s="76"/>
      <c r="AB860" s="24"/>
      <c r="AC860" s="25"/>
      <c r="AD860" s="309"/>
      <c r="AE860" s="462"/>
      <c r="AF860" s="408"/>
      <c r="AG860" s="293"/>
      <c r="AH860" s="293"/>
      <c r="AI860" s="293"/>
      <c r="AJ860" s="293"/>
      <c r="AK860" s="293"/>
      <c r="AL860" s="327"/>
      <c r="AM860" s="463"/>
      <c r="AN860" s="513"/>
      <c r="AO860" s="88"/>
      <c r="AP860" s="116"/>
      <c r="AQ860" s="74"/>
      <c r="AR860" s="76"/>
      <c r="AS860" s="24"/>
      <c r="AT860" s="25"/>
      <c r="AU860" s="309"/>
      <c r="AV860" s="462"/>
      <c r="AW860" s="513"/>
      <c r="AX860" s="74"/>
      <c r="AY860" s="74"/>
      <c r="AZ860" s="75"/>
      <c r="BA860" s="61"/>
      <c r="BB860" s="60"/>
      <c r="BC860" s="74"/>
      <c r="BD860" s="79"/>
      <c r="BE860" s="79"/>
      <c r="BF860" s="127"/>
      <c r="BG860" s="142"/>
      <c r="BH860" s="142"/>
      <c r="BI860" s="76"/>
      <c r="BJ860" s="24"/>
      <c r="BK860" s="25"/>
      <c r="BL860" s="259"/>
      <c r="BM860" s="533"/>
    </row>
    <row r="861" spans="1:65" ht="35.1" customHeight="1">
      <c r="A861" s="91"/>
      <c r="B861" s="358" t="s">
        <v>3052</v>
      </c>
      <c r="C861" s="50" t="s">
        <v>1983</v>
      </c>
      <c r="D861" s="264" t="s">
        <v>1909</v>
      </c>
      <c r="E861" s="393" t="s">
        <v>999</v>
      </c>
      <c r="F861" s="410"/>
      <c r="G861" s="10"/>
      <c r="H861" s="167"/>
      <c r="I861" s="10"/>
      <c r="J861" s="76"/>
      <c r="K861" s="24"/>
      <c r="L861" s="281"/>
      <c r="M861" s="431"/>
      <c r="N861" s="410">
        <v>261337</v>
      </c>
      <c r="O861" s="10">
        <v>432000</v>
      </c>
      <c r="P861" s="10">
        <v>470000</v>
      </c>
      <c r="Q861" s="268">
        <v>450000</v>
      </c>
      <c r="R861" s="10">
        <v>432000</v>
      </c>
      <c r="S861" s="76">
        <f t="shared" si="958"/>
        <v>446000</v>
      </c>
      <c r="T861" s="24">
        <f t="shared" si="959"/>
        <v>184663</v>
      </c>
      <c r="U861" s="281">
        <f t="shared" si="960"/>
        <v>0.70660870829618461</v>
      </c>
      <c r="V861" s="462">
        <f t="shared" si="961"/>
        <v>446000</v>
      </c>
      <c r="W861" s="410"/>
      <c r="X861" s="44"/>
      <c r="Y861" s="31"/>
      <c r="Z861" s="472"/>
      <c r="AA861" s="76"/>
      <c r="AB861" s="24"/>
      <c r="AC861" s="25"/>
      <c r="AD861" s="309"/>
      <c r="AE861" s="462"/>
      <c r="AF861" s="408"/>
      <c r="AG861" s="293"/>
      <c r="AH861" s="293"/>
      <c r="AI861" s="293"/>
      <c r="AJ861" s="293"/>
      <c r="AK861" s="293"/>
      <c r="AL861" s="327"/>
      <c r="AM861" s="463"/>
      <c r="AN861" s="513"/>
      <c r="AO861" s="88"/>
      <c r="AP861" s="116"/>
      <c r="AQ861" s="74"/>
      <c r="AR861" s="76"/>
      <c r="AS861" s="24"/>
      <c r="AT861" s="25"/>
      <c r="AU861" s="309"/>
      <c r="AV861" s="462"/>
      <c r="AW861" s="513"/>
      <c r="AX861" s="74"/>
      <c r="AY861" s="74"/>
      <c r="AZ861" s="75"/>
      <c r="BA861" s="61"/>
      <c r="BB861" s="60"/>
      <c r="BC861" s="74"/>
      <c r="BD861" s="79"/>
      <c r="BE861" s="79"/>
      <c r="BF861" s="127"/>
      <c r="BG861" s="142"/>
      <c r="BH861" s="142"/>
      <c r="BI861" s="76"/>
      <c r="BJ861" s="24"/>
      <c r="BK861" s="25"/>
      <c r="BL861" s="259"/>
      <c r="BM861" s="533"/>
    </row>
    <row r="862" spans="1:65" ht="35.1" customHeight="1">
      <c r="A862" s="91"/>
      <c r="B862" s="358" t="s">
        <v>3053</v>
      </c>
      <c r="C862" s="50" t="s">
        <v>1984</v>
      </c>
      <c r="D862" s="264" t="s">
        <v>1910</v>
      </c>
      <c r="E862" s="393" t="s">
        <v>999</v>
      </c>
      <c r="F862" s="410"/>
      <c r="G862" s="10"/>
      <c r="H862" s="167"/>
      <c r="I862" s="10"/>
      <c r="J862" s="76"/>
      <c r="K862" s="24"/>
      <c r="L862" s="281"/>
      <c r="M862" s="431"/>
      <c r="N862" s="410">
        <v>284703</v>
      </c>
      <c r="O862" s="10">
        <v>350000</v>
      </c>
      <c r="P862" s="10">
        <v>390000</v>
      </c>
      <c r="Q862" s="268">
        <v>360000</v>
      </c>
      <c r="R862" s="10">
        <v>350000</v>
      </c>
      <c r="S862" s="76">
        <f t="shared" si="958"/>
        <v>362500</v>
      </c>
      <c r="T862" s="24">
        <f t="shared" si="959"/>
        <v>77797</v>
      </c>
      <c r="U862" s="281">
        <f t="shared" si="960"/>
        <v>0.27325669206155184</v>
      </c>
      <c r="V862" s="462">
        <f t="shared" si="961"/>
        <v>362500</v>
      </c>
      <c r="W862" s="410"/>
      <c r="X862" s="44"/>
      <c r="Y862" s="31"/>
      <c r="Z862" s="472"/>
      <c r="AA862" s="76"/>
      <c r="AB862" s="24"/>
      <c r="AC862" s="25"/>
      <c r="AD862" s="309"/>
      <c r="AE862" s="462"/>
      <c r="AF862" s="408"/>
      <c r="AG862" s="293"/>
      <c r="AH862" s="293"/>
      <c r="AI862" s="293"/>
      <c r="AJ862" s="293"/>
      <c r="AK862" s="293"/>
      <c r="AL862" s="327"/>
      <c r="AM862" s="463"/>
      <c r="AN862" s="513"/>
      <c r="AO862" s="88"/>
      <c r="AP862" s="116"/>
      <c r="AQ862" s="74"/>
      <c r="AR862" s="76"/>
      <c r="AS862" s="24"/>
      <c r="AT862" s="25"/>
      <c r="AU862" s="309"/>
      <c r="AV862" s="462"/>
      <c r="AW862" s="513"/>
      <c r="AX862" s="74"/>
      <c r="AY862" s="74"/>
      <c r="AZ862" s="75"/>
      <c r="BA862" s="61"/>
      <c r="BB862" s="60"/>
      <c r="BC862" s="74"/>
      <c r="BD862" s="79"/>
      <c r="BE862" s="79"/>
      <c r="BF862" s="127"/>
      <c r="BG862" s="142"/>
      <c r="BH862" s="142"/>
      <c r="BI862" s="76"/>
      <c r="BJ862" s="24"/>
      <c r="BK862" s="25"/>
      <c r="BL862" s="259"/>
      <c r="BM862" s="533"/>
    </row>
    <row r="863" spans="1:65" ht="50.1" customHeight="1">
      <c r="A863" s="91"/>
      <c r="B863" s="358" t="s">
        <v>3054</v>
      </c>
      <c r="C863" s="50" t="s">
        <v>2205</v>
      </c>
      <c r="D863" s="322" t="s">
        <v>2200</v>
      </c>
      <c r="E863" s="391" t="s">
        <v>14</v>
      </c>
      <c r="F863" s="410"/>
      <c r="G863" s="10"/>
      <c r="H863" s="167"/>
      <c r="I863" s="10"/>
      <c r="J863" s="76"/>
      <c r="K863" s="24"/>
      <c r="L863" s="281"/>
      <c r="M863" s="431"/>
      <c r="N863" s="448"/>
      <c r="O863" s="7"/>
      <c r="P863" s="7"/>
      <c r="Q863" s="273"/>
      <c r="R863" s="7"/>
      <c r="S863" s="186"/>
      <c r="T863" s="187"/>
      <c r="U863" s="188"/>
      <c r="V863" s="431"/>
      <c r="W863" s="410"/>
      <c r="X863" s="44"/>
      <c r="Y863" s="31"/>
      <c r="Z863" s="472"/>
      <c r="AA863" s="76"/>
      <c r="AB863" s="24"/>
      <c r="AC863" s="25"/>
      <c r="AD863" s="309"/>
      <c r="AE863" s="462"/>
      <c r="AF863" s="410">
        <v>676363</v>
      </c>
      <c r="AG863" s="45"/>
      <c r="AH863" s="45"/>
      <c r="AI863" s="45">
        <v>2480000</v>
      </c>
      <c r="AJ863" s="76">
        <f t="shared" ref="AJ863:AJ867" si="962">AVERAGE(AG863,AH863,AI863)</f>
        <v>2480000</v>
      </c>
      <c r="AK863" s="24">
        <f t="shared" ref="AK863:AK867" si="963">AJ863-AF863</f>
        <v>1803637</v>
      </c>
      <c r="AL863" s="281">
        <f t="shared" ref="AL863:AL867" si="964">+AK863/AF863</f>
        <v>2.666670116490701</v>
      </c>
      <c r="AM863" s="462">
        <f t="shared" ref="AM863:AM867" si="965">AJ863</f>
        <v>2480000</v>
      </c>
      <c r="AN863" s="513"/>
      <c r="AO863" s="88"/>
      <c r="AP863" s="116"/>
      <c r="AQ863" s="74"/>
      <c r="AR863" s="76"/>
      <c r="AS863" s="24"/>
      <c r="AT863" s="25"/>
      <c r="AU863" s="309"/>
      <c r="AV863" s="462"/>
      <c r="AW863" s="513"/>
      <c r="AX863" s="74"/>
      <c r="AY863" s="74"/>
      <c r="AZ863" s="75"/>
      <c r="BA863" s="61"/>
      <c r="BB863" s="60"/>
      <c r="BC863" s="74"/>
      <c r="BD863" s="79"/>
      <c r="BE863" s="79"/>
      <c r="BF863" s="127"/>
      <c r="BG863" s="142"/>
      <c r="BH863" s="142"/>
      <c r="BI863" s="76"/>
      <c r="BJ863" s="24"/>
      <c r="BK863" s="25"/>
      <c r="BL863" s="259"/>
      <c r="BM863" s="533"/>
    </row>
    <row r="864" spans="1:65" ht="35.1" customHeight="1">
      <c r="A864" s="91"/>
      <c r="B864" s="358" t="s">
        <v>3055</v>
      </c>
      <c r="C864" s="50" t="s">
        <v>2206</v>
      </c>
      <c r="D864" s="322" t="s">
        <v>2201</v>
      </c>
      <c r="E864" s="391" t="s">
        <v>14</v>
      </c>
      <c r="F864" s="410"/>
      <c r="G864" s="10"/>
      <c r="H864" s="167"/>
      <c r="I864" s="10"/>
      <c r="J864" s="76"/>
      <c r="K864" s="24"/>
      <c r="L864" s="281"/>
      <c r="M864" s="431"/>
      <c r="N864" s="448"/>
      <c r="O864" s="7"/>
      <c r="P864" s="7"/>
      <c r="Q864" s="273"/>
      <c r="R864" s="7"/>
      <c r="S864" s="186"/>
      <c r="T864" s="187"/>
      <c r="U864" s="188"/>
      <c r="V864" s="431"/>
      <c r="W864" s="410"/>
      <c r="X864" s="44"/>
      <c r="Y864" s="31"/>
      <c r="Z864" s="472"/>
      <c r="AA864" s="76"/>
      <c r="AB864" s="24"/>
      <c r="AC864" s="25"/>
      <c r="AD864" s="309"/>
      <c r="AE864" s="462"/>
      <c r="AF864" s="410">
        <v>293762</v>
      </c>
      <c r="AG864" s="45"/>
      <c r="AH864" s="45"/>
      <c r="AI864" s="45">
        <v>370000</v>
      </c>
      <c r="AJ864" s="76">
        <f t="shared" si="962"/>
        <v>370000</v>
      </c>
      <c r="AK864" s="24">
        <f t="shared" si="963"/>
        <v>76238</v>
      </c>
      <c r="AL864" s="281">
        <f t="shared" si="964"/>
        <v>0.25952301523001614</v>
      </c>
      <c r="AM864" s="462">
        <f t="shared" si="965"/>
        <v>370000</v>
      </c>
      <c r="AN864" s="513"/>
      <c r="AO864" s="88"/>
      <c r="AP864" s="116"/>
      <c r="AQ864" s="74"/>
      <c r="AR864" s="76"/>
      <c r="AS864" s="24"/>
      <c r="AT864" s="25"/>
      <c r="AU864" s="309"/>
      <c r="AV864" s="462"/>
      <c r="AW864" s="513"/>
      <c r="AX864" s="74"/>
      <c r="AY864" s="74"/>
      <c r="AZ864" s="75"/>
      <c r="BA864" s="61"/>
      <c r="BB864" s="60"/>
      <c r="BC864" s="74"/>
      <c r="BD864" s="79"/>
      <c r="BE864" s="79"/>
      <c r="BF864" s="127"/>
      <c r="BG864" s="142"/>
      <c r="BH864" s="142"/>
      <c r="BI864" s="76"/>
      <c r="BJ864" s="24"/>
      <c r="BK864" s="25"/>
      <c r="BL864" s="259"/>
      <c r="BM864" s="533"/>
    </row>
    <row r="865" spans="1:65" ht="35.1" customHeight="1">
      <c r="A865" s="91"/>
      <c r="B865" s="358" t="s">
        <v>3056</v>
      </c>
      <c r="C865" s="50" t="s">
        <v>2207</v>
      </c>
      <c r="D865" s="322" t="s">
        <v>2202</v>
      </c>
      <c r="E865" s="391" t="s">
        <v>14</v>
      </c>
      <c r="F865" s="410"/>
      <c r="G865" s="10"/>
      <c r="H865" s="167"/>
      <c r="I865" s="10"/>
      <c r="J865" s="76"/>
      <c r="K865" s="24"/>
      <c r="L865" s="281"/>
      <c r="M865" s="431"/>
      <c r="N865" s="448"/>
      <c r="O865" s="7"/>
      <c r="P865" s="7"/>
      <c r="Q865" s="273"/>
      <c r="R865" s="7"/>
      <c r="S865" s="186"/>
      <c r="T865" s="187"/>
      <c r="U865" s="188"/>
      <c r="V865" s="431"/>
      <c r="W865" s="410"/>
      <c r="X865" s="44"/>
      <c r="Y865" s="31"/>
      <c r="Z865" s="472"/>
      <c r="AA865" s="76"/>
      <c r="AB865" s="24"/>
      <c r="AC865" s="25"/>
      <c r="AD865" s="309"/>
      <c r="AE865" s="462"/>
      <c r="AF865" s="410">
        <v>337882</v>
      </c>
      <c r="AG865" s="45"/>
      <c r="AH865" s="45"/>
      <c r="AI865" s="45">
        <v>480000</v>
      </c>
      <c r="AJ865" s="76">
        <f t="shared" si="962"/>
        <v>480000</v>
      </c>
      <c r="AK865" s="24">
        <f t="shared" si="963"/>
        <v>142118</v>
      </c>
      <c r="AL865" s="281">
        <f t="shared" si="964"/>
        <v>0.42061429729905708</v>
      </c>
      <c r="AM865" s="462">
        <f t="shared" si="965"/>
        <v>480000</v>
      </c>
      <c r="AN865" s="513"/>
      <c r="AO865" s="88"/>
      <c r="AP865" s="116"/>
      <c r="AQ865" s="74"/>
      <c r="AR865" s="76"/>
      <c r="AS865" s="24"/>
      <c r="AT865" s="25"/>
      <c r="AU865" s="309"/>
      <c r="AV865" s="462"/>
      <c r="AW865" s="513"/>
      <c r="AX865" s="74"/>
      <c r="AY865" s="74"/>
      <c r="AZ865" s="75"/>
      <c r="BA865" s="61"/>
      <c r="BB865" s="60"/>
      <c r="BC865" s="74"/>
      <c r="BD865" s="79"/>
      <c r="BE865" s="79"/>
      <c r="BF865" s="127"/>
      <c r="BG865" s="142"/>
      <c r="BH865" s="142"/>
      <c r="BI865" s="76"/>
      <c r="BJ865" s="24"/>
      <c r="BK865" s="25"/>
      <c r="BL865" s="259"/>
      <c r="BM865" s="533"/>
    </row>
    <row r="866" spans="1:65" ht="35.1" customHeight="1">
      <c r="A866" s="91"/>
      <c r="B866" s="358" t="s">
        <v>3057</v>
      </c>
      <c r="C866" s="50" t="s">
        <v>2208</v>
      </c>
      <c r="D866" s="322" t="s">
        <v>2203</v>
      </c>
      <c r="E866" s="391" t="s">
        <v>14</v>
      </c>
      <c r="F866" s="410"/>
      <c r="G866" s="10"/>
      <c r="H866" s="167"/>
      <c r="I866" s="10"/>
      <c r="J866" s="76"/>
      <c r="K866" s="24"/>
      <c r="L866" s="281"/>
      <c r="M866" s="431"/>
      <c r="N866" s="448"/>
      <c r="O866" s="7"/>
      <c r="P866" s="7"/>
      <c r="Q866" s="273"/>
      <c r="R866" s="7"/>
      <c r="S866" s="186"/>
      <c r="T866" s="187"/>
      <c r="U866" s="188"/>
      <c r="V866" s="431"/>
      <c r="W866" s="410"/>
      <c r="X866" s="44"/>
      <c r="Y866" s="31"/>
      <c r="Z866" s="472"/>
      <c r="AA866" s="76"/>
      <c r="AB866" s="24"/>
      <c r="AC866" s="25"/>
      <c r="AD866" s="309"/>
      <c r="AE866" s="462"/>
      <c r="AF866" s="410">
        <v>170750</v>
      </c>
      <c r="AG866" s="45"/>
      <c r="AH866" s="45"/>
      <c r="AI866" s="45">
        <v>160000</v>
      </c>
      <c r="AJ866" s="76">
        <f t="shared" si="962"/>
        <v>160000</v>
      </c>
      <c r="AK866" s="24">
        <f t="shared" si="963"/>
        <v>-10750</v>
      </c>
      <c r="AL866" s="281">
        <f t="shared" si="964"/>
        <v>-6.2957540263543194E-2</v>
      </c>
      <c r="AM866" s="462">
        <f t="shared" si="965"/>
        <v>160000</v>
      </c>
      <c r="AN866" s="513"/>
      <c r="AO866" s="88"/>
      <c r="AP866" s="116"/>
      <c r="AQ866" s="74"/>
      <c r="AR866" s="76"/>
      <c r="AS866" s="24"/>
      <c r="AT866" s="25"/>
      <c r="AU866" s="309"/>
      <c r="AV866" s="462"/>
      <c r="AW866" s="513"/>
      <c r="AX866" s="74"/>
      <c r="AY866" s="74"/>
      <c r="AZ866" s="75"/>
      <c r="BA866" s="61"/>
      <c r="BB866" s="60"/>
      <c r="BC866" s="74"/>
      <c r="BD866" s="79"/>
      <c r="BE866" s="79"/>
      <c r="BF866" s="127"/>
      <c r="BG866" s="142"/>
      <c r="BH866" s="142"/>
      <c r="BI866" s="76"/>
      <c r="BJ866" s="24"/>
      <c r="BK866" s="25"/>
      <c r="BL866" s="259"/>
      <c r="BM866" s="533"/>
    </row>
    <row r="867" spans="1:65" ht="35.1" customHeight="1">
      <c r="A867" s="91"/>
      <c r="B867" s="358" t="s">
        <v>3058</v>
      </c>
      <c r="C867" s="50" t="s">
        <v>2209</v>
      </c>
      <c r="D867" s="322" t="s">
        <v>2204</v>
      </c>
      <c r="E867" s="391" t="s">
        <v>14</v>
      </c>
      <c r="F867" s="410"/>
      <c r="G867" s="10"/>
      <c r="H867" s="167"/>
      <c r="I867" s="10"/>
      <c r="J867" s="76"/>
      <c r="K867" s="24"/>
      <c r="L867" s="281"/>
      <c r="M867" s="431"/>
      <c r="N867" s="448"/>
      <c r="O867" s="7"/>
      <c r="P867" s="7"/>
      <c r="Q867" s="273"/>
      <c r="R867" s="7"/>
      <c r="S867" s="186"/>
      <c r="T867" s="187"/>
      <c r="U867" s="188"/>
      <c r="V867" s="431"/>
      <c r="W867" s="410"/>
      <c r="X867" s="44"/>
      <c r="Y867" s="31"/>
      <c r="Z867" s="472"/>
      <c r="AA867" s="76"/>
      <c r="AB867" s="24"/>
      <c r="AC867" s="25"/>
      <c r="AD867" s="309"/>
      <c r="AE867" s="462"/>
      <c r="AF867" s="410">
        <v>293762</v>
      </c>
      <c r="AG867" s="45"/>
      <c r="AH867" s="45"/>
      <c r="AI867" s="45">
        <v>180000</v>
      </c>
      <c r="AJ867" s="76">
        <f t="shared" si="962"/>
        <v>180000</v>
      </c>
      <c r="AK867" s="24">
        <f t="shared" si="963"/>
        <v>-113762</v>
      </c>
      <c r="AL867" s="281">
        <f t="shared" si="964"/>
        <v>-0.38725907367188406</v>
      </c>
      <c r="AM867" s="462">
        <f t="shared" si="965"/>
        <v>180000</v>
      </c>
      <c r="AN867" s="513"/>
      <c r="AO867" s="88"/>
      <c r="AP867" s="116"/>
      <c r="AQ867" s="74"/>
      <c r="AR867" s="76"/>
      <c r="AS867" s="24"/>
      <c r="AT867" s="25"/>
      <c r="AU867" s="309"/>
      <c r="AV867" s="462"/>
      <c r="AW867" s="513"/>
      <c r="AX867" s="74"/>
      <c r="AY867" s="74"/>
      <c r="AZ867" s="75"/>
      <c r="BA867" s="61"/>
      <c r="BB867" s="60"/>
      <c r="BC867" s="74"/>
      <c r="BD867" s="79"/>
      <c r="BE867" s="79"/>
      <c r="BF867" s="127"/>
      <c r="BG867" s="142"/>
      <c r="BH867" s="142"/>
      <c r="BI867" s="76"/>
      <c r="BJ867" s="24"/>
      <c r="BK867" s="25"/>
      <c r="BL867" s="259"/>
      <c r="BM867" s="533"/>
    </row>
    <row r="868" spans="1:65" ht="35.1" customHeight="1">
      <c r="A868" s="91" t="s">
        <v>36</v>
      </c>
      <c r="B868" s="358" t="s">
        <v>3059</v>
      </c>
      <c r="C868" s="252" t="s">
        <v>762</v>
      </c>
      <c r="D868" s="100" t="s">
        <v>36</v>
      </c>
      <c r="E868" s="91"/>
      <c r="F868" s="413"/>
      <c r="G868" s="47"/>
      <c r="H868" s="47"/>
      <c r="I868" s="47"/>
      <c r="J868" s="47"/>
      <c r="K868" s="47"/>
      <c r="L868" s="91"/>
      <c r="M868" s="438"/>
      <c r="N868" s="413"/>
      <c r="O868" s="47"/>
      <c r="P868" s="47"/>
      <c r="Q868" s="47"/>
      <c r="R868" s="47"/>
      <c r="S868" s="47"/>
      <c r="T868" s="47"/>
      <c r="U868" s="91"/>
      <c r="V868" s="467"/>
      <c r="W868" s="413"/>
      <c r="X868" s="47"/>
      <c r="Y868" s="47"/>
      <c r="Z868" s="47"/>
      <c r="AA868" s="47"/>
      <c r="AB868" s="47"/>
      <c r="AC868" s="47"/>
      <c r="AD868" s="91"/>
      <c r="AE868" s="467"/>
      <c r="AF868" s="413"/>
      <c r="AG868" s="47"/>
      <c r="AH868" s="47"/>
      <c r="AI868" s="47"/>
      <c r="AJ868" s="47"/>
      <c r="AK868" s="47"/>
      <c r="AL868" s="91"/>
      <c r="AM868" s="467"/>
      <c r="AN868" s="413"/>
      <c r="AO868" s="47"/>
      <c r="AP868" s="47"/>
      <c r="AQ868" s="47"/>
      <c r="AR868" s="47"/>
      <c r="AS868" s="47"/>
      <c r="AT868" s="47"/>
      <c r="AU868" s="91"/>
      <c r="AV868" s="467"/>
      <c r="AW868" s="413"/>
      <c r="AX868" s="47"/>
      <c r="AY868" s="47"/>
      <c r="AZ868" s="47"/>
      <c r="BA868" s="47"/>
      <c r="BB868" s="47"/>
      <c r="BC868" s="47"/>
      <c r="BD868" s="154"/>
      <c r="BE868" s="154"/>
      <c r="BF868" s="155"/>
      <c r="BG868" s="154"/>
      <c r="BH868" s="154"/>
      <c r="BI868" s="47"/>
      <c r="BJ868" s="47"/>
      <c r="BK868" s="47"/>
      <c r="BL868" s="414"/>
      <c r="BM868" s="457"/>
    </row>
    <row r="869" spans="1:65" ht="35.1" customHeight="1">
      <c r="A869" s="91" t="s">
        <v>36</v>
      </c>
      <c r="B869" s="358" t="s">
        <v>3060</v>
      </c>
      <c r="C869" s="50" t="s">
        <v>359</v>
      </c>
      <c r="D869" s="99" t="s">
        <v>714</v>
      </c>
      <c r="E869" s="391" t="s">
        <v>40</v>
      </c>
      <c r="F869" s="408"/>
      <c r="G869" s="293"/>
      <c r="H869" s="293"/>
      <c r="I869" s="293"/>
      <c r="J869" s="293"/>
      <c r="K869" s="293"/>
      <c r="L869" s="327"/>
      <c r="M869" s="432"/>
      <c r="N869" s="443"/>
      <c r="O869" s="250"/>
      <c r="P869" s="250"/>
      <c r="Q869" s="250"/>
      <c r="R869" s="250"/>
      <c r="S869" s="250"/>
      <c r="T869" s="250"/>
      <c r="U869" s="250"/>
      <c r="V869" s="443"/>
      <c r="W869" s="410">
        <v>30600</v>
      </c>
      <c r="X869" s="33">
        <v>39798</v>
      </c>
      <c r="Y869" s="31">
        <v>51737</v>
      </c>
      <c r="Z869" s="98">
        <v>34786.400000000001</v>
      </c>
      <c r="AA869" s="76">
        <f t="shared" ref="AA869:AA898" si="966">AVERAGE(X869,Y869,Z869)</f>
        <v>42107.133333333331</v>
      </c>
      <c r="AB869" s="24">
        <f t="shared" ref="AB869:AB898" si="967">AA869-W869</f>
        <v>11507.133333333331</v>
      </c>
      <c r="AC869" s="25">
        <f t="shared" ref="AC869:AC898" si="968">+AB869/W869</f>
        <v>0.37605010893246182</v>
      </c>
      <c r="AD869" s="309" t="str">
        <f t="shared" ref="AD869:AD898" si="969">+IF(AC869&lt;35%,AA869,"REVISAR PRECIO")</f>
        <v>REVISAR PRECIO</v>
      </c>
      <c r="AE869" s="462">
        <f t="shared" ref="AE869:AE898" si="970">AA869</f>
        <v>42107.133333333331</v>
      </c>
      <c r="AF869" s="408"/>
      <c r="AG869" s="293"/>
      <c r="AH869" s="293"/>
      <c r="AI869" s="293"/>
      <c r="AJ869" s="293"/>
      <c r="AK869" s="293"/>
      <c r="AL869" s="327"/>
      <c r="AM869" s="463"/>
      <c r="AN869" s="513">
        <v>3616</v>
      </c>
      <c r="AO869" s="88">
        <v>20000</v>
      </c>
      <c r="AP869" s="116">
        <v>20000</v>
      </c>
      <c r="AQ869" s="74">
        <v>18310.599999999999</v>
      </c>
      <c r="AR869" s="76">
        <f t="shared" ref="AR869:AR870" si="971">AVERAGE(AO869,AP869,AQ869)</f>
        <v>19436.866666666665</v>
      </c>
      <c r="AS869" s="24">
        <f t="shared" ref="AS869:AS870" si="972">AR869-AN869</f>
        <v>15820.866666666665</v>
      </c>
      <c r="AT869" s="25">
        <f t="shared" ref="AT869" si="973">+AS869/AN869</f>
        <v>4.3752396755162239</v>
      </c>
      <c r="AU869" s="309" t="str">
        <f t="shared" ref="AU869" si="974">+IF(AT869&lt;35%,AR869,"REVISAR PRECIO")</f>
        <v>REVISAR PRECIO</v>
      </c>
      <c r="AV869" s="462">
        <f t="shared" ref="AV869:AV870" si="975">AR869</f>
        <v>19436.866666666665</v>
      </c>
      <c r="AW869" s="513">
        <v>3616</v>
      </c>
      <c r="AX869" s="74">
        <v>19142.900000000001</v>
      </c>
      <c r="AY869" s="74">
        <v>35000</v>
      </c>
      <c r="AZ869" s="75">
        <v>22055.949999999997</v>
      </c>
      <c r="BA869" s="61">
        <v>19142.899999999998</v>
      </c>
      <c r="BB869" s="60">
        <v>35000</v>
      </c>
      <c r="BC869" s="74">
        <v>22014.334999999995</v>
      </c>
      <c r="BD869" s="79">
        <v>22055.949999999997</v>
      </c>
      <c r="BE869" s="79">
        <v>16646</v>
      </c>
      <c r="BF869" s="127">
        <v>19975.2</v>
      </c>
      <c r="BG869" s="142">
        <v>15600</v>
      </c>
      <c r="BH869" s="142">
        <v>15000</v>
      </c>
      <c r="BI869" s="76">
        <f>AVERAGE(AX869,AY869,AZ869,BA869,BB869,BC869)</f>
        <v>25392.680833333332</v>
      </c>
      <c r="BJ869" s="24">
        <f>BI869-AW869</f>
        <v>21776.680833333332</v>
      </c>
      <c r="BK869" s="25">
        <f>+BJ869/AW869</f>
        <v>6.0223121773598818</v>
      </c>
      <c r="BL869" s="259" t="str">
        <f t="shared" ref="BL869:BL870" si="976">+IF(BK869&lt;35%,BI869,"REVISAR PRECIO")</f>
        <v>REVISAR PRECIO</v>
      </c>
      <c r="BM869" s="533">
        <f t="shared" ref="BM869:BM870" si="977">BI869</f>
        <v>25392.680833333332</v>
      </c>
    </row>
    <row r="870" spans="1:65" ht="35.1" customHeight="1">
      <c r="A870" s="91" t="s">
        <v>36</v>
      </c>
      <c r="B870" s="358" t="s">
        <v>3061</v>
      </c>
      <c r="C870" s="50" t="s">
        <v>360</v>
      </c>
      <c r="D870" s="99" t="s">
        <v>715</v>
      </c>
      <c r="E870" s="391" t="s">
        <v>40</v>
      </c>
      <c r="F870" s="408"/>
      <c r="G870" s="293"/>
      <c r="H870" s="293"/>
      <c r="I870" s="293"/>
      <c r="J870" s="293"/>
      <c r="K870" s="293"/>
      <c r="L870" s="327"/>
      <c r="M870" s="432"/>
      <c r="N870" s="443"/>
      <c r="O870" s="250"/>
      <c r="P870" s="250"/>
      <c r="Q870" s="250"/>
      <c r="R870" s="250"/>
      <c r="S870" s="250"/>
      <c r="T870" s="250"/>
      <c r="U870" s="250"/>
      <c r="V870" s="443"/>
      <c r="W870" s="410">
        <v>34347</v>
      </c>
      <c r="X870" s="31">
        <v>44672</v>
      </c>
      <c r="Y870" s="31">
        <v>58073</v>
      </c>
      <c r="Z870" s="98">
        <v>39046.199999999997</v>
      </c>
      <c r="AA870" s="76">
        <f t="shared" si="966"/>
        <v>47263.733333333337</v>
      </c>
      <c r="AB870" s="24">
        <f t="shared" si="967"/>
        <v>12916.733333333337</v>
      </c>
      <c r="AC870" s="25">
        <f t="shared" si="968"/>
        <v>0.37606583787036241</v>
      </c>
      <c r="AD870" s="309" t="str">
        <f t="shared" si="969"/>
        <v>REVISAR PRECIO</v>
      </c>
      <c r="AE870" s="462">
        <f t="shared" si="970"/>
        <v>47263.733333333337</v>
      </c>
      <c r="AF870" s="408"/>
      <c r="AG870" s="293"/>
      <c r="AH870" s="293"/>
      <c r="AI870" s="293"/>
      <c r="AJ870" s="293"/>
      <c r="AK870" s="293"/>
      <c r="AL870" s="327"/>
      <c r="AM870" s="463"/>
      <c r="AN870" s="513"/>
      <c r="AO870" s="88">
        <v>30000</v>
      </c>
      <c r="AP870" s="116">
        <v>30000</v>
      </c>
      <c r="AQ870" s="74">
        <v>30169.974999999999</v>
      </c>
      <c r="AR870" s="76">
        <f t="shared" si="971"/>
        <v>30056.658333333336</v>
      </c>
      <c r="AS870" s="24">
        <f t="shared" si="972"/>
        <v>30056.658333333336</v>
      </c>
      <c r="AT870" s="25"/>
      <c r="AU870" s="309"/>
      <c r="AV870" s="462">
        <f t="shared" si="975"/>
        <v>30056.658333333336</v>
      </c>
      <c r="AW870" s="513"/>
      <c r="AX870" s="74">
        <v>31541.337500000001</v>
      </c>
      <c r="AY870" s="74">
        <v>45000</v>
      </c>
      <c r="AZ870" s="75">
        <v>36341.106249999997</v>
      </c>
      <c r="BA870" s="61">
        <v>31541.337499999998</v>
      </c>
      <c r="BB870" s="60"/>
      <c r="BC870" s="74">
        <v>36272.538124999992</v>
      </c>
      <c r="BD870" s="79">
        <v>36341.106249999997</v>
      </c>
      <c r="BE870" s="79">
        <f>+BE869+(BE753/8)</f>
        <v>47896</v>
      </c>
      <c r="BF870" s="127">
        <v>32912.699999999997</v>
      </c>
      <c r="BG870" s="142">
        <v>32000</v>
      </c>
      <c r="BH870" s="142">
        <v>30000</v>
      </c>
      <c r="BI870" s="76">
        <f>AVERAGE(AX870,AY870,AZ870,BA870,BB870,BC870)</f>
        <v>36139.263874999997</v>
      </c>
      <c r="BJ870" s="24">
        <f>BI870-AW870</f>
        <v>36139.263874999997</v>
      </c>
      <c r="BK870" s="25"/>
      <c r="BL870" s="259">
        <f t="shared" si="976"/>
        <v>36139.263874999997</v>
      </c>
      <c r="BM870" s="533">
        <f t="shared" si="977"/>
        <v>36139.263874999997</v>
      </c>
    </row>
    <row r="871" spans="1:65" s="68" customFormat="1" ht="22.35" customHeight="1">
      <c r="A871" s="231" t="s">
        <v>36</v>
      </c>
      <c r="B871" s="358" t="s">
        <v>3062</v>
      </c>
      <c r="C871" s="50" t="s">
        <v>361</v>
      </c>
      <c r="D871" s="101" t="s">
        <v>37</v>
      </c>
      <c r="E871" s="395" t="s">
        <v>14</v>
      </c>
      <c r="F871" s="410">
        <v>151879</v>
      </c>
      <c r="G871" s="10">
        <v>1404200</v>
      </c>
      <c r="H871" s="167">
        <v>1404200</v>
      </c>
      <c r="I871" s="10">
        <v>1200000</v>
      </c>
      <c r="J871" s="76">
        <f t="shared" ref="J871:J873" si="978">AVERAGE(G871,I871)</f>
        <v>1302100</v>
      </c>
      <c r="K871" s="24">
        <f t="shared" ref="K871:K873" si="979">J871-F871</f>
        <v>1150221</v>
      </c>
      <c r="L871" s="281">
        <f t="shared" ref="L871:L873" si="980">+K871/F871</f>
        <v>7.5732721442727433</v>
      </c>
      <c r="M871" s="431">
        <f t="shared" ref="M871:M873" si="981">H871</f>
        <v>1404200</v>
      </c>
      <c r="N871" s="410">
        <v>136691</v>
      </c>
      <c r="O871" s="10">
        <v>450000</v>
      </c>
      <c r="P871" s="10">
        <v>480000</v>
      </c>
      <c r="Q871" s="268">
        <v>460000</v>
      </c>
      <c r="R871" s="10">
        <v>500000</v>
      </c>
      <c r="S871" s="76">
        <f t="shared" ref="S871:S873" si="982">AVERAGE(O871,P871,Q871,R871)</f>
        <v>472500</v>
      </c>
      <c r="T871" s="24">
        <f t="shared" ref="T871:T873" si="983">S871-N871</f>
        <v>335809</v>
      </c>
      <c r="U871" s="281">
        <f t="shared" ref="U871:U873" si="984">+T871/N871</f>
        <v>2.4567016116642648</v>
      </c>
      <c r="V871" s="462">
        <f t="shared" ref="V871:V873" si="985">S871</f>
        <v>472500</v>
      </c>
      <c r="W871" s="477">
        <v>227197</v>
      </c>
      <c r="X871" s="92">
        <v>295488</v>
      </c>
      <c r="Y871" s="66">
        <v>384134</v>
      </c>
      <c r="Z871" s="98">
        <v>258278.39999999999</v>
      </c>
      <c r="AA871" s="86">
        <f t="shared" si="966"/>
        <v>312633.46666666667</v>
      </c>
      <c r="AB871" s="67">
        <f t="shared" si="967"/>
        <v>85436.466666666674</v>
      </c>
      <c r="AC871" s="64">
        <f t="shared" si="968"/>
        <v>0.37604575177782573</v>
      </c>
      <c r="AD871" s="486" t="str">
        <f t="shared" si="969"/>
        <v>REVISAR PRECIO</v>
      </c>
      <c r="AE871" s="490">
        <f t="shared" si="970"/>
        <v>312633.46666666667</v>
      </c>
      <c r="AF871" s="410">
        <v>151878</v>
      </c>
      <c r="AG871" s="45"/>
      <c r="AH871" s="45">
        <v>179200</v>
      </c>
      <c r="AI871" s="45">
        <v>60000</v>
      </c>
      <c r="AJ871" s="76">
        <f t="shared" ref="AJ871:AJ873" si="986">AVERAGE(AG871,AH871,AI871)</f>
        <v>119600</v>
      </c>
      <c r="AK871" s="24">
        <f t="shared" ref="AK871:AK873" si="987">AJ871-AF871</f>
        <v>-32278</v>
      </c>
      <c r="AL871" s="281">
        <f t="shared" ref="AL871:AL873" si="988">+AK871/AF871</f>
        <v>-0.21252584311091796</v>
      </c>
      <c r="AM871" s="462">
        <f t="shared" ref="AM871:AM873" si="989">AJ871</f>
        <v>119600</v>
      </c>
      <c r="AN871" s="515"/>
      <c r="AO871" s="117"/>
      <c r="AP871" s="117"/>
      <c r="AQ871" s="117"/>
      <c r="AR871" s="117"/>
      <c r="AS871" s="117"/>
      <c r="AT871" s="117"/>
      <c r="AU871" s="518"/>
      <c r="AV871" s="548"/>
      <c r="AW871" s="515"/>
      <c r="AX871" s="83"/>
      <c r="AY871" s="83"/>
      <c r="AZ871" s="84"/>
      <c r="BA871" s="85"/>
      <c r="BB871" s="60"/>
      <c r="BC871" s="83"/>
      <c r="BD871" s="250"/>
      <c r="BE871" s="250"/>
      <c r="BF871" s="250"/>
      <c r="BG871" s="250"/>
      <c r="BH871" s="250"/>
      <c r="BI871" s="86"/>
      <c r="BJ871" s="67"/>
      <c r="BK871" s="64"/>
      <c r="BL871" s="478"/>
      <c r="BM871" s="535"/>
    </row>
    <row r="872" spans="1:65" s="68" customFormat="1" ht="22.35" customHeight="1">
      <c r="A872" s="231" t="s">
        <v>36</v>
      </c>
      <c r="B872" s="358" t="s">
        <v>3063</v>
      </c>
      <c r="C872" s="50" t="s">
        <v>362</v>
      </c>
      <c r="D872" s="101" t="s">
        <v>716</v>
      </c>
      <c r="E872" s="395" t="s">
        <v>14</v>
      </c>
      <c r="F872" s="410">
        <v>85432</v>
      </c>
      <c r="G872" s="10">
        <v>865000</v>
      </c>
      <c r="H872" s="167">
        <v>865000</v>
      </c>
      <c r="I872" s="10">
        <v>650000</v>
      </c>
      <c r="J872" s="76">
        <f t="shared" si="978"/>
        <v>757500</v>
      </c>
      <c r="K872" s="24">
        <f t="shared" si="979"/>
        <v>672068</v>
      </c>
      <c r="L872" s="281">
        <f t="shared" si="980"/>
        <v>7.8667010019664767</v>
      </c>
      <c r="M872" s="431">
        <f t="shared" si="981"/>
        <v>865000</v>
      </c>
      <c r="N872" s="410">
        <v>76888</v>
      </c>
      <c r="O872" s="10">
        <v>250000</v>
      </c>
      <c r="P872" s="10">
        <v>280000</v>
      </c>
      <c r="Q872" s="268">
        <v>260000</v>
      </c>
      <c r="R872" s="10">
        <v>250000</v>
      </c>
      <c r="S872" s="76">
        <f t="shared" si="982"/>
        <v>260000</v>
      </c>
      <c r="T872" s="24">
        <f t="shared" si="983"/>
        <v>183112</v>
      </c>
      <c r="U872" s="281">
        <f t="shared" si="984"/>
        <v>2.3815419831443139</v>
      </c>
      <c r="V872" s="462">
        <f t="shared" si="985"/>
        <v>260000</v>
      </c>
      <c r="W872" s="477">
        <v>127799</v>
      </c>
      <c r="X872" s="66">
        <v>166212</v>
      </c>
      <c r="Y872" s="92">
        <v>216076</v>
      </c>
      <c r="Z872" s="98">
        <v>145281.60000000001</v>
      </c>
      <c r="AA872" s="86">
        <f t="shared" si="966"/>
        <v>175856.53333333333</v>
      </c>
      <c r="AB872" s="67">
        <f t="shared" si="967"/>
        <v>48057.533333333326</v>
      </c>
      <c r="AC872" s="64">
        <f t="shared" si="968"/>
        <v>0.37603997944689183</v>
      </c>
      <c r="AD872" s="486" t="str">
        <f t="shared" si="969"/>
        <v>REVISAR PRECIO</v>
      </c>
      <c r="AE872" s="490">
        <f t="shared" si="970"/>
        <v>175856.53333333333</v>
      </c>
      <c r="AF872" s="410">
        <v>85432</v>
      </c>
      <c r="AG872" s="45"/>
      <c r="AH872" s="45">
        <v>100800</v>
      </c>
      <c r="AI872" s="45">
        <v>45000</v>
      </c>
      <c r="AJ872" s="76">
        <f t="shared" si="986"/>
        <v>72900</v>
      </c>
      <c r="AK872" s="24">
        <f t="shared" si="987"/>
        <v>-12532</v>
      </c>
      <c r="AL872" s="281">
        <f t="shared" si="988"/>
        <v>-0.14668976495926586</v>
      </c>
      <c r="AM872" s="462">
        <f t="shared" si="989"/>
        <v>72900</v>
      </c>
      <c r="AN872" s="515"/>
      <c r="AO872" s="117"/>
      <c r="AP872" s="117"/>
      <c r="AQ872" s="117"/>
      <c r="AR872" s="117"/>
      <c r="AS872" s="117"/>
      <c r="AT872" s="117"/>
      <c r="AU872" s="518"/>
      <c r="AV872" s="548"/>
      <c r="AW872" s="515"/>
      <c r="AX872" s="83"/>
      <c r="AY872" s="83"/>
      <c r="AZ872" s="84"/>
      <c r="BA872" s="85"/>
      <c r="BB872" s="60"/>
      <c r="BC872" s="83"/>
      <c r="BD872" s="250"/>
      <c r="BE872" s="250"/>
      <c r="BF872" s="250"/>
      <c r="BG872" s="250"/>
      <c r="BH872" s="250"/>
      <c r="BI872" s="86"/>
      <c r="BJ872" s="67"/>
      <c r="BK872" s="64"/>
      <c r="BL872" s="478"/>
      <c r="BM872" s="535"/>
    </row>
    <row r="873" spans="1:65" ht="22.35" customHeight="1">
      <c r="A873" s="91" t="s">
        <v>36</v>
      </c>
      <c r="B873" s="358" t="s">
        <v>3064</v>
      </c>
      <c r="C873" s="50" t="s">
        <v>363</v>
      </c>
      <c r="D873" s="99" t="s">
        <v>717</v>
      </c>
      <c r="E873" s="391" t="s">
        <v>40</v>
      </c>
      <c r="F873" s="410">
        <v>17800</v>
      </c>
      <c r="G873" s="10">
        <v>49072</v>
      </c>
      <c r="H873" s="167">
        <v>98144</v>
      </c>
      <c r="I873" s="10">
        <v>35600</v>
      </c>
      <c r="J873" s="76">
        <f t="shared" si="978"/>
        <v>42336</v>
      </c>
      <c r="K873" s="24">
        <f t="shared" si="979"/>
        <v>24536</v>
      </c>
      <c r="L873" s="281">
        <f t="shared" si="980"/>
        <v>1.3784269662921349</v>
      </c>
      <c r="M873" s="431">
        <f t="shared" si="981"/>
        <v>98144</v>
      </c>
      <c r="N873" s="410">
        <v>16023</v>
      </c>
      <c r="O873" s="10">
        <v>16000000</v>
      </c>
      <c r="P873" s="10">
        <v>18000000</v>
      </c>
      <c r="Q873" s="268">
        <v>17000000</v>
      </c>
      <c r="R873" s="10">
        <v>16000000</v>
      </c>
      <c r="S873" s="76">
        <f t="shared" si="982"/>
        <v>16750000</v>
      </c>
      <c r="T873" s="24">
        <f t="shared" si="983"/>
        <v>16733977</v>
      </c>
      <c r="U873" s="281">
        <f t="shared" si="984"/>
        <v>1044.3722773513075</v>
      </c>
      <c r="V873" s="462">
        <f t="shared" si="985"/>
        <v>16750000</v>
      </c>
      <c r="W873" s="410">
        <v>25535</v>
      </c>
      <c r="X873" s="33">
        <v>33210</v>
      </c>
      <c r="Y873" s="31">
        <v>43173</v>
      </c>
      <c r="Z873" s="98">
        <v>29028</v>
      </c>
      <c r="AA873" s="76">
        <f t="shared" si="966"/>
        <v>35137</v>
      </c>
      <c r="AB873" s="24">
        <f t="shared" si="967"/>
        <v>9602</v>
      </c>
      <c r="AC873" s="25">
        <f t="shared" si="968"/>
        <v>0.37603289602506362</v>
      </c>
      <c r="AD873" s="309" t="str">
        <f t="shared" si="969"/>
        <v>REVISAR PRECIO</v>
      </c>
      <c r="AE873" s="462">
        <f t="shared" si="970"/>
        <v>35137</v>
      </c>
      <c r="AF873" s="410">
        <v>17798</v>
      </c>
      <c r="AG873" s="45"/>
      <c r="AH873" s="45">
        <v>21000</v>
      </c>
      <c r="AI873" s="45">
        <v>50000</v>
      </c>
      <c r="AJ873" s="76">
        <f t="shared" si="986"/>
        <v>35500</v>
      </c>
      <c r="AK873" s="24">
        <f t="shared" si="987"/>
        <v>17702</v>
      </c>
      <c r="AL873" s="281">
        <f t="shared" si="988"/>
        <v>0.99460613552084509</v>
      </c>
      <c r="AM873" s="462">
        <f t="shared" si="989"/>
        <v>35500</v>
      </c>
      <c r="AN873" s="513">
        <v>2866</v>
      </c>
      <c r="AO873" s="88">
        <v>21000</v>
      </c>
      <c r="AP873" s="116">
        <v>21000</v>
      </c>
      <c r="AQ873" s="74">
        <v>19800</v>
      </c>
      <c r="AR873" s="76">
        <f t="shared" ref="AR873:AR874" si="990">AVERAGE(AO873,AP873,AQ873)</f>
        <v>20600</v>
      </c>
      <c r="AS873" s="24">
        <f t="shared" ref="AS873:AS874" si="991">AR873-AN873</f>
        <v>17734</v>
      </c>
      <c r="AT873" s="25">
        <f t="shared" ref="AT873" si="992">+AS873/AN873</f>
        <v>6.1877180739706912</v>
      </c>
      <c r="AU873" s="309" t="str">
        <f t="shared" ref="AU873" si="993">+IF(AT873&lt;35%,AR873,"REVISAR PRECIO")</f>
        <v>REVISAR PRECIO</v>
      </c>
      <c r="AV873" s="462">
        <f t="shared" ref="AV873:AV874" si="994">AR873</f>
        <v>20600</v>
      </c>
      <c r="AW873" s="513">
        <v>2866</v>
      </c>
      <c r="AX873" s="74">
        <v>20700</v>
      </c>
      <c r="AY873" s="74">
        <v>35000</v>
      </c>
      <c r="AZ873" s="75">
        <v>23850</v>
      </c>
      <c r="BA873" s="61">
        <v>20700</v>
      </c>
      <c r="BB873" s="60">
        <v>1600000</v>
      </c>
      <c r="BC873" s="74">
        <v>23804.999999999996</v>
      </c>
      <c r="BD873" s="79">
        <v>23850</v>
      </c>
      <c r="BE873" s="79">
        <v>18000</v>
      </c>
      <c r="BF873" s="127">
        <v>21600</v>
      </c>
      <c r="BG873" s="142">
        <v>19100</v>
      </c>
      <c r="BH873" s="142">
        <v>18000</v>
      </c>
      <c r="BI873" s="76">
        <f>AVERAGE(AX873,AY873,AZ873,BA873,BB873,BC873)</f>
        <v>287342.5</v>
      </c>
      <c r="BJ873" s="24">
        <f>BI873-AW873</f>
        <v>284476.5</v>
      </c>
      <c r="BK873" s="25">
        <f>+BJ873/AW873</f>
        <v>99.259071877180745</v>
      </c>
      <c r="BL873" s="259" t="str">
        <f t="shared" ref="BL873:BL874" si="995">+IF(BK873&lt;35%,BI873,"REVISAR PRECIO")</f>
        <v>REVISAR PRECIO</v>
      </c>
      <c r="BM873" s="533">
        <f t="shared" ref="BM873:BM874" si="996">BI873</f>
        <v>287342.5</v>
      </c>
    </row>
    <row r="874" spans="1:65" ht="47.1" customHeight="1">
      <c r="A874" s="91" t="s">
        <v>36</v>
      </c>
      <c r="B874" s="358" t="s">
        <v>3065</v>
      </c>
      <c r="C874" s="50" t="s">
        <v>364</v>
      </c>
      <c r="D874" s="99" t="s">
        <v>718</v>
      </c>
      <c r="E874" s="391" t="s">
        <v>11</v>
      </c>
      <c r="F874" s="408"/>
      <c r="G874" s="293"/>
      <c r="H874" s="293"/>
      <c r="I874" s="293"/>
      <c r="J874" s="293"/>
      <c r="K874" s="293"/>
      <c r="L874" s="327"/>
      <c r="M874" s="432"/>
      <c r="N874" s="443"/>
      <c r="O874" s="250"/>
      <c r="P874" s="250"/>
      <c r="Q874" s="250"/>
      <c r="R874" s="250"/>
      <c r="S874" s="250"/>
      <c r="T874" s="250"/>
      <c r="U874" s="250"/>
      <c r="V874" s="443"/>
      <c r="W874" s="410">
        <v>37368</v>
      </c>
      <c r="X874" s="31">
        <v>48600</v>
      </c>
      <c r="Y874" s="31">
        <v>63180</v>
      </c>
      <c r="Z874" s="98">
        <v>42480</v>
      </c>
      <c r="AA874" s="76">
        <f t="shared" si="966"/>
        <v>51420</v>
      </c>
      <c r="AB874" s="24">
        <f t="shared" si="967"/>
        <v>14052</v>
      </c>
      <c r="AC874" s="25">
        <f t="shared" si="968"/>
        <v>0.37604367373153502</v>
      </c>
      <c r="AD874" s="309" t="str">
        <f t="shared" si="969"/>
        <v>REVISAR PRECIO</v>
      </c>
      <c r="AE874" s="462">
        <f t="shared" si="970"/>
        <v>51420</v>
      </c>
      <c r="AF874" s="408"/>
      <c r="AG874" s="293"/>
      <c r="AH874" s="293"/>
      <c r="AI874" s="293"/>
      <c r="AJ874" s="293"/>
      <c r="AK874" s="293"/>
      <c r="AL874" s="327"/>
      <c r="AM874" s="463"/>
      <c r="AN874" s="513"/>
      <c r="AO874" s="88">
        <v>2000</v>
      </c>
      <c r="AP874" s="116">
        <v>2000</v>
      </c>
      <c r="AQ874" s="74">
        <v>1650</v>
      </c>
      <c r="AR874" s="76">
        <f t="shared" si="990"/>
        <v>1883.3333333333333</v>
      </c>
      <c r="AS874" s="24">
        <f t="shared" si="991"/>
        <v>1883.3333333333333</v>
      </c>
      <c r="AT874" s="25"/>
      <c r="AU874" s="309"/>
      <c r="AV874" s="462">
        <f t="shared" si="994"/>
        <v>1883.3333333333333</v>
      </c>
      <c r="AW874" s="513"/>
      <c r="AX874" s="74">
        <v>1725</v>
      </c>
      <c r="AY874" s="74">
        <v>4000</v>
      </c>
      <c r="AZ874" s="75">
        <v>1987.5</v>
      </c>
      <c r="BA874" s="61">
        <v>3909.9999999999995</v>
      </c>
      <c r="BB874" s="60"/>
      <c r="BC874" s="74">
        <v>4496.4999999999991</v>
      </c>
      <c r="BD874" s="79">
        <v>1987.5</v>
      </c>
      <c r="BE874" s="79">
        <v>1500</v>
      </c>
      <c r="BF874" s="127">
        <v>1800</v>
      </c>
      <c r="BG874" s="142">
        <v>1600</v>
      </c>
      <c r="BH874" s="142">
        <v>2000</v>
      </c>
      <c r="BI874" s="76">
        <f>AVERAGE(AX874,AY874,AZ874,BA874,BB874,BC874)</f>
        <v>3223.8</v>
      </c>
      <c r="BJ874" s="24">
        <f>BI874-AW874</f>
        <v>3223.8</v>
      </c>
      <c r="BK874" s="25"/>
      <c r="BL874" s="259">
        <f t="shared" si="995"/>
        <v>3223.8</v>
      </c>
      <c r="BM874" s="533">
        <f t="shared" si="996"/>
        <v>3223.8</v>
      </c>
    </row>
    <row r="875" spans="1:65" s="68" customFormat="1" ht="49.35" customHeight="1">
      <c r="A875" s="231" t="s">
        <v>36</v>
      </c>
      <c r="B875" s="358" t="s">
        <v>3066</v>
      </c>
      <c r="C875" s="50" t="s">
        <v>365</v>
      </c>
      <c r="D875" s="101" t="s">
        <v>719</v>
      </c>
      <c r="E875" s="395" t="s">
        <v>740</v>
      </c>
      <c r="F875" s="408"/>
      <c r="G875" s="293"/>
      <c r="H875" s="293"/>
      <c r="I875" s="293"/>
      <c r="J875" s="293"/>
      <c r="K875" s="293"/>
      <c r="L875" s="327"/>
      <c r="M875" s="432"/>
      <c r="N875" s="443"/>
      <c r="O875" s="250"/>
      <c r="P875" s="250"/>
      <c r="Q875" s="250"/>
      <c r="R875" s="250"/>
      <c r="S875" s="250"/>
      <c r="T875" s="250"/>
      <c r="U875" s="250"/>
      <c r="V875" s="443"/>
      <c r="W875" s="477">
        <v>284204</v>
      </c>
      <c r="X875" s="66">
        <v>369630</v>
      </c>
      <c r="Y875" s="92">
        <v>480519</v>
      </c>
      <c r="Z875" s="98">
        <v>323084</v>
      </c>
      <c r="AA875" s="86">
        <f t="shared" si="966"/>
        <v>391077.66666666669</v>
      </c>
      <c r="AB875" s="67">
        <f t="shared" si="967"/>
        <v>106873.66666666669</v>
      </c>
      <c r="AC875" s="64">
        <f t="shared" si="968"/>
        <v>0.37604561043006673</v>
      </c>
      <c r="AD875" s="486" t="str">
        <f t="shared" si="969"/>
        <v>REVISAR PRECIO</v>
      </c>
      <c r="AE875" s="490">
        <f t="shared" si="970"/>
        <v>391077.66666666669</v>
      </c>
      <c r="AF875" s="408"/>
      <c r="AG875" s="293"/>
      <c r="AH875" s="293"/>
      <c r="AI875" s="293"/>
      <c r="AJ875" s="293"/>
      <c r="AK875" s="293"/>
      <c r="AL875" s="327"/>
      <c r="AM875" s="463"/>
      <c r="AN875" s="515"/>
      <c r="AO875" s="117"/>
      <c r="AP875" s="117"/>
      <c r="AQ875" s="117"/>
      <c r="AR875" s="117"/>
      <c r="AS875" s="117"/>
      <c r="AT875" s="117"/>
      <c r="AU875" s="518"/>
      <c r="AV875" s="548"/>
      <c r="AW875" s="515"/>
      <c r="AX875" s="83"/>
      <c r="AY875" s="83"/>
      <c r="AZ875" s="84"/>
      <c r="BA875" s="85"/>
      <c r="BB875" s="60"/>
      <c r="BC875" s="83"/>
      <c r="BD875" s="250"/>
      <c r="BE875" s="250"/>
      <c r="BF875" s="250"/>
      <c r="BG875" s="250"/>
      <c r="BH875" s="250"/>
      <c r="BI875" s="86"/>
      <c r="BJ875" s="67"/>
      <c r="BK875" s="64"/>
      <c r="BL875" s="478"/>
      <c r="BM875" s="535"/>
    </row>
    <row r="876" spans="1:65" ht="23.1" customHeight="1">
      <c r="A876" s="91" t="s">
        <v>36</v>
      </c>
      <c r="B876" s="358" t="s">
        <v>3067</v>
      </c>
      <c r="C876" s="50" t="s">
        <v>366</v>
      </c>
      <c r="D876" s="99" t="s">
        <v>720</v>
      </c>
      <c r="E876" s="391" t="s">
        <v>740</v>
      </c>
      <c r="F876" s="408"/>
      <c r="G876" s="293"/>
      <c r="H876" s="293"/>
      <c r="I876" s="293"/>
      <c r="J876" s="293"/>
      <c r="K876" s="293"/>
      <c r="L876" s="327"/>
      <c r="M876" s="432"/>
      <c r="N876" s="443"/>
      <c r="O876" s="250"/>
      <c r="P876" s="250"/>
      <c r="Q876" s="250"/>
      <c r="R876" s="250"/>
      <c r="S876" s="250"/>
      <c r="T876" s="250"/>
      <c r="U876" s="250"/>
      <c r="V876" s="443"/>
      <c r="W876" s="410">
        <v>769957</v>
      </c>
      <c r="X876" s="33">
        <v>1001390</v>
      </c>
      <c r="Y876" s="31">
        <v>1001390</v>
      </c>
      <c r="Z876" s="98">
        <v>875288.6</v>
      </c>
      <c r="AA876" s="76">
        <f t="shared" si="966"/>
        <v>959356.20000000007</v>
      </c>
      <c r="AB876" s="24">
        <f t="shared" si="967"/>
        <v>189399.20000000007</v>
      </c>
      <c r="AC876" s="25">
        <f t="shared" si="968"/>
        <v>0.24598672393393406</v>
      </c>
      <c r="AD876" s="309">
        <f t="shared" si="969"/>
        <v>959356.20000000007</v>
      </c>
      <c r="AE876" s="462">
        <f t="shared" si="970"/>
        <v>959356.20000000007</v>
      </c>
      <c r="AF876" s="408"/>
      <c r="AG876" s="293"/>
      <c r="AH876" s="293"/>
      <c r="AI876" s="293"/>
      <c r="AJ876" s="293"/>
      <c r="AK876" s="293"/>
      <c r="AL876" s="327"/>
      <c r="AM876" s="463"/>
      <c r="AN876" s="513">
        <v>567835</v>
      </c>
      <c r="AO876" s="88">
        <v>209000</v>
      </c>
      <c r="AP876" s="116">
        <v>215000</v>
      </c>
      <c r="AQ876" s="74">
        <v>218988</v>
      </c>
      <c r="AR876" s="76">
        <f t="shared" ref="AR876:AR881" si="997">AVERAGE(AO876,AP876,AQ876)</f>
        <v>214329.33333333334</v>
      </c>
      <c r="AS876" s="24">
        <f t="shared" ref="AS876:AS881" si="998">AR876-AN876</f>
        <v>-353505.66666666663</v>
      </c>
      <c r="AT876" s="25">
        <f t="shared" ref="AT876:AT879" si="999">+AS876/AN876</f>
        <v>-0.6225499778398067</v>
      </c>
      <c r="AU876" s="309">
        <f t="shared" ref="AU876:AU879" si="1000">+IF(AT876&lt;35%,AR876,"REVISAR PRECIO")</f>
        <v>214329.33333333334</v>
      </c>
      <c r="AV876" s="462">
        <f t="shared" ref="AV876:AV881" si="1001">AR876</f>
        <v>214329.33333333334</v>
      </c>
      <c r="AW876" s="513">
        <v>567835</v>
      </c>
      <c r="AX876" s="74">
        <v>228942</v>
      </c>
      <c r="AY876" s="74">
        <v>280000</v>
      </c>
      <c r="AZ876" s="75">
        <v>263781</v>
      </c>
      <c r="BA876" s="61">
        <v>295205</v>
      </c>
      <c r="BB876" s="60"/>
      <c r="BC876" s="74">
        <v>339485.75</v>
      </c>
      <c r="BD876" s="79">
        <v>263781</v>
      </c>
      <c r="BE876" s="79">
        <f>165900*1.2</f>
        <v>199080</v>
      </c>
      <c r="BF876" s="127">
        <v>238896</v>
      </c>
      <c r="BG876" s="142">
        <v>201000</v>
      </c>
      <c r="BH876" s="142">
        <v>200000</v>
      </c>
      <c r="BI876" s="76">
        <f t="shared" ref="BI876:BI881" si="1002">AVERAGE(AX876,AY876,AZ876,BA876,BB876,BC876)</f>
        <v>281482.75</v>
      </c>
      <c r="BJ876" s="24">
        <f t="shared" ref="BJ876:BJ881" si="1003">BI876-AW876</f>
        <v>-286352.25</v>
      </c>
      <c r="BK876" s="25">
        <f>+BJ876/AW876</f>
        <v>-0.50428777725923901</v>
      </c>
      <c r="BL876" s="259">
        <f t="shared" ref="BL876:BL881" si="1004">+IF(BK876&lt;35%,BI876,"REVISAR PRECIO")</f>
        <v>281482.75</v>
      </c>
      <c r="BM876" s="533">
        <f t="shared" ref="BM876:BM881" si="1005">BI876</f>
        <v>281482.75</v>
      </c>
    </row>
    <row r="877" spans="1:65" ht="30" customHeight="1">
      <c r="A877" s="91" t="s">
        <v>36</v>
      </c>
      <c r="B877" s="358" t="s">
        <v>3068</v>
      </c>
      <c r="C877" s="50" t="s">
        <v>367</v>
      </c>
      <c r="D877" s="99" t="s">
        <v>721</v>
      </c>
      <c r="E877" s="391" t="s">
        <v>740</v>
      </c>
      <c r="F877" s="408"/>
      <c r="G877" s="293"/>
      <c r="H877" s="293"/>
      <c r="I877" s="293"/>
      <c r="J877" s="293"/>
      <c r="K877" s="293"/>
      <c r="L877" s="327"/>
      <c r="M877" s="432"/>
      <c r="N877" s="443"/>
      <c r="O877" s="250"/>
      <c r="P877" s="250"/>
      <c r="Q877" s="250"/>
      <c r="R877" s="250"/>
      <c r="S877" s="250"/>
      <c r="T877" s="250"/>
      <c r="U877" s="250"/>
      <c r="V877" s="443"/>
      <c r="W877" s="410">
        <v>448177</v>
      </c>
      <c r="X877" s="33">
        <v>582890</v>
      </c>
      <c r="Y877" s="31">
        <v>757756</v>
      </c>
      <c r="Z877" s="98">
        <v>509488.6</v>
      </c>
      <c r="AA877" s="76">
        <f t="shared" si="966"/>
        <v>616711.53333333333</v>
      </c>
      <c r="AB877" s="24">
        <f t="shared" si="967"/>
        <v>168534.53333333333</v>
      </c>
      <c r="AC877" s="25">
        <f t="shared" si="968"/>
        <v>0.37604458357598297</v>
      </c>
      <c r="AD877" s="309" t="str">
        <f t="shared" si="969"/>
        <v>REVISAR PRECIO</v>
      </c>
      <c r="AE877" s="462">
        <f t="shared" si="970"/>
        <v>616711.53333333333</v>
      </c>
      <c r="AF877" s="408"/>
      <c r="AG877" s="293"/>
      <c r="AH877" s="293"/>
      <c r="AI877" s="293"/>
      <c r="AJ877" s="293"/>
      <c r="AK877" s="293"/>
      <c r="AL877" s="327"/>
      <c r="AM877" s="463"/>
      <c r="AN877" s="513">
        <v>330525</v>
      </c>
      <c r="AO877" s="88">
        <v>220000</v>
      </c>
      <c r="AP877" s="116">
        <v>220000</v>
      </c>
      <c r="AQ877" s="74">
        <v>231000</v>
      </c>
      <c r="AR877" s="76">
        <f t="shared" si="997"/>
        <v>223666.66666666666</v>
      </c>
      <c r="AS877" s="24">
        <f t="shared" si="998"/>
        <v>-106858.33333333334</v>
      </c>
      <c r="AT877" s="25">
        <f t="shared" si="999"/>
        <v>-0.32329879232534103</v>
      </c>
      <c r="AU877" s="309">
        <f t="shared" si="1000"/>
        <v>223666.66666666666</v>
      </c>
      <c r="AV877" s="462">
        <f t="shared" si="1001"/>
        <v>223666.66666666666</v>
      </c>
      <c r="AW877" s="513">
        <v>330525</v>
      </c>
      <c r="AX877" s="74">
        <v>241500</v>
      </c>
      <c r="AY877" s="74">
        <v>350000</v>
      </c>
      <c r="AZ877" s="75">
        <v>278250</v>
      </c>
      <c r="BA877" s="61">
        <v>322690</v>
      </c>
      <c r="BB877" s="60"/>
      <c r="BC877" s="74">
        <v>371093.5</v>
      </c>
      <c r="BD877" s="79">
        <v>278250</v>
      </c>
      <c r="BE877" s="79">
        <v>210000</v>
      </c>
      <c r="BF877" s="127">
        <v>252000</v>
      </c>
      <c r="BG877" s="142">
        <v>260100</v>
      </c>
      <c r="BH877" s="142">
        <v>230000</v>
      </c>
      <c r="BI877" s="76">
        <f t="shared" si="1002"/>
        <v>312706.7</v>
      </c>
      <c r="BJ877" s="24">
        <f t="shared" si="1003"/>
        <v>-17818.299999999988</v>
      </c>
      <c r="BK877" s="25">
        <f>+BJ877/AW877</f>
        <v>-5.3909084032977804E-2</v>
      </c>
      <c r="BL877" s="259">
        <f t="shared" si="1004"/>
        <v>312706.7</v>
      </c>
      <c r="BM877" s="533">
        <f t="shared" si="1005"/>
        <v>312706.7</v>
      </c>
    </row>
    <row r="878" spans="1:65" ht="30" customHeight="1">
      <c r="A878" s="91" t="s">
        <v>36</v>
      </c>
      <c r="B878" s="358" t="s">
        <v>3069</v>
      </c>
      <c r="C878" s="50" t="s">
        <v>368</v>
      </c>
      <c r="D878" s="99" t="s">
        <v>722</v>
      </c>
      <c r="E878" s="391" t="s">
        <v>11</v>
      </c>
      <c r="F878" s="408"/>
      <c r="G878" s="293"/>
      <c r="H878" s="293"/>
      <c r="I878" s="293"/>
      <c r="J878" s="293"/>
      <c r="K878" s="293"/>
      <c r="L878" s="327"/>
      <c r="M878" s="432"/>
      <c r="N878" s="443"/>
      <c r="O878" s="250"/>
      <c r="P878" s="250"/>
      <c r="Q878" s="250"/>
      <c r="R878" s="250"/>
      <c r="S878" s="250"/>
      <c r="T878" s="250"/>
      <c r="U878" s="250"/>
      <c r="V878" s="443"/>
      <c r="W878" s="410">
        <v>11522</v>
      </c>
      <c r="X878" s="31">
        <v>14985</v>
      </c>
      <c r="Y878" s="31">
        <v>19481</v>
      </c>
      <c r="Z878" s="98">
        <v>13098</v>
      </c>
      <c r="AA878" s="76">
        <f t="shared" si="966"/>
        <v>15854.666666666666</v>
      </c>
      <c r="AB878" s="24">
        <f t="shared" si="967"/>
        <v>4332.6666666666661</v>
      </c>
      <c r="AC878" s="25">
        <f t="shared" si="968"/>
        <v>0.37603425331250356</v>
      </c>
      <c r="AD878" s="309" t="str">
        <f t="shared" si="969"/>
        <v>REVISAR PRECIO</v>
      </c>
      <c r="AE878" s="462">
        <f t="shared" si="970"/>
        <v>15854.666666666666</v>
      </c>
      <c r="AF878" s="408"/>
      <c r="AG878" s="293"/>
      <c r="AH878" s="293"/>
      <c r="AI878" s="293"/>
      <c r="AJ878" s="293"/>
      <c r="AK878" s="293"/>
      <c r="AL878" s="327"/>
      <c r="AM878" s="463"/>
      <c r="AN878" s="513">
        <v>3987</v>
      </c>
      <c r="AO878" s="88">
        <v>4000</v>
      </c>
      <c r="AP878" s="116">
        <v>4000</v>
      </c>
      <c r="AQ878" s="74">
        <v>2090</v>
      </c>
      <c r="AR878" s="76">
        <f t="shared" si="997"/>
        <v>3363.3333333333335</v>
      </c>
      <c r="AS878" s="24">
        <f t="shared" si="998"/>
        <v>-623.66666666666652</v>
      </c>
      <c r="AT878" s="25">
        <f t="shared" si="999"/>
        <v>-0.15642504807290356</v>
      </c>
      <c r="AU878" s="309">
        <f t="shared" si="1000"/>
        <v>3363.3333333333335</v>
      </c>
      <c r="AV878" s="462">
        <f t="shared" si="1001"/>
        <v>3363.3333333333335</v>
      </c>
      <c r="AW878" s="513">
        <v>3987</v>
      </c>
      <c r="AX878" s="74">
        <v>2185</v>
      </c>
      <c r="AY878" s="74">
        <v>5000</v>
      </c>
      <c r="AZ878" s="75">
        <v>2517.5</v>
      </c>
      <c r="BA878" s="61">
        <v>3219.9999999999995</v>
      </c>
      <c r="BB878" s="60"/>
      <c r="BC878" s="74">
        <v>3702.9999999999991</v>
      </c>
      <c r="BD878" s="79">
        <v>2517.5</v>
      </c>
      <c r="BE878" s="79">
        <v>1900</v>
      </c>
      <c r="BF878" s="127">
        <v>2280</v>
      </c>
      <c r="BG878" s="142">
        <v>2100</v>
      </c>
      <c r="BH878" s="142">
        <v>2000</v>
      </c>
      <c r="BI878" s="76">
        <f t="shared" si="1002"/>
        <v>3325.1</v>
      </c>
      <c r="BJ878" s="24">
        <f t="shared" si="1003"/>
        <v>-661.90000000000009</v>
      </c>
      <c r="BK878" s="25">
        <f>+BJ878/AW878</f>
        <v>-0.16601454727865567</v>
      </c>
      <c r="BL878" s="259">
        <f t="shared" si="1004"/>
        <v>3325.1</v>
      </c>
      <c r="BM878" s="533">
        <f t="shared" si="1005"/>
        <v>3325.1</v>
      </c>
    </row>
    <row r="879" spans="1:65" ht="30" customHeight="1">
      <c r="A879" s="91" t="s">
        <v>36</v>
      </c>
      <c r="B879" s="358" t="s">
        <v>3070</v>
      </c>
      <c r="C879" s="50" t="s">
        <v>369</v>
      </c>
      <c r="D879" s="99" t="s">
        <v>723</v>
      </c>
      <c r="E879" s="391" t="s">
        <v>12</v>
      </c>
      <c r="F879" s="408"/>
      <c r="G879" s="293"/>
      <c r="H879" s="293"/>
      <c r="I879" s="293"/>
      <c r="J879" s="293"/>
      <c r="K879" s="293"/>
      <c r="L879" s="327"/>
      <c r="M879" s="432"/>
      <c r="N879" s="443"/>
      <c r="O879" s="250"/>
      <c r="P879" s="250"/>
      <c r="Q879" s="250"/>
      <c r="R879" s="250"/>
      <c r="S879" s="250"/>
      <c r="T879" s="250"/>
      <c r="U879" s="250"/>
      <c r="V879" s="443"/>
      <c r="W879" s="410">
        <v>21507</v>
      </c>
      <c r="X879" s="33">
        <v>27972</v>
      </c>
      <c r="Y879" s="31">
        <v>36364</v>
      </c>
      <c r="Z879" s="98">
        <v>24449.599999999999</v>
      </c>
      <c r="AA879" s="76">
        <f t="shared" si="966"/>
        <v>29595.200000000001</v>
      </c>
      <c r="AB879" s="24">
        <f t="shared" si="967"/>
        <v>8088.2000000000007</v>
      </c>
      <c r="AC879" s="25">
        <f t="shared" si="968"/>
        <v>0.37607290649555963</v>
      </c>
      <c r="AD879" s="309" t="str">
        <f t="shared" si="969"/>
        <v>REVISAR PRECIO</v>
      </c>
      <c r="AE879" s="462">
        <f t="shared" si="970"/>
        <v>29595.200000000001</v>
      </c>
      <c r="AF879" s="408"/>
      <c r="AG879" s="293"/>
      <c r="AH879" s="293"/>
      <c r="AI879" s="293"/>
      <c r="AJ879" s="293"/>
      <c r="AK879" s="293"/>
      <c r="AL879" s="327"/>
      <c r="AM879" s="463"/>
      <c r="AN879" s="513">
        <v>7783</v>
      </c>
      <c r="AO879" s="88">
        <v>3600</v>
      </c>
      <c r="AP879" s="116">
        <v>3600</v>
      </c>
      <c r="AQ879" s="74">
        <v>3850</v>
      </c>
      <c r="AR879" s="76">
        <f t="shared" si="997"/>
        <v>3683.3333333333335</v>
      </c>
      <c r="AS879" s="24">
        <f t="shared" si="998"/>
        <v>-4099.6666666666661</v>
      </c>
      <c r="AT879" s="25">
        <f t="shared" si="999"/>
        <v>-0.52674632746584427</v>
      </c>
      <c r="AU879" s="309">
        <f t="shared" si="1000"/>
        <v>3683.3333333333335</v>
      </c>
      <c r="AV879" s="462">
        <f t="shared" si="1001"/>
        <v>3683.3333333333335</v>
      </c>
      <c r="AW879" s="513">
        <v>7783</v>
      </c>
      <c r="AX879" s="74">
        <v>4025</v>
      </c>
      <c r="AY879" s="74">
        <v>4500</v>
      </c>
      <c r="AZ879" s="75">
        <v>4637.5</v>
      </c>
      <c r="BA879" s="61">
        <v>4024.9999999999995</v>
      </c>
      <c r="BB879" s="60"/>
      <c r="BC879" s="74">
        <v>4628.7499999999991</v>
      </c>
      <c r="BD879" s="79">
        <v>4637.5</v>
      </c>
      <c r="BE879" s="79">
        <v>3500</v>
      </c>
      <c r="BF879" s="127">
        <v>4200</v>
      </c>
      <c r="BG879" s="142">
        <v>3800</v>
      </c>
      <c r="BH879" s="142">
        <v>4000</v>
      </c>
      <c r="BI879" s="76">
        <f t="shared" si="1002"/>
        <v>4363.25</v>
      </c>
      <c r="BJ879" s="24">
        <f t="shared" si="1003"/>
        <v>-3419.75</v>
      </c>
      <c r="BK879" s="25">
        <f>+BJ879/AW879</f>
        <v>-0.43938712578697159</v>
      </c>
      <c r="BL879" s="259">
        <f t="shared" si="1004"/>
        <v>4363.25</v>
      </c>
      <c r="BM879" s="533">
        <f t="shared" si="1005"/>
        <v>4363.25</v>
      </c>
    </row>
    <row r="880" spans="1:65" ht="36" customHeight="1">
      <c r="A880" s="91" t="s">
        <v>36</v>
      </c>
      <c r="B880" s="358" t="s">
        <v>3071</v>
      </c>
      <c r="C880" s="50" t="s">
        <v>370</v>
      </c>
      <c r="D880" s="99" t="s">
        <v>724</v>
      </c>
      <c r="E880" s="391" t="s">
        <v>12</v>
      </c>
      <c r="F880" s="408"/>
      <c r="G880" s="293"/>
      <c r="H880" s="293"/>
      <c r="I880" s="293"/>
      <c r="J880" s="293"/>
      <c r="K880" s="293"/>
      <c r="L880" s="327"/>
      <c r="M880" s="432"/>
      <c r="N880" s="443"/>
      <c r="O880" s="250"/>
      <c r="P880" s="250"/>
      <c r="Q880" s="250"/>
      <c r="R880" s="250"/>
      <c r="S880" s="250"/>
      <c r="T880" s="250"/>
      <c r="U880" s="250"/>
      <c r="V880" s="443"/>
      <c r="W880" s="410">
        <v>199088</v>
      </c>
      <c r="X880" s="31">
        <v>258930</v>
      </c>
      <c r="Y880" s="31">
        <v>336609</v>
      </c>
      <c r="Z880" s="98">
        <v>226324</v>
      </c>
      <c r="AA880" s="76">
        <f t="shared" si="966"/>
        <v>273954.33333333331</v>
      </c>
      <c r="AB880" s="24">
        <f t="shared" si="967"/>
        <v>74866.333333333314</v>
      </c>
      <c r="AC880" s="25">
        <f t="shared" si="968"/>
        <v>0.37604643842588864</v>
      </c>
      <c r="AD880" s="309" t="str">
        <f t="shared" si="969"/>
        <v>REVISAR PRECIO</v>
      </c>
      <c r="AE880" s="462">
        <f t="shared" si="970"/>
        <v>273954.33333333331</v>
      </c>
      <c r="AF880" s="408"/>
      <c r="AG880" s="293"/>
      <c r="AH880" s="293"/>
      <c r="AI880" s="293"/>
      <c r="AJ880" s="293"/>
      <c r="AK880" s="293"/>
      <c r="AL880" s="327"/>
      <c r="AM880" s="463"/>
      <c r="AN880" s="513"/>
      <c r="AO880" s="88">
        <v>15000</v>
      </c>
      <c r="AP880" s="116">
        <v>15000</v>
      </c>
      <c r="AQ880" s="74">
        <v>15805.625</v>
      </c>
      <c r="AR880" s="76">
        <f t="shared" si="997"/>
        <v>15268.541666666666</v>
      </c>
      <c r="AS880" s="24">
        <f t="shared" si="998"/>
        <v>15268.541666666666</v>
      </c>
      <c r="AT880" s="25"/>
      <c r="AU880" s="309"/>
      <c r="AV880" s="462">
        <f t="shared" si="1001"/>
        <v>15268.541666666666</v>
      </c>
      <c r="AW880" s="513"/>
      <c r="AX880" s="74">
        <v>16524.0625</v>
      </c>
      <c r="AY880" s="74">
        <v>25000</v>
      </c>
      <c r="AZ880" s="75">
        <v>19038.59375</v>
      </c>
      <c r="BA880" s="61">
        <v>21977.003124999999</v>
      </c>
      <c r="BB880" s="60"/>
      <c r="BC880" s="74">
        <v>25273.553593749999</v>
      </c>
      <c r="BD880" s="79">
        <v>19038.59375</v>
      </c>
      <c r="BE880" s="79">
        <f>11495*1.25</f>
        <v>14368.75</v>
      </c>
      <c r="BF880" s="127">
        <v>17242.5</v>
      </c>
      <c r="BG880" s="142">
        <v>13900</v>
      </c>
      <c r="BH880" s="142">
        <v>15000</v>
      </c>
      <c r="BI880" s="76">
        <f t="shared" si="1002"/>
        <v>21562.642593749999</v>
      </c>
      <c r="BJ880" s="24">
        <f t="shared" si="1003"/>
        <v>21562.642593749999</v>
      </c>
      <c r="BK880" s="25"/>
      <c r="BL880" s="259">
        <f t="shared" si="1004"/>
        <v>21562.642593749999</v>
      </c>
      <c r="BM880" s="533">
        <f t="shared" si="1005"/>
        <v>21562.642593749999</v>
      </c>
    </row>
    <row r="881" spans="1:65" ht="23.1" customHeight="1">
      <c r="A881" s="91" t="s">
        <v>36</v>
      </c>
      <c r="B881" s="358" t="s">
        <v>3072</v>
      </c>
      <c r="C881" s="50" t="s">
        <v>371</v>
      </c>
      <c r="D881" s="99" t="s">
        <v>725</v>
      </c>
      <c r="E881" s="391" t="s">
        <v>740</v>
      </c>
      <c r="F881" s="408"/>
      <c r="G881" s="293"/>
      <c r="H881" s="293"/>
      <c r="I881" s="293"/>
      <c r="J881" s="293"/>
      <c r="K881" s="293"/>
      <c r="L881" s="327"/>
      <c r="M881" s="432"/>
      <c r="N881" s="443"/>
      <c r="O881" s="250"/>
      <c r="P881" s="250"/>
      <c r="Q881" s="250"/>
      <c r="R881" s="250"/>
      <c r="S881" s="250"/>
      <c r="T881" s="250"/>
      <c r="U881" s="250"/>
      <c r="V881" s="443"/>
      <c r="W881" s="410">
        <v>195248</v>
      </c>
      <c r="X881" s="33">
        <v>253935</v>
      </c>
      <c r="Y881" s="33">
        <v>330116</v>
      </c>
      <c r="Z881" s="98">
        <v>221958</v>
      </c>
      <c r="AA881" s="76">
        <f t="shared" si="966"/>
        <v>268669.66666666669</v>
      </c>
      <c r="AB881" s="24">
        <f t="shared" si="967"/>
        <v>73421.666666666686</v>
      </c>
      <c r="AC881" s="25">
        <f t="shared" si="968"/>
        <v>0.37604311781255984</v>
      </c>
      <c r="AD881" s="309" t="str">
        <f t="shared" si="969"/>
        <v>REVISAR PRECIO</v>
      </c>
      <c r="AE881" s="462">
        <f t="shared" si="970"/>
        <v>268669.66666666669</v>
      </c>
      <c r="AF881" s="408"/>
      <c r="AG881" s="293"/>
      <c r="AH881" s="293"/>
      <c r="AI881" s="293"/>
      <c r="AJ881" s="293"/>
      <c r="AK881" s="293"/>
      <c r="AL881" s="327"/>
      <c r="AM881" s="463"/>
      <c r="AN881" s="513">
        <v>156625</v>
      </c>
      <c r="AO881" s="88">
        <v>210000</v>
      </c>
      <c r="AP881" s="116">
        <v>210000</v>
      </c>
      <c r="AQ881" s="74">
        <v>218988</v>
      </c>
      <c r="AR881" s="76">
        <f t="shared" si="997"/>
        <v>212996</v>
      </c>
      <c r="AS881" s="24">
        <f t="shared" si="998"/>
        <v>56371</v>
      </c>
      <c r="AT881" s="25">
        <f t="shared" ref="AT881" si="1006">+AS881/AN881</f>
        <v>0.35991061452513967</v>
      </c>
      <c r="AU881" s="309" t="str">
        <f t="shared" ref="AU881" si="1007">+IF(AT881&lt;35%,AR881,"REVISAR PRECIO")</f>
        <v>REVISAR PRECIO</v>
      </c>
      <c r="AV881" s="462">
        <f t="shared" si="1001"/>
        <v>212996</v>
      </c>
      <c r="AW881" s="513">
        <v>156625</v>
      </c>
      <c r="AX881" s="74">
        <v>228942</v>
      </c>
      <c r="AY881" s="74">
        <v>230000</v>
      </c>
      <c r="AZ881" s="75">
        <v>263781</v>
      </c>
      <c r="BA881" s="61">
        <v>304492.86</v>
      </c>
      <c r="BB881" s="60"/>
      <c r="BC881" s="74">
        <v>350166.78899999993</v>
      </c>
      <c r="BD881" s="79">
        <v>263781</v>
      </c>
      <c r="BE881" s="79">
        <f>165900*1.2</f>
        <v>199080</v>
      </c>
      <c r="BF881" s="127">
        <v>238896</v>
      </c>
      <c r="BG881" s="142">
        <v>245700</v>
      </c>
      <c r="BH881" s="142">
        <v>210000</v>
      </c>
      <c r="BI881" s="76">
        <f t="shared" si="1002"/>
        <v>275476.52980000002</v>
      </c>
      <c r="BJ881" s="24">
        <f t="shared" si="1003"/>
        <v>118851.52980000002</v>
      </c>
      <c r="BK881" s="25">
        <f>+BJ881/AW881</f>
        <v>0.75882860207502012</v>
      </c>
      <c r="BL881" s="259" t="str">
        <f t="shared" si="1004"/>
        <v>REVISAR PRECIO</v>
      </c>
      <c r="BM881" s="533">
        <f t="shared" si="1005"/>
        <v>275476.52980000002</v>
      </c>
    </row>
    <row r="882" spans="1:65" s="68" customFormat="1" ht="23.1" customHeight="1">
      <c r="A882" s="231" t="s">
        <v>36</v>
      </c>
      <c r="B882" s="358" t="s">
        <v>3073</v>
      </c>
      <c r="C882" s="50" t="s">
        <v>372</v>
      </c>
      <c r="D882" s="101" t="s">
        <v>726</v>
      </c>
      <c r="E882" s="395" t="s">
        <v>740</v>
      </c>
      <c r="F882" s="408"/>
      <c r="G882" s="293"/>
      <c r="H882" s="293"/>
      <c r="I882" s="293"/>
      <c r="J882" s="293"/>
      <c r="K882" s="293"/>
      <c r="L882" s="327"/>
      <c r="M882" s="432"/>
      <c r="N882" s="443"/>
      <c r="O882" s="250"/>
      <c r="P882" s="250"/>
      <c r="Q882" s="250"/>
      <c r="R882" s="250"/>
      <c r="S882" s="250"/>
      <c r="T882" s="250"/>
      <c r="U882" s="250"/>
      <c r="V882" s="443"/>
      <c r="W882" s="477">
        <v>629526</v>
      </c>
      <c r="X882" s="92">
        <v>818748</v>
      </c>
      <c r="Y882" s="66">
        <v>1064372</v>
      </c>
      <c r="Z882" s="98">
        <v>715646.4</v>
      </c>
      <c r="AA882" s="86">
        <f t="shared" si="966"/>
        <v>866255.46666666667</v>
      </c>
      <c r="AB882" s="67">
        <f t="shared" si="967"/>
        <v>236729.46666666667</v>
      </c>
      <c r="AC882" s="64">
        <f t="shared" si="968"/>
        <v>0.37604398653378363</v>
      </c>
      <c r="AD882" s="486" t="str">
        <f t="shared" si="969"/>
        <v>REVISAR PRECIO</v>
      </c>
      <c r="AE882" s="490">
        <f t="shared" si="970"/>
        <v>866255.46666666667</v>
      </c>
      <c r="AF882" s="408"/>
      <c r="AG882" s="293"/>
      <c r="AH882" s="293"/>
      <c r="AI882" s="293"/>
      <c r="AJ882" s="293"/>
      <c r="AK882" s="293"/>
      <c r="AL882" s="327"/>
      <c r="AM882" s="463"/>
      <c r="AN882" s="50"/>
      <c r="AO882" s="117"/>
      <c r="AP882" s="117"/>
      <c r="AQ882" s="117"/>
      <c r="AR882" s="117"/>
      <c r="AS882" s="117"/>
      <c r="AT882" s="117"/>
      <c r="AU882" s="518"/>
      <c r="AV882" s="548"/>
      <c r="AW882" s="50"/>
      <c r="AX882" s="95"/>
      <c r="AY882" s="95"/>
      <c r="AZ882" s="95"/>
      <c r="BA882" s="95"/>
      <c r="BB882" s="95"/>
      <c r="BC882" s="95"/>
      <c r="BD882" s="250"/>
      <c r="BE882" s="250"/>
      <c r="BF882" s="250"/>
      <c r="BG882" s="250"/>
      <c r="BH882" s="250"/>
      <c r="BI882" s="96"/>
      <c r="BJ882" s="96"/>
      <c r="BK882" s="96"/>
      <c r="BL882" s="553"/>
      <c r="BM882" s="541"/>
    </row>
    <row r="883" spans="1:65" ht="38.1" customHeight="1">
      <c r="A883" s="91" t="s">
        <v>36</v>
      </c>
      <c r="B883" s="358" t="s">
        <v>3074</v>
      </c>
      <c r="C883" s="50" t="s">
        <v>373</v>
      </c>
      <c r="D883" s="99" t="s">
        <v>727</v>
      </c>
      <c r="E883" s="391" t="s">
        <v>740</v>
      </c>
      <c r="F883" s="408"/>
      <c r="G883" s="293"/>
      <c r="H883" s="293"/>
      <c r="I883" s="293"/>
      <c r="J883" s="293"/>
      <c r="K883" s="293"/>
      <c r="L883" s="327"/>
      <c r="M883" s="432"/>
      <c r="N883" s="443"/>
      <c r="O883" s="250"/>
      <c r="P883" s="250"/>
      <c r="Q883" s="250"/>
      <c r="R883" s="250"/>
      <c r="S883" s="250"/>
      <c r="T883" s="250"/>
      <c r="U883" s="250"/>
      <c r="V883" s="443"/>
      <c r="W883" s="410">
        <v>100582</v>
      </c>
      <c r="X883" s="31">
        <v>130815</v>
      </c>
      <c r="Y883" s="31">
        <v>170060</v>
      </c>
      <c r="Z883" s="98">
        <v>114342</v>
      </c>
      <c r="AA883" s="76">
        <f t="shared" si="966"/>
        <v>138405.66666666666</v>
      </c>
      <c r="AB883" s="24">
        <f t="shared" si="967"/>
        <v>37823.666666666657</v>
      </c>
      <c r="AC883" s="25">
        <f t="shared" si="968"/>
        <v>0.37604806691720843</v>
      </c>
      <c r="AD883" s="309" t="str">
        <f t="shared" si="969"/>
        <v>REVISAR PRECIO</v>
      </c>
      <c r="AE883" s="462">
        <f t="shared" si="970"/>
        <v>138405.66666666666</v>
      </c>
      <c r="AF883" s="408"/>
      <c r="AG883" s="293"/>
      <c r="AH883" s="293"/>
      <c r="AI883" s="293"/>
      <c r="AJ883" s="293"/>
      <c r="AK883" s="293"/>
      <c r="AL883" s="327"/>
      <c r="AM883" s="463"/>
      <c r="AN883" s="513">
        <v>80685</v>
      </c>
      <c r="AO883" s="88">
        <v>15000</v>
      </c>
      <c r="AP883" s="116">
        <v>15000</v>
      </c>
      <c r="AQ883" s="74">
        <v>16500</v>
      </c>
      <c r="AR883" s="76">
        <f t="shared" ref="AR883:AR886" si="1008">AVERAGE(AO883,AP883,AQ883)</f>
        <v>15500</v>
      </c>
      <c r="AS883" s="24">
        <f t="shared" ref="AS883:AS886" si="1009">AR883-AN883</f>
        <v>-65185</v>
      </c>
      <c r="AT883" s="25">
        <f t="shared" ref="AT883:AT886" si="1010">+AS883/AN883</f>
        <v>-0.80789489991943975</v>
      </c>
      <c r="AU883" s="309">
        <f t="shared" ref="AU883:AU886" si="1011">+IF(AT883&lt;35%,AR883,"REVISAR PRECIO")</f>
        <v>15500</v>
      </c>
      <c r="AV883" s="462">
        <f t="shared" ref="AV883:AV886" si="1012">AR883</f>
        <v>15500</v>
      </c>
      <c r="AW883" s="513">
        <v>80685</v>
      </c>
      <c r="AX883" s="74">
        <v>17250</v>
      </c>
      <c r="AY883" s="74">
        <v>45000</v>
      </c>
      <c r="AZ883" s="75">
        <v>19875</v>
      </c>
      <c r="BA883" s="61">
        <v>22942.5</v>
      </c>
      <c r="BB883" s="60"/>
      <c r="BC883" s="74">
        <v>26383.874999999996</v>
      </c>
      <c r="BD883" s="79">
        <v>19875</v>
      </c>
      <c r="BE883" s="79">
        <v>15000</v>
      </c>
      <c r="BF883" s="127">
        <v>18000</v>
      </c>
      <c r="BG883" s="142">
        <v>17900</v>
      </c>
      <c r="BH883" s="142">
        <v>15000</v>
      </c>
      <c r="BI883" s="76">
        <f>AVERAGE(AX883,AY883,AZ883,BA883,BB883,BC883)</f>
        <v>26290.275000000001</v>
      </c>
      <c r="BJ883" s="24">
        <f>BI883-AW883</f>
        <v>-54394.724999999999</v>
      </c>
      <c r="BK883" s="25">
        <f>+BJ883/AW883</f>
        <v>-0.67416155419222901</v>
      </c>
      <c r="BL883" s="259">
        <f t="shared" ref="BL883:BL886" si="1013">+IF(BK883&lt;35%,BI883,"REVISAR PRECIO")</f>
        <v>26290.275000000001</v>
      </c>
      <c r="BM883" s="533">
        <f t="shared" ref="BM883:BM886" si="1014">BI883</f>
        <v>26290.275000000001</v>
      </c>
    </row>
    <row r="884" spans="1:65" ht="38.1" customHeight="1">
      <c r="A884" s="91" t="s">
        <v>36</v>
      </c>
      <c r="B884" s="358" t="s">
        <v>3075</v>
      </c>
      <c r="C884" s="50" t="s">
        <v>374</v>
      </c>
      <c r="D884" s="99" t="s">
        <v>728</v>
      </c>
      <c r="E884" s="391" t="s">
        <v>740</v>
      </c>
      <c r="F884" s="408"/>
      <c r="G884" s="293"/>
      <c r="H884" s="293"/>
      <c r="I884" s="293"/>
      <c r="J884" s="293"/>
      <c r="K884" s="293"/>
      <c r="L884" s="327"/>
      <c r="M884" s="432"/>
      <c r="N884" s="443"/>
      <c r="O884" s="250"/>
      <c r="P884" s="250"/>
      <c r="Q884" s="250"/>
      <c r="R884" s="250"/>
      <c r="S884" s="250"/>
      <c r="T884" s="250"/>
      <c r="U884" s="250"/>
      <c r="V884" s="443"/>
      <c r="W884" s="410">
        <v>124249</v>
      </c>
      <c r="X884" s="31">
        <v>161595</v>
      </c>
      <c r="Y884" s="31">
        <v>210074</v>
      </c>
      <c r="Z884" s="98">
        <v>141246</v>
      </c>
      <c r="AA884" s="76">
        <f t="shared" si="966"/>
        <v>170971.66666666666</v>
      </c>
      <c r="AB884" s="24">
        <f t="shared" si="967"/>
        <v>46722.666666666657</v>
      </c>
      <c r="AC884" s="25">
        <f t="shared" si="968"/>
        <v>0.37604058516902877</v>
      </c>
      <c r="AD884" s="309" t="str">
        <f t="shared" si="969"/>
        <v>REVISAR PRECIO</v>
      </c>
      <c r="AE884" s="462">
        <f t="shared" si="970"/>
        <v>170971.66666666666</v>
      </c>
      <c r="AF884" s="408"/>
      <c r="AG884" s="293"/>
      <c r="AH884" s="293"/>
      <c r="AI884" s="293"/>
      <c r="AJ884" s="293"/>
      <c r="AK884" s="293"/>
      <c r="AL884" s="327"/>
      <c r="AM884" s="463"/>
      <c r="AN884" s="513">
        <v>99670</v>
      </c>
      <c r="AO884" s="88">
        <v>65000</v>
      </c>
      <c r="AP884" s="116">
        <v>65000</v>
      </c>
      <c r="AQ884" s="74">
        <v>61600</v>
      </c>
      <c r="AR884" s="76">
        <f t="shared" si="1008"/>
        <v>63866.666666666664</v>
      </c>
      <c r="AS884" s="24">
        <f t="shared" si="1009"/>
        <v>-35803.333333333336</v>
      </c>
      <c r="AT884" s="25">
        <f t="shared" si="1010"/>
        <v>-0.35921875522557778</v>
      </c>
      <c r="AU884" s="309">
        <f t="shared" si="1011"/>
        <v>63866.666666666664</v>
      </c>
      <c r="AV884" s="462">
        <f t="shared" si="1012"/>
        <v>63866.666666666664</v>
      </c>
      <c r="AW884" s="513">
        <v>99670</v>
      </c>
      <c r="AX884" s="74">
        <v>64400</v>
      </c>
      <c r="AY884" s="74">
        <v>90000</v>
      </c>
      <c r="AZ884" s="75">
        <v>74200</v>
      </c>
      <c r="BA884" s="61">
        <v>85652</v>
      </c>
      <c r="BB884" s="60"/>
      <c r="BC884" s="74">
        <v>98499.799999999988</v>
      </c>
      <c r="BD884" s="79">
        <v>74200</v>
      </c>
      <c r="BE884" s="79">
        <v>56000</v>
      </c>
      <c r="BF884" s="127">
        <v>67200</v>
      </c>
      <c r="BG884" s="142">
        <v>65200</v>
      </c>
      <c r="BH884" s="142">
        <v>60000</v>
      </c>
      <c r="BI884" s="76">
        <f>AVERAGE(AX884,AY884,AZ884,BA884,BB884,BC884)</f>
        <v>82550.36</v>
      </c>
      <c r="BJ884" s="24">
        <f>BI884-AW884</f>
        <v>-17119.64</v>
      </c>
      <c r="BK884" s="25">
        <f>+BJ884/AW884</f>
        <v>-0.17176321862145078</v>
      </c>
      <c r="BL884" s="259">
        <f t="shared" si="1013"/>
        <v>82550.36</v>
      </c>
      <c r="BM884" s="533">
        <f t="shared" si="1014"/>
        <v>82550.36</v>
      </c>
    </row>
    <row r="885" spans="1:65" ht="38.1" customHeight="1">
      <c r="A885" s="91" t="s">
        <v>36</v>
      </c>
      <c r="B885" s="358" t="s">
        <v>3076</v>
      </c>
      <c r="C885" s="50" t="s">
        <v>375</v>
      </c>
      <c r="D885" s="99" t="s">
        <v>729</v>
      </c>
      <c r="E885" s="391" t="s">
        <v>740</v>
      </c>
      <c r="F885" s="408"/>
      <c r="G885" s="293"/>
      <c r="H885" s="293"/>
      <c r="I885" s="293"/>
      <c r="J885" s="293"/>
      <c r="K885" s="293"/>
      <c r="L885" s="327"/>
      <c r="M885" s="432"/>
      <c r="N885" s="443"/>
      <c r="O885" s="250"/>
      <c r="P885" s="250"/>
      <c r="Q885" s="250"/>
      <c r="R885" s="250"/>
      <c r="S885" s="250"/>
      <c r="T885" s="250"/>
      <c r="U885" s="250"/>
      <c r="V885" s="443"/>
      <c r="W885" s="410">
        <v>78981</v>
      </c>
      <c r="X885" s="33">
        <v>102722</v>
      </c>
      <c r="Y885" s="33">
        <v>102722</v>
      </c>
      <c r="Z885" s="98">
        <v>89786.2</v>
      </c>
      <c r="AA885" s="76">
        <f t="shared" si="966"/>
        <v>98410.066666666666</v>
      </c>
      <c r="AB885" s="24">
        <f t="shared" si="967"/>
        <v>19429.066666666666</v>
      </c>
      <c r="AC885" s="25">
        <f t="shared" si="968"/>
        <v>0.24599671650987789</v>
      </c>
      <c r="AD885" s="309">
        <f t="shared" si="969"/>
        <v>98410.066666666666</v>
      </c>
      <c r="AE885" s="462">
        <f t="shared" si="970"/>
        <v>98410.066666666666</v>
      </c>
      <c r="AF885" s="408"/>
      <c r="AG885" s="293"/>
      <c r="AH885" s="293"/>
      <c r="AI885" s="293"/>
      <c r="AJ885" s="293"/>
      <c r="AK885" s="293"/>
      <c r="AL885" s="327"/>
      <c r="AM885" s="463"/>
      <c r="AN885" s="513">
        <v>63362</v>
      </c>
      <c r="AO885" s="88">
        <v>14000</v>
      </c>
      <c r="AP885" s="116">
        <v>14000</v>
      </c>
      <c r="AQ885" s="74">
        <v>13200</v>
      </c>
      <c r="AR885" s="76">
        <f t="shared" si="1008"/>
        <v>13733.333333333334</v>
      </c>
      <c r="AS885" s="24">
        <f t="shared" si="1009"/>
        <v>-49628.666666666664</v>
      </c>
      <c r="AT885" s="25">
        <f t="shared" si="1010"/>
        <v>-0.78325599991582751</v>
      </c>
      <c r="AU885" s="309">
        <f t="shared" si="1011"/>
        <v>13733.333333333334</v>
      </c>
      <c r="AV885" s="462">
        <f t="shared" si="1012"/>
        <v>13733.333333333334</v>
      </c>
      <c r="AW885" s="513">
        <v>63362</v>
      </c>
      <c r="AX885" s="74">
        <v>13800</v>
      </c>
      <c r="AY885" s="74">
        <v>50000</v>
      </c>
      <c r="AZ885" s="75">
        <v>15900</v>
      </c>
      <c r="BA885" s="61">
        <v>18354</v>
      </c>
      <c r="BB885" s="60"/>
      <c r="BC885" s="74">
        <v>21107.1</v>
      </c>
      <c r="BD885" s="79">
        <v>15900</v>
      </c>
      <c r="BE885" s="79">
        <v>12000</v>
      </c>
      <c r="BF885" s="127">
        <v>14400</v>
      </c>
      <c r="BG885" s="142">
        <v>10200</v>
      </c>
      <c r="BH885" s="142">
        <v>12000</v>
      </c>
      <c r="BI885" s="76">
        <f>AVERAGE(AX885,AY885,AZ885,BA885,BB885,BC885)</f>
        <v>23832.22</v>
      </c>
      <c r="BJ885" s="24">
        <f>BI885-AW885</f>
        <v>-39529.78</v>
      </c>
      <c r="BK885" s="25">
        <f>+BJ885/AW885</f>
        <v>-0.62387203686752313</v>
      </c>
      <c r="BL885" s="259">
        <f t="shared" si="1013"/>
        <v>23832.22</v>
      </c>
      <c r="BM885" s="533">
        <f t="shared" si="1014"/>
        <v>23832.22</v>
      </c>
    </row>
    <row r="886" spans="1:65" ht="31.35" customHeight="1">
      <c r="A886" s="91" t="s">
        <v>36</v>
      </c>
      <c r="B886" s="358" t="s">
        <v>3077</v>
      </c>
      <c r="C886" s="50" t="s">
        <v>376</v>
      </c>
      <c r="D886" s="99" t="s">
        <v>730</v>
      </c>
      <c r="E886" s="391" t="s">
        <v>740</v>
      </c>
      <c r="F886" s="408"/>
      <c r="G886" s="293"/>
      <c r="H886" s="293"/>
      <c r="I886" s="293"/>
      <c r="J886" s="293"/>
      <c r="K886" s="293"/>
      <c r="L886" s="327"/>
      <c r="M886" s="432"/>
      <c r="N886" s="443"/>
      <c r="O886" s="250"/>
      <c r="P886" s="250"/>
      <c r="Q886" s="250"/>
      <c r="R886" s="250"/>
      <c r="S886" s="250"/>
      <c r="T886" s="250"/>
      <c r="U886" s="250"/>
      <c r="V886" s="443"/>
      <c r="W886" s="410">
        <v>102658</v>
      </c>
      <c r="X886" s="33">
        <v>133515</v>
      </c>
      <c r="Y886" s="31">
        <v>173570</v>
      </c>
      <c r="Z886" s="98">
        <v>116702</v>
      </c>
      <c r="AA886" s="76">
        <f t="shared" si="966"/>
        <v>141262.33333333334</v>
      </c>
      <c r="AB886" s="24">
        <f t="shared" si="967"/>
        <v>38604.333333333343</v>
      </c>
      <c r="AC886" s="25">
        <f t="shared" si="968"/>
        <v>0.37604797807607143</v>
      </c>
      <c r="AD886" s="309" t="str">
        <f t="shared" si="969"/>
        <v>REVISAR PRECIO</v>
      </c>
      <c r="AE886" s="462">
        <f t="shared" si="970"/>
        <v>141262.33333333334</v>
      </c>
      <c r="AF886" s="408"/>
      <c r="AG886" s="293"/>
      <c r="AH886" s="293"/>
      <c r="AI886" s="293"/>
      <c r="AJ886" s="293"/>
      <c r="AK886" s="293"/>
      <c r="AL886" s="327"/>
      <c r="AM886" s="463"/>
      <c r="AN886" s="513">
        <v>82347</v>
      </c>
      <c r="AO886" s="88">
        <v>62000</v>
      </c>
      <c r="AP886" s="116">
        <v>62000</v>
      </c>
      <c r="AQ886" s="74">
        <v>61600</v>
      </c>
      <c r="AR886" s="76">
        <f t="shared" si="1008"/>
        <v>61866.666666666664</v>
      </c>
      <c r="AS886" s="24">
        <f t="shared" si="1009"/>
        <v>-20480.333333333336</v>
      </c>
      <c r="AT886" s="25">
        <f t="shared" si="1010"/>
        <v>-0.24870770438915002</v>
      </c>
      <c r="AU886" s="309">
        <f t="shared" si="1011"/>
        <v>61866.666666666664</v>
      </c>
      <c r="AV886" s="462">
        <f t="shared" si="1012"/>
        <v>61866.666666666664</v>
      </c>
      <c r="AW886" s="513">
        <v>82347</v>
      </c>
      <c r="AX886" s="74">
        <v>64400</v>
      </c>
      <c r="AY886" s="74">
        <v>90000</v>
      </c>
      <c r="AZ886" s="75">
        <v>74200</v>
      </c>
      <c r="BA886" s="61">
        <v>85652</v>
      </c>
      <c r="BB886" s="60"/>
      <c r="BC886" s="74">
        <v>98499.799999999988</v>
      </c>
      <c r="BD886" s="79">
        <v>74200</v>
      </c>
      <c r="BE886" s="79">
        <v>56000</v>
      </c>
      <c r="BF886" s="127">
        <v>67200</v>
      </c>
      <c r="BG886" s="142">
        <v>55900</v>
      </c>
      <c r="BH886" s="142">
        <v>60000</v>
      </c>
      <c r="BI886" s="76">
        <f>AVERAGE(AX886,AY886,AZ886,BA886,BB886,BC886)</f>
        <v>82550.36</v>
      </c>
      <c r="BJ886" s="24">
        <f>BI886-AW886</f>
        <v>203.36000000000058</v>
      </c>
      <c r="BK886" s="25">
        <f>+BJ886/AW886</f>
        <v>2.4695495889346373E-3</v>
      </c>
      <c r="BL886" s="259">
        <f t="shared" si="1013"/>
        <v>82550.36</v>
      </c>
      <c r="BM886" s="533">
        <f t="shared" si="1014"/>
        <v>82550.36</v>
      </c>
    </row>
    <row r="887" spans="1:65" ht="31.35" customHeight="1">
      <c r="A887" s="91" t="s">
        <v>36</v>
      </c>
      <c r="B887" s="358" t="s">
        <v>3078</v>
      </c>
      <c r="C887" s="50" t="s">
        <v>377</v>
      </c>
      <c r="D887" s="99" t="s">
        <v>731</v>
      </c>
      <c r="E887" s="391" t="s">
        <v>740</v>
      </c>
      <c r="F887" s="408"/>
      <c r="G887" s="293"/>
      <c r="H887" s="293"/>
      <c r="I887" s="293"/>
      <c r="J887" s="293"/>
      <c r="K887" s="293"/>
      <c r="L887" s="327"/>
      <c r="M887" s="432"/>
      <c r="N887" s="443"/>
      <c r="O887" s="250"/>
      <c r="P887" s="250"/>
      <c r="Q887" s="250"/>
      <c r="R887" s="250"/>
      <c r="S887" s="250"/>
      <c r="T887" s="250"/>
      <c r="U887" s="250"/>
      <c r="V887" s="443"/>
      <c r="W887" s="410">
        <v>112415</v>
      </c>
      <c r="X887" s="33">
        <v>146205</v>
      </c>
      <c r="Y887" s="31">
        <v>190067</v>
      </c>
      <c r="Z887" s="98">
        <v>127794</v>
      </c>
      <c r="AA887" s="76">
        <f t="shared" si="966"/>
        <v>154688.66666666666</v>
      </c>
      <c r="AB887" s="24">
        <f t="shared" si="967"/>
        <v>42273.666666666657</v>
      </c>
      <c r="AC887" s="25">
        <f t="shared" si="968"/>
        <v>0.37605005263235919</v>
      </c>
      <c r="AD887" s="309" t="str">
        <f t="shared" si="969"/>
        <v>REVISAR PRECIO</v>
      </c>
      <c r="AE887" s="462">
        <f t="shared" si="970"/>
        <v>154688.66666666666</v>
      </c>
      <c r="AF887" s="408"/>
      <c r="AG887" s="293"/>
      <c r="AH887" s="293"/>
      <c r="AI887" s="293"/>
      <c r="AJ887" s="293"/>
      <c r="AK887" s="293"/>
      <c r="AL887" s="327"/>
      <c r="AM887" s="463"/>
      <c r="AN887" s="15"/>
      <c r="AO887" s="120"/>
      <c r="AP887" s="120"/>
      <c r="AQ887" s="120"/>
      <c r="AR887" s="120"/>
      <c r="AS887" s="120"/>
      <c r="AT887" s="120"/>
      <c r="AU887" s="422"/>
      <c r="AV887" s="508"/>
      <c r="AW887" s="15"/>
      <c r="AX887" s="70"/>
      <c r="AY887" s="70"/>
      <c r="AZ887" s="70"/>
      <c r="BA887" s="70"/>
      <c r="BB887" s="70"/>
      <c r="BC887" s="70"/>
      <c r="BD887" s="250"/>
      <c r="BE887" s="250"/>
      <c r="BF887" s="250"/>
      <c r="BG887" s="250"/>
      <c r="BH887" s="250"/>
      <c r="BI887" s="71"/>
      <c r="BJ887" s="71"/>
      <c r="BK887" s="71"/>
      <c r="BL887" s="550"/>
      <c r="BM887" s="542"/>
    </row>
    <row r="888" spans="1:65" ht="31.35" customHeight="1">
      <c r="A888" s="91" t="s">
        <v>36</v>
      </c>
      <c r="B888" s="358" t="s">
        <v>3079</v>
      </c>
      <c r="C888" s="50" t="s">
        <v>788</v>
      </c>
      <c r="D888" s="99" t="s">
        <v>732</v>
      </c>
      <c r="E888" s="391" t="s">
        <v>740</v>
      </c>
      <c r="F888" s="408"/>
      <c r="G888" s="293"/>
      <c r="H888" s="293"/>
      <c r="I888" s="293"/>
      <c r="J888" s="293"/>
      <c r="K888" s="293"/>
      <c r="L888" s="327"/>
      <c r="M888" s="432"/>
      <c r="N888" s="443"/>
      <c r="O888" s="250"/>
      <c r="P888" s="250"/>
      <c r="Q888" s="250"/>
      <c r="R888" s="250"/>
      <c r="S888" s="250"/>
      <c r="T888" s="250"/>
      <c r="U888" s="250"/>
      <c r="V888" s="443"/>
      <c r="W888" s="410">
        <v>141998</v>
      </c>
      <c r="X888" s="31">
        <v>184680</v>
      </c>
      <c r="Y888" s="31">
        <v>240084</v>
      </c>
      <c r="Z888" s="98">
        <v>161424</v>
      </c>
      <c r="AA888" s="76">
        <f t="shared" si="966"/>
        <v>195396</v>
      </c>
      <c r="AB888" s="24">
        <f t="shared" si="967"/>
        <v>53398</v>
      </c>
      <c r="AC888" s="25">
        <f t="shared" si="968"/>
        <v>0.37604754996549244</v>
      </c>
      <c r="AD888" s="309" t="str">
        <f t="shared" si="969"/>
        <v>REVISAR PRECIO</v>
      </c>
      <c r="AE888" s="462">
        <f t="shared" si="970"/>
        <v>195396</v>
      </c>
      <c r="AF888" s="408"/>
      <c r="AG888" s="293"/>
      <c r="AH888" s="293"/>
      <c r="AI888" s="293"/>
      <c r="AJ888" s="293"/>
      <c r="AK888" s="293"/>
      <c r="AL888" s="327"/>
      <c r="AM888" s="463"/>
      <c r="AN888" s="15"/>
      <c r="AO888" s="120"/>
      <c r="AP888" s="120"/>
      <c r="AQ888" s="120"/>
      <c r="AR888" s="120"/>
      <c r="AS888" s="120"/>
      <c r="AT888" s="120"/>
      <c r="AU888" s="422"/>
      <c r="AV888" s="508"/>
      <c r="AW888" s="15"/>
      <c r="AX888" s="70"/>
      <c r="AY888" s="70"/>
      <c r="AZ888" s="70"/>
      <c r="BA888" s="70"/>
      <c r="BB888" s="70"/>
      <c r="BC888" s="70"/>
      <c r="BD888" s="250"/>
      <c r="BE888" s="250"/>
      <c r="BF888" s="250"/>
      <c r="BG888" s="250"/>
      <c r="BH888" s="250"/>
      <c r="BI888" s="71"/>
      <c r="BJ888" s="71"/>
      <c r="BK888" s="71"/>
      <c r="BL888" s="550"/>
      <c r="BM888" s="542"/>
    </row>
    <row r="889" spans="1:65" ht="31.35" customHeight="1">
      <c r="A889" s="91" t="s">
        <v>36</v>
      </c>
      <c r="B889" s="358" t="s">
        <v>3080</v>
      </c>
      <c r="C889" s="50" t="s">
        <v>789</v>
      </c>
      <c r="D889" s="99" t="s">
        <v>733</v>
      </c>
      <c r="E889" s="391" t="s">
        <v>11</v>
      </c>
      <c r="F889" s="408"/>
      <c r="G889" s="293"/>
      <c r="H889" s="293"/>
      <c r="I889" s="293"/>
      <c r="J889" s="293"/>
      <c r="K889" s="293"/>
      <c r="L889" s="327"/>
      <c r="M889" s="432"/>
      <c r="N889" s="443"/>
      <c r="O889" s="250"/>
      <c r="P889" s="250"/>
      <c r="Q889" s="250"/>
      <c r="R889" s="250"/>
      <c r="S889" s="250"/>
      <c r="T889" s="250"/>
      <c r="U889" s="250"/>
      <c r="V889" s="443"/>
      <c r="W889" s="410">
        <v>2958</v>
      </c>
      <c r="X889" s="33">
        <v>3848</v>
      </c>
      <c r="Y889" s="31">
        <v>5002</v>
      </c>
      <c r="Z889" s="98">
        <v>3363</v>
      </c>
      <c r="AA889" s="76">
        <f t="shared" si="966"/>
        <v>4071</v>
      </c>
      <c r="AB889" s="24">
        <f t="shared" si="967"/>
        <v>1113</v>
      </c>
      <c r="AC889" s="25">
        <f t="shared" si="968"/>
        <v>0.37626774847870181</v>
      </c>
      <c r="AD889" s="309" t="str">
        <f t="shared" si="969"/>
        <v>REVISAR PRECIO</v>
      </c>
      <c r="AE889" s="462">
        <f t="shared" si="970"/>
        <v>4071</v>
      </c>
      <c r="AF889" s="408"/>
      <c r="AG889" s="293"/>
      <c r="AH889" s="293"/>
      <c r="AI889" s="293"/>
      <c r="AJ889" s="293"/>
      <c r="AK889" s="293"/>
      <c r="AL889" s="327"/>
      <c r="AM889" s="463"/>
      <c r="AN889" s="513">
        <v>2374</v>
      </c>
      <c r="AO889" s="88">
        <v>7500</v>
      </c>
      <c r="AP889" s="116">
        <v>7500</v>
      </c>
      <c r="AQ889" s="74">
        <v>6600</v>
      </c>
      <c r="AR889" s="76">
        <f t="shared" ref="AR889" si="1015">AVERAGE(AO889,AP889,AQ889)</f>
        <v>7200</v>
      </c>
      <c r="AS889" s="24">
        <f t="shared" ref="AS889" si="1016">AR889-AN889</f>
        <v>4826</v>
      </c>
      <c r="AT889" s="25">
        <f t="shared" ref="AT889" si="1017">+AS889/AN889</f>
        <v>2.0328559393428813</v>
      </c>
      <c r="AU889" s="309" t="str">
        <f t="shared" ref="AU889" si="1018">+IF(AT889&lt;35%,AR889,"REVISAR PRECIO")</f>
        <v>REVISAR PRECIO</v>
      </c>
      <c r="AV889" s="462">
        <f t="shared" ref="AV889" si="1019">AR889</f>
        <v>7200</v>
      </c>
      <c r="AW889" s="513">
        <v>2374</v>
      </c>
      <c r="AX889" s="74">
        <v>6900</v>
      </c>
      <c r="AY889" s="74">
        <v>10000</v>
      </c>
      <c r="AZ889" s="75">
        <v>7950</v>
      </c>
      <c r="BA889" s="61">
        <v>9177</v>
      </c>
      <c r="BB889" s="60"/>
      <c r="BC889" s="74">
        <v>10553.55</v>
      </c>
      <c r="BD889" s="79">
        <v>7950</v>
      </c>
      <c r="BE889" s="79">
        <v>6000</v>
      </c>
      <c r="BF889" s="127">
        <v>7200</v>
      </c>
      <c r="BG889" s="142">
        <v>6200</v>
      </c>
      <c r="BH889" s="142">
        <v>6000</v>
      </c>
      <c r="BI889" s="76">
        <f>AVERAGE(AX889,AY889,AZ889,BA889,BB889,BC889)</f>
        <v>8916.11</v>
      </c>
      <c r="BJ889" s="24">
        <f>BI889-AW889</f>
        <v>6542.1100000000006</v>
      </c>
      <c r="BK889" s="25">
        <f>+BJ889/AW889</f>
        <v>2.7557329401853417</v>
      </c>
      <c r="BL889" s="259" t="str">
        <f t="shared" ref="BL889" si="1020">+IF(BK889&lt;35%,BI889,"REVISAR PRECIO")</f>
        <v>REVISAR PRECIO</v>
      </c>
      <c r="BM889" s="533">
        <f t="shared" ref="BM889" si="1021">BI889</f>
        <v>8916.11</v>
      </c>
    </row>
    <row r="890" spans="1:65" ht="31.35" customHeight="1">
      <c r="A890" s="91" t="s">
        <v>36</v>
      </c>
      <c r="B890" s="358" t="s">
        <v>3081</v>
      </c>
      <c r="C890" s="50" t="s">
        <v>790</v>
      </c>
      <c r="D890" s="99" t="s">
        <v>1200</v>
      </c>
      <c r="E890" s="391" t="s">
        <v>740</v>
      </c>
      <c r="F890" s="408"/>
      <c r="G890" s="293"/>
      <c r="H890" s="293"/>
      <c r="I890" s="293"/>
      <c r="J890" s="293"/>
      <c r="K890" s="293"/>
      <c r="L890" s="327"/>
      <c r="M890" s="432"/>
      <c r="N890" s="443"/>
      <c r="O890" s="250"/>
      <c r="P890" s="250"/>
      <c r="Q890" s="250"/>
      <c r="R890" s="250"/>
      <c r="S890" s="250"/>
      <c r="T890" s="250"/>
      <c r="U890" s="250"/>
      <c r="V890" s="443"/>
      <c r="W890" s="410">
        <v>66266</v>
      </c>
      <c r="X890" s="33">
        <v>86184</v>
      </c>
      <c r="Y890" s="31">
        <v>112039</v>
      </c>
      <c r="Z890" s="98">
        <v>75331.199999999997</v>
      </c>
      <c r="AA890" s="76">
        <f t="shared" si="966"/>
        <v>91184.733333333337</v>
      </c>
      <c r="AB890" s="24">
        <f t="shared" si="967"/>
        <v>24918.733333333337</v>
      </c>
      <c r="AC890" s="25">
        <f t="shared" si="968"/>
        <v>0.3760410064487571</v>
      </c>
      <c r="AD890" s="309" t="str">
        <f t="shared" si="969"/>
        <v>REVISAR PRECIO</v>
      </c>
      <c r="AE890" s="462">
        <f t="shared" si="970"/>
        <v>91184.733333333337</v>
      </c>
      <c r="AF890" s="408"/>
      <c r="AG890" s="293"/>
      <c r="AH890" s="293"/>
      <c r="AI890" s="293"/>
      <c r="AJ890" s="293"/>
      <c r="AK890" s="293"/>
      <c r="AL890" s="327"/>
      <c r="AM890" s="463"/>
      <c r="AN890" s="15"/>
      <c r="AO890" s="120"/>
      <c r="AP890" s="120"/>
      <c r="AQ890" s="120"/>
      <c r="AR890" s="120"/>
      <c r="AS890" s="120"/>
      <c r="AT890" s="120"/>
      <c r="AU890" s="422"/>
      <c r="AV890" s="508"/>
      <c r="AW890" s="15"/>
      <c r="AX890" s="70"/>
      <c r="AY890" s="70"/>
      <c r="AZ890" s="70"/>
      <c r="BA890" s="70"/>
      <c r="BB890" s="70"/>
      <c r="BC890" s="70"/>
      <c r="BD890" s="250"/>
      <c r="BE890" s="250"/>
      <c r="BF890" s="250"/>
      <c r="BG890" s="250"/>
      <c r="BH890" s="250"/>
      <c r="BI890" s="71"/>
      <c r="BJ890" s="71"/>
      <c r="BK890" s="71"/>
      <c r="BL890" s="550"/>
      <c r="BM890" s="542"/>
    </row>
    <row r="891" spans="1:65" ht="48" customHeight="1">
      <c r="A891" s="91" t="s">
        <v>36</v>
      </c>
      <c r="B891" s="358" t="s">
        <v>3082</v>
      </c>
      <c r="C891" s="50" t="s">
        <v>791</v>
      </c>
      <c r="D891" s="99" t="s">
        <v>734</v>
      </c>
      <c r="E891" s="391" t="s">
        <v>740</v>
      </c>
      <c r="F891" s="408"/>
      <c r="G891" s="293"/>
      <c r="H891" s="293"/>
      <c r="I891" s="293"/>
      <c r="J891" s="293"/>
      <c r="K891" s="293"/>
      <c r="L891" s="327"/>
      <c r="M891" s="432"/>
      <c r="N891" s="443"/>
      <c r="O891" s="250"/>
      <c r="P891" s="250"/>
      <c r="Q891" s="250"/>
      <c r="R891" s="250"/>
      <c r="S891" s="250"/>
      <c r="T891" s="250"/>
      <c r="U891" s="250"/>
      <c r="V891" s="443"/>
      <c r="W891" s="410">
        <v>248497</v>
      </c>
      <c r="X891" s="31">
        <v>323190</v>
      </c>
      <c r="Y891" s="31">
        <v>420147</v>
      </c>
      <c r="Z891" s="98">
        <v>282492</v>
      </c>
      <c r="AA891" s="76">
        <f t="shared" si="966"/>
        <v>341943</v>
      </c>
      <c r="AB891" s="24">
        <f t="shared" si="967"/>
        <v>93446</v>
      </c>
      <c r="AC891" s="25">
        <f t="shared" si="968"/>
        <v>0.37604478122472301</v>
      </c>
      <c r="AD891" s="309" t="str">
        <f t="shared" si="969"/>
        <v>REVISAR PRECIO</v>
      </c>
      <c r="AE891" s="462">
        <f t="shared" si="970"/>
        <v>341943</v>
      </c>
      <c r="AF891" s="408"/>
      <c r="AG891" s="293"/>
      <c r="AH891" s="293"/>
      <c r="AI891" s="293"/>
      <c r="AJ891" s="293"/>
      <c r="AK891" s="293"/>
      <c r="AL891" s="327"/>
      <c r="AM891" s="463"/>
      <c r="AN891" s="15"/>
      <c r="AO891" s="120"/>
      <c r="AP891" s="120"/>
      <c r="AQ891" s="120"/>
      <c r="AR891" s="120"/>
      <c r="AS891" s="120"/>
      <c r="AT891" s="120"/>
      <c r="AU891" s="422"/>
      <c r="AV891" s="508"/>
      <c r="AW891" s="15"/>
      <c r="AX891" s="70"/>
      <c r="AY891" s="70"/>
      <c r="AZ891" s="70"/>
      <c r="BA891" s="70"/>
      <c r="BB891" s="70"/>
      <c r="BC891" s="70"/>
      <c r="BD891" s="250"/>
      <c r="BE891" s="250"/>
      <c r="BF891" s="250"/>
      <c r="BG891" s="250"/>
      <c r="BH891" s="250"/>
      <c r="BI891" s="71"/>
      <c r="BJ891" s="71"/>
      <c r="BK891" s="71"/>
      <c r="BL891" s="550"/>
      <c r="BM891" s="542"/>
    </row>
    <row r="892" spans="1:65" ht="31.35" customHeight="1">
      <c r="A892" s="91" t="s">
        <v>36</v>
      </c>
      <c r="B892" s="358" t="s">
        <v>3083</v>
      </c>
      <c r="C892" s="50" t="s">
        <v>792</v>
      </c>
      <c r="D892" s="99" t="s">
        <v>735</v>
      </c>
      <c r="E892" s="391" t="s">
        <v>740</v>
      </c>
      <c r="F892" s="408"/>
      <c r="G892" s="293"/>
      <c r="H892" s="293"/>
      <c r="I892" s="293"/>
      <c r="J892" s="293"/>
      <c r="K892" s="293"/>
      <c r="L892" s="327"/>
      <c r="M892" s="432"/>
      <c r="N892" s="443"/>
      <c r="O892" s="250"/>
      <c r="P892" s="250"/>
      <c r="Q892" s="250"/>
      <c r="R892" s="250"/>
      <c r="S892" s="250"/>
      <c r="T892" s="250"/>
      <c r="U892" s="250"/>
      <c r="V892" s="443"/>
      <c r="W892" s="410">
        <v>112415</v>
      </c>
      <c r="X892" s="33">
        <v>146205</v>
      </c>
      <c r="Y892" s="31">
        <v>190067</v>
      </c>
      <c r="Z892" s="98">
        <v>127794</v>
      </c>
      <c r="AA892" s="76">
        <f t="shared" si="966"/>
        <v>154688.66666666666</v>
      </c>
      <c r="AB892" s="24">
        <f t="shared" si="967"/>
        <v>42273.666666666657</v>
      </c>
      <c r="AC892" s="25">
        <f t="shared" si="968"/>
        <v>0.37605005263235919</v>
      </c>
      <c r="AD892" s="309" t="str">
        <f t="shared" si="969"/>
        <v>REVISAR PRECIO</v>
      </c>
      <c r="AE892" s="462">
        <f t="shared" si="970"/>
        <v>154688.66666666666</v>
      </c>
      <c r="AF892" s="408"/>
      <c r="AG892" s="293"/>
      <c r="AH892" s="293"/>
      <c r="AI892" s="293"/>
      <c r="AJ892" s="293"/>
      <c r="AK892" s="293"/>
      <c r="AL892" s="327"/>
      <c r="AM892" s="463"/>
      <c r="AN892" s="15"/>
      <c r="AO892" s="120"/>
      <c r="AP892" s="120"/>
      <c r="AQ892" s="120"/>
      <c r="AR892" s="120"/>
      <c r="AS892" s="120"/>
      <c r="AT892" s="120"/>
      <c r="AU892" s="422"/>
      <c r="AV892" s="508"/>
      <c r="AW892" s="15"/>
      <c r="AX892" s="70"/>
      <c r="AY892" s="70"/>
      <c r="AZ892" s="70"/>
      <c r="BA892" s="70"/>
      <c r="BB892" s="70"/>
      <c r="BC892" s="70"/>
      <c r="BD892" s="250"/>
      <c r="BE892" s="250"/>
      <c r="BF892" s="250"/>
      <c r="BG892" s="250"/>
      <c r="BH892" s="250"/>
      <c r="BI892" s="71"/>
      <c r="BJ892" s="71"/>
      <c r="BK892" s="71"/>
      <c r="BL892" s="550"/>
      <c r="BM892" s="542"/>
    </row>
    <row r="893" spans="1:65" ht="31.35" customHeight="1">
      <c r="A893" s="91" t="s">
        <v>36</v>
      </c>
      <c r="B893" s="358" t="s">
        <v>3084</v>
      </c>
      <c r="C893" s="50" t="s">
        <v>793</v>
      </c>
      <c r="D893" s="99" t="s">
        <v>736</v>
      </c>
      <c r="E893" s="391" t="s">
        <v>740</v>
      </c>
      <c r="F893" s="408"/>
      <c r="G893" s="293"/>
      <c r="H893" s="293"/>
      <c r="I893" s="293"/>
      <c r="J893" s="293"/>
      <c r="K893" s="293"/>
      <c r="L893" s="327"/>
      <c r="M893" s="432"/>
      <c r="N893" s="443"/>
      <c r="O893" s="250"/>
      <c r="P893" s="250"/>
      <c r="Q893" s="250"/>
      <c r="R893" s="250"/>
      <c r="S893" s="250"/>
      <c r="T893" s="250"/>
      <c r="U893" s="250"/>
      <c r="V893" s="443"/>
      <c r="W893" s="410">
        <v>53249</v>
      </c>
      <c r="X893" s="33">
        <v>69255</v>
      </c>
      <c r="Y893" s="31">
        <v>90032</v>
      </c>
      <c r="Z893" s="98">
        <v>60534</v>
      </c>
      <c r="AA893" s="76">
        <f t="shared" si="966"/>
        <v>73273.666666666672</v>
      </c>
      <c r="AB893" s="24">
        <f t="shared" si="967"/>
        <v>20024.666666666672</v>
      </c>
      <c r="AC893" s="25">
        <f t="shared" si="968"/>
        <v>0.37605714035318355</v>
      </c>
      <c r="AD893" s="309" t="str">
        <f t="shared" si="969"/>
        <v>REVISAR PRECIO</v>
      </c>
      <c r="AE893" s="462">
        <f t="shared" si="970"/>
        <v>73273.666666666672</v>
      </c>
      <c r="AF893" s="408"/>
      <c r="AG893" s="293"/>
      <c r="AH893" s="293"/>
      <c r="AI893" s="293"/>
      <c r="AJ893" s="293"/>
      <c r="AK893" s="293"/>
      <c r="AL893" s="327"/>
      <c r="AM893" s="463"/>
      <c r="AN893" s="15"/>
      <c r="AO893" s="120"/>
      <c r="AP893" s="120"/>
      <c r="AQ893" s="120"/>
      <c r="AR893" s="120"/>
      <c r="AS893" s="120"/>
      <c r="AT893" s="120"/>
      <c r="AU893" s="422"/>
      <c r="AV893" s="508"/>
      <c r="AW893" s="15"/>
      <c r="AX893" s="70"/>
      <c r="AY893" s="70"/>
      <c r="AZ893" s="70"/>
      <c r="BA893" s="70"/>
      <c r="BB893" s="70"/>
      <c r="BC893" s="70"/>
      <c r="BD893" s="250"/>
      <c r="BE893" s="250"/>
      <c r="BF893" s="250"/>
      <c r="BG893" s="250"/>
      <c r="BH893" s="250"/>
      <c r="BI893" s="71"/>
      <c r="BJ893" s="71"/>
      <c r="BK893" s="71"/>
      <c r="BL893" s="550"/>
      <c r="BM893" s="542"/>
    </row>
    <row r="894" spans="1:65" ht="31.35" customHeight="1">
      <c r="A894" s="91" t="s">
        <v>36</v>
      </c>
      <c r="B894" s="358" t="s">
        <v>3085</v>
      </c>
      <c r="C894" s="50" t="s">
        <v>794</v>
      </c>
      <c r="D894" s="99" t="s">
        <v>737</v>
      </c>
      <c r="E894" s="391" t="s">
        <v>740</v>
      </c>
      <c r="F894" s="408"/>
      <c r="G894" s="293"/>
      <c r="H894" s="293"/>
      <c r="I894" s="293"/>
      <c r="J894" s="293"/>
      <c r="K894" s="293"/>
      <c r="L894" s="327"/>
      <c r="M894" s="432"/>
      <c r="N894" s="443"/>
      <c r="O894" s="250"/>
      <c r="P894" s="250"/>
      <c r="Q894" s="250"/>
      <c r="R894" s="250"/>
      <c r="S894" s="250"/>
      <c r="T894" s="250"/>
      <c r="U894" s="250"/>
      <c r="V894" s="443"/>
      <c r="W894" s="410">
        <v>124249</v>
      </c>
      <c r="X894" s="33">
        <v>161595</v>
      </c>
      <c r="Y894" s="31">
        <v>161595</v>
      </c>
      <c r="Z894" s="98">
        <v>141246</v>
      </c>
      <c r="AA894" s="76">
        <f t="shared" si="966"/>
        <v>154812</v>
      </c>
      <c r="AB894" s="24">
        <f t="shared" si="967"/>
        <v>30563</v>
      </c>
      <c r="AC894" s="25">
        <f t="shared" si="968"/>
        <v>0.24598185900892564</v>
      </c>
      <c r="AD894" s="309">
        <f t="shared" si="969"/>
        <v>154812</v>
      </c>
      <c r="AE894" s="462">
        <f t="shared" si="970"/>
        <v>154812</v>
      </c>
      <c r="AF894" s="408"/>
      <c r="AG894" s="293"/>
      <c r="AH894" s="293"/>
      <c r="AI894" s="293"/>
      <c r="AJ894" s="293"/>
      <c r="AK894" s="293"/>
      <c r="AL894" s="327"/>
      <c r="AM894" s="463"/>
      <c r="AN894" s="15"/>
      <c r="AO894" s="120"/>
      <c r="AP894" s="120"/>
      <c r="AQ894" s="120"/>
      <c r="AR894" s="120"/>
      <c r="AS894" s="120"/>
      <c r="AT894" s="120"/>
      <c r="AU894" s="422"/>
      <c r="AV894" s="508"/>
      <c r="AW894" s="15"/>
      <c r="AX894" s="70"/>
      <c r="AY894" s="70"/>
      <c r="AZ894" s="70"/>
      <c r="BA894" s="70"/>
      <c r="BB894" s="70"/>
      <c r="BC894" s="70"/>
      <c r="BD894" s="250"/>
      <c r="BE894" s="250"/>
      <c r="BF894" s="250"/>
      <c r="BG894" s="250"/>
      <c r="BH894" s="250"/>
      <c r="BI894" s="71"/>
      <c r="BJ894" s="71"/>
      <c r="BK894" s="71"/>
      <c r="BL894" s="550"/>
      <c r="BM894" s="542"/>
    </row>
    <row r="895" spans="1:65" ht="31.35" customHeight="1">
      <c r="A895" s="91" t="s">
        <v>36</v>
      </c>
      <c r="B895" s="358" t="s">
        <v>3086</v>
      </c>
      <c r="C895" s="50" t="s">
        <v>795</v>
      </c>
      <c r="D895" s="99" t="s">
        <v>738</v>
      </c>
      <c r="E895" s="391" t="s">
        <v>740</v>
      </c>
      <c r="F895" s="408"/>
      <c r="G895" s="293"/>
      <c r="H895" s="293"/>
      <c r="I895" s="293"/>
      <c r="J895" s="293"/>
      <c r="K895" s="293"/>
      <c r="L895" s="327"/>
      <c r="M895" s="432"/>
      <c r="N895" s="443"/>
      <c r="O895" s="250"/>
      <c r="P895" s="250"/>
      <c r="Q895" s="250"/>
      <c r="R895" s="250"/>
      <c r="S895" s="250"/>
      <c r="T895" s="250"/>
      <c r="U895" s="250"/>
      <c r="V895" s="443"/>
      <c r="W895" s="410">
        <v>198798</v>
      </c>
      <c r="X895" s="33">
        <v>258552</v>
      </c>
      <c r="Y895" s="33">
        <v>336118</v>
      </c>
      <c r="Z895" s="98">
        <v>225993.60000000001</v>
      </c>
      <c r="AA895" s="76">
        <f t="shared" si="966"/>
        <v>273554.53333333333</v>
      </c>
      <c r="AB895" s="24">
        <f t="shared" si="967"/>
        <v>74756.533333333326</v>
      </c>
      <c r="AC895" s="25">
        <f t="shared" si="968"/>
        <v>0.37604268319265449</v>
      </c>
      <c r="AD895" s="309" t="str">
        <f t="shared" si="969"/>
        <v>REVISAR PRECIO</v>
      </c>
      <c r="AE895" s="462">
        <f t="shared" si="970"/>
        <v>273554.53333333333</v>
      </c>
      <c r="AF895" s="408"/>
      <c r="AG895" s="293"/>
      <c r="AH895" s="293"/>
      <c r="AI895" s="293"/>
      <c r="AJ895" s="293"/>
      <c r="AK895" s="293"/>
      <c r="AL895" s="327"/>
      <c r="AM895" s="463"/>
      <c r="AN895" s="513">
        <v>159473</v>
      </c>
      <c r="AO895" s="88">
        <v>160000</v>
      </c>
      <c r="AP895" s="116">
        <v>160000</v>
      </c>
      <c r="AQ895" s="74">
        <v>165000</v>
      </c>
      <c r="AR895" s="76">
        <f t="shared" ref="AR895:AR896" si="1022">AVERAGE(AO895,AP895,AQ895)</f>
        <v>161666.66666666666</v>
      </c>
      <c r="AS895" s="24">
        <f t="shared" ref="AS895:AS896" si="1023">AR895-AN895</f>
        <v>2193.666666666657</v>
      </c>
      <c r="AT895" s="25">
        <f t="shared" ref="AT895" si="1024">+AS895/AN895</f>
        <v>1.3755724584516859E-2</v>
      </c>
      <c r="AU895" s="309">
        <f t="shared" ref="AU895" si="1025">+IF(AT895&lt;35%,AR895,"REVISAR PRECIO")</f>
        <v>161666.66666666666</v>
      </c>
      <c r="AV895" s="462">
        <f t="shared" ref="AV895:AV896" si="1026">AR895</f>
        <v>161666.66666666666</v>
      </c>
      <c r="AW895" s="513">
        <v>159473</v>
      </c>
      <c r="AX895" s="74">
        <v>172500</v>
      </c>
      <c r="AY895" s="74">
        <v>250000</v>
      </c>
      <c r="AZ895" s="75">
        <v>198750</v>
      </c>
      <c r="BA895" s="61">
        <v>229424.99999999997</v>
      </c>
      <c r="BB895" s="60"/>
      <c r="BC895" s="74">
        <v>263838.74999999994</v>
      </c>
      <c r="BD895" s="79">
        <v>198750</v>
      </c>
      <c r="BE895" s="79">
        <v>150000</v>
      </c>
      <c r="BF895" s="127">
        <v>165000</v>
      </c>
      <c r="BG895" s="142">
        <v>185000</v>
      </c>
      <c r="BH895" s="142">
        <v>160000</v>
      </c>
      <c r="BI895" s="76">
        <f>AVERAGE(AX895,AY895,AZ895,BA895,BB895,BC895)</f>
        <v>222902.75</v>
      </c>
      <c r="BJ895" s="24">
        <f>BI895-AW895</f>
        <v>63429.75</v>
      </c>
      <c r="BK895" s="25">
        <f>+BJ895/AW895</f>
        <v>0.39774601343174082</v>
      </c>
      <c r="BL895" s="259" t="str">
        <f t="shared" ref="BL895:BL896" si="1027">+IF(BK895&lt;35%,BI895,"REVISAR PRECIO")</f>
        <v>REVISAR PRECIO</v>
      </c>
      <c r="BM895" s="533">
        <f t="shared" ref="BM895:BM896" si="1028">BI895</f>
        <v>222902.75</v>
      </c>
    </row>
    <row r="896" spans="1:65" ht="31.35" customHeight="1">
      <c r="A896" s="91" t="s">
        <v>36</v>
      </c>
      <c r="B896" s="358" t="s">
        <v>3087</v>
      </c>
      <c r="C896" s="50" t="s">
        <v>796</v>
      </c>
      <c r="D896" s="99" t="s">
        <v>739</v>
      </c>
      <c r="E896" s="391" t="s">
        <v>12</v>
      </c>
      <c r="F896" s="408"/>
      <c r="G896" s="293"/>
      <c r="H896" s="293"/>
      <c r="I896" s="293"/>
      <c r="J896" s="293"/>
      <c r="K896" s="293"/>
      <c r="L896" s="327"/>
      <c r="M896" s="432"/>
      <c r="N896" s="443"/>
      <c r="O896" s="250"/>
      <c r="P896" s="250"/>
      <c r="Q896" s="250"/>
      <c r="R896" s="250"/>
      <c r="S896" s="250"/>
      <c r="T896" s="250"/>
      <c r="U896" s="250"/>
      <c r="V896" s="443"/>
      <c r="W896" s="410">
        <v>84161</v>
      </c>
      <c r="X896" s="33">
        <v>109458</v>
      </c>
      <c r="Y896" s="31">
        <v>142295</v>
      </c>
      <c r="Z896" s="98">
        <v>95674.4</v>
      </c>
      <c r="AA896" s="76">
        <f t="shared" si="966"/>
        <v>115809.13333333335</v>
      </c>
      <c r="AB896" s="24">
        <f t="shared" si="967"/>
        <v>31648.133333333346</v>
      </c>
      <c r="AC896" s="25">
        <f t="shared" si="968"/>
        <v>0.37604274347183786</v>
      </c>
      <c r="AD896" s="309" t="str">
        <f t="shared" si="969"/>
        <v>REVISAR PRECIO</v>
      </c>
      <c r="AE896" s="462">
        <f t="shared" si="970"/>
        <v>115809.13333333335</v>
      </c>
      <c r="AF896" s="408"/>
      <c r="AG896" s="293"/>
      <c r="AH896" s="293"/>
      <c r="AI896" s="293"/>
      <c r="AJ896" s="293"/>
      <c r="AK896" s="293"/>
      <c r="AL896" s="327"/>
      <c r="AM896" s="463"/>
      <c r="AN896" s="513"/>
      <c r="AO896" s="88">
        <v>40000</v>
      </c>
      <c r="AP896" s="116">
        <v>40000</v>
      </c>
      <c r="AQ896" s="74">
        <v>40700</v>
      </c>
      <c r="AR896" s="76">
        <f t="shared" si="1022"/>
        <v>40233.333333333336</v>
      </c>
      <c r="AS896" s="24">
        <f t="shared" si="1023"/>
        <v>40233.333333333336</v>
      </c>
      <c r="AT896" s="25"/>
      <c r="AU896" s="309"/>
      <c r="AV896" s="462">
        <f t="shared" si="1026"/>
        <v>40233.333333333336</v>
      </c>
      <c r="AW896" s="513"/>
      <c r="AX896" s="74">
        <v>42550</v>
      </c>
      <c r="AY896" s="74">
        <v>60000</v>
      </c>
      <c r="AZ896" s="75">
        <v>49025</v>
      </c>
      <c r="BA896" s="61">
        <v>64859.999999999993</v>
      </c>
      <c r="BB896" s="60"/>
      <c r="BC896" s="74">
        <v>74588.999999999985</v>
      </c>
      <c r="BD896" s="79">
        <v>49025</v>
      </c>
      <c r="BE896" s="79">
        <v>37000</v>
      </c>
      <c r="BF896" s="127">
        <v>44400</v>
      </c>
      <c r="BG896" s="142">
        <v>38900</v>
      </c>
      <c r="BH896" s="142">
        <v>40000</v>
      </c>
      <c r="BI896" s="76">
        <f>AVERAGE(AX896,AY896,AZ896,BA896,BB896,BC896)</f>
        <v>58204.800000000003</v>
      </c>
      <c r="BJ896" s="24">
        <f>BI896-AW896</f>
        <v>58204.800000000003</v>
      </c>
      <c r="BK896" s="25"/>
      <c r="BL896" s="259">
        <f t="shared" si="1027"/>
        <v>58204.800000000003</v>
      </c>
      <c r="BM896" s="533">
        <f t="shared" si="1028"/>
        <v>58204.800000000003</v>
      </c>
    </row>
    <row r="897" spans="1:65" s="383" customFormat="1" ht="31.35" customHeight="1">
      <c r="A897" s="359" t="s">
        <v>36</v>
      </c>
      <c r="B897" s="360" t="s">
        <v>3088</v>
      </c>
      <c r="C897" s="361" t="s">
        <v>797</v>
      </c>
      <c r="D897" s="362" t="s">
        <v>38</v>
      </c>
      <c r="E897" s="398" t="s">
        <v>740</v>
      </c>
      <c r="F897" s="415">
        <v>132894</v>
      </c>
      <c r="G897" s="377">
        <v>800000</v>
      </c>
      <c r="H897" s="378">
        <v>1600000</v>
      </c>
      <c r="I897" s="377">
        <v>700000</v>
      </c>
      <c r="J897" s="367">
        <f t="shared" ref="J897:J912" si="1029">AVERAGE(G897,I897)</f>
        <v>750000</v>
      </c>
      <c r="K897" s="368">
        <f t="shared" ref="K897:K912" si="1030">J897-F897</f>
        <v>617106</v>
      </c>
      <c r="L897" s="424">
        <f t="shared" ref="L897:L912" si="1031">+K897/F897</f>
        <v>4.6435956476590361</v>
      </c>
      <c r="M897" s="439">
        <f t="shared" ref="M897:M912" si="1032">H897</f>
        <v>1600000</v>
      </c>
      <c r="N897" s="449"/>
      <c r="O897" s="376"/>
      <c r="P897" s="376"/>
      <c r="Q897" s="376"/>
      <c r="R897" s="376"/>
      <c r="S897" s="376"/>
      <c r="T897" s="376"/>
      <c r="U897" s="376"/>
      <c r="V897" s="449"/>
      <c r="W897" s="479">
        <v>145320</v>
      </c>
      <c r="X897" s="365">
        <v>189000</v>
      </c>
      <c r="Y897" s="365">
        <v>245700</v>
      </c>
      <c r="Z897" s="366">
        <v>165200</v>
      </c>
      <c r="AA897" s="367">
        <f t="shared" si="966"/>
        <v>199966.66666666666</v>
      </c>
      <c r="AB897" s="368">
        <f t="shared" si="967"/>
        <v>54646.666666666657</v>
      </c>
      <c r="AC897" s="369">
        <f t="shared" si="968"/>
        <v>0.37604367373153491</v>
      </c>
      <c r="AD897" s="487" t="str">
        <f t="shared" si="969"/>
        <v>REVISAR PRECIO</v>
      </c>
      <c r="AE897" s="492">
        <f t="shared" si="970"/>
        <v>199966.66666666666</v>
      </c>
      <c r="AF897" s="502"/>
      <c r="AG897" s="375"/>
      <c r="AH897" s="375"/>
      <c r="AI897" s="375"/>
      <c r="AJ897" s="375"/>
      <c r="AK897" s="375"/>
      <c r="AL897" s="506"/>
      <c r="AM897" s="509"/>
      <c r="AN897" s="361"/>
      <c r="AO897" s="375"/>
      <c r="AP897" s="375"/>
      <c r="AQ897" s="375"/>
      <c r="AR897" s="375"/>
      <c r="AS897" s="375"/>
      <c r="AT897" s="375"/>
      <c r="AU897" s="506"/>
      <c r="AV897" s="509"/>
      <c r="AW897" s="361"/>
      <c r="AX897" s="371"/>
      <c r="AY897" s="371"/>
      <c r="AZ897" s="371"/>
      <c r="BA897" s="371"/>
      <c r="BB897" s="371"/>
      <c r="BC897" s="371"/>
      <c r="BD897" s="376"/>
      <c r="BE897" s="376"/>
      <c r="BF897" s="376"/>
      <c r="BG897" s="376"/>
      <c r="BH897" s="376"/>
      <c r="BI897" s="372"/>
      <c r="BJ897" s="372"/>
      <c r="BK897" s="372"/>
      <c r="BL897" s="554"/>
      <c r="BM897" s="543"/>
    </row>
    <row r="898" spans="1:65" s="383" customFormat="1" ht="31.35" customHeight="1">
      <c r="A898" s="359" t="s">
        <v>36</v>
      </c>
      <c r="B898" s="360" t="s">
        <v>3089</v>
      </c>
      <c r="C898" s="361" t="s">
        <v>798</v>
      </c>
      <c r="D898" s="362" t="s">
        <v>39</v>
      </c>
      <c r="E898" s="398" t="s">
        <v>740</v>
      </c>
      <c r="F898" s="415">
        <v>151879</v>
      </c>
      <c r="G898" s="377">
        <v>900000</v>
      </c>
      <c r="H898" s="378">
        <v>2700000</v>
      </c>
      <c r="I898" s="377">
        <v>890000</v>
      </c>
      <c r="J898" s="367">
        <f t="shared" si="1029"/>
        <v>895000</v>
      </c>
      <c r="K898" s="368">
        <f t="shared" si="1030"/>
        <v>743121</v>
      </c>
      <c r="L898" s="424">
        <f t="shared" si="1031"/>
        <v>4.8928489126212318</v>
      </c>
      <c r="M898" s="439">
        <f t="shared" si="1032"/>
        <v>2700000</v>
      </c>
      <c r="N898" s="449"/>
      <c r="O898" s="376"/>
      <c r="P898" s="376"/>
      <c r="Q898" s="376"/>
      <c r="R898" s="376"/>
      <c r="S898" s="376"/>
      <c r="T898" s="376"/>
      <c r="U898" s="376"/>
      <c r="V898" s="449"/>
      <c r="W898" s="479">
        <v>166080</v>
      </c>
      <c r="X898" s="365">
        <v>216000</v>
      </c>
      <c r="Y898" s="365">
        <v>280800</v>
      </c>
      <c r="Z898" s="366">
        <v>188800</v>
      </c>
      <c r="AA898" s="367">
        <f t="shared" si="966"/>
        <v>228533.33333333334</v>
      </c>
      <c r="AB898" s="368">
        <f t="shared" si="967"/>
        <v>62453.333333333343</v>
      </c>
      <c r="AC898" s="369">
        <f t="shared" si="968"/>
        <v>0.37604367373153508</v>
      </c>
      <c r="AD898" s="487" t="str">
        <f t="shared" si="969"/>
        <v>REVISAR PRECIO</v>
      </c>
      <c r="AE898" s="492">
        <f t="shared" si="970"/>
        <v>228533.33333333334</v>
      </c>
      <c r="AF898" s="502"/>
      <c r="AG898" s="375"/>
      <c r="AH898" s="375"/>
      <c r="AI898" s="375"/>
      <c r="AJ898" s="375"/>
      <c r="AK898" s="375"/>
      <c r="AL898" s="506"/>
      <c r="AM898" s="509"/>
      <c r="AN898" s="361"/>
      <c r="AO898" s="375"/>
      <c r="AP898" s="375"/>
      <c r="AQ898" s="375"/>
      <c r="AR898" s="375"/>
      <c r="AS898" s="375"/>
      <c r="AT898" s="375"/>
      <c r="AU898" s="506"/>
      <c r="AV898" s="509"/>
      <c r="AW898" s="361"/>
      <c r="AX898" s="371"/>
      <c r="AY898" s="371"/>
      <c r="AZ898" s="371"/>
      <c r="BA898" s="371"/>
      <c r="BB898" s="371"/>
      <c r="BC898" s="371"/>
      <c r="BD898" s="376"/>
      <c r="BE898" s="376"/>
      <c r="BF898" s="376"/>
      <c r="BG898" s="376"/>
      <c r="BH898" s="376"/>
      <c r="BI898" s="372"/>
      <c r="BJ898" s="372"/>
      <c r="BK898" s="372"/>
      <c r="BL898" s="554"/>
      <c r="BM898" s="543"/>
    </row>
    <row r="899" spans="1:65" ht="31.35" customHeight="1">
      <c r="A899" s="91"/>
      <c r="B899" s="358" t="s">
        <v>3090</v>
      </c>
      <c r="C899" s="50" t="s">
        <v>1372</v>
      </c>
      <c r="D899" s="177" t="s">
        <v>1201</v>
      </c>
      <c r="E899" s="384" t="s">
        <v>40</v>
      </c>
      <c r="F899" s="410">
        <v>12768</v>
      </c>
      <c r="G899" s="10">
        <v>16646</v>
      </c>
      <c r="H899" s="167">
        <v>16646</v>
      </c>
      <c r="I899" s="10">
        <v>15600</v>
      </c>
      <c r="J899" s="76">
        <f t="shared" si="1029"/>
        <v>16123</v>
      </c>
      <c r="K899" s="24">
        <f t="shared" si="1030"/>
        <v>3355</v>
      </c>
      <c r="L899" s="281">
        <f t="shared" si="1031"/>
        <v>0.26276629072681706</v>
      </c>
      <c r="M899" s="431">
        <f t="shared" si="1032"/>
        <v>16646</v>
      </c>
      <c r="N899" s="443"/>
      <c r="O899" s="250"/>
      <c r="P899" s="250"/>
      <c r="Q899" s="250"/>
      <c r="R899" s="250"/>
      <c r="S899" s="250"/>
      <c r="T899" s="250"/>
      <c r="U899" s="250"/>
      <c r="V899" s="443"/>
      <c r="W899" s="480"/>
      <c r="X899" s="31"/>
      <c r="Y899" s="31"/>
      <c r="Z899" s="98"/>
      <c r="AA899" s="76"/>
      <c r="AB899" s="24"/>
      <c r="AC899" s="25"/>
      <c r="AD899" s="309"/>
      <c r="AE899" s="462"/>
      <c r="AF899" s="410">
        <v>3559</v>
      </c>
      <c r="AG899" s="45">
        <v>15000</v>
      </c>
      <c r="AH899" s="45">
        <v>15060</v>
      </c>
      <c r="AI899" s="45">
        <v>18000</v>
      </c>
      <c r="AJ899" s="76">
        <f t="shared" ref="AJ899:AJ900" si="1033">AVERAGE(AG899,AH899,AI899)</f>
        <v>16020</v>
      </c>
      <c r="AK899" s="24">
        <f t="shared" ref="AK899:AK900" si="1034">AJ899-AF899</f>
        <v>12461</v>
      </c>
      <c r="AL899" s="281">
        <f t="shared" ref="AL899:AL900" si="1035">+AK899/AF899</f>
        <v>3.5012644001123912</v>
      </c>
      <c r="AM899" s="462">
        <f t="shared" ref="AM899" si="1036">AJ899</f>
        <v>16020</v>
      </c>
      <c r="AN899" s="15"/>
      <c r="AO899" s="120"/>
      <c r="AP899" s="120"/>
      <c r="AQ899" s="120"/>
      <c r="AR899" s="120"/>
      <c r="AS899" s="120"/>
      <c r="AT899" s="120"/>
      <c r="AU899" s="422"/>
      <c r="AV899" s="508"/>
      <c r="AW899" s="15"/>
      <c r="AX899" s="70"/>
      <c r="AY899" s="70"/>
      <c r="AZ899" s="70"/>
      <c r="BA899" s="70"/>
      <c r="BB899" s="70"/>
      <c r="BC899" s="70"/>
      <c r="BD899" s="250"/>
      <c r="BE899" s="250"/>
      <c r="BF899" s="250"/>
      <c r="BG899" s="250"/>
      <c r="BH899" s="250"/>
      <c r="BI899" s="71"/>
      <c r="BJ899" s="71"/>
      <c r="BK899" s="71"/>
      <c r="BL899" s="550"/>
      <c r="BM899" s="542"/>
    </row>
    <row r="900" spans="1:65" ht="31.35" customHeight="1">
      <c r="A900" s="91"/>
      <c r="B900" s="358" t="s">
        <v>3091</v>
      </c>
      <c r="C900" s="50" t="s">
        <v>1373</v>
      </c>
      <c r="D900" s="177" t="s">
        <v>1202</v>
      </c>
      <c r="E900" s="384" t="s">
        <v>40</v>
      </c>
      <c r="F900" s="410">
        <v>14543</v>
      </c>
      <c r="G900" s="10">
        <v>27427</v>
      </c>
      <c r="H900" s="167">
        <v>27427</v>
      </c>
      <c r="I900" s="10">
        <v>22340</v>
      </c>
      <c r="J900" s="76">
        <f t="shared" si="1029"/>
        <v>24883.5</v>
      </c>
      <c r="K900" s="24">
        <f t="shared" si="1030"/>
        <v>10340.5</v>
      </c>
      <c r="L900" s="281">
        <f t="shared" si="1031"/>
        <v>0.71102936120470328</v>
      </c>
      <c r="M900" s="431">
        <f t="shared" si="1032"/>
        <v>27427</v>
      </c>
      <c r="N900" s="443"/>
      <c r="O900" s="250"/>
      <c r="P900" s="250"/>
      <c r="Q900" s="250"/>
      <c r="R900" s="250"/>
      <c r="S900" s="250"/>
      <c r="T900" s="250"/>
      <c r="U900" s="250"/>
      <c r="V900" s="443"/>
      <c r="W900" s="480"/>
      <c r="X900" s="31"/>
      <c r="Y900" s="31"/>
      <c r="Z900" s="98"/>
      <c r="AA900" s="76"/>
      <c r="AB900" s="24"/>
      <c r="AC900" s="25"/>
      <c r="AD900" s="309"/>
      <c r="AE900" s="462"/>
      <c r="AF900" s="410">
        <v>14542</v>
      </c>
      <c r="AG900" s="45"/>
      <c r="AH900" s="45">
        <v>17160</v>
      </c>
      <c r="AI900" s="45">
        <v>60000</v>
      </c>
      <c r="AJ900" s="76">
        <f t="shared" si="1033"/>
        <v>38580</v>
      </c>
      <c r="AK900" s="24">
        <f t="shared" si="1034"/>
        <v>24038</v>
      </c>
      <c r="AL900" s="281">
        <f t="shared" si="1035"/>
        <v>1.6530050887085683</v>
      </c>
      <c r="AM900" s="462">
        <v>60000</v>
      </c>
      <c r="AN900" s="15"/>
      <c r="AO900" s="120"/>
      <c r="AP900" s="120"/>
      <c r="AQ900" s="120"/>
      <c r="AR900" s="120"/>
      <c r="AS900" s="120"/>
      <c r="AT900" s="120"/>
      <c r="AU900" s="422"/>
      <c r="AV900" s="508"/>
      <c r="AW900" s="15"/>
      <c r="AX900" s="70"/>
      <c r="AY900" s="70"/>
      <c r="AZ900" s="70"/>
      <c r="BA900" s="70"/>
      <c r="BB900" s="70"/>
      <c r="BC900" s="70"/>
      <c r="BD900" s="250"/>
      <c r="BE900" s="250"/>
      <c r="BF900" s="250"/>
      <c r="BG900" s="250"/>
      <c r="BH900" s="250"/>
      <c r="BI900" s="71"/>
      <c r="BJ900" s="71"/>
      <c r="BK900" s="71"/>
      <c r="BL900" s="550"/>
      <c r="BM900" s="542"/>
    </row>
    <row r="901" spans="1:65" ht="31.35" customHeight="1">
      <c r="A901" s="91"/>
      <c r="B901" s="358" t="s">
        <v>3092</v>
      </c>
      <c r="C901" s="50" t="s">
        <v>1374</v>
      </c>
      <c r="D901" s="177" t="s">
        <v>1203</v>
      </c>
      <c r="E901" s="384" t="s">
        <v>10</v>
      </c>
      <c r="F901" s="410">
        <v>12046</v>
      </c>
      <c r="G901" s="10"/>
      <c r="H901" s="167">
        <v>45000</v>
      </c>
      <c r="I901" s="10">
        <v>21000</v>
      </c>
      <c r="J901" s="76">
        <f t="shared" si="1029"/>
        <v>21000</v>
      </c>
      <c r="K901" s="24">
        <f t="shared" si="1030"/>
        <v>8954</v>
      </c>
      <c r="L901" s="281">
        <f t="shared" si="1031"/>
        <v>0.74331728374564165</v>
      </c>
      <c r="M901" s="431">
        <f t="shared" si="1032"/>
        <v>45000</v>
      </c>
      <c r="N901" s="443"/>
      <c r="O901" s="250"/>
      <c r="P901" s="250"/>
      <c r="Q901" s="250"/>
      <c r="R901" s="250"/>
      <c r="S901" s="250"/>
      <c r="T901" s="250"/>
      <c r="U901" s="250"/>
      <c r="V901" s="443"/>
      <c r="W901" s="480"/>
      <c r="X901" s="31"/>
      <c r="Y901" s="31"/>
      <c r="Z901" s="98"/>
      <c r="AA901" s="76"/>
      <c r="AB901" s="24"/>
      <c r="AC901" s="25"/>
      <c r="AD901" s="309"/>
      <c r="AE901" s="462"/>
      <c r="AF901" s="408"/>
      <c r="AG901" s="293"/>
      <c r="AH901" s="293"/>
      <c r="AI901" s="293"/>
      <c r="AJ901" s="293"/>
      <c r="AK901" s="293"/>
      <c r="AL901" s="327"/>
      <c r="AM901" s="463"/>
      <c r="AN901" s="15"/>
      <c r="AO901" s="120"/>
      <c r="AP901" s="120"/>
      <c r="AQ901" s="120"/>
      <c r="AR901" s="120"/>
      <c r="AS901" s="120"/>
      <c r="AT901" s="120"/>
      <c r="AU901" s="422"/>
      <c r="AV901" s="508"/>
      <c r="AW901" s="15"/>
      <c r="AX901" s="70"/>
      <c r="AY901" s="70"/>
      <c r="AZ901" s="70"/>
      <c r="BA901" s="70"/>
      <c r="BB901" s="70"/>
      <c r="BC901" s="70"/>
      <c r="BD901" s="250"/>
      <c r="BE901" s="250"/>
      <c r="BF901" s="250"/>
      <c r="BG901" s="250"/>
      <c r="BH901" s="250"/>
      <c r="BI901" s="71"/>
      <c r="BJ901" s="71"/>
      <c r="BK901" s="71"/>
      <c r="BL901" s="550"/>
      <c r="BM901" s="542"/>
    </row>
    <row r="902" spans="1:65" ht="31.35" customHeight="1">
      <c r="A902" s="91"/>
      <c r="B902" s="358" t="s">
        <v>3093</v>
      </c>
      <c r="C902" s="50" t="s">
        <v>1375</v>
      </c>
      <c r="D902" s="177" t="s">
        <v>1204</v>
      </c>
      <c r="E902" s="384" t="s">
        <v>905</v>
      </c>
      <c r="F902" s="410">
        <v>455437</v>
      </c>
      <c r="G902" s="10"/>
      <c r="H902" s="167">
        <v>30000</v>
      </c>
      <c r="I902" s="10">
        <v>350000</v>
      </c>
      <c r="J902" s="76">
        <f t="shared" si="1029"/>
        <v>350000</v>
      </c>
      <c r="K902" s="24">
        <f t="shared" si="1030"/>
        <v>-105437</v>
      </c>
      <c r="L902" s="281">
        <f t="shared" si="1031"/>
        <v>-0.23150732153953235</v>
      </c>
      <c r="M902" s="431" t="s">
        <v>807</v>
      </c>
      <c r="N902" s="443"/>
      <c r="O902" s="250"/>
      <c r="P902" s="250"/>
      <c r="Q902" s="250"/>
      <c r="R902" s="250"/>
      <c r="S902" s="250"/>
      <c r="T902" s="250"/>
      <c r="U902" s="250"/>
      <c r="V902" s="443"/>
      <c r="W902" s="480"/>
      <c r="X902" s="31"/>
      <c r="Y902" s="31"/>
      <c r="Z902" s="98"/>
      <c r="AA902" s="76"/>
      <c r="AB902" s="24"/>
      <c r="AC902" s="25"/>
      <c r="AD902" s="309"/>
      <c r="AE902" s="462"/>
      <c r="AF902" s="408"/>
      <c r="AG902" s="293"/>
      <c r="AH902" s="293"/>
      <c r="AI902" s="293"/>
      <c r="AJ902" s="293"/>
      <c r="AK902" s="293"/>
      <c r="AL902" s="327"/>
      <c r="AM902" s="463"/>
      <c r="AN902" s="15"/>
      <c r="AO902" s="120"/>
      <c r="AP902" s="120"/>
      <c r="AQ902" s="120"/>
      <c r="AR902" s="120"/>
      <c r="AS902" s="120"/>
      <c r="AT902" s="120"/>
      <c r="AU902" s="422"/>
      <c r="AV902" s="508"/>
      <c r="AW902" s="15"/>
      <c r="AX902" s="70"/>
      <c r="AY902" s="70"/>
      <c r="AZ902" s="70"/>
      <c r="BA902" s="70"/>
      <c r="BB902" s="70"/>
      <c r="BC902" s="70"/>
      <c r="BD902" s="250"/>
      <c r="BE902" s="250"/>
      <c r="BF902" s="250"/>
      <c r="BG902" s="250"/>
      <c r="BH902" s="250"/>
      <c r="BI902" s="71"/>
      <c r="BJ902" s="71"/>
      <c r="BK902" s="71"/>
      <c r="BL902" s="550"/>
      <c r="BM902" s="542"/>
    </row>
    <row r="903" spans="1:65" ht="31.35" customHeight="1">
      <c r="A903" s="91"/>
      <c r="B903" s="358" t="s">
        <v>3094</v>
      </c>
      <c r="C903" s="50" t="s">
        <v>1376</v>
      </c>
      <c r="D903" s="177" t="s">
        <v>1205</v>
      </c>
      <c r="E903" s="384" t="s">
        <v>10</v>
      </c>
      <c r="F903" s="410">
        <v>88147</v>
      </c>
      <c r="G903" s="10">
        <v>49072</v>
      </c>
      <c r="H903" s="167">
        <v>98144</v>
      </c>
      <c r="I903" s="10">
        <v>30000</v>
      </c>
      <c r="J903" s="76">
        <f t="shared" si="1029"/>
        <v>39536</v>
      </c>
      <c r="K903" s="24">
        <f t="shared" si="1030"/>
        <v>-48611</v>
      </c>
      <c r="L903" s="281">
        <f t="shared" si="1031"/>
        <v>-0.55147651082850235</v>
      </c>
      <c r="M903" s="431">
        <f t="shared" si="1032"/>
        <v>98144</v>
      </c>
      <c r="N903" s="443"/>
      <c r="O903" s="250"/>
      <c r="P903" s="250"/>
      <c r="Q903" s="250"/>
      <c r="R903" s="250"/>
      <c r="S903" s="250"/>
      <c r="T903" s="250"/>
      <c r="U903" s="250"/>
      <c r="V903" s="443"/>
      <c r="W903" s="480"/>
      <c r="X903" s="31"/>
      <c r="Y903" s="31"/>
      <c r="Z903" s="98"/>
      <c r="AA903" s="76"/>
      <c r="AB903" s="24"/>
      <c r="AC903" s="25"/>
      <c r="AD903" s="309"/>
      <c r="AE903" s="462"/>
      <c r="AF903" s="408"/>
      <c r="AG903" s="293"/>
      <c r="AH903" s="293"/>
      <c r="AI903" s="293"/>
      <c r="AJ903" s="293"/>
      <c r="AK903" s="293"/>
      <c r="AL903" s="327"/>
      <c r="AM903" s="463"/>
      <c r="AN903" s="15"/>
      <c r="AO903" s="120"/>
      <c r="AP903" s="120"/>
      <c r="AQ903" s="120"/>
      <c r="AR903" s="120"/>
      <c r="AS903" s="120"/>
      <c r="AT903" s="120"/>
      <c r="AU903" s="422"/>
      <c r="AV903" s="508"/>
      <c r="AW903" s="15"/>
      <c r="AX903" s="70"/>
      <c r="AY903" s="70"/>
      <c r="AZ903" s="70"/>
      <c r="BA903" s="70"/>
      <c r="BB903" s="70"/>
      <c r="BC903" s="70"/>
      <c r="BD903" s="250"/>
      <c r="BE903" s="250"/>
      <c r="BF903" s="250"/>
      <c r="BG903" s="250"/>
      <c r="BH903" s="250"/>
      <c r="BI903" s="71"/>
      <c r="BJ903" s="71"/>
      <c r="BK903" s="71"/>
      <c r="BL903" s="550"/>
      <c r="BM903" s="542"/>
    </row>
    <row r="904" spans="1:65" ht="31.35" customHeight="1">
      <c r="A904" s="91"/>
      <c r="B904" s="358" t="s">
        <v>3095</v>
      </c>
      <c r="C904" s="50" t="s">
        <v>1377</v>
      </c>
      <c r="D904" s="177" t="s">
        <v>1206</v>
      </c>
      <c r="E904" s="384" t="s">
        <v>1207</v>
      </c>
      <c r="F904" s="410">
        <v>571985</v>
      </c>
      <c r="G904" s="10"/>
      <c r="H904" s="167">
        <v>8000000</v>
      </c>
      <c r="I904" s="10">
        <v>1600000</v>
      </c>
      <c r="J904" s="76">
        <f t="shared" si="1029"/>
        <v>1600000</v>
      </c>
      <c r="K904" s="24">
        <f t="shared" si="1030"/>
        <v>1028015</v>
      </c>
      <c r="L904" s="281">
        <f t="shared" si="1031"/>
        <v>1.7972761523466525</v>
      </c>
      <c r="M904" s="431">
        <f t="shared" si="1032"/>
        <v>8000000</v>
      </c>
      <c r="N904" s="443"/>
      <c r="O904" s="250"/>
      <c r="P904" s="250"/>
      <c r="Q904" s="250"/>
      <c r="R904" s="250"/>
      <c r="S904" s="250"/>
      <c r="T904" s="250"/>
      <c r="U904" s="250"/>
      <c r="V904" s="443"/>
      <c r="W904" s="480"/>
      <c r="X904" s="31"/>
      <c r="Y904" s="31"/>
      <c r="Z904" s="98"/>
      <c r="AA904" s="76"/>
      <c r="AB904" s="24"/>
      <c r="AC904" s="25"/>
      <c r="AD904" s="309"/>
      <c r="AE904" s="462"/>
      <c r="AF904" s="408"/>
      <c r="AG904" s="293"/>
      <c r="AH904" s="293"/>
      <c r="AI904" s="293"/>
      <c r="AJ904" s="293"/>
      <c r="AK904" s="293"/>
      <c r="AL904" s="327"/>
      <c r="AM904" s="463"/>
      <c r="AN904" s="15"/>
      <c r="AO904" s="120"/>
      <c r="AP904" s="120"/>
      <c r="AQ904" s="120"/>
      <c r="AR904" s="120"/>
      <c r="AS904" s="120"/>
      <c r="AT904" s="120"/>
      <c r="AU904" s="422"/>
      <c r="AV904" s="508"/>
      <c r="AW904" s="15"/>
      <c r="AX904" s="70"/>
      <c r="AY904" s="70"/>
      <c r="AZ904" s="70"/>
      <c r="BA904" s="70"/>
      <c r="BB904" s="70"/>
      <c r="BC904" s="70"/>
      <c r="BD904" s="250"/>
      <c r="BE904" s="250"/>
      <c r="BF904" s="250"/>
      <c r="BG904" s="250"/>
      <c r="BH904" s="250"/>
      <c r="BI904" s="71"/>
      <c r="BJ904" s="71"/>
      <c r="BK904" s="71"/>
      <c r="BL904" s="550"/>
      <c r="BM904" s="542"/>
    </row>
    <row r="905" spans="1:65" ht="31.35" customHeight="1">
      <c r="A905" s="91"/>
      <c r="B905" s="358" t="s">
        <v>3096</v>
      </c>
      <c r="C905" s="50" t="s">
        <v>1378</v>
      </c>
      <c r="D905" s="177" t="s">
        <v>1208</v>
      </c>
      <c r="E905" s="384" t="s">
        <v>10</v>
      </c>
      <c r="F905" s="410">
        <v>31345</v>
      </c>
      <c r="G905" s="10">
        <v>32132.05</v>
      </c>
      <c r="H905" s="167">
        <v>96396.15</v>
      </c>
      <c r="I905" s="10">
        <v>30400</v>
      </c>
      <c r="J905" s="76">
        <f t="shared" si="1029"/>
        <v>31266.025000000001</v>
      </c>
      <c r="K905" s="24">
        <f t="shared" si="1030"/>
        <v>-78.974999999998545</v>
      </c>
      <c r="L905" s="281">
        <f t="shared" si="1031"/>
        <v>-2.5195405965863309E-3</v>
      </c>
      <c r="M905" s="431">
        <f t="shared" si="1032"/>
        <v>96396.15</v>
      </c>
      <c r="N905" s="443"/>
      <c r="O905" s="250"/>
      <c r="P905" s="250"/>
      <c r="Q905" s="250"/>
      <c r="R905" s="250"/>
      <c r="S905" s="250"/>
      <c r="T905" s="250"/>
      <c r="U905" s="250"/>
      <c r="V905" s="443"/>
      <c r="W905" s="480"/>
      <c r="X905" s="31"/>
      <c r="Y905" s="31"/>
      <c r="Z905" s="98"/>
      <c r="AA905" s="76"/>
      <c r="AB905" s="24"/>
      <c r="AC905" s="25"/>
      <c r="AD905" s="309"/>
      <c r="AE905" s="462"/>
      <c r="AF905" s="408"/>
      <c r="AG905" s="293"/>
      <c r="AH905" s="293"/>
      <c r="AI905" s="293"/>
      <c r="AJ905" s="293"/>
      <c r="AK905" s="293"/>
      <c r="AL905" s="327"/>
      <c r="AM905" s="463"/>
      <c r="AN905" s="15"/>
      <c r="AO905" s="120"/>
      <c r="AP905" s="120"/>
      <c r="AQ905" s="120"/>
      <c r="AR905" s="120"/>
      <c r="AS905" s="120"/>
      <c r="AT905" s="120"/>
      <c r="AU905" s="422"/>
      <c r="AV905" s="508"/>
      <c r="AW905" s="15"/>
      <c r="AX905" s="70"/>
      <c r="AY905" s="70"/>
      <c r="AZ905" s="70"/>
      <c r="BA905" s="70"/>
      <c r="BB905" s="70"/>
      <c r="BC905" s="70"/>
      <c r="BD905" s="250"/>
      <c r="BE905" s="250"/>
      <c r="BF905" s="250"/>
      <c r="BG905" s="250"/>
      <c r="BH905" s="250"/>
      <c r="BI905" s="71"/>
      <c r="BJ905" s="71"/>
      <c r="BK905" s="71"/>
      <c r="BL905" s="550"/>
      <c r="BM905" s="542"/>
    </row>
    <row r="906" spans="1:65" ht="31.35" customHeight="1">
      <c r="A906" s="91"/>
      <c r="B906" s="358" t="s">
        <v>3097</v>
      </c>
      <c r="C906" s="50" t="s">
        <v>1379</v>
      </c>
      <c r="D906" s="177" t="s">
        <v>1209</v>
      </c>
      <c r="E906" s="384" t="s">
        <v>13</v>
      </c>
      <c r="F906" s="410">
        <v>2448567</v>
      </c>
      <c r="G906" s="10">
        <v>55000</v>
      </c>
      <c r="H906" s="167">
        <v>165000</v>
      </c>
      <c r="I906" s="10">
        <v>79000</v>
      </c>
      <c r="J906" s="76">
        <f t="shared" si="1029"/>
        <v>67000</v>
      </c>
      <c r="K906" s="24">
        <f t="shared" si="1030"/>
        <v>-2381567</v>
      </c>
      <c r="L906" s="281">
        <f t="shared" si="1031"/>
        <v>-0.97263705669479328</v>
      </c>
      <c r="M906" s="431">
        <f t="shared" si="1032"/>
        <v>165000</v>
      </c>
      <c r="N906" s="443"/>
      <c r="O906" s="250"/>
      <c r="P906" s="250"/>
      <c r="Q906" s="250"/>
      <c r="R906" s="250"/>
      <c r="S906" s="250"/>
      <c r="T906" s="250"/>
      <c r="U906" s="250"/>
      <c r="V906" s="443"/>
      <c r="W906" s="480"/>
      <c r="X906" s="31"/>
      <c r="Y906" s="31"/>
      <c r="Z906" s="98"/>
      <c r="AA906" s="76"/>
      <c r="AB906" s="24"/>
      <c r="AC906" s="25"/>
      <c r="AD906" s="309"/>
      <c r="AE906" s="462"/>
      <c r="AF906" s="408"/>
      <c r="AG906" s="293"/>
      <c r="AH906" s="293"/>
      <c r="AI906" s="293"/>
      <c r="AJ906" s="293"/>
      <c r="AK906" s="293"/>
      <c r="AL906" s="327"/>
      <c r="AM906" s="463"/>
      <c r="AN906" s="15"/>
      <c r="AO906" s="120"/>
      <c r="AP906" s="120"/>
      <c r="AQ906" s="120"/>
      <c r="AR906" s="120"/>
      <c r="AS906" s="120"/>
      <c r="AT906" s="120"/>
      <c r="AU906" s="422"/>
      <c r="AV906" s="508"/>
      <c r="AW906" s="15"/>
      <c r="AX906" s="70"/>
      <c r="AY906" s="70"/>
      <c r="AZ906" s="70"/>
      <c r="BA906" s="70"/>
      <c r="BB906" s="70"/>
      <c r="BC906" s="70"/>
      <c r="BD906" s="250"/>
      <c r="BE906" s="250"/>
      <c r="BF906" s="250"/>
      <c r="BG906" s="250"/>
      <c r="BH906" s="250"/>
      <c r="BI906" s="71"/>
      <c r="BJ906" s="71"/>
      <c r="BK906" s="71"/>
      <c r="BL906" s="550"/>
      <c r="BM906" s="542"/>
    </row>
    <row r="907" spans="1:65" ht="51" customHeight="1">
      <c r="A907" s="91"/>
      <c r="B907" s="358" t="s">
        <v>3098</v>
      </c>
      <c r="C907" s="50" t="s">
        <v>1380</v>
      </c>
      <c r="D907" s="177" t="s">
        <v>1210</v>
      </c>
      <c r="E907" s="384" t="s">
        <v>905</v>
      </c>
      <c r="F907" s="410">
        <v>24384768</v>
      </c>
      <c r="G907" s="10"/>
      <c r="H907" s="167">
        <v>300000</v>
      </c>
      <c r="I907" s="10">
        <v>20000000</v>
      </c>
      <c r="J907" s="76">
        <f t="shared" si="1029"/>
        <v>20000000</v>
      </c>
      <c r="K907" s="24">
        <f t="shared" si="1030"/>
        <v>-4384768</v>
      </c>
      <c r="L907" s="281">
        <f t="shared" si="1031"/>
        <v>-0.17981585881809498</v>
      </c>
      <c r="M907" s="431">
        <f t="shared" si="1032"/>
        <v>300000</v>
      </c>
      <c r="N907" s="443"/>
      <c r="O907" s="250"/>
      <c r="P907" s="250"/>
      <c r="Q907" s="250"/>
      <c r="R907" s="250"/>
      <c r="S907" s="250"/>
      <c r="T907" s="250"/>
      <c r="U907" s="250"/>
      <c r="V907" s="443"/>
      <c r="W907" s="480"/>
      <c r="X907" s="31"/>
      <c r="Y907" s="31"/>
      <c r="Z907" s="98"/>
      <c r="AA907" s="76"/>
      <c r="AB907" s="24"/>
      <c r="AC907" s="25"/>
      <c r="AD907" s="309"/>
      <c r="AE907" s="462"/>
      <c r="AF907" s="408"/>
      <c r="AG907" s="293"/>
      <c r="AH907" s="293"/>
      <c r="AI907" s="293"/>
      <c r="AJ907" s="293"/>
      <c r="AK907" s="293"/>
      <c r="AL907" s="327"/>
      <c r="AM907" s="463"/>
      <c r="AN907" s="15"/>
      <c r="AO907" s="120"/>
      <c r="AP907" s="120"/>
      <c r="AQ907" s="120"/>
      <c r="AR907" s="120"/>
      <c r="AS907" s="120"/>
      <c r="AT907" s="120"/>
      <c r="AU907" s="422"/>
      <c r="AV907" s="508"/>
      <c r="AW907" s="15"/>
      <c r="AX907" s="70"/>
      <c r="AY907" s="70"/>
      <c r="AZ907" s="70"/>
      <c r="BA907" s="70"/>
      <c r="BB907" s="70"/>
      <c r="BC907" s="70"/>
      <c r="BD907" s="250"/>
      <c r="BE907" s="250"/>
      <c r="BF907" s="250"/>
      <c r="BG907" s="250"/>
      <c r="BH907" s="250"/>
      <c r="BI907" s="71"/>
      <c r="BJ907" s="71"/>
      <c r="BK907" s="71"/>
      <c r="BL907" s="550"/>
      <c r="BM907" s="542"/>
    </row>
    <row r="908" spans="1:65" ht="31.35" customHeight="1">
      <c r="A908" s="91"/>
      <c r="B908" s="358" t="s">
        <v>3099</v>
      </c>
      <c r="C908" s="50" t="s">
        <v>1381</v>
      </c>
      <c r="D908" s="177" t="s">
        <v>1211</v>
      </c>
      <c r="E908" s="384" t="s">
        <v>905</v>
      </c>
      <c r="F908" s="410">
        <v>489714</v>
      </c>
      <c r="G908" s="10"/>
      <c r="H908" s="167">
        <v>230000</v>
      </c>
      <c r="I908" s="10">
        <v>1000000</v>
      </c>
      <c r="J908" s="76">
        <f t="shared" si="1029"/>
        <v>1000000</v>
      </c>
      <c r="K908" s="24">
        <f t="shared" si="1030"/>
        <v>510286</v>
      </c>
      <c r="L908" s="281">
        <f t="shared" si="1031"/>
        <v>1.0420081925368685</v>
      </c>
      <c r="M908" s="431" t="s">
        <v>807</v>
      </c>
      <c r="N908" s="443"/>
      <c r="O908" s="250"/>
      <c r="P908" s="250"/>
      <c r="Q908" s="250"/>
      <c r="R908" s="250"/>
      <c r="S908" s="250"/>
      <c r="T908" s="250"/>
      <c r="U908" s="250"/>
      <c r="V908" s="443"/>
      <c r="W908" s="480"/>
      <c r="X908" s="31"/>
      <c r="Y908" s="31"/>
      <c r="Z908" s="98"/>
      <c r="AA908" s="76"/>
      <c r="AB908" s="24"/>
      <c r="AC908" s="25"/>
      <c r="AD908" s="309"/>
      <c r="AE908" s="462"/>
      <c r="AF908" s="408"/>
      <c r="AG908" s="293"/>
      <c r="AH908" s="293"/>
      <c r="AI908" s="293"/>
      <c r="AJ908" s="293"/>
      <c r="AK908" s="293"/>
      <c r="AL908" s="327"/>
      <c r="AM908" s="463"/>
      <c r="AN908" s="15"/>
      <c r="AO908" s="120"/>
      <c r="AP908" s="120"/>
      <c r="AQ908" s="120"/>
      <c r="AR908" s="120"/>
      <c r="AS908" s="120"/>
      <c r="AT908" s="120"/>
      <c r="AU908" s="422"/>
      <c r="AV908" s="508"/>
      <c r="AW908" s="15"/>
      <c r="AX908" s="70"/>
      <c r="AY908" s="70"/>
      <c r="AZ908" s="70"/>
      <c r="BA908" s="70"/>
      <c r="BB908" s="70"/>
      <c r="BC908" s="70"/>
      <c r="BD908" s="250"/>
      <c r="BE908" s="250"/>
      <c r="BF908" s="250"/>
      <c r="BG908" s="250"/>
      <c r="BH908" s="250"/>
      <c r="BI908" s="71"/>
      <c r="BJ908" s="71"/>
      <c r="BK908" s="71"/>
      <c r="BL908" s="550"/>
      <c r="BM908" s="542"/>
    </row>
    <row r="909" spans="1:65" ht="31.35" customHeight="1">
      <c r="A909" s="91"/>
      <c r="B909" s="358" t="s">
        <v>3100</v>
      </c>
      <c r="C909" s="50" t="s">
        <v>1382</v>
      </c>
      <c r="D909" s="177" t="s">
        <v>1212</v>
      </c>
      <c r="E909" s="384" t="s">
        <v>14</v>
      </c>
      <c r="F909" s="410">
        <v>110188</v>
      </c>
      <c r="G909" s="10">
        <v>805300</v>
      </c>
      <c r="H909" s="167">
        <v>805300</v>
      </c>
      <c r="I909" s="10">
        <v>600780</v>
      </c>
      <c r="J909" s="76">
        <f t="shared" si="1029"/>
        <v>703040</v>
      </c>
      <c r="K909" s="24">
        <f t="shared" si="1030"/>
        <v>592852</v>
      </c>
      <c r="L909" s="281">
        <f t="shared" si="1031"/>
        <v>5.3803680981595088</v>
      </c>
      <c r="M909" s="431">
        <f t="shared" si="1032"/>
        <v>805300</v>
      </c>
      <c r="N909" s="443"/>
      <c r="O909" s="250"/>
      <c r="P909" s="250"/>
      <c r="Q909" s="250"/>
      <c r="R909" s="250"/>
      <c r="S909" s="250"/>
      <c r="T909" s="250"/>
      <c r="U909" s="250"/>
      <c r="V909" s="443"/>
      <c r="W909" s="480"/>
      <c r="X909" s="31"/>
      <c r="Y909" s="31"/>
      <c r="Z909" s="98"/>
      <c r="AA909" s="76"/>
      <c r="AB909" s="24"/>
      <c r="AC909" s="25"/>
      <c r="AD909" s="309"/>
      <c r="AE909" s="462"/>
      <c r="AF909" s="408"/>
      <c r="AG909" s="293"/>
      <c r="AH909" s="293"/>
      <c r="AI909" s="293"/>
      <c r="AJ909" s="293"/>
      <c r="AK909" s="293"/>
      <c r="AL909" s="327"/>
      <c r="AM909" s="463"/>
      <c r="AN909" s="15"/>
      <c r="AO909" s="120"/>
      <c r="AP909" s="120"/>
      <c r="AQ909" s="120"/>
      <c r="AR909" s="120"/>
      <c r="AS909" s="120"/>
      <c r="AT909" s="120"/>
      <c r="AU909" s="422"/>
      <c r="AV909" s="508"/>
      <c r="AW909" s="15"/>
      <c r="AX909" s="70"/>
      <c r="AY909" s="70"/>
      <c r="AZ909" s="70"/>
      <c r="BA909" s="70"/>
      <c r="BB909" s="70"/>
      <c r="BC909" s="70"/>
      <c r="BD909" s="250"/>
      <c r="BE909" s="250"/>
      <c r="BF909" s="250"/>
      <c r="BG909" s="250"/>
      <c r="BH909" s="250"/>
      <c r="BI909" s="71"/>
      <c r="BJ909" s="71"/>
      <c r="BK909" s="71"/>
      <c r="BL909" s="550"/>
      <c r="BM909" s="542"/>
    </row>
    <row r="910" spans="1:65" ht="31.35" customHeight="1">
      <c r="A910" s="91"/>
      <c r="B910" s="358" t="s">
        <v>3101</v>
      </c>
      <c r="C910" s="50" t="s">
        <v>1383</v>
      </c>
      <c r="D910" s="177" t="s">
        <v>1213</v>
      </c>
      <c r="E910" s="384" t="s">
        <v>14</v>
      </c>
      <c r="F910" s="410">
        <v>18559</v>
      </c>
      <c r="G910" s="10">
        <v>167747</v>
      </c>
      <c r="H910" s="167">
        <v>167747</v>
      </c>
      <c r="I910" s="10">
        <v>286000</v>
      </c>
      <c r="J910" s="76">
        <f t="shared" si="1029"/>
        <v>226873.5</v>
      </c>
      <c r="K910" s="24">
        <f t="shared" si="1030"/>
        <v>208314.5</v>
      </c>
      <c r="L910" s="281">
        <f t="shared" si="1031"/>
        <v>11.224446360256479</v>
      </c>
      <c r="M910" s="431">
        <f t="shared" si="1032"/>
        <v>167747</v>
      </c>
      <c r="N910" s="443"/>
      <c r="O910" s="250"/>
      <c r="P910" s="250"/>
      <c r="Q910" s="250"/>
      <c r="R910" s="250"/>
      <c r="S910" s="250"/>
      <c r="T910" s="250"/>
      <c r="U910" s="250"/>
      <c r="V910" s="443"/>
      <c r="W910" s="480"/>
      <c r="X910" s="31"/>
      <c r="Y910" s="31"/>
      <c r="Z910" s="98"/>
      <c r="AA910" s="76"/>
      <c r="AB910" s="24"/>
      <c r="AC910" s="25"/>
      <c r="AD910" s="309"/>
      <c r="AE910" s="462"/>
      <c r="AF910" s="408"/>
      <c r="AG910" s="293"/>
      <c r="AH910" s="293"/>
      <c r="AI910" s="293"/>
      <c r="AJ910" s="293"/>
      <c r="AK910" s="293"/>
      <c r="AL910" s="327"/>
      <c r="AM910" s="463"/>
      <c r="AN910" s="15"/>
      <c r="AO910" s="120"/>
      <c r="AP910" s="120"/>
      <c r="AQ910" s="120"/>
      <c r="AR910" s="120"/>
      <c r="AS910" s="120"/>
      <c r="AT910" s="120"/>
      <c r="AU910" s="422"/>
      <c r="AV910" s="508"/>
      <c r="AW910" s="15"/>
      <c r="AX910" s="70"/>
      <c r="AY910" s="70"/>
      <c r="AZ910" s="70"/>
      <c r="BA910" s="70"/>
      <c r="BB910" s="70"/>
      <c r="BC910" s="70"/>
      <c r="BD910" s="250"/>
      <c r="BE910" s="250"/>
      <c r="BF910" s="250"/>
      <c r="BG910" s="250"/>
      <c r="BH910" s="250"/>
      <c r="BI910" s="71"/>
      <c r="BJ910" s="71"/>
      <c r="BK910" s="71"/>
      <c r="BL910" s="550"/>
      <c r="BM910" s="542"/>
    </row>
    <row r="911" spans="1:65" ht="31.35" customHeight="1">
      <c r="A911" s="91"/>
      <c r="B911" s="358" t="s">
        <v>3102</v>
      </c>
      <c r="C911" s="50" t="s">
        <v>1384</v>
      </c>
      <c r="D911" s="177" t="s">
        <v>1214</v>
      </c>
      <c r="E911" s="384" t="s">
        <v>10</v>
      </c>
      <c r="F911" s="410">
        <v>25668</v>
      </c>
      <c r="G911" s="10">
        <v>32132.04</v>
      </c>
      <c r="H911" s="167">
        <v>64264.08</v>
      </c>
      <c r="I911" s="10">
        <v>20000</v>
      </c>
      <c r="J911" s="76">
        <f t="shared" si="1029"/>
        <v>26066.02</v>
      </c>
      <c r="K911" s="24">
        <f t="shared" si="1030"/>
        <v>398.02000000000044</v>
      </c>
      <c r="L911" s="281">
        <f t="shared" si="1031"/>
        <v>1.5506467196509289E-2</v>
      </c>
      <c r="M911" s="431">
        <f t="shared" si="1032"/>
        <v>64264.08</v>
      </c>
      <c r="N911" s="443"/>
      <c r="O911" s="250"/>
      <c r="P911" s="250"/>
      <c r="Q911" s="250"/>
      <c r="R911" s="250"/>
      <c r="S911" s="250"/>
      <c r="T911" s="250"/>
      <c r="U911" s="250"/>
      <c r="V911" s="443"/>
      <c r="W911" s="480"/>
      <c r="X911" s="31"/>
      <c r="Y911" s="31"/>
      <c r="Z911" s="98"/>
      <c r="AA911" s="76"/>
      <c r="AB911" s="24"/>
      <c r="AC911" s="25"/>
      <c r="AD911" s="309"/>
      <c r="AE911" s="462"/>
      <c r="AF911" s="408"/>
      <c r="AG911" s="293"/>
      <c r="AH911" s="293"/>
      <c r="AI911" s="293"/>
      <c r="AJ911" s="293"/>
      <c r="AK911" s="293"/>
      <c r="AL911" s="327"/>
      <c r="AM911" s="463"/>
      <c r="AN911" s="15"/>
      <c r="AO911" s="120"/>
      <c r="AP911" s="120"/>
      <c r="AQ911" s="120"/>
      <c r="AR911" s="120"/>
      <c r="AS911" s="120"/>
      <c r="AT911" s="120"/>
      <c r="AU911" s="422"/>
      <c r="AV911" s="508"/>
      <c r="AW911" s="15"/>
      <c r="AX911" s="70"/>
      <c r="AY911" s="70"/>
      <c r="AZ911" s="70"/>
      <c r="BA911" s="70"/>
      <c r="BB911" s="70"/>
      <c r="BC911" s="70"/>
      <c r="BD911" s="250"/>
      <c r="BE911" s="250"/>
      <c r="BF911" s="250"/>
      <c r="BG911" s="250"/>
      <c r="BH911" s="250"/>
      <c r="BI911" s="71"/>
      <c r="BJ911" s="71"/>
      <c r="BK911" s="71"/>
      <c r="BL911" s="550"/>
      <c r="BM911" s="542"/>
    </row>
    <row r="912" spans="1:65" ht="31.35" customHeight="1">
      <c r="A912" s="91"/>
      <c r="B912" s="358" t="s">
        <v>3103</v>
      </c>
      <c r="C912" s="50" t="s">
        <v>1385</v>
      </c>
      <c r="D912" s="177" t="s">
        <v>1215</v>
      </c>
      <c r="E912" s="384" t="s">
        <v>13</v>
      </c>
      <c r="F912" s="410">
        <v>3238</v>
      </c>
      <c r="G912" s="10">
        <v>25000</v>
      </c>
      <c r="H912" s="167">
        <v>50000</v>
      </c>
      <c r="I912" s="10">
        <v>15000</v>
      </c>
      <c r="J912" s="76">
        <f t="shared" si="1029"/>
        <v>20000</v>
      </c>
      <c r="K912" s="24">
        <f t="shared" si="1030"/>
        <v>16762</v>
      </c>
      <c r="L912" s="281">
        <f t="shared" si="1031"/>
        <v>5.1766522544780731</v>
      </c>
      <c r="M912" s="431">
        <f t="shared" si="1032"/>
        <v>50000</v>
      </c>
      <c r="N912" s="443"/>
      <c r="O912" s="250"/>
      <c r="P912" s="250"/>
      <c r="Q912" s="250"/>
      <c r="R912" s="250"/>
      <c r="S912" s="250"/>
      <c r="T912" s="250"/>
      <c r="U912" s="250"/>
      <c r="V912" s="443"/>
      <c r="W912" s="480"/>
      <c r="X912" s="31"/>
      <c r="Y912" s="31"/>
      <c r="Z912" s="98"/>
      <c r="AA912" s="76"/>
      <c r="AB912" s="24"/>
      <c r="AC912" s="25"/>
      <c r="AD912" s="309"/>
      <c r="AE912" s="462"/>
      <c r="AF912" s="408"/>
      <c r="AG912" s="293"/>
      <c r="AH912" s="293"/>
      <c r="AI912" s="293"/>
      <c r="AJ912" s="293"/>
      <c r="AK912" s="293"/>
      <c r="AL912" s="327"/>
      <c r="AM912" s="463"/>
      <c r="AN912" s="15"/>
      <c r="AO912" s="120"/>
      <c r="AP912" s="120"/>
      <c r="AQ912" s="120"/>
      <c r="AR912" s="120"/>
      <c r="AS912" s="120"/>
      <c r="AT912" s="120"/>
      <c r="AU912" s="422"/>
      <c r="AV912" s="508"/>
      <c r="AW912" s="15"/>
      <c r="AX912" s="70"/>
      <c r="AY912" s="70"/>
      <c r="AZ912" s="70"/>
      <c r="BA912" s="70"/>
      <c r="BB912" s="70"/>
      <c r="BC912" s="70"/>
      <c r="BD912" s="250"/>
      <c r="BE912" s="250"/>
      <c r="BF912" s="250"/>
      <c r="BG912" s="250"/>
      <c r="BH912" s="250"/>
      <c r="BI912" s="71"/>
      <c r="BJ912" s="71"/>
      <c r="BK912" s="71"/>
      <c r="BL912" s="550"/>
      <c r="BM912" s="542"/>
    </row>
    <row r="913" spans="1:65" ht="31.35" customHeight="1">
      <c r="A913" s="91"/>
      <c r="B913" s="358" t="s">
        <v>3104</v>
      </c>
      <c r="C913" s="50" t="s">
        <v>2099</v>
      </c>
      <c r="D913" s="264" t="s">
        <v>1202</v>
      </c>
      <c r="E913" s="393" t="s">
        <v>1399</v>
      </c>
      <c r="F913" s="410"/>
      <c r="G913" s="10"/>
      <c r="H913" s="167"/>
      <c r="I913" s="10"/>
      <c r="J913" s="76"/>
      <c r="K913" s="24"/>
      <c r="L913" s="281"/>
      <c r="M913" s="431"/>
      <c r="N913" s="410">
        <v>13090</v>
      </c>
      <c r="O913" s="10">
        <v>90000</v>
      </c>
      <c r="P913" s="10">
        <v>95000</v>
      </c>
      <c r="Q913" s="268">
        <v>95000</v>
      </c>
      <c r="R913" s="10">
        <v>120000</v>
      </c>
      <c r="S913" s="76">
        <f t="shared" ref="S913:S924" si="1037">AVERAGE(O913,P913,Q913,R913)</f>
        <v>100000</v>
      </c>
      <c r="T913" s="24">
        <f t="shared" ref="T913:T924" si="1038">S913-N913</f>
        <v>86910</v>
      </c>
      <c r="U913" s="281">
        <f t="shared" ref="U913:U924" si="1039">+T913/N913</f>
        <v>6.6394194041252863</v>
      </c>
      <c r="V913" s="462">
        <f t="shared" ref="V913:V924" si="1040">S913</f>
        <v>100000</v>
      </c>
      <c r="W913" s="480"/>
      <c r="X913" s="31"/>
      <c r="Y913" s="31"/>
      <c r="Z913" s="98"/>
      <c r="AA913" s="76"/>
      <c r="AB913" s="24"/>
      <c r="AC913" s="25"/>
      <c r="AD913" s="309"/>
      <c r="AE913" s="462"/>
      <c r="AF913" s="408"/>
      <c r="AG913" s="293"/>
      <c r="AH913" s="293"/>
      <c r="AI913" s="293"/>
      <c r="AJ913" s="293"/>
      <c r="AK913" s="293"/>
      <c r="AL913" s="327"/>
      <c r="AM913" s="463"/>
      <c r="AN913" s="15"/>
      <c r="AO913" s="120"/>
      <c r="AP913" s="120"/>
      <c r="AQ913" s="120"/>
      <c r="AR913" s="120"/>
      <c r="AS913" s="120"/>
      <c r="AT913" s="120"/>
      <c r="AU913" s="422"/>
      <c r="AV913" s="508"/>
      <c r="AW913" s="15"/>
      <c r="AX913" s="70"/>
      <c r="AY913" s="70"/>
      <c r="AZ913" s="70"/>
      <c r="BA913" s="70"/>
      <c r="BB913" s="70"/>
      <c r="BC913" s="70"/>
      <c r="BD913" s="250"/>
      <c r="BE913" s="250"/>
      <c r="BF913" s="250"/>
      <c r="BG913" s="250"/>
      <c r="BH913" s="250"/>
      <c r="BI913" s="71"/>
      <c r="BJ913" s="71"/>
      <c r="BK913" s="71"/>
      <c r="BL913" s="550"/>
      <c r="BM913" s="542"/>
    </row>
    <row r="914" spans="1:65" ht="31.35" customHeight="1">
      <c r="A914" s="91"/>
      <c r="B914" s="358" t="s">
        <v>3105</v>
      </c>
      <c r="C914" s="50" t="s">
        <v>2100</v>
      </c>
      <c r="D914" s="264" t="s">
        <v>2079</v>
      </c>
      <c r="E914" s="393" t="s">
        <v>1399</v>
      </c>
      <c r="F914" s="410"/>
      <c r="G914" s="10"/>
      <c r="H914" s="167"/>
      <c r="I914" s="10"/>
      <c r="J914" s="76"/>
      <c r="K914" s="24"/>
      <c r="L914" s="281"/>
      <c r="M914" s="431"/>
      <c r="N914" s="410">
        <v>3559</v>
      </c>
      <c r="O914" s="10">
        <v>8500</v>
      </c>
      <c r="P914" s="10">
        <v>10500</v>
      </c>
      <c r="Q914" s="268">
        <v>10500</v>
      </c>
      <c r="R914" s="10">
        <v>8000</v>
      </c>
      <c r="S914" s="76">
        <f t="shared" si="1037"/>
        <v>9375</v>
      </c>
      <c r="T914" s="24">
        <f t="shared" si="1038"/>
        <v>5816</v>
      </c>
      <c r="U914" s="281">
        <f t="shared" si="1039"/>
        <v>1.6341669008148356</v>
      </c>
      <c r="V914" s="462">
        <f t="shared" si="1040"/>
        <v>9375</v>
      </c>
      <c r="W914" s="480"/>
      <c r="X914" s="31"/>
      <c r="Y914" s="31"/>
      <c r="Z914" s="98"/>
      <c r="AA914" s="76"/>
      <c r="AB914" s="24"/>
      <c r="AC914" s="25"/>
      <c r="AD914" s="309"/>
      <c r="AE914" s="462"/>
      <c r="AF914" s="408"/>
      <c r="AG914" s="293"/>
      <c r="AH914" s="293"/>
      <c r="AI914" s="293"/>
      <c r="AJ914" s="293"/>
      <c r="AK914" s="293"/>
      <c r="AL914" s="327"/>
      <c r="AM914" s="463"/>
      <c r="AN914" s="15"/>
      <c r="AO914" s="120"/>
      <c r="AP914" s="120"/>
      <c r="AQ914" s="120"/>
      <c r="AR914" s="120"/>
      <c r="AS914" s="120"/>
      <c r="AT914" s="120"/>
      <c r="AU914" s="422"/>
      <c r="AV914" s="508"/>
      <c r="AW914" s="15"/>
      <c r="AX914" s="70"/>
      <c r="AY914" s="70"/>
      <c r="AZ914" s="70"/>
      <c r="BA914" s="70"/>
      <c r="BB914" s="70"/>
      <c r="BC914" s="70"/>
      <c r="BD914" s="250"/>
      <c r="BE914" s="250"/>
      <c r="BF914" s="250"/>
      <c r="BG914" s="250"/>
      <c r="BH914" s="250"/>
      <c r="BI914" s="71"/>
      <c r="BJ914" s="71"/>
      <c r="BK914" s="71"/>
      <c r="BL914" s="550"/>
      <c r="BM914" s="542"/>
    </row>
    <row r="915" spans="1:65" ht="31.35" customHeight="1">
      <c r="A915" s="91"/>
      <c r="B915" s="358" t="s">
        <v>3106</v>
      </c>
      <c r="C915" s="50" t="s">
        <v>2101</v>
      </c>
      <c r="D915" s="264" t="s">
        <v>2080</v>
      </c>
      <c r="E915" s="393" t="s">
        <v>1399</v>
      </c>
      <c r="F915" s="410"/>
      <c r="G915" s="10"/>
      <c r="H915" s="167"/>
      <c r="I915" s="10"/>
      <c r="J915" s="76"/>
      <c r="K915" s="24"/>
      <c r="L915" s="281"/>
      <c r="M915" s="431"/>
      <c r="N915" s="410">
        <v>2857</v>
      </c>
      <c r="O915" s="10">
        <v>15000</v>
      </c>
      <c r="P915" s="10">
        <v>17000</v>
      </c>
      <c r="Q915" s="268">
        <v>17000</v>
      </c>
      <c r="R915" s="10">
        <v>35000</v>
      </c>
      <c r="S915" s="76">
        <f t="shared" si="1037"/>
        <v>21000</v>
      </c>
      <c r="T915" s="24">
        <f t="shared" si="1038"/>
        <v>18143</v>
      </c>
      <c r="U915" s="281">
        <f t="shared" si="1039"/>
        <v>6.3503675183759185</v>
      </c>
      <c r="V915" s="462">
        <f t="shared" si="1040"/>
        <v>21000</v>
      </c>
      <c r="W915" s="480"/>
      <c r="X915" s="31"/>
      <c r="Y915" s="31"/>
      <c r="Z915" s="98"/>
      <c r="AA915" s="76"/>
      <c r="AB915" s="24"/>
      <c r="AC915" s="25"/>
      <c r="AD915" s="309"/>
      <c r="AE915" s="462"/>
      <c r="AF915" s="408"/>
      <c r="AG915" s="293"/>
      <c r="AH915" s="293"/>
      <c r="AI915" s="293"/>
      <c r="AJ915" s="293"/>
      <c r="AK915" s="293"/>
      <c r="AL915" s="327"/>
      <c r="AM915" s="463"/>
      <c r="AN915" s="15"/>
      <c r="AO915" s="120"/>
      <c r="AP915" s="120"/>
      <c r="AQ915" s="120"/>
      <c r="AR915" s="120"/>
      <c r="AS915" s="120"/>
      <c r="AT915" s="120"/>
      <c r="AU915" s="422"/>
      <c r="AV915" s="508"/>
      <c r="AW915" s="15"/>
      <c r="AX915" s="70"/>
      <c r="AY915" s="70"/>
      <c r="AZ915" s="70"/>
      <c r="BA915" s="70"/>
      <c r="BB915" s="70"/>
      <c r="BC915" s="70"/>
      <c r="BD915" s="250"/>
      <c r="BE915" s="250"/>
      <c r="BF915" s="250"/>
      <c r="BG915" s="250"/>
      <c r="BH915" s="250"/>
      <c r="BI915" s="71"/>
      <c r="BJ915" s="71"/>
      <c r="BK915" s="71"/>
      <c r="BL915" s="550"/>
      <c r="BM915" s="542"/>
    </row>
    <row r="916" spans="1:65" ht="31.35" customHeight="1">
      <c r="A916" s="91"/>
      <c r="B916" s="358" t="s">
        <v>3107</v>
      </c>
      <c r="C916" s="50" t="s">
        <v>2102</v>
      </c>
      <c r="D916" s="264" t="s">
        <v>2081</v>
      </c>
      <c r="E916" s="393" t="s">
        <v>1399</v>
      </c>
      <c r="F916" s="410"/>
      <c r="G916" s="10"/>
      <c r="H916" s="167"/>
      <c r="I916" s="10"/>
      <c r="J916" s="76"/>
      <c r="K916" s="24"/>
      <c r="L916" s="281"/>
      <c r="M916" s="431"/>
      <c r="N916" s="410">
        <v>6901</v>
      </c>
      <c r="O916" s="10">
        <v>4500</v>
      </c>
      <c r="P916" s="10">
        <v>4500</v>
      </c>
      <c r="Q916" s="268">
        <v>4500</v>
      </c>
      <c r="R916" s="10">
        <v>8000</v>
      </c>
      <c r="S916" s="76">
        <f t="shared" si="1037"/>
        <v>5375</v>
      </c>
      <c r="T916" s="24">
        <f t="shared" si="1038"/>
        <v>-1526</v>
      </c>
      <c r="U916" s="281">
        <f t="shared" si="1039"/>
        <v>-0.22112737284451528</v>
      </c>
      <c r="V916" s="462">
        <f t="shared" si="1040"/>
        <v>5375</v>
      </c>
      <c r="W916" s="480"/>
      <c r="X916" s="31"/>
      <c r="Y916" s="31"/>
      <c r="Z916" s="98"/>
      <c r="AA916" s="76"/>
      <c r="AB916" s="24"/>
      <c r="AC916" s="25"/>
      <c r="AD916" s="309"/>
      <c r="AE916" s="462"/>
      <c r="AF916" s="408"/>
      <c r="AG916" s="293"/>
      <c r="AH916" s="293"/>
      <c r="AI916" s="293"/>
      <c r="AJ916" s="293"/>
      <c r="AK916" s="293"/>
      <c r="AL916" s="327"/>
      <c r="AM916" s="463"/>
      <c r="AN916" s="15"/>
      <c r="AO916" s="120"/>
      <c r="AP916" s="120"/>
      <c r="AQ916" s="120"/>
      <c r="AR916" s="120"/>
      <c r="AS916" s="120"/>
      <c r="AT916" s="120"/>
      <c r="AU916" s="422"/>
      <c r="AV916" s="508"/>
      <c r="AW916" s="15"/>
      <c r="AX916" s="70"/>
      <c r="AY916" s="70"/>
      <c r="AZ916" s="70"/>
      <c r="BA916" s="70"/>
      <c r="BB916" s="70"/>
      <c r="BC916" s="70"/>
      <c r="BD916" s="250"/>
      <c r="BE916" s="250"/>
      <c r="BF916" s="250"/>
      <c r="BG916" s="250"/>
      <c r="BH916" s="250"/>
      <c r="BI916" s="71"/>
      <c r="BJ916" s="71"/>
      <c r="BK916" s="71"/>
      <c r="BL916" s="550"/>
      <c r="BM916" s="542"/>
    </row>
    <row r="917" spans="1:65" ht="31.35" customHeight="1">
      <c r="A917" s="91"/>
      <c r="B917" s="358" t="s">
        <v>3108</v>
      </c>
      <c r="C917" s="50" t="s">
        <v>2103</v>
      </c>
      <c r="D917" s="264" t="s">
        <v>2082</v>
      </c>
      <c r="E917" s="393" t="s">
        <v>827</v>
      </c>
      <c r="F917" s="410"/>
      <c r="G917" s="10"/>
      <c r="H917" s="167"/>
      <c r="I917" s="10"/>
      <c r="J917" s="76"/>
      <c r="K917" s="24"/>
      <c r="L917" s="281"/>
      <c r="M917" s="431"/>
      <c r="N917" s="410">
        <v>15843</v>
      </c>
      <c r="O917" s="10">
        <v>15000</v>
      </c>
      <c r="P917" s="10">
        <v>18000</v>
      </c>
      <c r="Q917" s="268">
        <v>18000</v>
      </c>
      <c r="R917" s="10">
        <v>35000</v>
      </c>
      <c r="S917" s="76">
        <f t="shared" si="1037"/>
        <v>21500</v>
      </c>
      <c r="T917" s="24">
        <f t="shared" si="1038"/>
        <v>5657</v>
      </c>
      <c r="U917" s="281">
        <f t="shared" si="1039"/>
        <v>0.35706621220728396</v>
      </c>
      <c r="V917" s="462">
        <f t="shared" si="1040"/>
        <v>21500</v>
      </c>
      <c r="W917" s="480"/>
      <c r="X917" s="31"/>
      <c r="Y917" s="31"/>
      <c r="Z917" s="98"/>
      <c r="AA917" s="76"/>
      <c r="AB917" s="24"/>
      <c r="AC917" s="25"/>
      <c r="AD917" s="309"/>
      <c r="AE917" s="462"/>
      <c r="AF917" s="408"/>
      <c r="AG917" s="293"/>
      <c r="AH917" s="293"/>
      <c r="AI917" s="293"/>
      <c r="AJ917" s="293"/>
      <c r="AK917" s="293"/>
      <c r="AL917" s="327"/>
      <c r="AM917" s="463"/>
      <c r="AN917" s="15"/>
      <c r="AO917" s="120"/>
      <c r="AP917" s="120"/>
      <c r="AQ917" s="120"/>
      <c r="AR917" s="120"/>
      <c r="AS917" s="120"/>
      <c r="AT917" s="120"/>
      <c r="AU917" s="422"/>
      <c r="AV917" s="508"/>
      <c r="AW917" s="15"/>
      <c r="AX917" s="70"/>
      <c r="AY917" s="70"/>
      <c r="AZ917" s="70"/>
      <c r="BA917" s="70"/>
      <c r="BB917" s="70"/>
      <c r="BC917" s="70"/>
      <c r="BD917" s="250"/>
      <c r="BE917" s="250"/>
      <c r="BF917" s="250"/>
      <c r="BG917" s="250"/>
      <c r="BH917" s="250"/>
      <c r="BI917" s="71"/>
      <c r="BJ917" s="71"/>
      <c r="BK917" s="71"/>
      <c r="BL917" s="550"/>
      <c r="BM917" s="542"/>
    </row>
    <row r="918" spans="1:65" ht="31.35" customHeight="1">
      <c r="A918" s="91"/>
      <c r="B918" s="358" t="s">
        <v>3109</v>
      </c>
      <c r="C918" s="50" t="s">
        <v>2104</v>
      </c>
      <c r="D918" s="264" t="s">
        <v>2083</v>
      </c>
      <c r="E918" s="393" t="s">
        <v>1399</v>
      </c>
      <c r="F918" s="410"/>
      <c r="G918" s="10"/>
      <c r="H918" s="167"/>
      <c r="I918" s="10"/>
      <c r="J918" s="76"/>
      <c r="K918" s="24"/>
      <c r="L918" s="281"/>
      <c r="M918" s="431"/>
      <c r="N918" s="410">
        <v>12862</v>
      </c>
      <c r="O918" s="10">
        <v>28000</v>
      </c>
      <c r="P918" s="10">
        <v>31000</v>
      </c>
      <c r="Q918" s="268">
        <v>31000</v>
      </c>
      <c r="R918" s="10">
        <v>35000</v>
      </c>
      <c r="S918" s="76">
        <f t="shared" si="1037"/>
        <v>31250</v>
      </c>
      <c r="T918" s="24">
        <f t="shared" si="1038"/>
        <v>18388</v>
      </c>
      <c r="U918" s="281">
        <f t="shared" si="1039"/>
        <v>1.4296376924273053</v>
      </c>
      <c r="V918" s="462">
        <f t="shared" si="1040"/>
        <v>31250</v>
      </c>
      <c r="W918" s="480"/>
      <c r="X918" s="31"/>
      <c r="Y918" s="31"/>
      <c r="Z918" s="98"/>
      <c r="AA918" s="76"/>
      <c r="AB918" s="24"/>
      <c r="AC918" s="25"/>
      <c r="AD918" s="309"/>
      <c r="AE918" s="462"/>
      <c r="AF918" s="408"/>
      <c r="AG918" s="293"/>
      <c r="AH918" s="293"/>
      <c r="AI918" s="293"/>
      <c r="AJ918" s="293"/>
      <c r="AK918" s="293"/>
      <c r="AL918" s="327"/>
      <c r="AM918" s="463"/>
      <c r="AN918" s="15"/>
      <c r="AO918" s="120"/>
      <c r="AP918" s="120"/>
      <c r="AQ918" s="120"/>
      <c r="AR918" s="120"/>
      <c r="AS918" s="120"/>
      <c r="AT918" s="120"/>
      <c r="AU918" s="422"/>
      <c r="AV918" s="508"/>
      <c r="AW918" s="15"/>
      <c r="AX918" s="70"/>
      <c r="AY918" s="70"/>
      <c r="AZ918" s="70"/>
      <c r="BA918" s="70"/>
      <c r="BB918" s="70"/>
      <c r="BC918" s="70"/>
      <c r="BD918" s="250"/>
      <c r="BE918" s="250"/>
      <c r="BF918" s="250"/>
      <c r="BG918" s="250"/>
      <c r="BH918" s="250"/>
      <c r="BI918" s="71"/>
      <c r="BJ918" s="71"/>
      <c r="BK918" s="71"/>
      <c r="BL918" s="550"/>
      <c r="BM918" s="542"/>
    </row>
    <row r="919" spans="1:65" ht="31.35" customHeight="1">
      <c r="A919" s="91"/>
      <c r="B919" s="358" t="s">
        <v>3110</v>
      </c>
      <c r="C919" s="50" t="s">
        <v>2105</v>
      </c>
      <c r="D919" s="264" t="s">
        <v>2084</v>
      </c>
      <c r="E919" s="393" t="s">
        <v>1399</v>
      </c>
      <c r="F919" s="410"/>
      <c r="G919" s="10"/>
      <c r="H919" s="167"/>
      <c r="I919" s="10"/>
      <c r="J919" s="76"/>
      <c r="K919" s="24"/>
      <c r="L919" s="281"/>
      <c r="M919" s="431"/>
      <c r="N919" s="410">
        <v>8865</v>
      </c>
      <c r="O919" s="10">
        <v>18000</v>
      </c>
      <c r="P919" s="10">
        <v>18000</v>
      </c>
      <c r="Q919" s="268">
        <v>20000</v>
      </c>
      <c r="R919" s="10">
        <v>20000</v>
      </c>
      <c r="S919" s="76">
        <f t="shared" si="1037"/>
        <v>19000</v>
      </c>
      <c r="T919" s="24">
        <f t="shared" si="1038"/>
        <v>10135</v>
      </c>
      <c r="U919" s="281">
        <f t="shared" si="1039"/>
        <v>1.143260011280316</v>
      </c>
      <c r="V919" s="462">
        <f t="shared" si="1040"/>
        <v>19000</v>
      </c>
      <c r="W919" s="480"/>
      <c r="X919" s="31"/>
      <c r="Y919" s="31"/>
      <c r="Z919" s="98"/>
      <c r="AA919" s="76"/>
      <c r="AB919" s="24"/>
      <c r="AC919" s="25"/>
      <c r="AD919" s="309"/>
      <c r="AE919" s="462"/>
      <c r="AF919" s="408"/>
      <c r="AG919" s="293"/>
      <c r="AH919" s="293"/>
      <c r="AI919" s="293"/>
      <c r="AJ919" s="293"/>
      <c r="AK919" s="293"/>
      <c r="AL919" s="327"/>
      <c r="AM919" s="463"/>
      <c r="AN919" s="15"/>
      <c r="AO919" s="120"/>
      <c r="AP919" s="120"/>
      <c r="AQ919" s="120"/>
      <c r="AR919" s="120"/>
      <c r="AS919" s="120"/>
      <c r="AT919" s="120"/>
      <c r="AU919" s="422"/>
      <c r="AV919" s="508"/>
      <c r="AW919" s="15"/>
      <c r="AX919" s="70"/>
      <c r="AY919" s="70"/>
      <c r="AZ919" s="70"/>
      <c r="BA919" s="70"/>
      <c r="BB919" s="70"/>
      <c r="BC919" s="70"/>
      <c r="BD919" s="250"/>
      <c r="BE919" s="250"/>
      <c r="BF919" s="250"/>
      <c r="BG919" s="250"/>
      <c r="BH919" s="250"/>
      <c r="BI919" s="71"/>
      <c r="BJ919" s="71"/>
      <c r="BK919" s="71"/>
      <c r="BL919" s="550"/>
      <c r="BM919" s="542"/>
    </row>
    <row r="920" spans="1:65" ht="31.35" customHeight="1">
      <c r="A920" s="91"/>
      <c r="B920" s="358" t="s">
        <v>3111</v>
      </c>
      <c r="C920" s="50" t="s">
        <v>2106</v>
      </c>
      <c r="D920" s="264" t="s">
        <v>2085</v>
      </c>
      <c r="E920" s="393" t="s">
        <v>999</v>
      </c>
      <c r="F920" s="410"/>
      <c r="G920" s="10"/>
      <c r="H920" s="167"/>
      <c r="I920" s="10"/>
      <c r="J920" s="76"/>
      <c r="K920" s="24"/>
      <c r="L920" s="281"/>
      <c r="M920" s="431"/>
      <c r="N920" s="410">
        <v>61919</v>
      </c>
      <c r="O920" s="10">
        <v>110000</v>
      </c>
      <c r="P920" s="10">
        <v>75000</v>
      </c>
      <c r="Q920" s="268">
        <v>120000</v>
      </c>
      <c r="R920" s="10">
        <v>120000</v>
      </c>
      <c r="S920" s="76">
        <f t="shared" si="1037"/>
        <v>106250</v>
      </c>
      <c r="T920" s="24">
        <f t="shared" si="1038"/>
        <v>44331</v>
      </c>
      <c r="U920" s="281">
        <f t="shared" si="1039"/>
        <v>0.71595148500460282</v>
      </c>
      <c r="V920" s="462">
        <f t="shared" si="1040"/>
        <v>106250</v>
      </c>
      <c r="W920" s="480"/>
      <c r="X920" s="31"/>
      <c r="Y920" s="31"/>
      <c r="Z920" s="98"/>
      <c r="AA920" s="76"/>
      <c r="AB920" s="24"/>
      <c r="AC920" s="25"/>
      <c r="AD920" s="309"/>
      <c r="AE920" s="462"/>
      <c r="AF920" s="408"/>
      <c r="AG920" s="293"/>
      <c r="AH920" s="293"/>
      <c r="AI920" s="293"/>
      <c r="AJ920" s="293"/>
      <c r="AK920" s="293"/>
      <c r="AL920" s="327"/>
      <c r="AM920" s="463"/>
      <c r="AN920" s="15"/>
      <c r="AO920" s="120"/>
      <c r="AP920" s="120"/>
      <c r="AQ920" s="120"/>
      <c r="AR920" s="120"/>
      <c r="AS920" s="120"/>
      <c r="AT920" s="120"/>
      <c r="AU920" s="422"/>
      <c r="AV920" s="508"/>
      <c r="AW920" s="15"/>
      <c r="AX920" s="70"/>
      <c r="AY920" s="70"/>
      <c r="AZ920" s="70"/>
      <c r="BA920" s="70"/>
      <c r="BB920" s="70"/>
      <c r="BC920" s="70"/>
      <c r="BD920" s="250"/>
      <c r="BE920" s="250"/>
      <c r="BF920" s="250"/>
      <c r="BG920" s="250"/>
      <c r="BH920" s="250"/>
      <c r="BI920" s="71"/>
      <c r="BJ920" s="71"/>
      <c r="BK920" s="71"/>
      <c r="BL920" s="550"/>
      <c r="BM920" s="542"/>
    </row>
    <row r="921" spans="1:65" ht="31.35" customHeight="1">
      <c r="A921" s="91"/>
      <c r="B921" s="358" t="s">
        <v>3112</v>
      </c>
      <c r="C921" s="50" t="s">
        <v>2107</v>
      </c>
      <c r="D921" s="264" t="s">
        <v>2086</v>
      </c>
      <c r="E921" s="393" t="s">
        <v>15</v>
      </c>
      <c r="F921" s="410"/>
      <c r="G921" s="10"/>
      <c r="H921" s="167"/>
      <c r="I921" s="10"/>
      <c r="J921" s="76"/>
      <c r="K921" s="24"/>
      <c r="L921" s="281"/>
      <c r="M921" s="431"/>
      <c r="N921" s="410">
        <v>126875</v>
      </c>
      <c r="O921" s="10">
        <v>500000</v>
      </c>
      <c r="P921" s="10">
        <v>550000</v>
      </c>
      <c r="Q921" s="268">
        <v>550000</v>
      </c>
      <c r="R921" s="10">
        <v>500000</v>
      </c>
      <c r="S921" s="76">
        <f t="shared" si="1037"/>
        <v>525000</v>
      </c>
      <c r="T921" s="24">
        <f t="shared" si="1038"/>
        <v>398125</v>
      </c>
      <c r="U921" s="281">
        <f t="shared" si="1039"/>
        <v>3.1379310344827585</v>
      </c>
      <c r="V921" s="462">
        <f t="shared" si="1040"/>
        <v>525000</v>
      </c>
      <c r="W921" s="480"/>
      <c r="X921" s="31"/>
      <c r="Y921" s="31"/>
      <c r="Z921" s="98"/>
      <c r="AA921" s="76"/>
      <c r="AB921" s="24"/>
      <c r="AC921" s="25"/>
      <c r="AD921" s="309"/>
      <c r="AE921" s="462"/>
      <c r="AF921" s="408"/>
      <c r="AG921" s="293"/>
      <c r="AH921" s="293"/>
      <c r="AI921" s="293"/>
      <c r="AJ921" s="293"/>
      <c r="AK921" s="293"/>
      <c r="AL921" s="327"/>
      <c r="AM921" s="463"/>
      <c r="AN921" s="15"/>
      <c r="AO921" s="120"/>
      <c r="AP921" s="120"/>
      <c r="AQ921" s="120"/>
      <c r="AR921" s="120"/>
      <c r="AS921" s="120"/>
      <c r="AT921" s="120"/>
      <c r="AU921" s="422"/>
      <c r="AV921" s="508"/>
      <c r="AW921" s="15"/>
      <c r="AX921" s="70"/>
      <c r="AY921" s="70"/>
      <c r="AZ921" s="70"/>
      <c r="BA921" s="70"/>
      <c r="BB921" s="70"/>
      <c r="BC921" s="70"/>
      <c r="BD921" s="250"/>
      <c r="BE921" s="250"/>
      <c r="BF921" s="250"/>
      <c r="BG921" s="250"/>
      <c r="BH921" s="250"/>
      <c r="BI921" s="71"/>
      <c r="BJ921" s="71"/>
      <c r="BK921" s="71"/>
      <c r="BL921" s="550"/>
      <c r="BM921" s="542"/>
    </row>
    <row r="922" spans="1:65" ht="31.35" customHeight="1">
      <c r="A922" s="91"/>
      <c r="B922" s="358" t="s">
        <v>3113</v>
      </c>
      <c r="C922" s="50" t="s">
        <v>2108</v>
      </c>
      <c r="D922" s="264" t="s">
        <v>9</v>
      </c>
      <c r="E922" s="393" t="s">
        <v>16</v>
      </c>
      <c r="F922" s="410"/>
      <c r="G922" s="10"/>
      <c r="H922" s="167"/>
      <c r="I922" s="10"/>
      <c r="J922" s="76"/>
      <c r="K922" s="24"/>
      <c r="L922" s="281"/>
      <c r="M922" s="431"/>
      <c r="N922" s="410">
        <v>1614</v>
      </c>
      <c r="O922" s="10">
        <v>3000</v>
      </c>
      <c r="P922" s="10"/>
      <c r="Q922" s="10">
        <v>500000</v>
      </c>
      <c r="R922" s="10"/>
      <c r="S922" s="76">
        <f t="shared" si="1037"/>
        <v>251500</v>
      </c>
      <c r="T922" s="24">
        <f t="shared" si="1038"/>
        <v>249886</v>
      </c>
      <c r="U922" s="281">
        <f t="shared" si="1039"/>
        <v>154.82403965303592</v>
      </c>
      <c r="V922" s="462">
        <f t="shared" si="1040"/>
        <v>251500</v>
      </c>
      <c r="W922" s="480"/>
      <c r="X922" s="31"/>
      <c r="Y922" s="31"/>
      <c r="Z922" s="98"/>
      <c r="AA922" s="76"/>
      <c r="AB922" s="24"/>
      <c r="AC922" s="25"/>
      <c r="AD922" s="309"/>
      <c r="AE922" s="462"/>
      <c r="AF922" s="408"/>
      <c r="AG922" s="293"/>
      <c r="AH922" s="293"/>
      <c r="AI922" s="293"/>
      <c r="AJ922" s="293"/>
      <c r="AK922" s="293"/>
      <c r="AL922" s="327"/>
      <c r="AM922" s="463"/>
      <c r="AN922" s="15"/>
      <c r="AO922" s="120"/>
      <c r="AP922" s="120"/>
      <c r="AQ922" s="120"/>
      <c r="AR922" s="120"/>
      <c r="AS922" s="120"/>
      <c r="AT922" s="120"/>
      <c r="AU922" s="422"/>
      <c r="AV922" s="508"/>
      <c r="AW922" s="15"/>
      <c r="AX922" s="70"/>
      <c r="AY922" s="70"/>
      <c r="AZ922" s="70"/>
      <c r="BA922" s="70"/>
      <c r="BB922" s="70"/>
      <c r="BC922" s="70"/>
      <c r="BD922" s="250"/>
      <c r="BE922" s="250"/>
      <c r="BF922" s="250"/>
      <c r="BG922" s="250"/>
      <c r="BH922" s="250"/>
      <c r="BI922" s="71"/>
      <c r="BJ922" s="71"/>
      <c r="BK922" s="71"/>
      <c r="BL922" s="550"/>
      <c r="BM922" s="542"/>
    </row>
    <row r="923" spans="1:65" ht="31.35" customHeight="1">
      <c r="A923" s="91"/>
      <c r="B923" s="358" t="s">
        <v>3114</v>
      </c>
      <c r="C923" s="50" t="s">
        <v>2109</v>
      </c>
      <c r="D923" s="264" t="s">
        <v>2087</v>
      </c>
      <c r="E923" s="393" t="s">
        <v>14</v>
      </c>
      <c r="F923" s="410"/>
      <c r="G923" s="10"/>
      <c r="H923" s="167"/>
      <c r="I923" s="10"/>
      <c r="J923" s="76"/>
      <c r="K923" s="24"/>
      <c r="L923" s="281"/>
      <c r="M923" s="431"/>
      <c r="N923" s="410">
        <v>132894</v>
      </c>
      <c r="O923" s="300"/>
      <c r="P923" s="300"/>
      <c r="Q923" s="300"/>
      <c r="R923" s="10">
        <v>5000000</v>
      </c>
      <c r="S923" s="76">
        <f t="shared" si="1037"/>
        <v>5000000</v>
      </c>
      <c r="T923" s="24">
        <f t="shared" si="1038"/>
        <v>4867106</v>
      </c>
      <c r="U923" s="281">
        <f t="shared" si="1039"/>
        <v>36.62397098439358</v>
      </c>
      <c r="V923" s="462">
        <f t="shared" si="1040"/>
        <v>5000000</v>
      </c>
      <c r="W923" s="480"/>
      <c r="X923" s="31"/>
      <c r="Y923" s="31"/>
      <c r="Z923" s="98"/>
      <c r="AA923" s="76"/>
      <c r="AB923" s="24"/>
      <c r="AC923" s="25"/>
      <c r="AD923" s="309"/>
      <c r="AE923" s="462"/>
      <c r="AF923" s="408"/>
      <c r="AG923" s="293"/>
      <c r="AH923" s="293"/>
      <c r="AI923" s="293"/>
      <c r="AJ923" s="293"/>
      <c r="AK923" s="293"/>
      <c r="AL923" s="327"/>
      <c r="AM923" s="463"/>
      <c r="AN923" s="15"/>
      <c r="AO923" s="120"/>
      <c r="AP923" s="120"/>
      <c r="AQ923" s="120"/>
      <c r="AR923" s="120"/>
      <c r="AS923" s="120"/>
      <c r="AT923" s="120"/>
      <c r="AU923" s="422"/>
      <c r="AV923" s="508"/>
      <c r="AW923" s="15"/>
      <c r="AX923" s="70"/>
      <c r="AY923" s="70"/>
      <c r="AZ923" s="70"/>
      <c r="BA923" s="70"/>
      <c r="BB923" s="70"/>
      <c r="BC923" s="70"/>
      <c r="BD923" s="250"/>
      <c r="BE923" s="250"/>
      <c r="BF923" s="250"/>
      <c r="BG923" s="250"/>
      <c r="BH923" s="250"/>
      <c r="BI923" s="71"/>
      <c r="BJ923" s="71"/>
      <c r="BK923" s="71"/>
      <c r="BL923" s="550"/>
      <c r="BM923" s="542"/>
    </row>
    <row r="924" spans="1:65" ht="31.35" customHeight="1">
      <c r="A924" s="91"/>
      <c r="B924" s="358" t="s">
        <v>3115</v>
      </c>
      <c r="C924" s="50" t="s">
        <v>2110</v>
      </c>
      <c r="D924" s="264" t="s">
        <v>2088</v>
      </c>
      <c r="E924" s="393" t="s">
        <v>14</v>
      </c>
      <c r="F924" s="410"/>
      <c r="G924" s="10"/>
      <c r="H924" s="167"/>
      <c r="I924" s="10"/>
      <c r="J924" s="76"/>
      <c r="K924" s="24"/>
      <c r="L924" s="281"/>
      <c r="M924" s="431"/>
      <c r="N924" s="410">
        <v>151878</v>
      </c>
      <c r="O924" s="300"/>
      <c r="P924" s="300"/>
      <c r="Q924" s="300"/>
      <c r="R924" s="10">
        <v>6000000</v>
      </c>
      <c r="S924" s="76">
        <f t="shared" si="1037"/>
        <v>6000000</v>
      </c>
      <c r="T924" s="24">
        <f t="shared" si="1038"/>
        <v>5848122</v>
      </c>
      <c r="U924" s="281">
        <f t="shared" si="1039"/>
        <v>38.505392486074349</v>
      </c>
      <c r="V924" s="462">
        <f t="shared" si="1040"/>
        <v>6000000</v>
      </c>
      <c r="W924" s="480"/>
      <c r="X924" s="31"/>
      <c r="Y924" s="31"/>
      <c r="Z924" s="98"/>
      <c r="AA924" s="76"/>
      <c r="AB924" s="24"/>
      <c r="AC924" s="25"/>
      <c r="AD924" s="309"/>
      <c r="AE924" s="462"/>
      <c r="AF924" s="408"/>
      <c r="AG924" s="293"/>
      <c r="AH924" s="293"/>
      <c r="AI924" s="293"/>
      <c r="AJ924" s="293"/>
      <c r="AK924" s="293"/>
      <c r="AL924" s="327"/>
      <c r="AM924" s="463"/>
      <c r="AN924" s="15"/>
      <c r="AO924" s="120"/>
      <c r="AP924" s="120"/>
      <c r="AQ924" s="120"/>
      <c r="AR924" s="120"/>
      <c r="AS924" s="120"/>
      <c r="AT924" s="120"/>
      <c r="AU924" s="422"/>
      <c r="AV924" s="508"/>
      <c r="AW924" s="15"/>
      <c r="AX924" s="70"/>
      <c r="AY924" s="70"/>
      <c r="AZ924" s="70"/>
      <c r="BA924" s="70"/>
      <c r="BB924" s="70"/>
      <c r="BC924" s="70"/>
      <c r="BD924" s="250"/>
      <c r="BE924" s="250"/>
      <c r="BF924" s="250"/>
      <c r="BG924" s="250"/>
      <c r="BH924" s="250"/>
      <c r="BI924" s="71"/>
      <c r="BJ924" s="71"/>
      <c r="BK924" s="71"/>
      <c r="BL924" s="550"/>
      <c r="BM924" s="542"/>
    </row>
    <row r="925" spans="1:65" ht="31.35" customHeight="1">
      <c r="A925" s="91"/>
      <c r="B925" s="358" t="s">
        <v>3116</v>
      </c>
      <c r="C925" s="50" t="s">
        <v>2111</v>
      </c>
      <c r="D925" s="264" t="s">
        <v>2089</v>
      </c>
      <c r="E925" s="393" t="s">
        <v>2090</v>
      </c>
      <c r="F925" s="410"/>
      <c r="G925" s="10"/>
      <c r="H925" s="167"/>
      <c r="I925" s="10"/>
      <c r="J925" s="76"/>
      <c r="K925" s="24"/>
      <c r="L925" s="281"/>
      <c r="M925" s="431"/>
      <c r="N925" s="410">
        <v>37453</v>
      </c>
      <c r="O925" s="300"/>
      <c r="P925" s="300"/>
      <c r="Q925" s="300"/>
      <c r="R925" s="10" t="s">
        <v>1421</v>
      </c>
      <c r="S925" s="76"/>
      <c r="T925" s="24"/>
      <c r="U925" s="281"/>
      <c r="V925" s="462" t="s">
        <v>894</v>
      </c>
      <c r="W925" s="480"/>
      <c r="X925" s="31"/>
      <c r="Y925" s="31"/>
      <c r="Z925" s="98"/>
      <c r="AA925" s="76"/>
      <c r="AB925" s="24"/>
      <c r="AC925" s="25"/>
      <c r="AD925" s="309"/>
      <c r="AE925" s="462"/>
      <c r="AF925" s="408"/>
      <c r="AG925" s="293"/>
      <c r="AH925" s="293"/>
      <c r="AI925" s="293"/>
      <c r="AJ925" s="293"/>
      <c r="AK925" s="293"/>
      <c r="AL925" s="327"/>
      <c r="AM925" s="463"/>
      <c r="AN925" s="15"/>
      <c r="AO925" s="120"/>
      <c r="AP925" s="120"/>
      <c r="AQ925" s="120"/>
      <c r="AR925" s="120"/>
      <c r="AS925" s="120"/>
      <c r="AT925" s="120"/>
      <c r="AU925" s="422"/>
      <c r="AV925" s="508"/>
      <c r="AW925" s="15"/>
      <c r="AX925" s="70"/>
      <c r="AY925" s="70"/>
      <c r="AZ925" s="70"/>
      <c r="BA925" s="70"/>
      <c r="BB925" s="70"/>
      <c r="BC925" s="70"/>
      <c r="BD925" s="250"/>
      <c r="BE925" s="250"/>
      <c r="BF925" s="250"/>
      <c r="BG925" s="250"/>
      <c r="BH925" s="250"/>
      <c r="BI925" s="71"/>
      <c r="BJ925" s="71"/>
      <c r="BK925" s="71"/>
      <c r="BL925" s="550"/>
      <c r="BM925" s="542"/>
    </row>
    <row r="926" spans="1:65" ht="31.35" customHeight="1">
      <c r="A926" s="91"/>
      <c r="B926" s="358" t="s">
        <v>3117</v>
      </c>
      <c r="C926" s="50" t="s">
        <v>2112</v>
      </c>
      <c r="D926" s="264" t="s">
        <v>2091</v>
      </c>
      <c r="E926" s="393" t="s">
        <v>1466</v>
      </c>
      <c r="F926" s="410"/>
      <c r="G926" s="10"/>
      <c r="H926" s="167"/>
      <c r="I926" s="10"/>
      <c r="J926" s="76"/>
      <c r="K926" s="24"/>
      <c r="L926" s="281"/>
      <c r="M926" s="431"/>
      <c r="N926" s="410">
        <v>24017</v>
      </c>
      <c r="O926" s="300"/>
      <c r="P926" s="300"/>
      <c r="Q926" s="300"/>
      <c r="R926" s="10">
        <v>50000</v>
      </c>
      <c r="S926" s="76">
        <f t="shared" ref="S926:S927" si="1041">AVERAGE(O926,P926,Q926,R926)</f>
        <v>50000</v>
      </c>
      <c r="T926" s="24">
        <f t="shared" ref="T926:T927" si="1042">S926-N926</f>
        <v>25983</v>
      </c>
      <c r="U926" s="281">
        <f t="shared" ref="U926:U927" si="1043">+T926/N926</f>
        <v>1.0818586834325685</v>
      </c>
      <c r="V926" s="462">
        <f t="shared" ref="V926:V927" si="1044">S926</f>
        <v>50000</v>
      </c>
      <c r="W926" s="480"/>
      <c r="X926" s="31"/>
      <c r="Y926" s="31"/>
      <c r="Z926" s="98"/>
      <c r="AA926" s="76"/>
      <c r="AB926" s="24"/>
      <c r="AC926" s="25"/>
      <c r="AD926" s="309"/>
      <c r="AE926" s="462"/>
      <c r="AF926" s="408"/>
      <c r="AG926" s="293"/>
      <c r="AH926" s="293"/>
      <c r="AI926" s="293"/>
      <c r="AJ926" s="293"/>
      <c r="AK926" s="293"/>
      <c r="AL926" s="327"/>
      <c r="AM926" s="463"/>
      <c r="AN926" s="15"/>
      <c r="AO926" s="120"/>
      <c r="AP926" s="120"/>
      <c r="AQ926" s="120"/>
      <c r="AR926" s="120"/>
      <c r="AS926" s="120"/>
      <c r="AT926" s="120"/>
      <c r="AU926" s="422"/>
      <c r="AV926" s="508"/>
      <c r="AW926" s="15"/>
      <c r="AX926" s="70"/>
      <c r="AY926" s="70"/>
      <c r="AZ926" s="70"/>
      <c r="BA926" s="70"/>
      <c r="BB926" s="70"/>
      <c r="BC926" s="70"/>
      <c r="BD926" s="250"/>
      <c r="BE926" s="250"/>
      <c r="BF926" s="250"/>
      <c r="BG926" s="250"/>
      <c r="BH926" s="250"/>
      <c r="BI926" s="71"/>
      <c r="BJ926" s="71"/>
      <c r="BK926" s="71"/>
      <c r="BL926" s="550"/>
      <c r="BM926" s="542"/>
    </row>
    <row r="927" spans="1:65" ht="31.35" customHeight="1">
      <c r="A927" s="91"/>
      <c r="B927" s="358" t="s">
        <v>3118</v>
      </c>
      <c r="C927" s="50" t="s">
        <v>2113</v>
      </c>
      <c r="D927" s="264" t="s">
        <v>2092</v>
      </c>
      <c r="E927" s="393" t="s">
        <v>1466</v>
      </c>
      <c r="F927" s="410"/>
      <c r="G927" s="10"/>
      <c r="H927" s="167"/>
      <c r="I927" s="10"/>
      <c r="J927" s="76"/>
      <c r="K927" s="24"/>
      <c r="L927" s="281"/>
      <c r="M927" s="431"/>
      <c r="N927" s="410">
        <v>76001</v>
      </c>
      <c r="O927" s="300"/>
      <c r="P927" s="300"/>
      <c r="Q927" s="300"/>
      <c r="R927" s="10">
        <v>50000</v>
      </c>
      <c r="S927" s="76">
        <f t="shared" si="1041"/>
        <v>50000</v>
      </c>
      <c r="T927" s="24">
        <f t="shared" si="1042"/>
        <v>-26001</v>
      </c>
      <c r="U927" s="281">
        <f t="shared" si="1043"/>
        <v>-0.34211391955369008</v>
      </c>
      <c r="V927" s="462">
        <f t="shared" si="1044"/>
        <v>50000</v>
      </c>
      <c r="W927" s="480"/>
      <c r="X927" s="31"/>
      <c r="Y927" s="31"/>
      <c r="Z927" s="98"/>
      <c r="AA927" s="76"/>
      <c r="AB927" s="24"/>
      <c r="AC927" s="25"/>
      <c r="AD927" s="309"/>
      <c r="AE927" s="462"/>
      <c r="AF927" s="408"/>
      <c r="AG927" s="293"/>
      <c r="AH927" s="293"/>
      <c r="AI927" s="293"/>
      <c r="AJ927" s="293"/>
      <c r="AK927" s="293"/>
      <c r="AL927" s="327"/>
      <c r="AM927" s="463"/>
      <c r="AN927" s="15"/>
      <c r="AO927" s="120"/>
      <c r="AP927" s="120"/>
      <c r="AQ927" s="120"/>
      <c r="AR927" s="120"/>
      <c r="AS927" s="120"/>
      <c r="AT927" s="120"/>
      <c r="AU927" s="422"/>
      <c r="AV927" s="508"/>
      <c r="AW927" s="15"/>
      <c r="AX927" s="70"/>
      <c r="AY927" s="70"/>
      <c r="AZ927" s="70"/>
      <c r="BA927" s="70"/>
      <c r="BB927" s="70"/>
      <c r="BC927" s="70"/>
      <c r="BD927" s="250"/>
      <c r="BE927" s="250"/>
      <c r="BF927" s="250"/>
      <c r="BG927" s="250"/>
      <c r="BH927" s="250"/>
      <c r="BI927" s="71"/>
      <c r="BJ927" s="71"/>
      <c r="BK927" s="71"/>
      <c r="BL927" s="550"/>
      <c r="BM927" s="542"/>
    </row>
    <row r="928" spans="1:65" ht="31.35" customHeight="1">
      <c r="A928" s="91"/>
      <c r="B928" s="358" t="s">
        <v>3119</v>
      </c>
      <c r="C928" s="50" t="s">
        <v>2114</v>
      </c>
      <c r="D928" s="264" t="s">
        <v>2093</v>
      </c>
      <c r="E928" s="393" t="s">
        <v>1466</v>
      </c>
      <c r="F928" s="410"/>
      <c r="G928" s="10"/>
      <c r="H928" s="167"/>
      <c r="I928" s="10"/>
      <c r="J928" s="76"/>
      <c r="K928" s="24"/>
      <c r="L928" s="281"/>
      <c r="M928" s="431"/>
      <c r="N928" s="410">
        <v>5273</v>
      </c>
      <c r="O928" s="300"/>
      <c r="P928" s="300"/>
      <c r="Q928" s="300"/>
      <c r="R928" s="10"/>
      <c r="S928" s="76"/>
      <c r="T928" s="24"/>
      <c r="U928" s="281"/>
      <c r="V928" s="464" t="s">
        <v>807</v>
      </c>
      <c r="W928" s="480"/>
      <c r="X928" s="31"/>
      <c r="Y928" s="31"/>
      <c r="Z928" s="98"/>
      <c r="AA928" s="76"/>
      <c r="AB928" s="24"/>
      <c r="AC928" s="25"/>
      <c r="AD928" s="309"/>
      <c r="AE928" s="462"/>
      <c r="AF928" s="408"/>
      <c r="AG928" s="293"/>
      <c r="AH928" s="293"/>
      <c r="AI928" s="293"/>
      <c r="AJ928" s="293"/>
      <c r="AK928" s="293"/>
      <c r="AL928" s="327"/>
      <c r="AM928" s="463"/>
      <c r="AN928" s="15"/>
      <c r="AO928" s="120"/>
      <c r="AP928" s="120"/>
      <c r="AQ928" s="120"/>
      <c r="AR928" s="120"/>
      <c r="AS928" s="120"/>
      <c r="AT928" s="120"/>
      <c r="AU928" s="422"/>
      <c r="AV928" s="508"/>
      <c r="AW928" s="15"/>
      <c r="AX928" s="70"/>
      <c r="AY928" s="70"/>
      <c r="AZ928" s="70"/>
      <c r="BA928" s="70"/>
      <c r="BB928" s="70"/>
      <c r="BC928" s="70"/>
      <c r="BD928" s="250"/>
      <c r="BE928" s="250"/>
      <c r="BF928" s="250"/>
      <c r="BG928" s="250"/>
      <c r="BH928" s="250"/>
      <c r="BI928" s="71"/>
      <c r="BJ928" s="71"/>
      <c r="BK928" s="71"/>
      <c r="BL928" s="550"/>
      <c r="BM928" s="542"/>
    </row>
    <row r="929" spans="1:65" ht="31.35" customHeight="1">
      <c r="A929" s="91"/>
      <c r="B929" s="358" t="s">
        <v>3120</v>
      </c>
      <c r="C929" s="50" t="s">
        <v>2115</v>
      </c>
      <c r="D929" s="264" t="s">
        <v>2094</v>
      </c>
      <c r="E929" s="393" t="s">
        <v>1466</v>
      </c>
      <c r="F929" s="410"/>
      <c r="G929" s="10"/>
      <c r="H929" s="167"/>
      <c r="I929" s="10"/>
      <c r="J929" s="76"/>
      <c r="K929" s="24"/>
      <c r="L929" s="281"/>
      <c r="M929" s="431"/>
      <c r="N929" s="410">
        <v>7064</v>
      </c>
      <c r="O929" s="300"/>
      <c r="P929" s="300"/>
      <c r="Q929" s="300"/>
      <c r="R929" s="10">
        <v>50000</v>
      </c>
      <c r="S929" s="76">
        <f t="shared" ref="S929" si="1045">AVERAGE(O929,P929,Q929,R929)</f>
        <v>50000</v>
      </c>
      <c r="T929" s="24">
        <f t="shared" ref="T929" si="1046">S929-N929</f>
        <v>42936</v>
      </c>
      <c r="U929" s="281">
        <f t="shared" ref="U929" si="1047">+T929/N929</f>
        <v>6.0781426953567381</v>
      </c>
      <c r="V929" s="462">
        <f t="shared" ref="V929" si="1048">S929</f>
        <v>50000</v>
      </c>
      <c r="W929" s="480"/>
      <c r="X929" s="31"/>
      <c r="Y929" s="31"/>
      <c r="Z929" s="98"/>
      <c r="AA929" s="76"/>
      <c r="AB929" s="24"/>
      <c r="AC929" s="25"/>
      <c r="AD929" s="309"/>
      <c r="AE929" s="462"/>
      <c r="AF929" s="408"/>
      <c r="AG929" s="293"/>
      <c r="AH929" s="293"/>
      <c r="AI929" s="293"/>
      <c r="AJ929" s="293"/>
      <c r="AK929" s="293"/>
      <c r="AL929" s="327"/>
      <c r="AM929" s="463"/>
      <c r="AN929" s="15"/>
      <c r="AO929" s="120"/>
      <c r="AP929" s="120"/>
      <c r="AQ929" s="120"/>
      <c r="AR929" s="120"/>
      <c r="AS929" s="120"/>
      <c r="AT929" s="120"/>
      <c r="AU929" s="422"/>
      <c r="AV929" s="508"/>
      <c r="AW929" s="15"/>
      <c r="AX929" s="70"/>
      <c r="AY929" s="70"/>
      <c r="AZ929" s="70"/>
      <c r="BA929" s="70"/>
      <c r="BB929" s="70"/>
      <c r="BC929" s="70"/>
      <c r="BD929" s="250"/>
      <c r="BE929" s="250"/>
      <c r="BF929" s="250"/>
      <c r="BG929" s="250"/>
      <c r="BH929" s="250"/>
      <c r="BI929" s="71"/>
      <c r="BJ929" s="71"/>
      <c r="BK929" s="71"/>
      <c r="BL929" s="550"/>
      <c r="BM929" s="542"/>
    </row>
    <row r="930" spans="1:65" ht="31.35" customHeight="1">
      <c r="A930" s="91"/>
      <c r="B930" s="358" t="s">
        <v>3121</v>
      </c>
      <c r="C930" s="50" t="s">
        <v>2116</v>
      </c>
      <c r="D930" s="264" t="s">
        <v>2095</v>
      </c>
      <c r="E930" s="393" t="s">
        <v>2096</v>
      </c>
      <c r="F930" s="410"/>
      <c r="G930" s="10"/>
      <c r="H930" s="167"/>
      <c r="I930" s="10"/>
      <c r="J930" s="76"/>
      <c r="K930" s="24"/>
      <c r="L930" s="281"/>
      <c r="M930" s="431"/>
      <c r="N930" s="410">
        <v>126290</v>
      </c>
      <c r="O930" s="300"/>
      <c r="P930" s="300"/>
      <c r="Q930" s="300"/>
      <c r="R930" s="10" t="s">
        <v>1421</v>
      </c>
      <c r="S930" s="76"/>
      <c r="T930" s="24"/>
      <c r="U930" s="281"/>
      <c r="V930" s="462" t="s">
        <v>894</v>
      </c>
      <c r="W930" s="480"/>
      <c r="X930" s="31"/>
      <c r="Y930" s="31"/>
      <c r="Z930" s="98"/>
      <c r="AA930" s="76"/>
      <c r="AB930" s="24"/>
      <c r="AC930" s="25"/>
      <c r="AD930" s="309"/>
      <c r="AE930" s="462"/>
      <c r="AF930" s="408"/>
      <c r="AG930" s="293"/>
      <c r="AH930" s="293"/>
      <c r="AI930" s="293"/>
      <c r="AJ930" s="293"/>
      <c r="AK930" s="293"/>
      <c r="AL930" s="327"/>
      <c r="AM930" s="463"/>
      <c r="AN930" s="15"/>
      <c r="AO930" s="120"/>
      <c r="AP930" s="120"/>
      <c r="AQ930" s="120"/>
      <c r="AR930" s="120"/>
      <c r="AS930" s="120"/>
      <c r="AT930" s="120"/>
      <c r="AU930" s="422"/>
      <c r="AV930" s="508"/>
      <c r="AW930" s="15"/>
      <c r="AX930" s="70"/>
      <c r="AY930" s="70"/>
      <c r="AZ930" s="70"/>
      <c r="BA930" s="70"/>
      <c r="BB930" s="70"/>
      <c r="BC930" s="70"/>
      <c r="BD930" s="250"/>
      <c r="BE930" s="250"/>
      <c r="BF930" s="250"/>
      <c r="BG930" s="250"/>
      <c r="BH930" s="250"/>
      <c r="BI930" s="71"/>
      <c r="BJ930" s="71"/>
      <c r="BK930" s="71"/>
      <c r="BL930" s="550"/>
      <c r="BM930" s="542"/>
    </row>
    <row r="931" spans="1:65" ht="31.35" customHeight="1">
      <c r="A931" s="91"/>
      <c r="B931" s="358" t="s">
        <v>3122</v>
      </c>
      <c r="C931" s="50" t="s">
        <v>2117</v>
      </c>
      <c r="D931" s="264" t="s">
        <v>2097</v>
      </c>
      <c r="E931" s="393" t="s">
        <v>1466</v>
      </c>
      <c r="F931" s="410"/>
      <c r="G931" s="10"/>
      <c r="H931" s="167"/>
      <c r="I931" s="10"/>
      <c r="J931" s="76"/>
      <c r="K931" s="24"/>
      <c r="L931" s="281"/>
      <c r="M931" s="431"/>
      <c r="N931" s="410">
        <v>4361</v>
      </c>
      <c r="O931" s="300"/>
      <c r="P931" s="300"/>
      <c r="Q931" s="300"/>
      <c r="R931" s="10"/>
      <c r="S931" s="76"/>
      <c r="T931" s="24"/>
      <c r="U931" s="281"/>
      <c r="V931" s="462" t="s">
        <v>894</v>
      </c>
      <c r="W931" s="480"/>
      <c r="X931" s="31"/>
      <c r="Y931" s="31"/>
      <c r="Z931" s="98"/>
      <c r="AA931" s="76"/>
      <c r="AB931" s="24"/>
      <c r="AC931" s="25"/>
      <c r="AD931" s="309"/>
      <c r="AE931" s="462"/>
      <c r="AF931" s="408"/>
      <c r="AG931" s="293"/>
      <c r="AH931" s="293"/>
      <c r="AI931" s="293"/>
      <c r="AJ931" s="293"/>
      <c r="AK931" s="293"/>
      <c r="AL931" s="327"/>
      <c r="AM931" s="463"/>
      <c r="AN931" s="15"/>
      <c r="AO931" s="120"/>
      <c r="AP931" s="120"/>
      <c r="AQ931" s="120"/>
      <c r="AR931" s="120"/>
      <c r="AS931" s="120"/>
      <c r="AT931" s="120"/>
      <c r="AU931" s="422"/>
      <c r="AV931" s="508"/>
      <c r="AW931" s="15"/>
      <c r="AX931" s="70"/>
      <c r="AY931" s="70"/>
      <c r="AZ931" s="70"/>
      <c r="BA931" s="70"/>
      <c r="BB931" s="70"/>
      <c r="BC931" s="70"/>
      <c r="BD931" s="250"/>
      <c r="BE931" s="250"/>
      <c r="BF931" s="250"/>
      <c r="BG931" s="250"/>
      <c r="BH931" s="250"/>
      <c r="BI931" s="71"/>
      <c r="BJ931" s="71"/>
      <c r="BK931" s="71"/>
      <c r="BL931" s="550"/>
      <c r="BM931" s="542"/>
    </row>
    <row r="932" spans="1:65" ht="31.35" customHeight="1">
      <c r="A932" s="91"/>
      <c r="B932" s="358" t="s">
        <v>3123</v>
      </c>
      <c r="C932" s="50" t="s">
        <v>2118</v>
      </c>
      <c r="D932" s="264" t="s">
        <v>2098</v>
      </c>
      <c r="E932" s="393" t="s">
        <v>2096</v>
      </c>
      <c r="F932" s="410"/>
      <c r="G932" s="10"/>
      <c r="H932" s="167"/>
      <c r="I932" s="10"/>
      <c r="J932" s="76"/>
      <c r="K932" s="24"/>
      <c r="L932" s="281"/>
      <c r="M932" s="431"/>
      <c r="N932" s="410">
        <v>302396</v>
      </c>
      <c r="O932" s="300"/>
      <c r="P932" s="300"/>
      <c r="Q932" s="300"/>
      <c r="R932" s="10" t="s">
        <v>1421</v>
      </c>
      <c r="S932" s="76"/>
      <c r="T932" s="24"/>
      <c r="U932" s="281"/>
      <c r="V932" s="462" t="s">
        <v>894</v>
      </c>
      <c r="W932" s="480"/>
      <c r="X932" s="31"/>
      <c r="Y932" s="31"/>
      <c r="Z932" s="98"/>
      <c r="AA932" s="76"/>
      <c r="AB932" s="24"/>
      <c r="AC932" s="25"/>
      <c r="AD932" s="309"/>
      <c r="AE932" s="462"/>
      <c r="AF932" s="408"/>
      <c r="AG932" s="293"/>
      <c r="AH932" s="293"/>
      <c r="AI932" s="293"/>
      <c r="AJ932" s="293"/>
      <c r="AK932" s="293"/>
      <c r="AL932" s="327"/>
      <c r="AM932" s="463"/>
      <c r="AN932" s="15"/>
      <c r="AO932" s="120"/>
      <c r="AP932" s="120"/>
      <c r="AQ932" s="120"/>
      <c r="AR932" s="120"/>
      <c r="AS932" s="120"/>
      <c r="AT932" s="120"/>
      <c r="AU932" s="422"/>
      <c r="AV932" s="508"/>
      <c r="AW932" s="15"/>
      <c r="AX932" s="70"/>
      <c r="AY932" s="70"/>
      <c r="AZ932" s="70"/>
      <c r="BA932" s="70"/>
      <c r="BB932" s="70"/>
      <c r="BC932" s="70"/>
      <c r="BD932" s="250"/>
      <c r="BE932" s="250"/>
      <c r="BF932" s="250"/>
      <c r="BG932" s="250"/>
      <c r="BH932" s="250"/>
      <c r="BI932" s="71"/>
      <c r="BJ932" s="71"/>
      <c r="BK932" s="71"/>
      <c r="BL932" s="550"/>
      <c r="BM932" s="542"/>
    </row>
    <row r="933" spans="1:65" ht="31.35" customHeight="1">
      <c r="A933" s="91"/>
      <c r="B933" s="358" t="s">
        <v>3124</v>
      </c>
      <c r="C933" s="221">
        <v>16</v>
      </c>
      <c r="D933" s="299" t="s">
        <v>41</v>
      </c>
      <c r="E933" s="26"/>
      <c r="F933" s="411"/>
      <c r="G933" s="173"/>
      <c r="H933" s="174"/>
      <c r="I933" s="173"/>
      <c r="J933" s="76"/>
      <c r="K933" s="24"/>
      <c r="L933" s="281"/>
      <c r="M933" s="431"/>
      <c r="N933" s="408"/>
      <c r="O933" s="293"/>
      <c r="P933" s="293"/>
      <c r="Q933" s="293"/>
      <c r="R933" s="293"/>
      <c r="S933" s="293"/>
      <c r="T933" s="293"/>
      <c r="U933" s="327"/>
      <c r="V933" s="463"/>
      <c r="W933" s="480"/>
      <c r="X933" s="31"/>
      <c r="Y933" s="31"/>
      <c r="Z933" s="98"/>
      <c r="AA933" s="76"/>
      <c r="AB933" s="24"/>
      <c r="AC933" s="25"/>
      <c r="AD933" s="309"/>
      <c r="AE933" s="462"/>
      <c r="AF933" s="408"/>
      <c r="AG933" s="293"/>
      <c r="AH933" s="293"/>
      <c r="AI933" s="293"/>
      <c r="AJ933" s="293"/>
      <c r="AK933" s="293"/>
      <c r="AL933" s="327"/>
      <c r="AM933" s="463"/>
      <c r="AN933" s="15"/>
      <c r="AO933" s="120"/>
      <c r="AP933" s="120"/>
      <c r="AQ933" s="120"/>
      <c r="AR933" s="120"/>
      <c r="AS933" s="120"/>
      <c r="AT933" s="120"/>
      <c r="AU933" s="422"/>
      <c r="AV933" s="508"/>
      <c r="AW933" s="15"/>
      <c r="AX933" s="70"/>
      <c r="AY933" s="70"/>
      <c r="AZ933" s="70"/>
      <c r="BA933" s="70"/>
      <c r="BB933" s="70"/>
      <c r="BC933" s="70"/>
      <c r="BD933" s="250"/>
      <c r="BE933" s="250"/>
      <c r="BF933" s="250"/>
      <c r="BG933" s="250"/>
      <c r="BH933" s="250"/>
      <c r="BI933" s="71"/>
      <c r="BJ933" s="71"/>
      <c r="BK933" s="71"/>
      <c r="BL933" s="550"/>
      <c r="BM933" s="542"/>
    </row>
    <row r="934" spans="1:65" ht="31.35" customHeight="1">
      <c r="A934" s="91"/>
      <c r="B934" s="358" t="s">
        <v>3125</v>
      </c>
      <c r="C934" s="15" t="s">
        <v>1216</v>
      </c>
      <c r="D934" s="177" t="s">
        <v>1217</v>
      </c>
      <c r="E934" s="384" t="s">
        <v>14</v>
      </c>
      <c r="F934" s="410">
        <v>779849</v>
      </c>
      <c r="G934" s="10">
        <v>752900</v>
      </c>
      <c r="H934" s="167">
        <v>2258700</v>
      </c>
      <c r="I934" s="10">
        <v>890000</v>
      </c>
      <c r="J934" s="76">
        <f t="shared" ref="J934:J997" si="1049">AVERAGE(G934,I934)</f>
        <v>821450</v>
      </c>
      <c r="K934" s="24">
        <f t="shared" ref="K934:K997" si="1050">J934-F934</f>
        <v>41601</v>
      </c>
      <c r="L934" s="281">
        <f t="shared" ref="L934:L997" si="1051">+K934/F934</f>
        <v>5.3344942418339959E-2</v>
      </c>
      <c r="M934" s="431">
        <f t="shared" ref="M934:M997" si="1052">H934</f>
        <v>2258700</v>
      </c>
      <c r="N934" s="408"/>
      <c r="O934" s="293"/>
      <c r="P934" s="293"/>
      <c r="Q934" s="293"/>
      <c r="R934" s="293"/>
      <c r="S934" s="293"/>
      <c r="T934" s="293"/>
      <c r="U934" s="327"/>
      <c r="V934" s="463"/>
      <c r="W934" s="480"/>
      <c r="X934" s="31"/>
      <c r="Y934" s="31"/>
      <c r="Z934" s="98"/>
      <c r="AA934" s="76"/>
      <c r="AB934" s="24"/>
      <c r="AC934" s="25"/>
      <c r="AD934" s="309"/>
      <c r="AE934" s="462"/>
      <c r="AF934" s="408"/>
      <c r="AG934" s="293"/>
      <c r="AH934" s="293"/>
      <c r="AI934" s="293"/>
      <c r="AJ934" s="293"/>
      <c r="AK934" s="293"/>
      <c r="AL934" s="327"/>
      <c r="AM934" s="463"/>
      <c r="AN934" s="15"/>
      <c r="AO934" s="120"/>
      <c r="AP934" s="120"/>
      <c r="AQ934" s="120"/>
      <c r="AR934" s="120"/>
      <c r="AS934" s="120"/>
      <c r="AT934" s="120"/>
      <c r="AU934" s="422"/>
      <c r="AV934" s="508"/>
      <c r="AW934" s="15"/>
      <c r="AX934" s="70"/>
      <c r="AY934" s="70"/>
      <c r="AZ934" s="70"/>
      <c r="BA934" s="70"/>
      <c r="BB934" s="70"/>
      <c r="BC934" s="70"/>
      <c r="BD934" s="250"/>
      <c r="BE934" s="250"/>
      <c r="BF934" s="250"/>
      <c r="BG934" s="250"/>
      <c r="BH934" s="250"/>
      <c r="BI934" s="71"/>
      <c r="BJ934" s="71"/>
      <c r="BK934" s="71"/>
      <c r="BL934" s="550"/>
      <c r="BM934" s="542"/>
    </row>
    <row r="935" spans="1:65" ht="31.35" customHeight="1">
      <c r="A935" s="91"/>
      <c r="B935" s="358" t="s">
        <v>3126</v>
      </c>
      <c r="C935" s="15" t="s">
        <v>1218</v>
      </c>
      <c r="D935" s="177" t="s">
        <v>1219</v>
      </c>
      <c r="E935" s="384" t="s">
        <v>14</v>
      </c>
      <c r="F935" s="410">
        <v>714717</v>
      </c>
      <c r="G935" s="10">
        <v>840900</v>
      </c>
      <c r="H935" s="167">
        <v>1681800</v>
      </c>
      <c r="I935" s="10">
        <v>900000</v>
      </c>
      <c r="J935" s="76">
        <f t="shared" si="1049"/>
        <v>870450</v>
      </c>
      <c r="K935" s="24">
        <f t="shared" si="1050"/>
        <v>155733</v>
      </c>
      <c r="L935" s="281">
        <f t="shared" si="1051"/>
        <v>0.21789463521925462</v>
      </c>
      <c r="M935" s="431">
        <f t="shared" si="1052"/>
        <v>1681800</v>
      </c>
      <c r="N935" s="408"/>
      <c r="O935" s="293"/>
      <c r="P935" s="293"/>
      <c r="Q935" s="293"/>
      <c r="R935" s="293"/>
      <c r="S935" s="293"/>
      <c r="T935" s="293"/>
      <c r="U935" s="327"/>
      <c r="V935" s="463"/>
      <c r="W935" s="480"/>
      <c r="X935" s="31"/>
      <c r="Y935" s="31"/>
      <c r="Z935" s="98"/>
      <c r="AA935" s="76"/>
      <c r="AB935" s="24"/>
      <c r="AC935" s="25"/>
      <c r="AD935" s="309"/>
      <c r="AE935" s="462"/>
      <c r="AF935" s="408"/>
      <c r="AG935" s="293"/>
      <c r="AH935" s="293"/>
      <c r="AI935" s="293"/>
      <c r="AJ935" s="293"/>
      <c r="AK935" s="293"/>
      <c r="AL935" s="327"/>
      <c r="AM935" s="463"/>
      <c r="AN935" s="15"/>
      <c r="AO935" s="120"/>
      <c r="AP935" s="120"/>
      <c r="AQ935" s="120"/>
      <c r="AR935" s="120"/>
      <c r="AS935" s="120"/>
      <c r="AT935" s="120"/>
      <c r="AU935" s="422"/>
      <c r="AV935" s="508"/>
      <c r="AW935" s="15"/>
      <c r="AX935" s="70"/>
      <c r="AY935" s="70"/>
      <c r="AZ935" s="70"/>
      <c r="BA935" s="70"/>
      <c r="BB935" s="70"/>
      <c r="BC935" s="70"/>
      <c r="BD935" s="250"/>
      <c r="BE935" s="250"/>
      <c r="BF935" s="250"/>
      <c r="BG935" s="250"/>
      <c r="BH935" s="250"/>
      <c r="BI935" s="71"/>
      <c r="BJ935" s="71"/>
      <c r="BK935" s="71"/>
      <c r="BL935" s="550"/>
      <c r="BM935" s="542"/>
    </row>
    <row r="936" spans="1:65" ht="31.35" customHeight="1">
      <c r="A936" s="91"/>
      <c r="B936" s="358" t="s">
        <v>3127</v>
      </c>
      <c r="C936" s="15" t="s">
        <v>1220</v>
      </c>
      <c r="D936" s="177" t="s">
        <v>1221</v>
      </c>
      <c r="E936" s="384" t="s">
        <v>14</v>
      </c>
      <c r="F936" s="410">
        <v>1139447</v>
      </c>
      <c r="G936" s="10">
        <v>704900</v>
      </c>
      <c r="H936" s="167">
        <v>1409800</v>
      </c>
      <c r="I936" s="10">
        <v>678000</v>
      </c>
      <c r="J936" s="76">
        <f t="shared" si="1049"/>
        <v>691450</v>
      </c>
      <c r="K936" s="24">
        <f t="shared" si="1050"/>
        <v>-447997</v>
      </c>
      <c r="L936" s="281">
        <f t="shared" si="1051"/>
        <v>-0.39317054676522911</v>
      </c>
      <c r="M936" s="431">
        <f t="shared" si="1052"/>
        <v>1409800</v>
      </c>
      <c r="N936" s="408"/>
      <c r="O936" s="293"/>
      <c r="P936" s="293"/>
      <c r="Q936" s="293"/>
      <c r="R936" s="293"/>
      <c r="S936" s="293"/>
      <c r="T936" s="293"/>
      <c r="U936" s="327"/>
      <c r="V936" s="463"/>
      <c r="W936" s="480"/>
      <c r="X936" s="31"/>
      <c r="Y936" s="31"/>
      <c r="Z936" s="98"/>
      <c r="AA936" s="76"/>
      <c r="AB936" s="24"/>
      <c r="AC936" s="25"/>
      <c r="AD936" s="309"/>
      <c r="AE936" s="462"/>
      <c r="AF936" s="408"/>
      <c r="AG936" s="293"/>
      <c r="AH936" s="293"/>
      <c r="AI936" s="293"/>
      <c r="AJ936" s="293"/>
      <c r="AK936" s="293"/>
      <c r="AL936" s="327"/>
      <c r="AM936" s="463"/>
      <c r="AN936" s="15"/>
      <c r="AO936" s="120"/>
      <c r="AP936" s="120"/>
      <c r="AQ936" s="120"/>
      <c r="AR936" s="120"/>
      <c r="AS936" s="120"/>
      <c r="AT936" s="120"/>
      <c r="AU936" s="422"/>
      <c r="AV936" s="508"/>
      <c r="AW936" s="15"/>
      <c r="AX936" s="70"/>
      <c r="AY936" s="70"/>
      <c r="AZ936" s="70"/>
      <c r="BA936" s="70"/>
      <c r="BB936" s="70"/>
      <c r="BC936" s="70"/>
      <c r="BD936" s="250"/>
      <c r="BE936" s="250"/>
      <c r="BF936" s="250"/>
      <c r="BG936" s="250"/>
      <c r="BH936" s="250"/>
      <c r="BI936" s="71"/>
      <c r="BJ936" s="71"/>
      <c r="BK936" s="71"/>
      <c r="BL936" s="550"/>
      <c r="BM936" s="542"/>
    </row>
    <row r="937" spans="1:65" ht="31.35" customHeight="1">
      <c r="A937" s="91"/>
      <c r="B937" s="358" t="s">
        <v>3128</v>
      </c>
      <c r="C937" s="15" t="s">
        <v>1222</v>
      </c>
      <c r="D937" s="177" t="s">
        <v>1223</v>
      </c>
      <c r="E937" s="384" t="s">
        <v>13</v>
      </c>
      <c r="F937" s="410">
        <v>19410</v>
      </c>
      <c r="G937" s="10">
        <v>35000</v>
      </c>
      <c r="H937" s="167">
        <v>70000</v>
      </c>
      <c r="I937" s="10">
        <v>34000</v>
      </c>
      <c r="J937" s="76">
        <f t="shared" si="1049"/>
        <v>34500</v>
      </c>
      <c r="K937" s="24">
        <f t="shared" si="1050"/>
        <v>15090</v>
      </c>
      <c r="L937" s="281">
        <f t="shared" si="1051"/>
        <v>0.77743431221020087</v>
      </c>
      <c r="M937" s="431">
        <f t="shared" si="1052"/>
        <v>70000</v>
      </c>
      <c r="N937" s="408"/>
      <c r="O937" s="293"/>
      <c r="P937" s="293"/>
      <c r="Q937" s="293"/>
      <c r="R937" s="293"/>
      <c r="S937" s="293"/>
      <c r="T937" s="293"/>
      <c r="U937" s="327"/>
      <c r="V937" s="463"/>
      <c r="W937" s="480"/>
      <c r="X937" s="31"/>
      <c r="Y937" s="31"/>
      <c r="Z937" s="98"/>
      <c r="AA937" s="76"/>
      <c r="AB937" s="24"/>
      <c r="AC937" s="25"/>
      <c r="AD937" s="309"/>
      <c r="AE937" s="462"/>
      <c r="AF937" s="408"/>
      <c r="AG937" s="293"/>
      <c r="AH937" s="293"/>
      <c r="AI937" s="293"/>
      <c r="AJ937" s="293"/>
      <c r="AK937" s="293"/>
      <c r="AL937" s="327"/>
      <c r="AM937" s="463"/>
      <c r="AN937" s="15"/>
      <c r="AO937" s="120"/>
      <c r="AP937" s="120"/>
      <c r="AQ937" s="120"/>
      <c r="AR937" s="120"/>
      <c r="AS937" s="120"/>
      <c r="AT937" s="120"/>
      <c r="AU937" s="422"/>
      <c r="AV937" s="508"/>
      <c r="AW937" s="15"/>
      <c r="AX937" s="70"/>
      <c r="AY937" s="70"/>
      <c r="AZ937" s="70"/>
      <c r="BA937" s="70"/>
      <c r="BB937" s="70"/>
      <c r="BC937" s="70"/>
      <c r="BD937" s="250"/>
      <c r="BE937" s="250"/>
      <c r="BF937" s="250"/>
      <c r="BG937" s="250"/>
      <c r="BH937" s="250"/>
      <c r="BI937" s="71"/>
      <c r="BJ937" s="71"/>
      <c r="BK937" s="71"/>
      <c r="BL937" s="550"/>
      <c r="BM937" s="542"/>
    </row>
    <row r="938" spans="1:65" ht="31.35" customHeight="1">
      <c r="A938" s="91"/>
      <c r="B938" s="358" t="s">
        <v>3129</v>
      </c>
      <c r="C938" s="15" t="s">
        <v>1224</v>
      </c>
      <c r="D938" s="177" t="s">
        <v>1225</v>
      </c>
      <c r="E938" s="384" t="s">
        <v>905</v>
      </c>
      <c r="F938" s="410">
        <v>203220</v>
      </c>
      <c r="G938" s="10">
        <v>150000</v>
      </c>
      <c r="H938" s="167">
        <v>600000</v>
      </c>
      <c r="I938" s="10">
        <v>250000</v>
      </c>
      <c r="J938" s="76">
        <f t="shared" si="1049"/>
        <v>200000</v>
      </c>
      <c r="K938" s="24">
        <f t="shared" si="1050"/>
        <v>-3220</v>
      </c>
      <c r="L938" s="281">
        <f t="shared" si="1051"/>
        <v>-1.5844897155791751E-2</v>
      </c>
      <c r="M938" s="431">
        <f t="shared" si="1052"/>
        <v>600000</v>
      </c>
      <c r="N938" s="408"/>
      <c r="O938" s="293"/>
      <c r="P938" s="293"/>
      <c r="Q938" s="293"/>
      <c r="R938" s="293"/>
      <c r="S938" s="293"/>
      <c r="T938" s="293"/>
      <c r="U938" s="327"/>
      <c r="V938" s="463"/>
      <c r="W938" s="480"/>
      <c r="X938" s="31"/>
      <c r="Y938" s="31"/>
      <c r="Z938" s="98"/>
      <c r="AA938" s="76"/>
      <c r="AB938" s="24"/>
      <c r="AC938" s="25"/>
      <c r="AD938" s="309"/>
      <c r="AE938" s="462"/>
      <c r="AF938" s="408"/>
      <c r="AG938" s="293"/>
      <c r="AH938" s="293"/>
      <c r="AI938" s="293"/>
      <c r="AJ938" s="293"/>
      <c r="AK938" s="293"/>
      <c r="AL938" s="327"/>
      <c r="AM938" s="463"/>
      <c r="AN938" s="15"/>
      <c r="AO938" s="120"/>
      <c r="AP938" s="120"/>
      <c r="AQ938" s="120"/>
      <c r="AR938" s="120"/>
      <c r="AS938" s="120"/>
      <c r="AT938" s="120"/>
      <c r="AU938" s="422"/>
      <c r="AV938" s="508"/>
      <c r="AW938" s="15"/>
      <c r="AX938" s="70"/>
      <c r="AY938" s="70"/>
      <c r="AZ938" s="70"/>
      <c r="BA938" s="70"/>
      <c r="BB938" s="70"/>
      <c r="BC938" s="70"/>
      <c r="BD938" s="250"/>
      <c r="BE938" s="250"/>
      <c r="BF938" s="250"/>
      <c r="BG938" s="250"/>
      <c r="BH938" s="250"/>
      <c r="BI938" s="71"/>
      <c r="BJ938" s="71"/>
      <c r="BK938" s="71"/>
      <c r="BL938" s="550"/>
      <c r="BM938" s="542"/>
    </row>
    <row r="939" spans="1:65" ht="31.35" customHeight="1">
      <c r="A939" s="91"/>
      <c r="B939" s="358" t="s">
        <v>3130</v>
      </c>
      <c r="C939" s="15" t="s">
        <v>1226</v>
      </c>
      <c r="D939" s="177" t="s">
        <v>1227</v>
      </c>
      <c r="E939" s="384" t="s">
        <v>905</v>
      </c>
      <c r="F939" s="410">
        <v>203220</v>
      </c>
      <c r="G939" s="10"/>
      <c r="H939" s="167">
        <v>600000</v>
      </c>
      <c r="I939" s="10">
        <v>1000000</v>
      </c>
      <c r="J939" s="76">
        <f t="shared" si="1049"/>
        <v>1000000</v>
      </c>
      <c r="K939" s="24">
        <f t="shared" si="1050"/>
        <v>796780</v>
      </c>
      <c r="L939" s="281">
        <f t="shared" si="1051"/>
        <v>3.9207755142210412</v>
      </c>
      <c r="M939" s="431" t="s">
        <v>807</v>
      </c>
      <c r="N939" s="408"/>
      <c r="O939" s="293"/>
      <c r="P939" s="293"/>
      <c r="Q939" s="293"/>
      <c r="R939" s="293"/>
      <c r="S939" s="293"/>
      <c r="T939" s="293"/>
      <c r="U939" s="327"/>
      <c r="V939" s="463"/>
      <c r="W939" s="480"/>
      <c r="X939" s="31"/>
      <c r="Y939" s="31"/>
      <c r="Z939" s="98"/>
      <c r="AA939" s="76"/>
      <c r="AB939" s="24"/>
      <c r="AC939" s="25"/>
      <c r="AD939" s="309"/>
      <c r="AE939" s="462"/>
      <c r="AF939" s="408"/>
      <c r="AG939" s="293"/>
      <c r="AH939" s="293"/>
      <c r="AI939" s="293"/>
      <c r="AJ939" s="293"/>
      <c r="AK939" s="293"/>
      <c r="AL939" s="327"/>
      <c r="AM939" s="463"/>
      <c r="AN939" s="15"/>
      <c r="AO939" s="120"/>
      <c r="AP939" s="120"/>
      <c r="AQ939" s="120"/>
      <c r="AR939" s="120"/>
      <c r="AS939" s="120"/>
      <c r="AT939" s="120"/>
      <c r="AU939" s="422"/>
      <c r="AV939" s="508"/>
      <c r="AW939" s="15"/>
      <c r="AX939" s="70"/>
      <c r="AY939" s="70"/>
      <c r="AZ939" s="70"/>
      <c r="BA939" s="70"/>
      <c r="BB939" s="70"/>
      <c r="BC939" s="70"/>
      <c r="BD939" s="250"/>
      <c r="BE939" s="250"/>
      <c r="BF939" s="250"/>
      <c r="BG939" s="250"/>
      <c r="BH939" s="250"/>
      <c r="BI939" s="71"/>
      <c r="BJ939" s="71"/>
      <c r="BK939" s="71"/>
      <c r="BL939" s="550"/>
      <c r="BM939" s="542"/>
    </row>
    <row r="940" spans="1:65" ht="51" customHeight="1">
      <c r="A940" s="91"/>
      <c r="B940" s="358" t="s">
        <v>3131</v>
      </c>
      <c r="C940" s="15" t="s">
        <v>1228</v>
      </c>
      <c r="D940" s="177" t="s">
        <v>1229</v>
      </c>
      <c r="E940" s="384" t="s">
        <v>14</v>
      </c>
      <c r="F940" s="410">
        <v>863685</v>
      </c>
      <c r="G940" s="10">
        <v>475506</v>
      </c>
      <c r="H940" s="167">
        <v>1902024</v>
      </c>
      <c r="I940" s="10">
        <v>650000</v>
      </c>
      <c r="J940" s="76">
        <f t="shared" si="1049"/>
        <v>562753</v>
      </c>
      <c r="K940" s="24">
        <f t="shared" si="1050"/>
        <v>-300932</v>
      </c>
      <c r="L940" s="281">
        <f t="shared" si="1051"/>
        <v>-0.34842795695189799</v>
      </c>
      <c r="M940" s="431">
        <f t="shared" si="1052"/>
        <v>1902024</v>
      </c>
      <c r="N940" s="408"/>
      <c r="O940" s="293"/>
      <c r="P940" s="293"/>
      <c r="Q940" s="293"/>
      <c r="R940" s="293"/>
      <c r="S940" s="293"/>
      <c r="T940" s="293"/>
      <c r="U940" s="327"/>
      <c r="V940" s="463"/>
      <c r="W940" s="480"/>
      <c r="X940" s="31"/>
      <c r="Y940" s="31"/>
      <c r="Z940" s="98"/>
      <c r="AA940" s="76"/>
      <c r="AB940" s="24"/>
      <c r="AC940" s="25"/>
      <c r="AD940" s="309"/>
      <c r="AE940" s="462"/>
      <c r="AF940" s="408"/>
      <c r="AG940" s="293"/>
      <c r="AH940" s="293"/>
      <c r="AI940" s="293"/>
      <c r="AJ940" s="293"/>
      <c r="AK940" s="293"/>
      <c r="AL940" s="327"/>
      <c r="AM940" s="463"/>
      <c r="AN940" s="15"/>
      <c r="AO940" s="120"/>
      <c r="AP940" s="120"/>
      <c r="AQ940" s="120"/>
      <c r="AR940" s="120"/>
      <c r="AS940" s="120"/>
      <c r="AT940" s="120"/>
      <c r="AU940" s="422"/>
      <c r="AV940" s="508"/>
      <c r="AW940" s="15"/>
      <c r="AX940" s="70"/>
      <c r="AY940" s="70"/>
      <c r="AZ940" s="70"/>
      <c r="BA940" s="70"/>
      <c r="BB940" s="70"/>
      <c r="BC940" s="70"/>
      <c r="BD940" s="250"/>
      <c r="BE940" s="250"/>
      <c r="BF940" s="250"/>
      <c r="BG940" s="250"/>
      <c r="BH940" s="250"/>
      <c r="BI940" s="71"/>
      <c r="BJ940" s="71"/>
      <c r="BK940" s="71"/>
      <c r="BL940" s="550"/>
      <c r="BM940" s="542"/>
    </row>
    <row r="941" spans="1:65" ht="45.95" customHeight="1">
      <c r="A941" s="91"/>
      <c r="B941" s="358" t="s">
        <v>3132</v>
      </c>
      <c r="C941" s="15" t="s">
        <v>1230</v>
      </c>
      <c r="D941" s="177" t="s">
        <v>1231</v>
      </c>
      <c r="E941" s="384" t="s">
        <v>827</v>
      </c>
      <c r="F941" s="410">
        <v>10670</v>
      </c>
      <c r="G941" s="10">
        <v>16000</v>
      </c>
      <c r="H941" s="167">
        <v>64000</v>
      </c>
      <c r="I941" s="10">
        <v>15700</v>
      </c>
      <c r="J941" s="76">
        <f t="shared" si="1049"/>
        <v>15850</v>
      </c>
      <c r="K941" s="24">
        <f t="shared" si="1050"/>
        <v>5180</v>
      </c>
      <c r="L941" s="281">
        <f t="shared" si="1051"/>
        <v>0.48547328959700092</v>
      </c>
      <c r="M941" s="431">
        <f t="shared" si="1052"/>
        <v>64000</v>
      </c>
      <c r="N941" s="408"/>
      <c r="O941" s="293"/>
      <c r="P941" s="293"/>
      <c r="Q941" s="293"/>
      <c r="R941" s="293"/>
      <c r="S941" s="293"/>
      <c r="T941" s="293"/>
      <c r="U941" s="327"/>
      <c r="V941" s="463"/>
      <c r="W941" s="480"/>
      <c r="X941" s="31"/>
      <c r="Y941" s="31"/>
      <c r="Z941" s="98"/>
      <c r="AA941" s="76"/>
      <c r="AB941" s="24"/>
      <c r="AC941" s="25"/>
      <c r="AD941" s="309"/>
      <c r="AE941" s="462"/>
      <c r="AF941" s="408"/>
      <c r="AG941" s="293"/>
      <c r="AH941" s="293"/>
      <c r="AI941" s="293"/>
      <c r="AJ941" s="293"/>
      <c r="AK941" s="293"/>
      <c r="AL941" s="327"/>
      <c r="AM941" s="463"/>
      <c r="AN941" s="15"/>
      <c r="AO941" s="120"/>
      <c r="AP941" s="120"/>
      <c r="AQ941" s="120"/>
      <c r="AR941" s="120"/>
      <c r="AS941" s="120"/>
      <c r="AT941" s="120"/>
      <c r="AU941" s="422"/>
      <c r="AV941" s="508"/>
      <c r="AW941" s="15"/>
      <c r="AX941" s="70"/>
      <c r="AY941" s="70"/>
      <c r="AZ941" s="70"/>
      <c r="BA941" s="70"/>
      <c r="BB941" s="70"/>
      <c r="BC941" s="70"/>
      <c r="BD941" s="250"/>
      <c r="BE941" s="250"/>
      <c r="BF941" s="250"/>
      <c r="BG941" s="250"/>
      <c r="BH941" s="250"/>
      <c r="BI941" s="71"/>
      <c r="BJ941" s="71"/>
      <c r="BK941" s="71"/>
      <c r="BL941" s="550"/>
      <c r="BM941" s="542"/>
    </row>
    <row r="942" spans="1:65" ht="42" customHeight="1">
      <c r="B942" s="358" t="s">
        <v>3133</v>
      </c>
      <c r="C942" s="15" t="s">
        <v>1232</v>
      </c>
      <c r="D942" s="177" t="s">
        <v>1233</v>
      </c>
      <c r="E942" s="384" t="s">
        <v>827</v>
      </c>
      <c r="F942" s="410">
        <v>10670</v>
      </c>
      <c r="G942" s="10">
        <v>20000</v>
      </c>
      <c r="H942" s="167">
        <v>80000</v>
      </c>
      <c r="I942" s="10">
        <v>19800</v>
      </c>
      <c r="J942" s="76">
        <f t="shared" si="1049"/>
        <v>19900</v>
      </c>
      <c r="K942" s="24">
        <f t="shared" si="1050"/>
        <v>9230</v>
      </c>
      <c r="L942" s="281">
        <f t="shared" si="1051"/>
        <v>0.86504217432052488</v>
      </c>
      <c r="M942" s="431">
        <f t="shared" si="1052"/>
        <v>80000</v>
      </c>
      <c r="N942" s="408"/>
      <c r="O942" s="293"/>
      <c r="P942" s="293"/>
      <c r="Q942" s="293"/>
      <c r="R942" s="293"/>
      <c r="S942" s="293"/>
      <c r="T942" s="293"/>
      <c r="U942" s="327"/>
      <c r="V942" s="463"/>
      <c r="W942" s="416"/>
      <c r="X942" s="10"/>
      <c r="Y942" s="10"/>
      <c r="Z942" s="10"/>
      <c r="AA942" s="120"/>
      <c r="AB942" s="120"/>
      <c r="AC942" s="120"/>
      <c r="AD942" s="384"/>
      <c r="AE942" s="462"/>
      <c r="AF942" s="408"/>
      <c r="AG942" s="293"/>
      <c r="AH942" s="293"/>
      <c r="AI942" s="293"/>
      <c r="AJ942" s="293"/>
      <c r="AK942" s="293"/>
      <c r="AL942" s="327"/>
      <c r="AM942" s="463"/>
      <c r="AN942" s="15"/>
      <c r="AO942" s="120"/>
      <c r="AP942" s="120"/>
      <c r="AQ942" s="120"/>
      <c r="AR942" s="120"/>
      <c r="AS942" s="120"/>
      <c r="AT942" s="120"/>
      <c r="AU942" s="422"/>
      <c r="AV942" s="508"/>
      <c r="AW942" s="15"/>
      <c r="AX942" s="70"/>
      <c r="AY942" s="70"/>
      <c r="AZ942" s="70"/>
      <c r="BA942" s="70"/>
      <c r="BB942" s="70"/>
      <c r="BC942" s="70"/>
      <c r="BD942" s="250"/>
      <c r="BE942" s="250"/>
      <c r="BF942" s="250"/>
      <c r="BG942" s="250"/>
      <c r="BH942" s="250"/>
      <c r="BI942" s="71"/>
      <c r="BJ942" s="71"/>
      <c r="BK942" s="71"/>
      <c r="BL942" s="550"/>
      <c r="BM942" s="542"/>
    </row>
    <row r="943" spans="1:65" ht="32.1" customHeight="1">
      <c r="B943" s="358" t="s">
        <v>3134</v>
      </c>
      <c r="C943" s="15" t="s">
        <v>1234</v>
      </c>
      <c r="D943" s="177" t="s">
        <v>1235</v>
      </c>
      <c r="E943" s="384" t="s">
        <v>14</v>
      </c>
      <c r="F943" s="410">
        <v>113285</v>
      </c>
      <c r="G943" s="10"/>
      <c r="H943" s="167">
        <v>32000</v>
      </c>
      <c r="I943" s="10">
        <v>56000</v>
      </c>
      <c r="J943" s="76">
        <f t="shared" si="1049"/>
        <v>56000</v>
      </c>
      <c r="K943" s="24">
        <f t="shared" si="1050"/>
        <v>-57285</v>
      </c>
      <c r="L943" s="281">
        <f t="shared" si="1051"/>
        <v>-0.50567153639051954</v>
      </c>
      <c r="M943" s="431">
        <f t="shared" si="1052"/>
        <v>32000</v>
      </c>
      <c r="N943" s="408"/>
      <c r="O943" s="293"/>
      <c r="P943" s="293"/>
      <c r="Q943" s="293"/>
      <c r="R943" s="293"/>
      <c r="S943" s="293"/>
      <c r="T943" s="293"/>
      <c r="U943" s="327"/>
      <c r="V943" s="463"/>
      <c r="W943" s="416"/>
      <c r="X943" s="10"/>
      <c r="Y943" s="10"/>
      <c r="Z943" s="10"/>
      <c r="AA943" s="120"/>
      <c r="AB943" s="120"/>
      <c r="AC943" s="120"/>
      <c r="AD943" s="384"/>
      <c r="AE943" s="462"/>
      <c r="AF943" s="408"/>
      <c r="AG943" s="293"/>
      <c r="AH943" s="293"/>
      <c r="AI943" s="293"/>
      <c r="AJ943" s="293"/>
      <c r="AK943" s="293"/>
      <c r="AL943" s="327"/>
      <c r="AM943" s="463"/>
      <c r="AN943" s="15"/>
      <c r="AO943" s="120"/>
      <c r="AP943" s="120"/>
      <c r="AQ943" s="120"/>
      <c r="AR943" s="120"/>
      <c r="AS943" s="120"/>
      <c r="AT943" s="120"/>
      <c r="AU943" s="422"/>
      <c r="AV943" s="508"/>
      <c r="AW943" s="15"/>
      <c r="AX943" s="70"/>
      <c r="AY943" s="70"/>
      <c r="AZ943" s="70"/>
      <c r="BA943" s="70"/>
      <c r="BB943" s="70"/>
      <c r="BC943" s="70"/>
      <c r="BD943" s="250"/>
      <c r="BE943" s="250"/>
      <c r="BF943" s="250"/>
      <c r="BG943" s="250"/>
      <c r="BH943" s="250"/>
      <c r="BI943" s="71"/>
      <c r="BJ943" s="71"/>
      <c r="BK943" s="71"/>
      <c r="BL943" s="550"/>
      <c r="BM943" s="542"/>
    </row>
    <row r="944" spans="1:65" ht="32.1" customHeight="1">
      <c r="B944" s="358" t="s">
        <v>3135</v>
      </c>
      <c r="C944" s="15" t="s">
        <v>1236</v>
      </c>
      <c r="D944" s="177" t="s">
        <v>1237</v>
      </c>
      <c r="E944" s="384" t="s">
        <v>14</v>
      </c>
      <c r="F944" s="410">
        <v>1422540</v>
      </c>
      <c r="G944" s="10">
        <v>650000</v>
      </c>
      <c r="H944" s="167">
        <v>1950000</v>
      </c>
      <c r="I944" s="10">
        <v>600000</v>
      </c>
      <c r="J944" s="76">
        <f t="shared" si="1049"/>
        <v>625000</v>
      </c>
      <c r="K944" s="24">
        <f t="shared" si="1050"/>
        <v>-797540</v>
      </c>
      <c r="L944" s="281">
        <f t="shared" si="1051"/>
        <v>-0.56064504337312127</v>
      </c>
      <c r="M944" s="431">
        <f t="shared" si="1052"/>
        <v>1950000</v>
      </c>
      <c r="N944" s="408"/>
      <c r="O944" s="293"/>
      <c r="P944" s="293"/>
      <c r="Q944" s="293"/>
      <c r="R944" s="293"/>
      <c r="S944" s="293"/>
      <c r="T944" s="293"/>
      <c r="U944" s="327"/>
      <c r="V944" s="463"/>
      <c r="W944" s="416"/>
      <c r="X944" s="10"/>
      <c r="Y944" s="10"/>
      <c r="Z944" s="10"/>
      <c r="AA944" s="120"/>
      <c r="AB944" s="120"/>
      <c r="AC944" s="120"/>
      <c r="AD944" s="384"/>
      <c r="AE944" s="462"/>
      <c r="AF944" s="408"/>
      <c r="AG944" s="293"/>
      <c r="AH944" s="293"/>
      <c r="AI944" s="293"/>
      <c r="AJ944" s="293"/>
      <c r="AK944" s="293"/>
      <c r="AL944" s="327"/>
      <c r="AM944" s="463"/>
      <c r="AN944" s="15"/>
      <c r="AO944" s="120"/>
      <c r="AP944" s="120"/>
      <c r="AQ944" s="120"/>
      <c r="AR944" s="120"/>
      <c r="AS944" s="120"/>
      <c r="AT944" s="120"/>
      <c r="AU944" s="422"/>
      <c r="AV944" s="508"/>
      <c r="AW944" s="15"/>
      <c r="AX944" s="70"/>
      <c r="AY944" s="70"/>
      <c r="AZ944" s="70"/>
      <c r="BA944" s="70"/>
      <c r="BB944" s="70"/>
      <c r="BC944" s="70"/>
      <c r="BD944" s="250"/>
      <c r="BE944" s="250"/>
      <c r="BF944" s="250"/>
      <c r="BG944" s="250"/>
      <c r="BH944" s="250"/>
      <c r="BI944" s="71"/>
      <c r="BJ944" s="71"/>
      <c r="BK944" s="71"/>
      <c r="BL944" s="550"/>
      <c r="BM944" s="542"/>
    </row>
    <row r="945" spans="2:65" ht="32.1" customHeight="1">
      <c r="B945" s="358" t="s">
        <v>3136</v>
      </c>
      <c r="C945" s="15" t="s">
        <v>1238</v>
      </c>
      <c r="D945" s="177" t="s">
        <v>1239</v>
      </c>
      <c r="E945" s="384" t="s">
        <v>14</v>
      </c>
      <c r="F945" s="410">
        <v>365796</v>
      </c>
      <c r="G945" s="10">
        <v>450000</v>
      </c>
      <c r="H945" s="167">
        <v>1350000</v>
      </c>
      <c r="I945" s="10">
        <v>400000</v>
      </c>
      <c r="J945" s="76">
        <f t="shared" si="1049"/>
        <v>425000</v>
      </c>
      <c r="K945" s="24">
        <f t="shared" si="1050"/>
        <v>59204</v>
      </c>
      <c r="L945" s="281">
        <f t="shared" si="1051"/>
        <v>0.16184977419107918</v>
      </c>
      <c r="M945" s="431">
        <f t="shared" si="1052"/>
        <v>1350000</v>
      </c>
      <c r="N945" s="408"/>
      <c r="O945" s="293"/>
      <c r="P945" s="293"/>
      <c r="Q945" s="293"/>
      <c r="R945" s="293"/>
      <c r="S945" s="293"/>
      <c r="T945" s="293"/>
      <c r="U945" s="327"/>
      <c r="V945" s="463"/>
      <c r="W945" s="416"/>
      <c r="X945" s="10"/>
      <c r="Y945" s="10"/>
      <c r="Z945" s="10"/>
      <c r="AA945" s="120"/>
      <c r="AB945" s="120"/>
      <c r="AC945" s="120"/>
      <c r="AD945" s="384"/>
      <c r="AE945" s="462"/>
      <c r="AF945" s="408"/>
      <c r="AG945" s="293"/>
      <c r="AH945" s="293"/>
      <c r="AI945" s="293"/>
      <c r="AJ945" s="293"/>
      <c r="AK945" s="293"/>
      <c r="AL945" s="327"/>
      <c r="AM945" s="463"/>
      <c r="AN945" s="15"/>
      <c r="AO945" s="120"/>
      <c r="AP945" s="120"/>
      <c r="AQ945" s="120"/>
      <c r="AR945" s="120"/>
      <c r="AS945" s="120"/>
      <c r="AT945" s="120"/>
      <c r="AU945" s="422"/>
      <c r="AV945" s="508"/>
      <c r="AW945" s="15"/>
      <c r="AX945" s="70"/>
      <c r="AY945" s="70"/>
      <c r="AZ945" s="70"/>
      <c r="BA945" s="70"/>
      <c r="BB945" s="70"/>
      <c r="BC945" s="70"/>
      <c r="BD945" s="250"/>
      <c r="BE945" s="250"/>
      <c r="BF945" s="250"/>
      <c r="BG945" s="250"/>
      <c r="BH945" s="250"/>
      <c r="BI945" s="71"/>
      <c r="BJ945" s="71"/>
      <c r="BK945" s="71"/>
      <c r="BL945" s="550"/>
      <c r="BM945" s="542"/>
    </row>
    <row r="946" spans="2:65" ht="32.1" customHeight="1">
      <c r="B946" s="358" t="s">
        <v>3137</v>
      </c>
      <c r="C946" s="15" t="s">
        <v>1240</v>
      </c>
      <c r="D946" s="177" t="s">
        <v>1241</v>
      </c>
      <c r="E946" s="384" t="s">
        <v>14</v>
      </c>
      <c r="F946" s="410">
        <v>457245</v>
      </c>
      <c r="G946" s="10">
        <v>650000</v>
      </c>
      <c r="H946" s="167">
        <v>1950000</v>
      </c>
      <c r="I946" s="10">
        <v>567000</v>
      </c>
      <c r="J946" s="76">
        <f t="shared" si="1049"/>
        <v>608500</v>
      </c>
      <c r="K946" s="24">
        <f t="shared" si="1050"/>
        <v>151255</v>
      </c>
      <c r="L946" s="281">
        <f t="shared" si="1051"/>
        <v>0.33079640017933493</v>
      </c>
      <c r="M946" s="431">
        <f t="shared" si="1052"/>
        <v>1950000</v>
      </c>
      <c r="N946" s="408"/>
      <c r="O946" s="293"/>
      <c r="P946" s="293"/>
      <c r="Q946" s="293"/>
      <c r="R946" s="293"/>
      <c r="S946" s="293"/>
      <c r="T946" s="293"/>
      <c r="U946" s="327"/>
      <c r="V946" s="463"/>
      <c r="W946" s="416"/>
      <c r="X946" s="10"/>
      <c r="Y946" s="10"/>
      <c r="Z946" s="10"/>
      <c r="AA946" s="120"/>
      <c r="AB946" s="120"/>
      <c r="AC946" s="120"/>
      <c r="AD946" s="384"/>
      <c r="AE946" s="462"/>
      <c r="AF946" s="408"/>
      <c r="AG946" s="293"/>
      <c r="AH946" s="293"/>
      <c r="AI946" s="293"/>
      <c r="AJ946" s="293"/>
      <c r="AK946" s="293"/>
      <c r="AL946" s="327"/>
      <c r="AM946" s="463"/>
      <c r="AN946" s="15"/>
      <c r="AO946" s="120"/>
      <c r="AP946" s="120"/>
      <c r="AQ946" s="120"/>
      <c r="AR946" s="120"/>
      <c r="AS946" s="120"/>
      <c r="AT946" s="120"/>
      <c r="AU946" s="422"/>
      <c r="AV946" s="508"/>
      <c r="AW946" s="15"/>
      <c r="AX946" s="70"/>
      <c r="AY946" s="70"/>
      <c r="AZ946" s="70"/>
      <c r="BA946" s="70"/>
      <c r="BB946" s="70"/>
      <c r="BC946" s="70"/>
      <c r="BD946" s="250"/>
      <c r="BE946" s="250"/>
      <c r="BF946" s="250"/>
      <c r="BG946" s="250"/>
      <c r="BH946" s="250"/>
      <c r="BI946" s="71"/>
      <c r="BJ946" s="71"/>
      <c r="BK946" s="71"/>
      <c r="BL946" s="550"/>
      <c r="BM946" s="542"/>
    </row>
    <row r="947" spans="2:65" ht="32.1" customHeight="1">
      <c r="B947" s="358" t="s">
        <v>3138</v>
      </c>
      <c r="C947" s="15" t="s">
        <v>1242</v>
      </c>
      <c r="D947" s="177" t="s">
        <v>1243</v>
      </c>
      <c r="E947" s="384" t="s">
        <v>14</v>
      </c>
      <c r="F947" s="410">
        <v>1524150</v>
      </c>
      <c r="G947" s="10">
        <v>281145</v>
      </c>
      <c r="H947" s="167">
        <v>843435</v>
      </c>
      <c r="I947" s="10">
        <v>345000</v>
      </c>
      <c r="J947" s="76">
        <f t="shared" si="1049"/>
        <v>313072.5</v>
      </c>
      <c r="K947" s="24">
        <f t="shared" si="1050"/>
        <v>-1211077.5</v>
      </c>
      <c r="L947" s="281">
        <f t="shared" si="1051"/>
        <v>-0.79459206770987112</v>
      </c>
      <c r="M947" s="431">
        <f t="shared" si="1052"/>
        <v>843435</v>
      </c>
      <c r="N947" s="408"/>
      <c r="O947" s="293"/>
      <c r="P947" s="293"/>
      <c r="Q947" s="293"/>
      <c r="R947" s="293"/>
      <c r="S947" s="293"/>
      <c r="T947" s="293"/>
      <c r="U947" s="327"/>
      <c r="V947" s="463"/>
      <c r="W947" s="416"/>
      <c r="X947" s="10"/>
      <c r="Y947" s="10"/>
      <c r="Z947" s="10"/>
      <c r="AA947" s="120"/>
      <c r="AB947" s="120"/>
      <c r="AC947" s="120"/>
      <c r="AD947" s="384"/>
      <c r="AE947" s="462"/>
      <c r="AF947" s="408"/>
      <c r="AG947" s="293"/>
      <c r="AH947" s="293"/>
      <c r="AI947" s="293"/>
      <c r="AJ947" s="293"/>
      <c r="AK947" s="293"/>
      <c r="AL947" s="327"/>
      <c r="AM947" s="463"/>
      <c r="AN947" s="15"/>
      <c r="AO947" s="120"/>
      <c r="AP947" s="120"/>
      <c r="AQ947" s="120"/>
      <c r="AR947" s="120"/>
      <c r="AS947" s="120"/>
      <c r="AT947" s="120"/>
      <c r="AU947" s="422"/>
      <c r="AV947" s="508"/>
      <c r="AW947" s="15"/>
      <c r="AX947" s="70"/>
      <c r="AY947" s="70"/>
      <c r="AZ947" s="70"/>
      <c r="BA947" s="70"/>
      <c r="BB947" s="70"/>
      <c r="BC947" s="70"/>
      <c r="BD947" s="250"/>
      <c r="BE947" s="250"/>
      <c r="BF947" s="250"/>
      <c r="BG947" s="250"/>
      <c r="BH947" s="250"/>
      <c r="BI947" s="71"/>
      <c r="BJ947" s="71"/>
      <c r="BK947" s="71"/>
      <c r="BL947" s="550"/>
      <c r="BM947" s="542"/>
    </row>
    <row r="948" spans="2:65" ht="32.1" customHeight="1">
      <c r="B948" s="358" t="s">
        <v>3139</v>
      </c>
      <c r="C948" s="15" t="s">
        <v>1244</v>
      </c>
      <c r="D948" s="177" t="s">
        <v>1245</v>
      </c>
      <c r="E948" s="384" t="s">
        <v>14</v>
      </c>
      <c r="F948" s="410">
        <v>1219320</v>
      </c>
      <c r="G948" s="10">
        <v>281145</v>
      </c>
      <c r="H948" s="167">
        <v>562290</v>
      </c>
      <c r="I948" s="10">
        <v>345000</v>
      </c>
      <c r="J948" s="76">
        <f t="shared" si="1049"/>
        <v>313072.5</v>
      </c>
      <c r="K948" s="24">
        <f t="shared" si="1050"/>
        <v>-906247.5</v>
      </c>
      <c r="L948" s="281">
        <f t="shared" si="1051"/>
        <v>-0.74324008463733882</v>
      </c>
      <c r="M948" s="431">
        <f t="shared" si="1052"/>
        <v>562290</v>
      </c>
      <c r="N948" s="408"/>
      <c r="O948" s="293"/>
      <c r="P948" s="293"/>
      <c r="Q948" s="293"/>
      <c r="R948" s="293"/>
      <c r="S948" s="293"/>
      <c r="T948" s="293"/>
      <c r="U948" s="327"/>
      <c r="V948" s="463"/>
      <c r="W948" s="416"/>
      <c r="X948" s="10"/>
      <c r="Y948" s="10"/>
      <c r="Z948" s="10"/>
      <c r="AA948" s="120"/>
      <c r="AB948" s="120"/>
      <c r="AC948" s="120"/>
      <c r="AD948" s="384"/>
      <c r="AE948" s="462"/>
      <c r="AF948" s="408"/>
      <c r="AG948" s="293"/>
      <c r="AH948" s="293"/>
      <c r="AI948" s="293"/>
      <c r="AJ948" s="293"/>
      <c r="AK948" s="293"/>
      <c r="AL948" s="327"/>
      <c r="AM948" s="463"/>
      <c r="AN948" s="15"/>
      <c r="AO948" s="120"/>
      <c r="AP948" s="120"/>
      <c r="AQ948" s="120"/>
      <c r="AR948" s="120"/>
      <c r="AS948" s="120"/>
      <c r="AT948" s="120"/>
      <c r="AU948" s="422"/>
      <c r="AV948" s="508"/>
      <c r="AW948" s="15"/>
      <c r="AX948" s="70"/>
      <c r="AY948" s="70"/>
      <c r="AZ948" s="70"/>
      <c r="BA948" s="70"/>
      <c r="BB948" s="70"/>
      <c r="BC948" s="70"/>
      <c r="BD948" s="250"/>
      <c r="BE948" s="250"/>
      <c r="BF948" s="250"/>
      <c r="BG948" s="250"/>
      <c r="BH948" s="250"/>
      <c r="BI948" s="71"/>
      <c r="BJ948" s="71"/>
      <c r="BK948" s="71"/>
      <c r="BL948" s="550"/>
      <c r="BM948" s="542"/>
    </row>
    <row r="949" spans="2:65" ht="71.099999999999994" customHeight="1">
      <c r="B949" s="358" t="s">
        <v>3140</v>
      </c>
      <c r="C949" s="15" t="s">
        <v>1246</v>
      </c>
      <c r="D949" s="177" t="s">
        <v>1247</v>
      </c>
      <c r="E949" s="384" t="s">
        <v>14</v>
      </c>
      <c r="F949" s="410">
        <v>159891</v>
      </c>
      <c r="G949" s="10"/>
      <c r="H949" s="167">
        <v>350000</v>
      </c>
      <c r="I949" s="10">
        <v>125000</v>
      </c>
      <c r="J949" s="76">
        <f t="shared" si="1049"/>
        <v>125000</v>
      </c>
      <c r="K949" s="24">
        <f t="shared" si="1050"/>
        <v>-34891</v>
      </c>
      <c r="L949" s="281">
        <f t="shared" si="1051"/>
        <v>-0.21821741061097874</v>
      </c>
      <c r="M949" s="431">
        <f t="shared" si="1052"/>
        <v>350000</v>
      </c>
      <c r="N949" s="408"/>
      <c r="O949" s="293"/>
      <c r="P949" s="293"/>
      <c r="Q949" s="293"/>
      <c r="R949" s="293"/>
      <c r="S949" s="293"/>
      <c r="T949" s="293"/>
      <c r="U949" s="327"/>
      <c r="V949" s="463"/>
      <c r="W949" s="416"/>
      <c r="X949" s="10"/>
      <c r="Y949" s="10"/>
      <c r="Z949" s="10"/>
      <c r="AA949" s="120"/>
      <c r="AB949" s="120"/>
      <c r="AC949" s="120"/>
      <c r="AD949" s="384"/>
      <c r="AE949" s="462"/>
      <c r="AF949" s="408"/>
      <c r="AG949" s="293"/>
      <c r="AH949" s="293"/>
      <c r="AI949" s="293"/>
      <c r="AJ949" s="293"/>
      <c r="AK949" s="293"/>
      <c r="AL949" s="327"/>
      <c r="AM949" s="463"/>
      <c r="AN949" s="15"/>
      <c r="AO949" s="120"/>
      <c r="AP949" s="120"/>
      <c r="AQ949" s="120"/>
      <c r="AR949" s="120"/>
      <c r="AS949" s="120"/>
      <c r="AT949" s="120"/>
      <c r="AU949" s="422"/>
      <c r="AV949" s="508"/>
      <c r="AW949" s="15"/>
      <c r="AX949" s="70"/>
      <c r="AY949" s="70"/>
      <c r="AZ949" s="70"/>
      <c r="BA949" s="70"/>
      <c r="BB949" s="70"/>
      <c r="BC949" s="70"/>
      <c r="BD949" s="250"/>
      <c r="BE949" s="250"/>
      <c r="BF949" s="250"/>
      <c r="BG949" s="250"/>
      <c r="BH949" s="250"/>
      <c r="BI949" s="71"/>
      <c r="BJ949" s="71"/>
      <c r="BK949" s="71"/>
      <c r="BL949" s="550"/>
      <c r="BM949" s="542"/>
    </row>
    <row r="950" spans="2:65" ht="62.1" customHeight="1">
      <c r="B950" s="358" t="s">
        <v>3141</v>
      </c>
      <c r="C950" s="15" t="s">
        <v>1248</v>
      </c>
      <c r="D950" s="177" t="s">
        <v>1249</v>
      </c>
      <c r="E950" s="384" t="s">
        <v>14</v>
      </c>
      <c r="F950" s="410">
        <v>107322</v>
      </c>
      <c r="G950" s="10"/>
      <c r="H950" s="167">
        <v>35000</v>
      </c>
      <c r="I950" s="10">
        <v>125000</v>
      </c>
      <c r="J950" s="76">
        <f t="shared" si="1049"/>
        <v>125000</v>
      </c>
      <c r="K950" s="24">
        <f t="shared" si="1050"/>
        <v>17678</v>
      </c>
      <c r="L950" s="281">
        <f t="shared" si="1051"/>
        <v>0.16471925607051677</v>
      </c>
      <c r="M950" s="431">
        <f t="shared" si="1052"/>
        <v>35000</v>
      </c>
      <c r="N950" s="408"/>
      <c r="O950" s="293"/>
      <c r="P950" s="293"/>
      <c r="Q950" s="293"/>
      <c r="R950" s="293"/>
      <c r="S950" s="293"/>
      <c r="T950" s="293"/>
      <c r="U950" s="327"/>
      <c r="V950" s="463"/>
      <c r="W950" s="416"/>
      <c r="X950" s="10"/>
      <c r="Y950" s="10"/>
      <c r="Z950" s="10"/>
      <c r="AA950" s="120"/>
      <c r="AB950" s="120"/>
      <c r="AC950" s="120"/>
      <c r="AD950" s="384"/>
      <c r="AE950" s="462"/>
      <c r="AF950" s="408"/>
      <c r="AG950" s="293"/>
      <c r="AH950" s="293"/>
      <c r="AI950" s="293"/>
      <c r="AJ950" s="293"/>
      <c r="AK950" s="293"/>
      <c r="AL950" s="327"/>
      <c r="AM950" s="463"/>
      <c r="AN950" s="15"/>
      <c r="AO950" s="120"/>
      <c r="AP950" s="120"/>
      <c r="AQ950" s="120"/>
      <c r="AR950" s="120"/>
      <c r="AS950" s="120"/>
      <c r="AT950" s="120"/>
      <c r="AU950" s="422"/>
      <c r="AV950" s="508"/>
      <c r="AW950" s="15"/>
      <c r="AX950" s="70"/>
      <c r="AY950" s="70"/>
      <c r="AZ950" s="70"/>
      <c r="BA950" s="70"/>
      <c r="BB950" s="70"/>
      <c r="BC950" s="70"/>
      <c r="BD950" s="250"/>
      <c r="BE950" s="250"/>
      <c r="BF950" s="250"/>
      <c r="BG950" s="250"/>
      <c r="BH950" s="250"/>
      <c r="BI950" s="71"/>
      <c r="BJ950" s="71"/>
      <c r="BK950" s="71"/>
      <c r="BL950" s="550"/>
      <c r="BM950" s="542"/>
    </row>
    <row r="951" spans="2:65" ht="48" customHeight="1">
      <c r="B951" s="358" t="s">
        <v>3142</v>
      </c>
      <c r="C951" s="15" t="s">
        <v>1250</v>
      </c>
      <c r="D951" s="177" t="s">
        <v>1251</v>
      </c>
      <c r="E951" s="384" t="s">
        <v>10</v>
      </c>
      <c r="F951" s="410">
        <v>55895</v>
      </c>
      <c r="G951" s="10">
        <v>93077.64</v>
      </c>
      <c r="H951" s="167">
        <v>186155.28</v>
      </c>
      <c r="I951" s="10">
        <v>90500</v>
      </c>
      <c r="J951" s="76">
        <f t="shared" si="1049"/>
        <v>91788.82</v>
      </c>
      <c r="K951" s="24">
        <f t="shared" si="1050"/>
        <v>35893.820000000007</v>
      </c>
      <c r="L951" s="281">
        <f t="shared" si="1051"/>
        <v>0.64216513104928896</v>
      </c>
      <c r="M951" s="431">
        <f t="shared" si="1052"/>
        <v>186155.28</v>
      </c>
      <c r="N951" s="408"/>
      <c r="O951" s="293"/>
      <c r="P951" s="293"/>
      <c r="Q951" s="293"/>
      <c r="R951" s="293"/>
      <c r="S951" s="293"/>
      <c r="T951" s="293"/>
      <c r="U951" s="327"/>
      <c r="V951" s="463"/>
      <c r="W951" s="416"/>
      <c r="X951" s="10"/>
      <c r="Y951" s="10"/>
      <c r="Z951" s="10"/>
      <c r="AA951" s="120"/>
      <c r="AB951" s="120"/>
      <c r="AC951" s="120"/>
      <c r="AD951" s="384"/>
      <c r="AE951" s="462"/>
      <c r="AF951" s="408"/>
      <c r="AG951" s="293"/>
      <c r="AH951" s="293"/>
      <c r="AI951" s="293"/>
      <c r="AJ951" s="293"/>
      <c r="AK951" s="293"/>
      <c r="AL951" s="327"/>
      <c r="AM951" s="463"/>
      <c r="AN951" s="15"/>
      <c r="AO951" s="120"/>
      <c r="AP951" s="120"/>
      <c r="AQ951" s="120"/>
      <c r="AR951" s="120"/>
      <c r="AS951" s="120"/>
      <c r="AT951" s="120"/>
      <c r="AU951" s="422"/>
      <c r="AV951" s="508"/>
      <c r="AW951" s="15"/>
      <c r="AX951" s="70"/>
      <c r="AY951" s="70"/>
      <c r="AZ951" s="70"/>
      <c r="BA951" s="70"/>
      <c r="BB951" s="70"/>
      <c r="BC951" s="70"/>
      <c r="BD951" s="250"/>
      <c r="BE951" s="250"/>
      <c r="BF951" s="250"/>
      <c r="BG951" s="250"/>
      <c r="BH951" s="250"/>
      <c r="BI951" s="71"/>
      <c r="BJ951" s="71"/>
      <c r="BK951" s="71"/>
      <c r="BL951" s="550"/>
      <c r="BM951" s="542"/>
    </row>
    <row r="952" spans="2:65" ht="47.1" customHeight="1">
      <c r="B952" s="358" t="s">
        <v>3143</v>
      </c>
      <c r="C952" s="15" t="s">
        <v>1252</v>
      </c>
      <c r="D952" s="177" t="s">
        <v>1253</v>
      </c>
      <c r="E952" s="384" t="s">
        <v>13</v>
      </c>
      <c r="F952" s="410">
        <v>38324</v>
      </c>
      <c r="G952" s="10">
        <v>36818.54</v>
      </c>
      <c r="H952" s="167">
        <v>73637.08</v>
      </c>
      <c r="I952" s="10">
        <v>35000</v>
      </c>
      <c r="J952" s="76">
        <f t="shared" si="1049"/>
        <v>35909.270000000004</v>
      </c>
      <c r="K952" s="24">
        <f t="shared" si="1050"/>
        <v>-2414.7299999999959</v>
      </c>
      <c r="L952" s="281">
        <f t="shared" si="1051"/>
        <v>-6.3008297672476676E-2</v>
      </c>
      <c r="M952" s="431">
        <f t="shared" si="1052"/>
        <v>73637.08</v>
      </c>
      <c r="N952" s="408"/>
      <c r="O952" s="293"/>
      <c r="P952" s="293"/>
      <c r="Q952" s="293"/>
      <c r="R952" s="293"/>
      <c r="S952" s="293"/>
      <c r="T952" s="293"/>
      <c r="U952" s="327"/>
      <c r="V952" s="463"/>
      <c r="W952" s="416"/>
      <c r="X952" s="10"/>
      <c r="Y952" s="10"/>
      <c r="Z952" s="10"/>
      <c r="AA952" s="120"/>
      <c r="AB952" s="120"/>
      <c r="AC952" s="120"/>
      <c r="AD952" s="384"/>
      <c r="AE952" s="462"/>
      <c r="AF952" s="408"/>
      <c r="AG952" s="293"/>
      <c r="AH952" s="293"/>
      <c r="AI952" s="293"/>
      <c r="AJ952" s="293"/>
      <c r="AK952" s="293"/>
      <c r="AL952" s="327"/>
      <c r="AM952" s="463"/>
      <c r="AN952" s="15"/>
      <c r="AO952" s="120"/>
      <c r="AP952" s="120"/>
      <c r="AQ952" s="120"/>
      <c r="AR952" s="120"/>
      <c r="AS952" s="120"/>
      <c r="AT952" s="120"/>
      <c r="AU952" s="422"/>
      <c r="AV952" s="508"/>
      <c r="AW952" s="15"/>
      <c r="AX952" s="70"/>
      <c r="AY952" s="70"/>
      <c r="AZ952" s="70"/>
      <c r="BA952" s="70"/>
      <c r="BB952" s="70"/>
      <c r="BC952" s="70"/>
      <c r="BD952" s="250"/>
      <c r="BE952" s="250"/>
      <c r="BF952" s="250"/>
      <c r="BG952" s="250"/>
      <c r="BH952" s="250"/>
      <c r="BI952" s="71"/>
      <c r="BJ952" s="71"/>
      <c r="BK952" s="71"/>
      <c r="BL952" s="550"/>
      <c r="BM952" s="542"/>
    </row>
    <row r="953" spans="2:65" ht="47.1" customHeight="1">
      <c r="B953" s="358" t="s">
        <v>3144</v>
      </c>
      <c r="C953" s="15" t="s">
        <v>1254</v>
      </c>
      <c r="D953" s="177" t="s">
        <v>1255</v>
      </c>
      <c r="E953" s="384" t="s">
        <v>14</v>
      </c>
      <c r="F953" s="410">
        <v>96492</v>
      </c>
      <c r="G953" s="10">
        <v>53112</v>
      </c>
      <c r="H953" s="167">
        <v>106224</v>
      </c>
      <c r="I953" s="10">
        <v>80000</v>
      </c>
      <c r="J953" s="76">
        <f t="shared" si="1049"/>
        <v>66556</v>
      </c>
      <c r="K953" s="24">
        <f t="shared" si="1050"/>
        <v>-29936</v>
      </c>
      <c r="L953" s="281">
        <f t="shared" si="1051"/>
        <v>-0.31024333623512829</v>
      </c>
      <c r="M953" s="431">
        <f t="shared" si="1052"/>
        <v>106224</v>
      </c>
      <c r="N953" s="408"/>
      <c r="O953" s="293"/>
      <c r="P953" s="293"/>
      <c r="Q953" s="293"/>
      <c r="R953" s="293"/>
      <c r="S953" s="293"/>
      <c r="T953" s="293"/>
      <c r="U953" s="327"/>
      <c r="V953" s="463"/>
      <c r="W953" s="416"/>
      <c r="X953" s="10"/>
      <c r="Y953" s="10"/>
      <c r="Z953" s="10"/>
      <c r="AA953" s="120"/>
      <c r="AB953" s="120"/>
      <c r="AC953" s="120"/>
      <c r="AD953" s="384"/>
      <c r="AE953" s="462"/>
      <c r="AF953" s="408"/>
      <c r="AG953" s="293"/>
      <c r="AH953" s="293"/>
      <c r="AI953" s="293"/>
      <c r="AJ953" s="293"/>
      <c r="AK953" s="293"/>
      <c r="AL953" s="327"/>
      <c r="AM953" s="463"/>
      <c r="AN953" s="15"/>
      <c r="AO953" s="120"/>
      <c r="AP953" s="120"/>
      <c r="AQ953" s="120"/>
      <c r="AR953" s="120"/>
      <c r="AS953" s="120"/>
      <c r="AT953" s="120"/>
      <c r="AU953" s="422"/>
      <c r="AV953" s="508"/>
      <c r="AW953" s="15"/>
      <c r="AX953" s="70"/>
      <c r="AY953" s="70"/>
      <c r="AZ953" s="70"/>
      <c r="BA953" s="70"/>
      <c r="BB953" s="70"/>
      <c r="BC953" s="70"/>
      <c r="BD953" s="250"/>
      <c r="BE953" s="250"/>
      <c r="BF953" s="250"/>
      <c r="BG953" s="250"/>
      <c r="BH953" s="250"/>
      <c r="BI953" s="71"/>
      <c r="BJ953" s="71"/>
      <c r="BK953" s="71"/>
      <c r="BL953" s="550"/>
      <c r="BM953" s="542"/>
    </row>
    <row r="954" spans="2:65" ht="48" customHeight="1">
      <c r="B954" s="358" t="s">
        <v>3145</v>
      </c>
      <c r="C954" s="15" t="s">
        <v>1256</v>
      </c>
      <c r="D954" s="177" t="s">
        <v>1257</v>
      </c>
      <c r="E954" s="384" t="s">
        <v>10</v>
      </c>
      <c r="F954" s="410">
        <v>11956</v>
      </c>
      <c r="G954" s="10"/>
      <c r="H954" s="167">
        <v>45000</v>
      </c>
      <c r="I954" s="10">
        <v>90000</v>
      </c>
      <c r="J954" s="76">
        <f t="shared" si="1049"/>
        <v>90000</v>
      </c>
      <c r="K954" s="24">
        <f t="shared" si="1050"/>
        <v>78044</v>
      </c>
      <c r="L954" s="281">
        <f t="shared" si="1051"/>
        <v>6.5276012044161931</v>
      </c>
      <c r="M954" s="431">
        <f t="shared" si="1052"/>
        <v>45000</v>
      </c>
      <c r="N954" s="408"/>
      <c r="O954" s="293"/>
      <c r="P954" s="293"/>
      <c r="Q954" s="293"/>
      <c r="R954" s="293"/>
      <c r="S954" s="293"/>
      <c r="T954" s="293"/>
      <c r="U954" s="327"/>
      <c r="V954" s="463"/>
      <c r="W954" s="416"/>
      <c r="X954" s="10"/>
      <c r="Y954" s="10"/>
      <c r="Z954" s="10"/>
      <c r="AA954" s="120"/>
      <c r="AB954" s="120"/>
      <c r="AC954" s="120"/>
      <c r="AD954" s="384"/>
      <c r="AE954" s="462"/>
      <c r="AF954" s="408"/>
      <c r="AG954" s="293"/>
      <c r="AH954" s="293"/>
      <c r="AI954" s="293"/>
      <c r="AJ954" s="293"/>
      <c r="AK954" s="293"/>
      <c r="AL954" s="327"/>
      <c r="AM954" s="463"/>
      <c r="AN954" s="15"/>
      <c r="AO954" s="120"/>
      <c r="AP954" s="120"/>
      <c r="AQ954" s="120"/>
      <c r="AR954" s="120"/>
      <c r="AS954" s="120"/>
      <c r="AT954" s="120"/>
      <c r="AU954" s="422"/>
      <c r="AV954" s="508"/>
      <c r="AW954" s="15"/>
      <c r="AX954" s="70"/>
      <c r="AY954" s="70"/>
      <c r="AZ954" s="70"/>
      <c r="BA954" s="70"/>
      <c r="BB954" s="70"/>
      <c r="BC954" s="70"/>
      <c r="BD954" s="250"/>
      <c r="BE954" s="250"/>
      <c r="BF954" s="250"/>
      <c r="BG954" s="250"/>
      <c r="BH954" s="250"/>
      <c r="BI954" s="71"/>
      <c r="BJ954" s="71"/>
      <c r="BK954" s="71"/>
      <c r="BL954" s="550"/>
      <c r="BM954" s="542"/>
    </row>
    <row r="955" spans="2:65" ht="32.1" customHeight="1">
      <c r="B955" s="358" t="s">
        <v>3146</v>
      </c>
      <c r="C955" s="15" t="s">
        <v>1258</v>
      </c>
      <c r="D955" s="177" t="s">
        <v>1259</v>
      </c>
      <c r="E955" s="384" t="s">
        <v>14</v>
      </c>
      <c r="F955" s="410">
        <v>81998</v>
      </c>
      <c r="G955" s="10">
        <v>344624.2</v>
      </c>
      <c r="H955" s="167">
        <v>1378496.8</v>
      </c>
      <c r="I955" s="10">
        <v>65000</v>
      </c>
      <c r="J955" s="76">
        <f t="shared" si="1049"/>
        <v>204812.1</v>
      </c>
      <c r="K955" s="24">
        <f t="shared" si="1050"/>
        <v>122814.1</v>
      </c>
      <c r="L955" s="281">
        <f t="shared" si="1051"/>
        <v>1.4977694577916536</v>
      </c>
      <c r="M955" s="431">
        <f t="shared" si="1052"/>
        <v>1378496.8</v>
      </c>
      <c r="N955" s="408"/>
      <c r="O955" s="293"/>
      <c r="P955" s="293"/>
      <c r="Q955" s="293"/>
      <c r="R955" s="293"/>
      <c r="S955" s="293"/>
      <c r="T955" s="293"/>
      <c r="U955" s="327"/>
      <c r="V955" s="463"/>
      <c r="W955" s="416"/>
      <c r="X955" s="10"/>
      <c r="Y955" s="10"/>
      <c r="Z955" s="10"/>
      <c r="AA955" s="120"/>
      <c r="AB955" s="120"/>
      <c r="AC955" s="120"/>
      <c r="AD955" s="384"/>
      <c r="AE955" s="462"/>
      <c r="AF955" s="408"/>
      <c r="AG955" s="293"/>
      <c r="AH955" s="293"/>
      <c r="AI955" s="293"/>
      <c r="AJ955" s="293"/>
      <c r="AK955" s="293"/>
      <c r="AL955" s="327"/>
      <c r="AM955" s="463"/>
      <c r="AN955" s="15"/>
      <c r="AO955" s="120"/>
      <c r="AP955" s="120"/>
      <c r="AQ955" s="120"/>
      <c r="AR955" s="120"/>
      <c r="AS955" s="120"/>
      <c r="AT955" s="120"/>
      <c r="AU955" s="422"/>
      <c r="AV955" s="508"/>
      <c r="AW955" s="15"/>
      <c r="AX955" s="70"/>
      <c r="AY955" s="70"/>
      <c r="AZ955" s="70"/>
      <c r="BA955" s="70"/>
      <c r="BB955" s="70"/>
      <c r="BC955" s="70"/>
      <c r="BD955" s="250"/>
      <c r="BE955" s="250"/>
      <c r="BF955" s="250"/>
      <c r="BG955" s="250"/>
      <c r="BH955" s="250"/>
      <c r="BI955" s="71"/>
      <c r="BJ955" s="71"/>
      <c r="BK955" s="71"/>
      <c r="BL955" s="550"/>
      <c r="BM955" s="542"/>
    </row>
    <row r="956" spans="2:65" ht="45" customHeight="1">
      <c r="B956" s="358" t="s">
        <v>3147</v>
      </c>
      <c r="C956" s="15" t="s">
        <v>1260</v>
      </c>
      <c r="D956" s="177" t="s">
        <v>1261</v>
      </c>
      <c r="E956" s="384" t="s">
        <v>14</v>
      </c>
      <c r="F956" s="410">
        <v>65435</v>
      </c>
      <c r="G956" s="10"/>
      <c r="H956" s="167">
        <v>400000</v>
      </c>
      <c r="I956" s="10">
        <v>190000</v>
      </c>
      <c r="J956" s="76">
        <f t="shared" si="1049"/>
        <v>190000</v>
      </c>
      <c r="K956" s="24">
        <f t="shared" si="1050"/>
        <v>124565</v>
      </c>
      <c r="L956" s="281">
        <f t="shared" si="1051"/>
        <v>1.9036448383892413</v>
      </c>
      <c r="M956" s="431">
        <f t="shared" si="1052"/>
        <v>400000</v>
      </c>
      <c r="N956" s="408"/>
      <c r="O956" s="293"/>
      <c r="P956" s="293"/>
      <c r="Q956" s="293"/>
      <c r="R956" s="293"/>
      <c r="S956" s="293"/>
      <c r="T956" s="293"/>
      <c r="U956" s="327"/>
      <c r="V956" s="463"/>
      <c r="W956" s="15"/>
      <c r="X956" s="95"/>
      <c r="Y956" s="70"/>
      <c r="Z956" s="70"/>
      <c r="AA956" s="120"/>
      <c r="AB956" s="120"/>
      <c r="AC956" s="120"/>
      <c r="AD956" s="384"/>
      <c r="AE956" s="462"/>
      <c r="AF956" s="408"/>
      <c r="AG956" s="293"/>
      <c r="AH956" s="293"/>
      <c r="AI956" s="293"/>
      <c r="AJ956" s="293"/>
      <c r="AK956" s="293"/>
      <c r="AL956" s="327"/>
      <c r="AM956" s="463"/>
      <c r="AN956" s="15"/>
      <c r="AO956" s="120"/>
      <c r="AP956" s="120"/>
      <c r="AQ956" s="120"/>
      <c r="AR956" s="120"/>
      <c r="AS956" s="120"/>
      <c r="AT956" s="120"/>
      <c r="AU956" s="422"/>
      <c r="AV956" s="508"/>
      <c r="AW956" s="15"/>
      <c r="AX956" s="70"/>
      <c r="AY956" s="70"/>
      <c r="AZ956" s="70"/>
      <c r="BA956" s="70"/>
      <c r="BB956" s="70"/>
      <c r="BC956" s="70"/>
      <c r="BD956" s="250"/>
      <c r="BE956" s="250"/>
      <c r="BF956" s="250"/>
      <c r="BG956" s="250"/>
      <c r="BH956" s="250"/>
      <c r="BI956" s="71"/>
      <c r="BJ956" s="71"/>
      <c r="BK956" s="71"/>
      <c r="BL956" s="550"/>
      <c r="BM956" s="542"/>
    </row>
    <row r="957" spans="2:65" ht="32.1" customHeight="1">
      <c r="B957" s="358" t="s">
        <v>3148</v>
      </c>
      <c r="C957" s="15" t="s">
        <v>1262</v>
      </c>
      <c r="D957" s="177" t="s">
        <v>1263</v>
      </c>
      <c r="E957" s="384" t="s">
        <v>10</v>
      </c>
      <c r="F957" s="410">
        <v>12227</v>
      </c>
      <c r="G957" s="10">
        <v>12483.25</v>
      </c>
      <c r="H957" s="167">
        <v>24966.5</v>
      </c>
      <c r="I957" s="10">
        <v>8900</v>
      </c>
      <c r="J957" s="76">
        <f t="shared" si="1049"/>
        <v>10691.625</v>
      </c>
      <c r="K957" s="24">
        <f t="shared" si="1050"/>
        <v>-1535.375</v>
      </c>
      <c r="L957" s="281">
        <f t="shared" si="1051"/>
        <v>-0.12557250347591395</v>
      </c>
      <c r="M957" s="431">
        <f t="shared" si="1052"/>
        <v>24966.5</v>
      </c>
      <c r="N957" s="408"/>
      <c r="O957" s="293"/>
      <c r="P957" s="293"/>
      <c r="Q957" s="293"/>
      <c r="R957" s="293"/>
      <c r="S957" s="293"/>
      <c r="T957" s="293"/>
      <c r="U957" s="327"/>
      <c r="V957" s="463"/>
      <c r="W957" s="15"/>
      <c r="X957" s="95"/>
      <c r="Y957" s="70"/>
      <c r="Z957" s="70"/>
      <c r="AA957" s="120"/>
      <c r="AB957" s="120"/>
      <c r="AC957" s="120"/>
      <c r="AD957" s="384"/>
      <c r="AE957" s="462"/>
      <c r="AF957" s="408"/>
      <c r="AG957" s="293"/>
      <c r="AH957" s="293"/>
      <c r="AI957" s="293"/>
      <c r="AJ957" s="293"/>
      <c r="AK957" s="293"/>
      <c r="AL957" s="327"/>
      <c r="AM957" s="463"/>
      <c r="AN957" s="15"/>
      <c r="AO957" s="120"/>
      <c r="AP957" s="120"/>
      <c r="AQ957" s="120"/>
      <c r="AR957" s="120"/>
      <c r="AS957" s="120"/>
      <c r="AT957" s="120"/>
      <c r="AU957" s="422"/>
      <c r="AV957" s="508"/>
      <c r="AW957" s="15"/>
      <c r="AX957" s="70"/>
      <c r="AY957" s="70"/>
      <c r="AZ957" s="70"/>
      <c r="BA957" s="70"/>
      <c r="BB957" s="70"/>
      <c r="BC957" s="70"/>
      <c r="BD957" s="250"/>
      <c r="BE957" s="250"/>
      <c r="BF957" s="250"/>
      <c r="BG957" s="250"/>
      <c r="BH957" s="250"/>
      <c r="BI957" s="71"/>
      <c r="BJ957" s="71"/>
      <c r="BK957" s="71"/>
      <c r="BL957" s="550"/>
      <c r="BM957" s="542"/>
    </row>
    <row r="958" spans="2:65" ht="50.1" customHeight="1">
      <c r="B958" s="358" t="s">
        <v>3149</v>
      </c>
      <c r="C958" s="15" t="s">
        <v>1264</v>
      </c>
      <c r="D958" s="177" t="s">
        <v>1265</v>
      </c>
      <c r="E958" s="384" t="s">
        <v>827</v>
      </c>
      <c r="F958" s="410">
        <v>68546</v>
      </c>
      <c r="G958" s="10"/>
      <c r="H958" s="167">
        <v>350000</v>
      </c>
      <c r="I958" s="10">
        <v>134000</v>
      </c>
      <c r="J958" s="76">
        <f t="shared" si="1049"/>
        <v>134000</v>
      </c>
      <c r="K958" s="24">
        <f t="shared" si="1050"/>
        <v>65454</v>
      </c>
      <c r="L958" s="281">
        <f t="shared" si="1051"/>
        <v>0.95489160563709041</v>
      </c>
      <c r="M958" s="431">
        <f t="shared" si="1052"/>
        <v>350000</v>
      </c>
      <c r="N958" s="408"/>
      <c r="O958" s="293"/>
      <c r="P958" s="293"/>
      <c r="Q958" s="293"/>
      <c r="R958" s="293"/>
      <c r="S958" s="293"/>
      <c r="T958" s="293"/>
      <c r="U958" s="327"/>
      <c r="V958" s="463"/>
      <c r="W958" s="15"/>
      <c r="X958" s="95"/>
      <c r="Y958" s="70"/>
      <c r="Z958" s="70"/>
      <c r="AA958" s="120"/>
      <c r="AB958" s="120"/>
      <c r="AC958" s="120"/>
      <c r="AD958" s="384"/>
      <c r="AE958" s="462"/>
      <c r="AF958" s="408"/>
      <c r="AG958" s="293"/>
      <c r="AH958" s="293"/>
      <c r="AI958" s="293"/>
      <c r="AJ958" s="293"/>
      <c r="AK958" s="293"/>
      <c r="AL958" s="327"/>
      <c r="AM958" s="463"/>
      <c r="AN958" s="15"/>
      <c r="AO958" s="120"/>
      <c r="AP958" s="120"/>
      <c r="AQ958" s="120"/>
      <c r="AR958" s="120"/>
      <c r="AS958" s="120"/>
      <c r="AT958" s="120"/>
      <c r="AU958" s="422"/>
      <c r="AV958" s="508"/>
      <c r="AW958" s="15"/>
      <c r="AX958" s="70"/>
      <c r="AY958" s="70"/>
      <c r="AZ958" s="70"/>
      <c r="BA958" s="70"/>
      <c r="BB958" s="70"/>
      <c r="BC958" s="70"/>
      <c r="BD958" s="250"/>
      <c r="BE958" s="250"/>
      <c r="BF958" s="250"/>
      <c r="BG958" s="250"/>
      <c r="BH958" s="250"/>
      <c r="BI958" s="71"/>
      <c r="BJ958" s="71"/>
      <c r="BK958" s="71"/>
      <c r="BL958" s="550"/>
      <c r="BM958" s="542"/>
    </row>
    <row r="959" spans="2:65" ht="32.1" customHeight="1">
      <c r="B959" s="358" t="s">
        <v>3150</v>
      </c>
      <c r="C959" s="15" t="s">
        <v>1266</v>
      </c>
      <c r="D959" s="177" t="s">
        <v>1267</v>
      </c>
      <c r="E959" s="384" t="s">
        <v>1386</v>
      </c>
      <c r="F959" s="410">
        <v>7633</v>
      </c>
      <c r="G959" s="10"/>
      <c r="H959" s="167">
        <v>36000</v>
      </c>
      <c r="I959" s="10">
        <v>15600</v>
      </c>
      <c r="J959" s="76">
        <f t="shared" si="1049"/>
        <v>15600</v>
      </c>
      <c r="K959" s="24">
        <f t="shared" si="1050"/>
        <v>7967</v>
      </c>
      <c r="L959" s="281">
        <f t="shared" si="1051"/>
        <v>1.0437573693174373</v>
      </c>
      <c r="M959" s="431">
        <f t="shared" si="1052"/>
        <v>36000</v>
      </c>
      <c r="N959" s="408"/>
      <c r="O959" s="293"/>
      <c r="P959" s="293"/>
      <c r="Q959" s="293"/>
      <c r="R959" s="293"/>
      <c r="S959" s="293"/>
      <c r="T959" s="293"/>
      <c r="U959" s="327"/>
      <c r="V959" s="463"/>
      <c r="W959" s="15"/>
      <c r="X959" s="95"/>
      <c r="Y959" s="70"/>
      <c r="Z959" s="70"/>
      <c r="AA959" s="120"/>
      <c r="AB959" s="120"/>
      <c r="AC959" s="120"/>
      <c r="AD959" s="384"/>
      <c r="AE959" s="462"/>
      <c r="AF959" s="408"/>
      <c r="AG959" s="293"/>
      <c r="AH959" s="293"/>
      <c r="AI959" s="293"/>
      <c r="AJ959" s="293"/>
      <c r="AK959" s="293"/>
      <c r="AL959" s="327"/>
      <c r="AM959" s="463"/>
      <c r="AN959" s="15"/>
      <c r="AO959" s="120"/>
      <c r="AP959" s="120"/>
      <c r="AQ959" s="120"/>
      <c r="AR959" s="120"/>
      <c r="AS959" s="120"/>
      <c r="AT959" s="120"/>
      <c r="AU959" s="422"/>
      <c r="AV959" s="508"/>
      <c r="AW959" s="15"/>
      <c r="AX959" s="70"/>
      <c r="AY959" s="70"/>
      <c r="AZ959" s="70"/>
      <c r="BA959" s="70"/>
      <c r="BB959" s="70"/>
      <c r="BC959" s="70"/>
      <c r="BD959" s="250"/>
      <c r="BE959" s="250"/>
      <c r="BF959" s="250"/>
      <c r="BG959" s="250"/>
      <c r="BH959" s="250"/>
      <c r="BI959" s="71"/>
      <c r="BJ959" s="71"/>
      <c r="BK959" s="71"/>
      <c r="BL959" s="550"/>
      <c r="BM959" s="542"/>
    </row>
    <row r="960" spans="2:65" ht="32.1" customHeight="1">
      <c r="B960" s="358" t="s">
        <v>3151</v>
      </c>
      <c r="C960" s="15" t="s">
        <v>1268</v>
      </c>
      <c r="D960" s="177" t="s">
        <v>1269</v>
      </c>
      <c r="E960" s="384" t="s">
        <v>14</v>
      </c>
      <c r="F960" s="410">
        <v>7318</v>
      </c>
      <c r="G960" s="10"/>
      <c r="H960" s="167">
        <v>47000</v>
      </c>
      <c r="I960" s="10">
        <v>15000</v>
      </c>
      <c r="J960" s="76">
        <f t="shared" si="1049"/>
        <v>15000</v>
      </c>
      <c r="K960" s="24">
        <f t="shared" si="1050"/>
        <v>7682</v>
      </c>
      <c r="L960" s="281">
        <f t="shared" si="1051"/>
        <v>1.0497403662202787</v>
      </c>
      <c r="M960" s="431">
        <f t="shared" si="1052"/>
        <v>47000</v>
      </c>
      <c r="N960" s="408"/>
      <c r="O960" s="293"/>
      <c r="P960" s="293"/>
      <c r="Q960" s="293"/>
      <c r="R960" s="293"/>
      <c r="S960" s="293"/>
      <c r="T960" s="293"/>
      <c r="U960" s="327"/>
      <c r="V960" s="463"/>
      <c r="W960" s="15"/>
      <c r="X960" s="95"/>
      <c r="Y960" s="70"/>
      <c r="Z960" s="70"/>
      <c r="AA960" s="120"/>
      <c r="AB960" s="120"/>
      <c r="AC960" s="120"/>
      <c r="AD960" s="384"/>
      <c r="AE960" s="462"/>
      <c r="AF960" s="408"/>
      <c r="AG960" s="293"/>
      <c r="AH960" s="293"/>
      <c r="AI960" s="293"/>
      <c r="AJ960" s="293"/>
      <c r="AK960" s="293"/>
      <c r="AL960" s="327"/>
      <c r="AM960" s="463"/>
      <c r="AN960" s="15"/>
      <c r="AO960" s="120"/>
      <c r="AP960" s="120"/>
      <c r="AQ960" s="120"/>
      <c r="AR960" s="120"/>
      <c r="AS960" s="120"/>
      <c r="AT960" s="120"/>
      <c r="AU960" s="422"/>
      <c r="AV960" s="508"/>
      <c r="AW960" s="15"/>
      <c r="AX960" s="70"/>
      <c r="AY960" s="70"/>
      <c r="AZ960" s="70"/>
      <c r="BA960" s="70"/>
      <c r="BB960" s="70"/>
      <c r="BC960" s="70"/>
      <c r="BD960" s="250"/>
      <c r="BE960" s="250"/>
      <c r="BF960" s="250"/>
      <c r="BG960" s="250"/>
      <c r="BH960" s="250"/>
      <c r="BI960" s="71"/>
      <c r="BJ960" s="71"/>
      <c r="BK960" s="71"/>
      <c r="BL960" s="550"/>
      <c r="BM960" s="542"/>
    </row>
    <row r="961" spans="2:65" ht="32.1" customHeight="1">
      <c r="B961" s="358" t="s">
        <v>3152</v>
      </c>
      <c r="C961" s="15" t="s">
        <v>1270</v>
      </c>
      <c r="D961" s="177" t="s">
        <v>1271</v>
      </c>
      <c r="E961" s="384" t="s">
        <v>905</v>
      </c>
      <c r="F961" s="410">
        <v>792558</v>
      </c>
      <c r="G961" s="10"/>
      <c r="H961" s="167">
        <v>470000</v>
      </c>
      <c r="I961" s="10">
        <v>300000</v>
      </c>
      <c r="J961" s="76">
        <f t="shared" si="1049"/>
        <v>300000</v>
      </c>
      <c r="K961" s="24">
        <f t="shared" si="1050"/>
        <v>-492558</v>
      </c>
      <c r="L961" s="281">
        <f t="shared" si="1051"/>
        <v>-0.62147880659838139</v>
      </c>
      <c r="M961" s="431" t="s">
        <v>807</v>
      </c>
      <c r="N961" s="408"/>
      <c r="O961" s="293"/>
      <c r="P961" s="293"/>
      <c r="Q961" s="293"/>
      <c r="R961" s="293"/>
      <c r="S961" s="293"/>
      <c r="T961" s="293"/>
      <c r="U961" s="327"/>
      <c r="V961" s="463"/>
      <c r="W961" s="15"/>
      <c r="X961" s="95"/>
      <c r="Y961" s="70"/>
      <c r="Z961" s="70"/>
      <c r="AA961" s="120"/>
      <c r="AB961" s="120"/>
      <c r="AC961" s="120"/>
      <c r="AD961" s="384"/>
      <c r="AE961" s="462"/>
      <c r="AF961" s="408"/>
      <c r="AG961" s="293"/>
      <c r="AH961" s="293"/>
      <c r="AI961" s="293"/>
      <c r="AJ961" s="293"/>
      <c r="AK961" s="293"/>
      <c r="AL961" s="327"/>
      <c r="AM961" s="463"/>
      <c r="AN961" s="15"/>
      <c r="AO961" s="120"/>
      <c r="AP961" s="120"/>
      <c r="AQ961" s="120"/>
      <c r="AR961" s="120"/>
      <c r="AS961" s="120"/>
      <c r="AT961" s="120"/>
      <c r="AU961" s="422"/>
      <c r="AV961" s="508"/>
      <c r="AW961" s="15"/>
      <c r="AX961" s="70"/>
      <c r="AY961" s="70"/>
      <c r="AZ961" s="70"/>
      <c r="BA961" s="70"/>
      <c r="BB961" s="70"/>
      <c r="BC961" s="70"/>
      <c r="BD961" s="250"/>
      <c r="BE961" s="250"/>
      <c r="BF961" s="250"/>
      <c r="BG961" s="250"/>
      <c r="BH961" s="250"/>
      <c r="BI961" s="71"/>
      <c r="BJ961" s="71"/>
      <c r="BK961" s="71"/>
      <c r="BL961" s="550"/>
      <c r="BM961" s="542"/>
    </row>
    <row r="962" spans="2:65" ht="32.1" customHeight="1">
      <c r="B962" s="358" t="s">
        <v>3153</v>
      </c>
      <c r="C962" s="15" t="s">
        <v>1272</v>
      </c>
      <c r="D962" s="177" t="s">
        <v>1273</v>
      </c>
      <c r="E962" s="384" t="s">
        <v>10</v>
      </c>
      <c r="F962" s="410">
        <v>14962</v>
      </c>
      <c r="G962" s="10">
        <v>43000</v>
      </c>
      <c r="H962" s="167">
        <v>129000</v>
      </c>
      <c r="I962" s="10">
        <v>38900</v>
      </c>
      <c r="J962" s="76">
        <f t="shared" si="1049"/>
        <v>40950</v>
      </c>
      <c r="K962" s="24">
        <f t="shared" si="1050"/>
        <v>25988</v>
      </c>
      <c r="L962" s="281">
        <f t="shared" si="1051"/>
        <v>1.7369335650314128</v>
      </c>
      <c r="M962" s="431">
        <f t="shared" si="1052"/>
        <v>129000</v>
      </c>
      <c r="N962" s="408"/>
      <c r="O962" s="293"/>
      <c r="P962" s="293"/>
      <c r="Q962" s="293"/>
      <c r="R962" s="293"/>
      <c r="S962" s="293"/>
      <c r="T962" s="293"/>
      <c r="U962" s="327"/>
      <c r="V962" s="463"/>
      <c r="W962" s="15"/>
      <c r="X962" s="95"/>
      <c r="Y962" s="70"/>
      <c r="Z962" s="70"/>
      <c r="AA962" s="120"/>
      <c r="AB962" s="120"/>
      <c r="AC962" s="120"/>
      <c r="AD962" s="384"/>
      <c r="AE962" s="462"/>
      <c r="AF962" s="408"/>
      <c r="AG962" s="293"/>
      <c r="AH962" s="293"/>
      <c r="AI962" s="293"/>
      <c r="AJ962" s="293"/>
      <c r="AK962" s="293"/>
      <c r="AL962" s="327"/>
      <c r="AM962" s="463"/>
      <c r="AN962" s="15"/>
      <c r="AO962" s="120"/>
      <c r="AP962" s="120"/>
      <c r="AQ962" s="120"/>
      <c r="AR962" s="120"/>
      <c r="AS962" s="120"/>
      <c r="AT962" s="120"/>
      <c r="AU962" s="422"/>
      <c r="AV962" s="508"/>
      <c r="AW962" s="15"/>
      <c r="AX962" s="70"/>
      <c r="AY962" s="70"/>
      <c r="AZ962" s="70"/>
      <c r="BA962" s="70"/>
      <c r="BB962" s="70"/>
      <c r="BC962" s="70"/>
      <c r="BD962" s="250"/>
      <c r="BE962" s="250"/>
      <c r="BF962" s="250"/>
      <c r="BG962" s="250"/>
      <c r="BH962" s="250"/>
      <c r="BI962" s="71"/>
      <c r="BJ962" s="71"/>
      <c r="BK962" s="71"/>
      <c r="BL962" s="550"/>
      <c r="BM962" s="542"/>
    </row>
    <row r="963" spans="2:65" ht="32.1" customHeight="1">
      <c r="B963" s="358" t="s">
        <v>3154</v>
      </c>
      <c r="C963" s="15" t="s">
        <v>1274</v>
      </c>
      <c r="D963" s="177" t="s">
        <v>1275</v>
      </c>
      <c r="E963" s="384" t="s">
        <v>905</v>
      </c>
      <c r="F963" s="410">
        <v>4292939</v>
      </c>
      <c r="G963" s="10"/>
      <c r="H963" s="167">
        <v>250000</v>
      </c>
      <c r="I963" s="10">
        <v>1000000</v>
      </c>
      <c r="J963" s="76">
        <f t="shared" si="1049"/>
        <v>1000000</v>
      </c>
      <c r="K963" s="24">
        <f t="shared" si="1050"/>
        <v>-3292939</v>
      </c>
      <c r="L963" s="281">
        <f t="shared" si="1051"/>
        <v>-0.76705935024932803</v>
      </c>
      <c r="M963" s="431" t="s">
        <v>807</v>
      </c>
      <c r="N963" s="408"/>
      <c r="O963" s="293"/>
      <c r="P963" s="293"/>
      <c r="Q963" s="293"/>
      <c r="R963" s="293"/>
      <c r="S963" s="293"/>
      <c r="T963" s="293"/>
      <c r="U963" s="327"/>
      <c r="V963" s="463"/>
      <c r="W963" s="15"/>
      <c r="X963" s="95"/>
      <c r="Y963" s="70"/>
      <c r="Z963" s="70"/>
      <c r="AA963" s="120"/>
      <c r="AB963" s="120"/>
      <c r="AC963" s="120"/>
      <c r="AD963" s="384"/>
      <c r="AE963" s="462"/>
      <c r="AF963" s="408"/>
      <c r="AG963" s="293"/>
      <c r="AH963" s="293"/>
      <c r="AI963" s="293"/>
      <c r="AJ963" s="293"/>
      <c r="AK963" s="293"/>
      <c r="AL963" s="327"/>
      <c r="AM963" s="463"/>
      <c r="AN963" s="15"/>
      <c r="AO963" s="120"/>
      <c r="AP963" s="120"/>
      <c r="AQ963" s="120"/>
      <c r="AR963" s="120"/>
      <c r="AS963" s="120"/>
      <c r="AT963" s="120"/>
      <c r="AU963" s="422"/>
      <c r="AV963" s="508"/>
      <c r="AW963" s="15"/>
      <c r="AX963" s="70"/>
      <c r="AY963" s="70"/>
      <c r="AZ963" s="70"/>
      <c r="BA963" s="70"/>
      <c r="BB963" s="70"/>
      <c r="BC963" s="70"/>
      <c r="BD963" s="250"/>
      <c r="BE963" s="250"/>
      <c r="BF963" s="250"/>
      <c r="BG963" s="250"/>
      <c r="BH963" s="250"/>
      <c r="BI963" s="71"/>
      <c r="BJ963" s="71"/>
      <c r="BK963" s="71"/>
      <c r="BL963" s="550"/>
      <c r="BM963" s="542"/>
    </row>
    <row r="964" spans="2:65" ht="32.1" customHeight="1">
      <c r="B964" s="358" t="s">
        <v>3155</v>
      </c>
      <c r="C964" s="15" t="s">
        <v>1276</v>
      </c>
      <c r="D964" s="177" t="s">
        <v>1277</v>
      </c>
      <c r="E964" s="384" t="s">
        <v>14</v>
      </c>
      <c r="F964" s="410">
        <v>52141</v>
      </c>
      <c r="G964" s="10">
        <v>56111</v>
      </c>
      <c r="H964" s="167">
        <v>224444</v>
      </c>
      <c r="I964" s="10">
        <v>56000</v>
      </c>
      <c r="J964" s="76">
        <f t="shared" si="1049"/>
        <v>56055.5</v>
      </c>
      <c r="K964" s="24">
        <f t="shared" si="1050"/>
        <v>3914.5</v>
      </c>
      <c r="L964" s="281">
        <f t="shared" si="1051"/>
        <v>7.507527665368903E-2</v>
      </c>
      <c r="M964" s="431">
        <f t="shared" si="1052"/>
        <v>224444</v>
      </c>
      <c r="N964" s="408"/>
      <c r="O964" s="293"/>
      <c r="P964" s="293"/>
      <c r="Q964" s="293"/>
      <c r="R964" s="293"/>
      <c r="S964" s="293"/>
      <c r="T964" s="293"/>
      <c r="U964" s="327"/>
      <c r="V964" s="463"/>
      <c r="W964" s="15"/>
      <c r="X964" s="95"/>
      <c r="Y964" s="70"/>
      <c r="Z964" s="70"/>
      <c r="AA964" s="120"/>
      <c r="AB964" s="120"/>
      <c r="AC964" s="120"/>
      <c r="AD964" s="384"/>
      <c r="AE964" s="462"/>
      <c r="AF964" s="408"/>
      <c r="AG964" s="293"/>
      <c r="AH964" s="293"/>
      <c r="AI964" s="293"/>
      <c r="AJ964" s="293"/>
      <c r="AK964" s="293"/>
      <c r="AL964" s="327"/>
      <c r="AM964" s="463"/>
      <c r="AN964" s="15"/>
      <c r="AO964" s="120"/>
      <c r="AP964" s="120"/>
      <c r="AQ964" s="120"/>
      <c r="AR964" s="120"/>
      <c r="AS964" s="120"/>
      <c r="AT964" s="120"/>
      <c r="AU964" s="422"/>
      <c r="AV964" s="508"/>
      <c r="AW964" s="15"/>
      <c r="AX964" s="70"/>
      <c r="AY964" s="70"/>
      <c r="AZ964" s="70"/>
      <c r="BA964" s="70"/>
      <c r="BB964" s="70"/>
      <c r="BC964" s="70"/>
      <c r="BD964" s="250"/>
      <c r="BE964" s="250"/>
      <c r="BF964" s="250"/>
      <c r="BG964" s="250"/>
      <c r="BH964" s="250"/>
      <c r="BI964" s="71"/>
      <c r="BJ964" s="71"/>
      <c r="BK964" s="71"/>
      <c r="BL964" s="550"/>
      <c r="BM964" s="542"/>
    </row>
    <row r="965" spans="2:65" ht="32.1" customHeight="1">
      <c r="B965" s="358" t="s">
        <v>3156</v>
      </c>
      <c r="C965" s="15" t="s">
        <v>1278</v>
      </c>
      <c r="D965" s="177" t="s">
        <v>1279</v>
      </c>
      <c r="E965" s="384" t="s">
        <v>10</v>
      </c>
      <c r="F965" s="410">
        <v>16934</v>
      </c>
      <c r="G965" s="10">
        <v>256953.7</v>
      </c>
      <c r="H965" s="167">
        <v>1027814.8</v>
      </c>
      <c r="I965" s="10">
        <v>160000</v>
      </c>
      <c r="J965" s="76">
        <f t="shared" si="1049"/>
        <v>208476.85</v>
      </c>
      <c r="K965" s="24">
        <f t="shared" si="1050"/>
        <v>191542.85</v>
      </c>
      <c r="L965" s="281">
        <f t="shared" si="1051"/>
        <v>11.311140309436636</v>
      </c>
      <c r="M965" s="431">
        <f t="shared" si="1052"/>
        <v>1027814.8</v>
      </c>
      <c r="N965" s="408"/>
      <c r="O965" s="293"/>
      <c r="P965" s="293"/>
      <c r="Q965" s="293"/>
      <c r="R965" s="293"/>
      <c r="S965" s="293"/>
      <c r="T965" s="293"/>
      <c r="U965" s="327"/>
      <c r="V965" s="463"/>
      <c r="W965" s="15"/>
      <c r="X965" s="95"/>
      <c r="Y965" s="70"/>
      <c r="Z965" s="70"/>
      <c r="AA965" s="120"/>
      <c r="AB965" s="120"/>
      <c r="AC965" s="120"/>
      <c r="AD965" s="384"/>
      <c r="AE965" s="462"/>
      <c r="AF965" s="408"/>
      <c r="AG965" s="293"/>
      <c r="AH965" s="293"/>
      <c r="AI965" s="293"/>
      <c r="AJ965" s="293"/>
      <c r="AK965" s="293"/>
      <c r="AL965" s="327"/>
      <c r="AM965" s="463"/>
      <c r="AN965" s="15"/>
      <c r="AO965" s="120"/>
      <c r="AP965" s="120"/>
      <c r="AQ965" s="120"/>
      <c r="AR965" s="120"/>
      <c r="AS965" s="120"/>
      <c r="AT965" s="120"/>
      <c r="AU965" s="422"/>
      <c r="AV965" s="508"/>
      <c r="AW965" s="15"/>
      <c r="AX965" s="70"/>
      <c r="AY965" s="70"/>
      <c r="AZ965" s="70"/>
      <c r="BA965" s="70"/>
      <c r="BB965" s="70"/>
      <c r="BC965" s="70"/>
      <c r="BD965" s="250"/>
      <c r="BE965" s="250"/>
      <c r="BF965" s="250"/>
      <c r="BG965" s="250"/>
      <c r="BH965" s="250"/>
      <c r="BI965" s="71"/>
      <c r="BJ965" s="71"/>
      <c r="BK965" s="71"/>
      <c r="BL965" s="550"/>
      <c r="BM965" s="542"/>
    </row>
    <row r="966" spans="2:65" ht="32.1" customHeight="1">
      <c r="B966" s="358" t="s">
        <v>3157</v>
      </c>
      <c r="C966" s="15" t="s">
        <v>1280</v>
      </c>
      <c r="D966" s="177" t="s">
        <v>1281</v>
      </c>
      <c r="E966" s="384" t="s">
        <v>14</v>
      </c>
      <c r="F966" s="410">
        <v>41856</v>
      </c>
      <c r="G966" s="10">
        <v>256953.7</v>
      </c>
      <c r="H966" s="167">
        <v>1027814.8</v>
      </c>
      <c r="I966" s="10">
        <v>120000</v>
      </c>
      <c r="J966" s="76">
        <f t="shared" si="1049"/>
        <v>188476.85</v>
      </c>
      <c r="K966" s="24">
        <f t="shared" si="1050"/>
        <v>146620.85</v>
      </c>
      <c r="L966" s="281">
        <f t="shared" si="1051"/>
        <v>3.5029828459480123</v>
      </c>
      <c r="M966" s="431">
        <f t="shared" si="1052"/>
        <v>1027814.8</v>
      </c>
      <c r="N966" s="408"/>
      <c r="O966" s="293"/>
      <c r="P966" s="293"/>
      <c r="Q966" s="293"/>
      <c r="R966" s="293"/>
      <c r="S966" s="293"/>
      <c r="T966" s="293"/>
      <c r="U966" s="327"/>
      <c r="V966" s="463"/>
      <c r="W966" s="15"/>
      <c r="X966" s="95"/>
      <c r="Y966" s="70"/>
      <c r="Z966" s="70"/>
      <c r="AA966" s="120"/>
      <c r="AB966" s="120"/>
      <c r="AC966" s="120"/>
      <c r="AD966" s="384"/>
      <c r="AE966" s="462"/>
      <c r="AF966" s="408"/>
      <c r="AG966" s="293"/>
      <c r="AH966" s="293"/>
      <c r="AI966" s="293"/>
      <c r="AJ966" s="293"/>
      <c r="AK966" s="293"/>
      <c r="AL966" s="327"/>
      <c r="AM966" s="463"/>
      <c r="AN966" s="15"/>
      <c r="AO966" s="120"/>
      <c r="AP966" s="120"/>
      <c r="AQ966" s="120"/>
      <c r="AR966" s="120"/>
      <c r="AS966" s="120"/>
      <c r="AT966" s="120"/>
      <c r="AU966" s="422"/>
      <c r="AV966" s="508"/>
      <c r="AW966" s="15"/>
      <c r="AX966" s="70"/>
      <c r="AY966" s="70"/>
      <c r="AZ966" s="70"/>
      <c r="BA966" s="70"/>
      <c r="BB966" s="70"/>
      <c r="BC966" s="70"/>
      <c r="BD966" s="250"/>
      <c r="BE966" s="250"/>
      <c r="BF966" s="250"/>
      <c r="BG966" s="250"/>
      <c r="BH966" s="250"/>
      <c r="BI966" s="71"/>
      <c r="BJ966" s="71"/>
      <c r="BK966" s="71"/>
      <c r="BL966" s="550"/>
      <c r="BM966" s="542"/>
    </row>
    <row r="967" spans="2:65" ht="45.95" customHeight="1">
      <c r="B967" s="358" t="s">
        <v>3158</v>
      </c>
      <c r="C967" s="15" t="s">
        <v>1282</v>
      </c>
      <c r="D967" s="177" t="s">
        <v>1283</v>
      </c>
      <c r="E967" s="384" t="s">
        <v>14</v>
      </c>
      <c r="F967" s="410">
        <v>91498</v>
      </c>
      <c r="G967" s="10">
        <v>792453</v>
      </c>
      <c r="H967" s="167">
        <v>1584906</v>
      </c>
      <c r="I967" s="10">
        <v>325000</v>
      </c>
      <c r="J967" s="76">
        <f t="shared" si="1049"/>
        <v>558726.5</v>
      </c>
      <c r="K967" s="24">
        <f t="shared" si="1050"/>
        <v>467228.5</v>
      </c>
      <c r="L967" s="281">
        <f t="shared" si="1051"/>
        <v>5.1064340204157466</v>
      </c>
      <c r="M967" s="431">
        <f t="shared" si="1052"/>
        <v>1584906</v>
      </c>
      <c r="N967" s="408"/>
      <c r="O967" s="293"/>
      <c r="P967" s="293"/>
      <c r="Q967" s="293"/>
      <c r="R967" s="293"/>
      <c r="S967" s="293"/>
      <c r="T967" s="293"/>
      <c r="U967" s="327"/>
      <c r="V967" s="463"/>
      <c r="W967" s="15"/>
      <c r="X967" s="95"/>
      <c r="Y967" s="70"/>
      <c r="Z967" s="70"/>
      <c r="AA967" s="120"/>
      <c r="AB967" s="120"/>
      <c r="AC967" s="120"/>
      <c r="AD967" s="384"/>
      <c r="AE967" s="462"/>
      <c r="AF967" s="408"/>
      <c r="AG967" s="293"/>
      <c r="AH967" s="293"/>
      <c r="AI967" s="293"/>
      <c r="AJ967" s="293"/>
      <c r="AK967" s="293"/>
      <c r="AL967" s="327"/>
      <c r="AM967" s="463"/>
      <c r="AN967" s="15"/>
      <c r="AO967" s="120"/>
      <c r="AP967" s="120"/>
      <c r="AQ967" s="120"/>
      <c r="AR967" s="120"/>
      <c r="AS967" s="120"/>
      <c r="AT967" s="120"/>
      <c r="AU967" s="422"/>
      <c r="AV967" s="508"/>
      <c r="AW967" s="15"/>
      <c r="AX967" s="70"/>
      <c r="AY967" s="70"/>
      <c r="AZ967" s="70"/>
      <c r="BA967" s="70"/>
      <c r="BB967" s="70"/>
      <c r="BC967" s="70"/>
      <c r="BD967" s="250"/>
      <c r="BE967" s="250"/>
      <c r="BF967" s="250"/>
      <c r="BG967" s="250"/>
      <c r="BH967" s="250"/>
      <c r="BI967" s="71"/>
      <c r="BJ967" s="71"/>
      <c r="BK967" s="71"/>
      <c r="BL967" s="550"/>
      <c r="BM967" s="542"/>
    </row>
    <row r="968" spans="2:65" ht="47.1" customHeight="1">
      <c r="B968" s="358" t="s">
        <v>3159</v>
      </c>
      <c r="C968" s="15" t="s">
        <v>1284</v>
      </c>
      <c r="D968" s="177" t="s">
        <v>1285</v>
      </c>
      <c r="E968" s="384" t="s">
        <v>10</v>
      </c>
      <c r="F968" s="410">
        <v>134829</v>
      </c>
      <c r="G968" s="10">
        <v>887094.23</v>
      </c>
      <c r="H968" s="167">
        <v>1774188.46</v>
      </c>
      <c r="I968" s="10">
        <v>205000</v>
      </c>
      <c r="J968" s="76">
        <f t="shared" si="1049"/>
        <v>546047.11499999999</v>
      </c>
      <c r="K968" s="24">
        <f t="shared" si="1050"/>
        <v>411218.11499999999</v>
      </c>
      <c r="L968" s="281">
        <f t="shared" si="1051"/>
        <v>3.0499233473510889</v>
      </c>
      <c r="M968" s="431">
        <f t="shared" si="1052"/>
        <v>1774188.46</v>
      </c>
      <c r="N968" s="408"/>
      <c r="O968" s="293"/>
      <c r="P968" s="293"/>
      <c r="Q968" s="293"/>
      <c r="R968" s="293"/>
      <c r="S968" s="293"/>
      <c r="T968" s="293"/>
      <c r="U968" s="327"/>
      <c r="V968" s="463"/>
      <c r="W968" s="15"/>
      <c r="X968" s="95"/>
      <c r="Y968" s="70"/>
      <c r="Z968" s="70"/>
      <c r="AA968" s="120"/>
      <c r="AB968" s="120"/>
      <c r="AC968" s="120"/>
      <c r="AD968" s="384"/>
      <c r="AE968" s="462"/>
      <c r="AF968" s="408"/>
      <c r="AG968" s="293"/>
      <c r="AH968" s="293"/>
      <c r="AI968" s="293"/>
      <c r="AJ968" s="293"/>
      <c r="AK968" s="293"/>
      <c r="AL968" s="327"/>
      <c r="AM968" s="463"/>
      <c r="AN968" s="15"/>
      <c r="AO968" s="120"/>
      <c r="AP968" s="120"/>
      <c r="AQ968" s="120"/>
      <c r="AR968" s="120"/>
      <c r="AS968" s="120"/>
      <c r="AT968" s="120"/>
      <c r="AU968" s="422"/>
      <c r="AV968" s="508"/>
      <c r="AW968" s="15"/>
      <c r="AX968" s="70"/>
      <c r="AY968" s="70"/>
      <c r="AZ968" s="70"/>
      <c r="BA968" s="70"/>
      <c r="BB968" s="70"/>
      <c r="BC968" s="70"/>
      <c r="BD968" s="250"/>
      <c r="BE968" s="250"/>
      <c r="BF968" s="250"/>
      <c r="BG968" s="250"/>
      <c r="BH968" s="250"/>
      <c r="BI968" s="71"/>
      <c r="BJ968" s="71"/>
      <c r="BK968" s="71"/>
      <c r="BL968" s="550"/>
      <c r="BM968" s="542"/>
    </row>
    <row r="969" spans="2:65" ht="47.1" customHeight="1">
      <c r="B969" s="358" t="s">
        <v>3160</v>
      </c>
      <c r="C969" s="15" t="s">
        <v>1286</v>
      </c>
      <c r="D969" s="177" t="s">
        <v>1287</v>
      </c>
      <c r="E969" s="384" t="s">
        <v>10</v>
      </c>
      <c r="F969" s="410">
        <v>8214</v>
      </c>
      <c r="G969" s="10">
        <v>21779</v>
      </c>
      <c r="H969" s="167">
        <v>43558</v>
      </c>
      <c r="I969" s="10">
        <v>20000</v>
      </c>
      <c r="J969" s="76">
        <f t="shared" si="1049"/>
        <v>20889.5</v>
      </c>
      <c r="K969" s="24">
        <f t="shared" si="1050"/>
        <v>12675.5</v>
      </c>
      <c r="L969" s="281">
        <f t="shared" si="1051"/>
        <v>1.5431580228877526</v>
      </c>
      <c r="M969" s="431">
        <f t="shared" si="1052"/>
        <v>43558</v>
      </c>
      <c r="N969" s="408"/>
      <c r="O969" s="293"/>
      <c r="P969" s="293"/>
      <c r="Q969" s="293"/>
      <c r="R969" s="293"/>
      <c r="S969" s="293"/>
      <c r="T969" s="293"/>
      <c r="U969" s="327"/>
      <c r="V969" s="463"/>
      <c r="W969" s="15"/>
      <c r="X969" s="95"/>
      <c r="Y969" s="70"/>
      <c r="Z969" s="70"/>
      <c r="AA969" s="120"/>
      <c r="AB969" s="120"/>
      <c r="AC969" s="120"/>
      <c r="AD969" s="384"/>
      <c r="AE969" s="462"/>
      <c r="AF969" s="408"/>
      <c r="AG969" s="293"/>
      <c r="AH969" s="293"/>
      <c r="AI969" s="293"/>
      <c r="AJ969" s="293"/>
      <c r="AK969" s="293"/>
      <c r="AL969" s="327"/>
      <c r="AM969" s="463"/>
      <c r="AN969" s="15"/>
      <c r="AO969" s="120"/>
      <c r="AP969" s="120"/>
      <c r="AQ969" s="120"/>
      <c r="AR969" s="120"/>
      <c r="AS969" s="120"/>
      <c r="AT969" s="120"/>
      <c r="AU969" s="422"/>
      <c r="AV969" s="508"/>
      <c r="AW969" s="15"/>
      <c r="AX969" s="70"/>
      <c r="AY969" s="70"/>
      <c r="AZ969" s="70"/>
      <c r="BA969" s="70"/>
      <c r="BB969" s="70"/>
      <c r="BC969" s="70"/>
      <c r="BD969" s="250"/>
      <c r="BE969" s="250"/>
      <c r="BF969" s="250"/>
      <c r="BG969" s="250"/>
      <c r="BH969" s="250"/>
      <c r="BI969" s="71"/>
      <c r="BJ969" s="71"/>
      <c r="BK969" s="71"/>
      <c r="BL969" s="550"/>
      <c r="BM969" s="542"/>
    </row>
    <row r="970" spans="2:65" ht="32.1" customHeight="1">
      <c r="B970" s="358" t="s">
        <v>3161</v>
      </c>
      <c r="C970" s="15" t="s">
        <v>1288</v>
      </c>
      <c r="D970" s="177" t="s">
        <v>1289</v>
      </c>
      <c r="E970" s="384" t="s">
        <v>10</v>
      </c>
      <c r="F970" s="410">
        <v>6722</v>
      </c>
      <c r="G970" s="10">
        <v>12503.27</v>
      </c>
      <c r="H970" s="167">
        <v>25006.54</v>
      </c>
      <c r="I970" s="10">
        <v>12000</v>
      </c>
      <c r="J970" s="76">
        <f t="shared" si="1049"/>
        <v>12251.635</v>
      </c>
      <c r="K970" s="24">
        <f t="shared" si="1050"/>
        <v>5529.6350000000002</v>
      </c>
      <c r="L970" s="281">
        <f t="shared" si="1051"/>
        <v>0.82261752454626602</v>
      </c>
      <c r="M970" s="431">
        <f t="shared" si="1052"/>
        <v>25006.54</v>
      </c>
      <c r="N970" s="408"/>
      <c r="O970" s="293"/>
      <c r="P970" s="293"/>
      <c r="Q970" s="293"/>
      <c r="R970" s="293"/>
      <c r="S970" s="293"/>
      <c r="T970" s="293"/>
      <c r="U970" s="327"/>
      <c r="V970" s="463"/>
      <c r="W970" s="15"/>
      <c r="X970" s="95"/>
      <c r="Y970" s="70"/>
      <c r="Z970" s="70"/>
      <c r="AA970" s="120"/>
      <c r="AB970" s="120"/>
      <c r="AC970" s="120"/>
      <c r="AD970" s="384"/>
      <c r="AE970" s="462"/>
      <c r="AF970" s="408"/>
      <c r="AG970" s="293"/>
      <c r="AH970" s="293"/>
      <c r="AI970" s="293"/>
      <c r="AJ970" s="293"/>
      <c r="AK970" s="293"/>
      <c r="AL970" s="327"/>
      <c r="AM970" s="463"/>
      <c r="AN970" s="15"/>
      <c r="AO970" s="120"/>
      <c r="AP970" s="120"/>
      <c r="AQ970" s="120"/>
      <c r="AR970" s="120"/>
      <c r="AS970" s="120"/>
      <c r="AT970" s="120"/>
      <c r="AU970" s="422"/>
      <c r="AV970" s="508"/>
      <c r="AW970" s="15"/>
      <c r="AX970" s="70"/>
      <c r="AY970" s="70"/>
      <c r="AZ970" s="70"/>
      <c r="BA970" s="70"/>
      <c r="BB970" s="70"/>
      <c r="BC970" s="70"/>
      <c r="BD970" s="250"/>
      <c r="BE970" s="250"/>
      <c r="BF970" s="250"/>
      <c r="BG970" s="250"/>
      <c r="BH970" s="250"/>
      <c r="BI970" s="71"/>
      <c r="BJ970" s="71"/>
      <c r="BK970" s="71"/>
      <c r="BL970" s="550"/>
      <c r="BM970" s="542"/>
    </row>
    <row r="971" spans="2:65" ht="48" customHeight="1">
      <c r="B971" s="358" t="s">
        <v>3162</v>
      </c>
      <c r="C971" s="15" t="s">
        <v>1290</v>
      </c>
      <c r="D971" s="177" t="s">
        <v>1291</v>
      </c>
      <c r="E971" s="384" t="s">
        <v>13</v>
      </c>
      <c r="F971" s="410">
        <v>91445</v>
      </c>
      <c r="G971" s="10">
        <v>59953</v>
      </c>
      <c r="H971" s="167">
        <v>179859</v>
      </c>
      <c r="I971" s="10">
        <v>78000</v>
      </c>
      <c r="J971" s="76">
        <f t="shared" si="1049"/>
        <v>68976.5</v>
      </c>
      <c r="K971" s="24">
        <f t="shared" si="1050"/>
        <v>-22468.5</v>
      </c>
      <c r="L971" s="281">
        <f t="shared" si="1051"/>
        <v>-0.24570506862048225</v>
      </c>
      <c r="M971" s="431">
        <f t="shared" si="1052"/>
        <v>179859</v>
      </c>
      <c r="N971" s="408"/>
      <c r="O971" s="293"/>
      <c r="P971" s="293"/>
      <c r="Q971" s="293"/>
      <c r="R971" s="293"/>
      <c r="S971" s="293"/>
      <c r="T971" s="293"/>
      <c r="U971" s="327"/>
      <c r="V971" s="463"/>
      <c r="W971" s="15"/>
      <c r="X971" s="95"/>
      <c r="Y971" s="70"/>
      <c r="Z971" s="70"/>
      <c r="AA971" s="120"/>
      <c r="AB971" s="120"/>
      <c r="AC971" s="120"/>
      <c r="AD971" s="384"/>
      <c r="AE971" s="462"/>
      <c r="AF971" s="408"/>
      <c r="AG971" s="293"/>
      <c r="AH971" s="293"/>
      <c r="AI971" s="293"/>
      <c r="AJ971" s="293"/>
      <c r="AK971" s="293"/>
      <c r="AL971" s="327"/>
      <c r="AM971" s="463"/>
      <c r="AN971" s="15"/>
      <c r="AO971" s="120"/>
      <c r="AP971" s="120"/>
      <c r="AQ971" s="120"/>
      <c r="AR971" s="120"/>
      <c r="AS971" s="120"/>
      <c r="AT971" s="120"/>
      <c r="AU971" s="422"/>
      <c r="AV971" s="508"/>
      <c r="AW971" s="15"/>
      <c r="AX971" s="70"/>
      <c r="AY971" s="70"/>
      <c r="AZ971" s="70"/>
      <c r="BA971" s="70"/>
      <c r="BB971" s="70"/>
      <c r="BC971" s="70"/>
      <c r="BD971" s="250"/>
      <c r="BE971" s="250"/>
      <c r="BF971" s="250"/>
      <c r="BG971" s="250"/>
      <c r="BH971" s="250"/>
      <c r="BI971" s="71"/>
      <c r="BJ971" s="71"/>
      <c r="BK971" s="71"/>
      <c r="BL971" s="550"/>
      <c r="BM971" s="542"/>
    </row>
    <row r="972" spans="2:65" ht="32.1" customHeight="1">
      <c r="B972" s="358" t="s">
        <v>3163</v>
      </c>
      <c r="C972" s="15" t="s">
        <v>1292</v>
      </c>
      <c r="D972" s="177" t="s">
        <v>1293</v>
      </c>
      <c r="E972" s="384" t="s">
        <v>13</v>
      </c>
      <c r="F972" s="410">
        <v>201102</v>
      </c>
      <c r="G972" s="10">
        <v>157733</v>
      </c>
      <c r="H972" s="167">
        <v>473199</v>
      </c>
      <c r="I972" s="10">
        <v>145900</v>
      </c>
      <c r="J972" s="76">
        <f t="shared" si="1049"/>
        <v>151816.5</v>
      </c>
      <c r="K972" s="24">
        <f t="shared" si="1050"/>
        <v>-49285.5</v>
      </c>
      <c r="L972" s="281">
        <f t="shared" si="1051"/>
        <v>-0.24507712504102397</v>
      </c>
      <c r="M972" s="431">
        <f t="shared" si="1052"/>
        <v>473199</v>
      </c>
      <c r="N972" s="408"/>
      <c r="O972" s="293"/>
      <c r="P972" s="293"/>
      <c r="Q972" s="293"/>
      <c r="R972" s="293"/>
      <c r="S972" s="293"/>
      <c r="T972" s="293"/>
      <c r="U972" s="327"/>
      <c r="V972" s="463"/>
      <c r="W972" s="15"/>
      <c r="X972" s="95"/>
      <c r="Y972" s="70"/>
      <c r="Z972" s="70"/>
      <c r="AA972" s="120"/>
      <c r="AB972" s="120"/>
      <c r="AC972" s="120"/>
      <c r="AD972" s="384"/>
      <c r="AE972" s="462"/>
      <c r="AF972" s="408"/>
      <c r="AG972" s="293"/>
      <c r="AH972" s="293"/>
      <c r="AI972" s="293"/>
      <c r="AJ972" s="293"/>
      <c r="AK972" s="293"/>
      <c r="AL972" s="327"/>
      <c r="AM972" s="463"/>
      <c r="AN972" s="15"/>
      <c r="AO972" s="120"/>
      <c r="AP972" s="120"/>
      <c r="AQ972" s="120"/>
      <c r="AR972" s="120"/>
      <c r="AS972" s="120"/>
      <c r="AT972" s="120"/>
      <c r="AU972" s="422"/>
      <c r="AV972" s="508"/>
      <c r="AW972" s="15"/>
      <c r="AX972" s="70"/>
      <c r="AY972" s="70"/>
      <c r="AZ972" s="70"/>
      <c r="BA972" s="70"/>
      <c r="BB972" s="70"/>
      <c r="BC972" s="70"/>
      <c r="BD972" s="250"/>
      <c r="BE972" s="250"/>
      <c r="BF972" s="250"/>
      <c r="BG972" s="250"/>
      <c r="BH972" s="250"/>
      <c r="BI972" s="71"/>
      <c r="BJ972" s="71"/>
      <c r="BK972" s="71"/>
      <c r="BL972" s="550"/>
      <c r="BM972" s="542"/>
    </row>
    <row r="973" spans="2:65" ht="45" customHeight="1">
      <c r="B973" s="358" t="s">
        <v>3164</v>
      </c>
      <c r="C973" s="15" t="s">
        <v>1294</v>
      </c>
      <c r="D973" s="177" t="s">
        <v>1295</v>
      </c>
      <c r="E973" s="384" t="s">
        <v>13</v>
      </c>
      <c r="F973" s="410">
        <v>62008</v>
      </c>
      <c r="G973" s="10">
        <v>311516</v>
      </c>
      <c r="H973" s="167">
        <v>934548</v>
      </c>
      <c r="I973" s="10">
        <v>245000</v>
      </c>
      <c r="J973" s="76">
        <f t="shared" si="1049"/>
        <v>278258</v>
      </c>
      <c r="K973" s="24">
        <f t="shared" si="1050"/>
        <v>216250</v>
      </c>
      <c r="L973" s="281">
        <f t="shared" si="1051"/>
        <v>3.4874532318410529</v>
      </c>
      <c r="M973" s="431">
        <f t="shared" si="1052"/>
        <v>934548</v>
      </c>
      <c r="N973" s="408"/>
      <c r="O973" s="293"/>
      <c r="P973" s="293"/>
      <c r="Q973" s="293"/>
      <c r="R973" s="293"/>
      <c r="S973" s="293"/>
      <c r="T973" s="293"/>
      <c r="U973" s="327"/>
      <c r="V973" s="463"/>
      <c r="W973" s="15"/>
      <c r="X973" s="95"/>
      <c r="Y973" s="70"/>
      <c r="Z973" s="70"/>
      <c r="AA973" s="120"/>
      <c r="AB973" s="120"/>
      <c r="AC973" s="120"/>
      <c r="AD973" s="384"/>
      <c r="AE973" s="462"/>
      <c r="AF973" s="408"/>
      <c r="AG973" s="293"/>
      <c r="AH973" s="293"/>
      <c r="AI973" s="293"/>
      <c r="AJ973" s="293"/>
      <c r="AK973" s="293"/>
      <c r="AL973" s="327"/>
      <c r="AM973" s="463"/>
      <c r="AN973" s="15"/>
      <c r="AO973" s="120"/>
      <c r="AP973" s="120"/>
      <c r="AQ973" s="120"/>
      <c r="AR973" s="120"/>
      <c r="AS973" s="120"/>
      <c r="AT973" s="120"/>
      <c r="AU973" s="422"/>
      <c r="AV973" s="508"/>
      <c r="AW973" s="15"/>
      <c r="AX973" s="70"/>
      <c r="AY973" s="70"/>
      <c r="AZ973" s="70"/>
      <c r="BA973" s="70"/>
      <c r="BB973" s="70"/>
      <c r="BC973" s="70"/>
      <c r="BD973" s="250"/>
      <c r="BE973" s="250"/>
      <c r="BF973" s="250"/>
      <c r="BG973" s="250"/>
      <c r="BH973" s="250"/>
      <c r="BI973" s="71"/>
      <c r="BJ973" s="71"/>
      <c r="BK973" s="71"/>
      <c r="BL973" s="550"/>
      <c r="BM973" s="542"/>
    </row>
    <row r="974" spans="2:65" ht="32.1" customHeight="1">
      <c r="B974" s="358" t="s">
        <v>3165</v>
      </c>
      <c r="C974" s="15" t="s">
        <v>1296</v>
      </c>
      <c r="D974" s="177" t="s">
        <v>1297</v>
      </c>
      <c r="E974" s="384" t="s">
        <v>10</v>
      </c>
      <c r="F974" s="410">
        <v>14962</v>
      </c>
      <c r="G974" s="10">
        <v>43000</v>
      </c>
      <c r="H974" s="167">
        <v>129000</v>
      </c>
      <c r="I974" s="10">
        <v>34000</v>
      </c>
      <c r="J974" s="76">
        <f t="shared" si="1049"/>
        <v>38500</v>
      </c>
      <c r="K974" s="24">
        <f t="shared" si="1050"/>
        <v>23538</v>
      </c>
      <c r="L974" s="281">
        <f t="shared" si="1051"/>
        <v>1.5731854030209864</v>
      </c>
      <c r="M974" s="431">
        <f t="shared" si="1052"/>
        <v>129000</v>
      </c>
      <c r="N974" s="408"/>
      <c r="O974" s="293"/>
      <c r="P974" s="293"/>
      <c r="Q974" s="293"/>
      <c r="R974" s="293"/>
      <c r="S974" s="293"/>
      <c r="T974" s="293"/>
      <c r="U974" s="327"/>
      <c r="V974" s="463"/>
      <c r="W974" s="15"/>
      <c r="X974" s="95"/>
      <c r="Y974" s="70"/>
      <c r="Z974" s="70"/>
      <c r="AA974" s="120"/>
      <c r="AB974" s="120"/>
      <c r="AC974" s="120"/>
      <c r="AD974" s="384"/>
      <c r="AE974" s="462"/>
      <c r="AF974" s="408"/>
      <c r="AG974" s="293"/>
      <c r="AH974" s="293"/>
      <c r="AI974" s="293"/>
      <c r="AJ974" s="293"/>
      <c r="AK974" s="293"/>
      <c r="AL974" s="327"/>
      <c r="AM974" s="463"/>
      <c r="AN974" s="15"/>
      <c r="AO974" s="120"/>
      <c r="AP974" s="120"/>
      <c r="AQ974" s="120"/>
      <c r="AR974" s="120"/>
      <c r="AS974" s="120"/>
      <c r="AT974" s="120"/>
      <c r="AU974" s="422"/>
      <c r="AV974" s="508"/>
      <c r="AW974" s="15"/>
      <c r="AX974" s="70"/>
      <c r="AY974" s="70"/>
      <c r="AZ974" s="70"/>
      <c r="BA974" s="70"/>
      <c r="BB974" s="70"/>
      <c r="BC974" s="70"/>
      <c r="BD974" s="250"/>
      <c r="BE974" s="250"/>
      <c r="BF974" s="250"/>
      <c r="BG974" s="250"/>
      <c r="BH974" s="250"/>
      <c r="BI974" s="71"/>
      <c r="BJ974" s="71"/>
      <c r="BK974" s="71"/>
      <c r="BL974" s="550"/>
      <c r="BM974" s="542"/>
    </row>
    <row r="975" spans="2:65" ht="56.1" customHeight="1">
      <c r="B975" s="358" t="s">
        <v>3166</v>
      </c>
      <c r="C975" s="15" t="s">
        <v>1298</v>
      </c>
      <c r="D975" s="177" t="s">
        <v>1299</v>
      </c>
      <c r="E975" s="384" t="s">
        <v>905</v>
      </c>
      <c r="F975" s="410">
        <v>1813739</v>
      </c>
      <c r="G975" s="10"/>
      <c r="H975" s="167">
        <v>250000</v>
      </c>
      <c r="I975" s="10">
        <v>1200000</v>
      </c>
      <c r="J975" s="76">
        <f t="shared" si="1049"/>
        <v>1200000</v>
      </c>
      <c r="K975" s="24">
        <f t="shared" si="1050"/>
        <v>-613739</v>
      </c>
      <c r="L975" s="281">
        <f t="shared" si="1051"/>
        <v>-0.3383833065286681</v>
      </c>
      <c r="M975" s="431" t="s">
        <v>807</v>
      </c>
      <c r="N975" s="408"/>
      <c r="O975" s="293"/>
      <c r="P975" s="293"/>
      <c r="Q975" s="293"/>
      <c r="R975" s="293"/>
      <c r="S975" s="293"/>
      <c r="T975" s="293"/>
      <c r="U975" s="327"/>
      <c r="V975" s="463"/>
      <c r="W975" s="15"/>
      <c r="X975" s="95"/>
      <c r="Y975" s="70"/>
      <c r="Z975" s="70"/>
      <c r="AA975" s="120"/>
      <c r="AB975" s="120"/>
      <c r="AC975" s="120"/>
      <c r="AD975" s="384"/>
      <c r="AE975" s="462"/>
      <c r="AF975" s="408"/>
      <c r="AG975" s="293"/>
      <c r="AH975" s="293"/>
      <c r="AI975" s="293"/>
      <c r="AJ975" s="293"/>
      <c r="AK975" s="293"/>
      <c r="AL975" s="327"/>
      <c r="AM975" s="463"/>
      <c r="AN975" s="15"/>
      <c r="AO975" s="120"/>
      <c r="AP975" s="120"/>
      <c r="AQ975" s="120"/>
      <c r="AR975" s="120"/>
      <c r="AS975" s="120"/>
      <c r="AT975" s="120"/>
      <c r="AU975" s="422"/>
      <c r="AV975" s="508"/>
      <c r="AW975" s="15"/>
      <c r="AX975" s="70"/>
      <c r="AY975" s="70"/>
      <c r="AZ975" s="70"/>
      <c r="BA975" s="70"/>
      <c r="BB975" s="70"/>
      <c r="BC975" s="70"/>
      <c r="BD975" s="250"/>
      <c r="BE975" s="250"/>
      <c r="BF975" s="250"/>
      <c r="BG975" s="250"/>
      <c r="BH975" s="250"/>
      <c r="BI975" s="71"/>
      <c r="BJ975" s="71"/>
      <c r="BK975" s="71"/>
      <c r="BL975" s="550"/>
      <c r="BM975" s="542"/>
    </row>
    <row r="976" spans="2:65" ht="32.1" customHeight="1">
      <c r="B976" s="358" t="s">
        <v>3167</v>
      </c>
      <c r="C976" s="15" t="s">
        <v>1300</v>
      </c>
      <c r="D976" s="177" t="s">
        <v>1301</v>
      </c>
      <c r="E976" s="384" t="s">
        <v>14</v>
      </c>
      <c r="F976" s="410">
        <v>116092</v>
      </c>
      <c r="G976" s="10">
        <v>35000</v>
      </c>
      <c r="H976" s="167">
        <v>70000</v>
      </c>
      <c r="I976" s="10">
        <v>45600</v>
      </c>
      <c r="J976" s="76">
        <f t="shared" si="1049"/>
        <v>40300</v>
      </c>
      <c r="K976" s="24">
        <f t="shared" si="1050"/>
        <v>-75792</v>
      </c>
      <c r="L976" s="281">
        <f t="shared" si="1051"/>
        <v>-0.65286152361919858</v>
      </c>
      <c r="M976" s="431">
        <f t="shared" si="1052"/>
        <v>70000</v>
      </c>
      <c r="N976" s="408"/>
      <c r="O976" s="293"/>
      <c r="P976" s="293"/>
      <c r="Q976" s="293"/>
      <c r="R976" s="293"/>
      <c r="S976" s="293"/>
      <c r="T976" s="293"/>
      <c r="U976" s="327"/>
      <c r="V976" s="463"/>
      <c r="W976" s="15"/>
      <c r="X976" s="95"/>
      <c r="Y976" s="70"/>
      <c r="Z976" s="70"/>
      <c r="AA976" s="120"/>
      <c r="AB976" s="120"/>
      <c r="AC976" s="120"/>
      <c r="AD976" s="384"/>
      <c r="AE976" s="462"/>
      <c r="AF976" s="408"/>
      <c r="AG976" s="293"/>
      <c r="AH976" s="293"/>
      <c r="AI976" s="293"/>
      <c r="AJ976" s="293"/>
      <c r="AK976" s="293"/>
      <c r="AL976" s="327"/>
      <c r="AM976" s="463"/>
      <c r="AN976" s="15"/>
      <c r="AO976" s="120"/>
      <c r="AP976" s="120"/>
      <c r="AQ976" s="120"/>
      <c r="AR976" s="120"/>
      <c r="AS976" s="120"/>
      <c r="AT976" s="120"/>
      <c r="AU976" s="422"/>
      <c r="AV976" s="508"/>
      <c r="AW976" s="15"/>
      <c r="AX976" s="70"/>
      <c r="AY976" s="70"/>
      <c r="AZ976" s="70"/>
      <c r="BA976" s="70"/>
      <c r="BB976" s="70"/>
      <c r="BC976" s="70"/>
      <c r="BD976" s="250"/>
      <c r="BE976" s="250"/>
      <c r="BF976" s="250"/>
      <c r="BG976" s="250"/>
      <c r="BH976" s="250"/>
      <c r="BI976" s="71"/>
      <c r="BJ976" s="71"/>
      <c r="BK976" s="71"/>
      <c r="BL976" s="550"/>
      <c r="BM976" s="542"/>
    </row>
    <row r="977" spans="2:65" ht="32.1" customHeight="1">
      <c r="B977" s="358" t="s">
        <v>3168</v>
      </c>
      <c r="C977" s="15" t="s">
        <v>1302</v>
      </c>
      <c r="D977" s="177" t="s">
        <v>1303</v>
      </c>
      <c r="E977" s="384" t="s">
        <v>14</v>
      </c>
      <c r="F977" s="410">
        <v>15134</v>
      </c>
      <c r="G977" s="10">
        <v>21972</v>
      </c>
      <c r="H977" s="167">
        <v>65916</v>
      </c>
      <c r="I977" s="10">
        <v>16700</v>
      </c>
      <c r="J977" s="76">
        <f t="shared" si="1049"/>
        <v>19336</v>
      </c>
      <c r="K977" s="24">
        <f t="shared" si="1050"/>
        <v>4202</v>
      </c>
      <c r="L977" s="281">
        <f t="shared" si="1051"/>
        <v>0.27765296682965507</v>
      </c>
      <c r="M977" s="431">
        <f t="shared" si="1052"/>
        <v>65916</v>
      </c>
      <c r="N977" s="408"/>
      <c r="O977" s="293"/>
      <c r="P977" s="293"/>
      <c r="Q977" s="293"/>
      <c r="R977" s="293"/>
      <c r="S977" s="293"/>
      <c r="T977" s="293"/>
      <c r="U977" s="327"/>
      <c r="V977" s="463"/>
      <c r="W977" s="15"/>
      <c r="X977" s="95"/>
      <c r="Y977" s="70"/>
      <c r="Z977" s="70"/>
      <c r="AA977" s="120"/>
      <c r="AB977" s="120"/>
      <c r="AC977" s="120"/>
      <c r="AD977" s="384"/>
      <c r="AE977" s="462"/>
      <c r="AF977" s="408"/>
      <c r="AG977" s="293"/>
      <c r="AH977" s="293"/>
      <c r="AI977" s="293"/>
      <c r="AJ977" s="293"/>
      <c r="AK977" s="293"/>
      <c r="AL977" s="327"/>
      <c r="AM977" s="463"/>
      <c r="AN977" s="15"/>
      <c r="AO977" s="120"/>
      <c r="AP977" s="120"/>
      <c r="AQ977" s="120"/>
      <c r="AR977" s="120"/>
      <c r="AS977" s="120"/>
      <c r="AT977" s="120"/>
      <c r="AU977" s="422"/>
      <c r="AV977" s="508"/>
      <c r="AW977" s="15"/>
      <c r="AX977" s="70"/>
      <c r="AY977" s="70"/>
      <c r="AZ977" s="70"/>
      <c r="BA977" s="70"/>
      <c r="BB977" s="70"/>
      <c r="BC977" s="70"/>
      <c r="BD977" s="250"/>
      <c r="BE977" s="250"/>
      <c r="BF977" s="250"/>
      <c r="BG977" s="250"/>
      <c r="BH977" s="250"/>
      <c r="BI977" s="71"/>
      <c r="BJ977" s="71"/>
      <c r="BK977" s="71"/>
      <c r="BL977" s="550"/>
      <c r="BM977" s="542"/>
    </row>
    <row r="978" spans="2:65" ht="32.1" customHeight="1">
      <c r="B978" s="358" t="s">
        <v>3169</v>
      </c>
      <c r="C978" s="15" t="s">
        <v>1304</v>
      </c>
      <c r="D978" s="177" t="s">
        <v>1305</v>
      </c>
      <c r="E978" s="384" t="s">
        <v>1387</v>
      </c>
      <c r="F978" s="410">
        <v>5547</v>
      </c>
      <c r="G978" s="10">
        <v>150000</v>
      </c>
      <c r="H978" s="167">
        <v>450000</v>
      </c>
      <c r="I978" s="10">
        <v>13000</v>
      </c>
      <c r="J978" s="76">
        <f t="shared" si="1049"/>
        <v>81500</v>
      </c>
      <c r="K978" s="24">
        <f t="shared" si="1050"/>
        <v>75953</v>
      </c>
      <c r="L978" s="281">
        <f t="shared" si="1051"/>
        <v>13.692626645033352</v>
      </c>
      <c r="M978" s="431">
        <f t="shared" si="1052"/>
        <v>450000</v>
      </c>
      <c r="N978" s="408"/>
      <c r="O978" s="293"/>
      <c r="P978" s="293"/>
      <c r="Q978" s="293"/>
      <c r="R978" s="293"/>
      <c r="S978" s="293"/>
      <c r="T978" s="293"/>
      <c r="U978" s="327"/>
      <c r="V978" s="463"/>
      <c r="W978" s="15"/>
      <c r="X978" s="95"/>
      <c r="Y978" s="70"/>
      <c r="Z978" s="70"/>
      <c r="AA978" s="120"/>
      <c r="AB978" s="120"/>
      <c r="AC978" s="120"/>
      <c r="AD978" s="384"/>
      <c r="AE978" s="462"/>
      <c r="AF978" s="408"/>
      <c r="AG978" s="293"/>
      <c r="AH978" s="293"/>
      <c r="AI978" s="293"/>
      <c r="AJ978" s="293"/>
      <c r="AK978" s="293"/>
      <c r="AL978" s="327"/>
      <c r="AM978" s="463"/>
      <c r="AN978" s="15"/>
      <c r="AO978" s="120"/>
      <c r="AP978" s="120"/>
      <c r="AQ978" s="120"/>
      <c r="AR978" s="120"/>
      <c r="AS978" s="120"/>
      <c r="AT978" s="120"/>
      <c r="AU978" s="422"/>
      <c r="AV978" s="508"/>
      <c r="AW978" s="15"/>
      <c r="AX978" s="70"/>
      <c r="AY978" s="70"/>
      <c r="AZ978" s="70"/>
      <c r="BA978" s="70"/>
      <c r="BB978" s="70"/>
      <c r="BC978" s="70"/>
      <c r="BD978" s="250"/>
      <c r="BE978" s="250"/>
      <c r="BF978" s="250"/>
      <c r="BG978" s="250"/>
      <c r="BH978" s="250"/>
      <c r="BI978" s="71"/>
      <c r="BJ978" s="71"/>
      <c r="BK978" s="71"/>
      <c r="BL978" s="550"/>
      <c r="BM978" s="542"/>
    </row>
    <row r="979" spans="2:65" ht="32.1" customHeight="1">
      <c r="B979" s="358" t="s">
        <v>3170</v>
      </c>
      <c r="C979" s="15" t="s">
        <v>1306</v>
      </c>
      <c r="D979" s="177" t="s">
        <v>1307</v>
      </c>
      <c r="E979" s="384" t="s">
        <v>999</v>
      </c>
      <c r="F979" s="410">
        <v>15226</v>
      </c>
      <c r="G979" s="10">
        <v>25000</v>
      </c>
      <c r="H979" s="167">
        <v>75000</v>
      </c>
      <c r="I979" s="10">
        <v>20000</v>
      </c>
      <c r="J979" s="76">
        <f t="shared" si="1049"/>
        <v>22500</v>
      </c>
      <c r="K979" s="24">
        <f t="shared" si="1050"/>
        <v>7274</v>
      </c>
      <c r="L979" s="281">
        <f t="shared" si="1051"/>
        <v>0.47773545251543414</v>
      </c>
      <c r="M979" s="431">
        <f t="shared" si="1052"/>
        <v>75000</v>
      </c>
      <c r="N979" s="408"/>
      <c r="O979" s="293"/>
      <c r="P979" s="293"/>
      <c r="Q979" s="293"/>
      <c r="R979" s="293"/>
      <c r="S979" s="293"/>
      <c r="T979" s="293"/>
      <c r="U979" s="327"/>
      <c r="V979" s="463"/>
      <c r="W979" s="15"/>
      <c r="X979" s="95"/>
      <c r="Y979" s="70"/>
      <c r="Z979" s="70"/>
      <c r="AA979" s="120"/>
      <c r="AB979" s="120"/>
      <c r="AC979" s="120"/>
      <c r="AD979" s="384"/>
      <c r="AE979" s="462"/>
      <c r="AF979" s="408"/>
      <c r="AG979" s="293"/>
      <c r="AH979" s="293"/>
      <c r="AI979" s="293"/>
      <c r="AJ979" s="293"/>
      <c r="AK979" s="293"/>
      <c r="AL979" s="327"/>
      <c r="AM979" s="463"/>
      <c r="AN979" s="15"/>
      <c r="AO979" s="120"/>
      <c r="AP979" s="120"/>
      <c r="AQ979" s="120"/>
      <c r="AR979" s="120"/>
      <c r="AS979" s="120"/>
      <c r="AT979" s="120"/>
      <c r="AU979" s="422"/>
      <c r="AV979" s="508"/>
      <c r="AW979" s="15"/>
      <c r="AX979" s="70"/>
      <c r="AY979" s="70"/>
      <c r="AZ979" s="70"/>
      <c r="BA979" s="70"/>
      <c r="BB979" s="70"/>
      <c r="BC979" s="70"/>
      <c r="BD979" s="250"/>
      <c r="BE979" s="250"/>
      <c r="BF979" s="250"/>
      <c r="BG979" s="250"/>
      <c r="BH979" s="250"/>
      <c r="BI979" s="71"/>
      <c r="BJ979" s="71"/>
      <c r="BK979" s="71"/>
      <c r="BL979" s="550"/>
      <c r="BM979" s="542"/>
    </row>
    <row r="980" spans="2:65" ht="32.1" customHeight="1">
      <c r="B980" s="358" t="s">
        <v>3171</v>
      </c>
      <c r="C980" s="15" t="s">
        <v>1308</v>
      </c>
      <c r="D980" s="177" t="s">
        <v>1309</v>
      </c>
      <c r="E980" s="384" t="s">
        <v>10</v>
      </c>
      <c r="F980" s="410">
        <v>30553</v>
      </c>
      <c r="G980" s="10">
        <v>15000</v>
      </c>
      <c r="H980" s="167">
        <v>30000</v>
      </c>
      <c r="I980" s="10">
        <v>25000</v>
      </c>
      <c r="J980" s="76">
        <f t="shared" si="1049"/>
        <v>20000</v>
      </c>
      <c r="K980" s="24">
        <f t="shared" si="1050"/>
        <v>-10553</v>
      </c>
      <c r="L980" s="281">
        <f t="shared" si="1051"/>
        <v>-0.34539979707393709</v>
      </c>
      <c r="M980" s="431">
        <f t="shared" si="1052"/>
        <v>30000</v>
      </c>
      <c r="N980" s="408"/>
      <c r="O980" s="293"/>
      <c r="P980" s="293"/>
      <c r="Q980" s="293"/>
      <c r="R980" s="293"/>
      <c r="S980" s="293"/>
      <c r="T980" s="293"/>
      <c r="U980" s="327"/>
      <c r="V980" s="463"/>
      <c r="W980" s="15"/>
      <c r="X980" s="95"/>
      <c r="Y980" s="70"/>
      <c r="Z980" s="70"/>
      <c r="AA980" s="120"/>
      <c r="AB980" s="120"/>
      <c r="AC980" s="120"/>
      <c r="AD980" s="384"/>
      <c r="AE980" s="462"/>
      <c r="AF980" s="408"/>
      <c r="AG980" s="293"/>
      <c r="AH980" s="293"/>
      <c r="AI980" s="293"/>
      <c r="AJ980" s="293"/>
      <c r="AK980" s="293"/>
      <c r="AL980" s="327"/>
      <c r="AM980" s="463"/>
      <c r="AN980" s="15"/>
      <c r="AO980" s="120"/>
      <c r="AP980" s="120"/>
      <c r="AQ980" s="120"/>
      <c r="AR980" s="120"/>
      <c r="AS980" s="120"/>
      <c r="AT980" s="120"/>
      <c r="AU980" s="422"/>
      <c r="AV980" s="508"/>
      <c r="AW980" s="15"/>
      <c r="AX980" s="70"/>
      <c r="AY980" s="70"/>
      <c r="AZ980" s="70"/>
      <c r="BA980" s="70"/>
      <c r="BB980" s="70"/>
      <c r="BC980" s="70"/>
      <c r="BD980" s="250"/>
      <c r="BE980" s="250"/>
      <c r="BF980" s="250"/>
      <c r="BG980" s="250"/>
      <c r="BH980" s="250"/>
      <c r="BI980" s="71"/>
      <c r="BJ980" s="71"/>
      <c r="BK980" s="71"/>
      <c r="BL980" s="550"/>
      <c r="BM980" s="542"/>
    </row>
    <row r="981" spans="2:65" ht="32.1" customHeight="1">
      <c r="B981" s="358" t="s">
        <v>3172</v>
      </c>
      <c r="C981" s="15" t="s">
        <v>1310</v>
      </c>
      <c r="D981" s="177" t="s">
        <v>1311</v>
      </c>
      <c r="E981" s="384" t="s">
        <v>10</v>
      </c>
      <c r="F981" s="410">
        <v>14297</v>
      </c>
      <c r="G981" s="10">
        <v>50111.3</v>
      </c>
      <c r="H981" s="167">
        <v>100222.6</v>
      </c>
      <c r="I981" s="10">
        <v>45000</v>
      </c>
      <c r="J981" s="76">
        <f t="shared" si="1049"/>
        <v>47555.65</v>
      </c>
      <c r="K981" s="24">
        <f t="shared" si="1050"/>
        <v>33258.65</v>
      </c>
      <c r="L981" s="281">
        <f t="shared" si="1051"/>
        <v>2.3262677484787018</v>
      </c>
      <c r="M981" s="431">
        <f t="shared" si="1052"/>
        <v>100222.6</v>
      </c>
      <c r="N981" s="408"/>
      <c r="O981" s="293"/>
      <c r="P981" s="293"/>
      <c r="Q981" s="293"/>
      <c r="R981" s="293"/>
      <c r="S981" s="293"/>
      <c r="T981" s="293"/>
      <c r="U981" s="327"/>
      <c r="V981" s="463"/>
      <c r="W981" s="15"/>
      <c r="X981" s="95"/>
      <c r="Y981" s="70"/>
      <c r="Z981" s="70"/>
      <c r="AA981" s="120"/>
      <c r="AB981" s="120"/>
      <c r="AC981" s="120"/>
      <c r="AD981" s="384"/>
      <c r="AE981" s="462"/>
      <c r="AF981" s="408"/>
      <c r="AG981" s="293"/>
      <c r="AH981" s="293"/>
      <c r="AI981" s="293"/>
      <c r="AJ981" s="293"/>
      <c r="AK981" s="293"/>
      <c r="AL981" s="327"/>
      <c r="AM981" s="463"/>
      <c r="AN981" s="15"/>
      <c r="AO981" s="120"/>
      <c r="AP981" s="120"/>
      <c r="AQ981" s="120"/>
      <c r="AR981" s="120"/>
      <c r="AS981" s="120"/>
      <c r="AT981" s="120"/>
      <c r="AU981" s="422"/>
      <c r="AV981" s="508"/>
      <c r="AW981" s="15"/>
      <c r="AX981" s="70"/>
      <c r="AY981" s="70"/>
      <c r="AZ981" s="70"/>
      <c r="BA981" s="70"/>
      <c r="BB981" s="70"/>
      <c r="BC981" s="70"/>
      <c r="BD981" s="250"/>
      <c r="BE981" s="250"/>
      <c r="BF981" s="250"/>
      <c r="BG981" s="250"/>
      <c r="BH981" s="250"/>
      <c r="BI981" s="71"/>
      <c r="BJ981" s="71"/>
      <c r="BK981" s="71"/>
      <c r="BL981" s="550"/>
      <c r="BM981" s="542"/>
    </row>
    <row r="982" spans="2:65" ht="32.1" customHeight="1">
      <c r="B982" s="358" t="s">
        <v>3173</v>
      </c>
      <c r="C982" s="15" t="s">
        <v>1312</v>
      </c>
      <c r="D982" s="177" t="s">
        <v>1313</v>
      </c>
      <c r="E982" s="384" t="s">
        <v>14</v>
      </c>
      <c r="F982" s="410">
        <v>155791</v>
      </c>
      <c r="G982" s="10">
        <v>450538</v>
      </c>
      <c r="H982" s="167">
        <v>901076</v>
      </c>
      <c r="I982" s="10">
        <v>425000</v>
      </c>
      <c r="J982" s="76">
        <f t="shared" si="1049"/>
        <v>437769</v>
      </c>
      <c r="K982" s="24">
        <f t="shared" si="1050"/>
        <v>281978</v>
      </c>
      <c r="L982" s="281">
        <f t="shared" si="1051"/>
        <v>1.8099761860441232</v>
      </c>
      <c r="M982" s="431">
        <f t="shared" si="1052"/>
        <v>901076</v>
      </c>
      <c r="N982" s="408"/>
      <c r="O982" s="293"/>
      <c r="P982" s="293"/>
      <c r="Q982" s="293"/>
      <c r="R982" s="293"/>
      <c r="S982" s="293"/>
      <c r="T982" s="293"/>
      <c r="U982" s="327"/>
      <c r="V982" s="463"/>
      <c r="W982" s="15"/>
      <c r="X982" s="95"/>
      <c r="Y982" s="70"/>
      <c r="Z982" s="70"/>
      <c r="AA982" s="120"/>
      <c r="AB982" s="120"/>
      <c r="AC982" s="120"/>
      <c r="AD982" s="384"/>
      <c r="AE982" s="462"/>
      <c r="AF982" s="408"/>
      <c r="AG982" s="293"/>
      <c r="AH982" s="293"/>
      <c r="AI982" s="293"/>
      <c r="AJ982" s="293"/>
      <c r="AK982" s="293"/>
      <c r="AL982" s="327"/>
      <c r="AM982" s="463"/>
      <c r="AN982" s="15"/>
      <c r="AO982" s="120"/>
      <c r="AP982" s="120"/>
      <c r="AQ982" s="120"/>
      <c r="AR982" s="120"/>
      <c r="AS982" s="120"/>
      <c r="AT982" s="120"/>
      <c r="AU982" s="422"/>
      <c r="AV982" s="508"/>
      <c r="AW982" s="15"/>
      <c r="AX982" s="70"/>
      <c r="AY982" s="70"/>
      <c r="AZ982" s="70"/>
      <c r="BA982" s="70"/>
      <c r="BB982" s="70"/>
      <c r="BC982" s="70"/>
      <c r="BD982" s="250"/>
      <c r="BE982" s="250"/>
      <c r="BF982" s="250"/>
      <c r="BG982" s="250"/>
      <c r="BH982" s="250"/>
      <c r="BI982" s="71"/>
      <c r="BJ982" s="71"/>
      <c r="BK982" s="71"/>
      <c r="BL982" s="550"/>
      <c r="BM982" s="542"/>
    </row>
    <row r="983" spans="2:65" ht="32.1" customHeight="1">
      <c r="B983" s="358" t="s">
        <v>3174</v>
      </c>
      <c r="C983" s="15" t="s">
        <v>1314</v>
      </c>
      <c r="D983" s="177" t="s">
        <v>1315</v>
      </c>
      <c r="E983" s="384" t="s">
        <v>14</v>
      </c>
      <c r="F983" s="410">
        <v>17492</v>
      </c>
      <c r="G983" s="10">
        <v>360000</v>
      </c>
      <c r="H983" s="167">
        <v>720000</v>
      </c>
      <c r="I983" s="10">
        <v>230000</v>
      </c>
      <c r="J983" s="76">
        <f t="shared" si="1049"/>
        <v>295000</v>
      </c>
      <c r="K983" s="24">
        <f t="shared" si="1050"/>
        <v>277508</v>
      </c>
      <c r="L983" s="281">
        <f t="shared" si="1051"/>
        <v>15.86485250400183</v>
      </c>
      <c r="M983" s="431">
        <f t="shared" si="1052"/>
        <v>720000</v>
      </c>
      <c r="N983" s="408"/>
      <c r="O983" s="293"/>
      <c r="P983" s="293"/>
      <c r="Q983" s="293"/>
      <c r="R983" s="293"/>
      <c r="S983" s="293"/>
      <c r="T983" s="293"/>
      <c r="U983" s="327"/>
      <c r="V983" s="463"/>
      <c r="W983" s="15"/>
      <c r="X983" s="95"/>
      <c r="Y983" s="70"/>
      <c r="Z983" s="70"/>
      <c r="AA983" s="120"/>
      <c r="AB983" s="120"/>
      <c r="AC983" s="120"/>
      <c r="AD983" s="384"/>
      <c r="AE983" s="462"/>
      <c r="AF983" s="408"/>
      <c r="AG983" s="293"/>
      <c r="AH983" s="293"/>
      <c r="AI983" s="293"/>
      <c r="AJ983" s="293"/>
      <c r="AK983" s="293"/>
      <c r="AL983" s="327"/>
      <c r="AM983" s="463"/>
      <c r="AN983" s="15"/>
      <c r="AO983" s="120"/>
      <c r="AP983" s="120"/>
      <c r="AQ983" s="120"/>
      <c r="AR983" s="120"/>
      <c r="AS983" s="120"/>
      <c r="AT983" s="120"/>
      <c r="AU983" s="422"/>
      <c r="AV983" s="508"/>
      <c r="AW983" s="15"/>
      <c r="AX983" s="70"/>
      <c r="AY983" s="70"/>
      <c r="AZ983" s="70"/>
      <c r="BA983" s="70"/>
      <c r="BB983" s="70"/>
      <c r="BC983" s="70"/>
      <c r="BD983" s="250"/>
      <c r="BE983" s="250"/>
      <c r="BF983" s="250"/>
      <c r="BG983" s="250"/>
      <c r="BH983" s="250"/>
      <c r="BI983" s="71"/>
      <c r="BJ983" s="71"/>
      <c r="BK983" s="71"/>
      <c r="BL983" s="550"/>
      <c r="BM983" s="542"/>
    </row>
    <row r="984" spans="2:65" ht="32.1" customHeight="1">
      <c r="B984" s="358" t="s">
        <v>3175</v>
      </c>
      <c r="C984" s="15" t="s">
        <v>1316</v>
      </c>
      <c r="D984" s="177" t="s">
        <v>1317</v>
      </c>
      <c r="E984" s="384" t="s">
        <v>13</v>
      </c>
      <c r="F984" s="410">
        <v>14360</v>
      </c>
      <c r="G984" s="10"/>
      <c r="H984" s="167">
        <v>32000</v>
      </c>
      <c r="I984" s="10">
        <v>22000</v>
      </c>
      <c r="J984" s="76">
        <f t="shared" si="1049"/>
        <v>22000</v>
      </c>
      <c r="K984" s="24">
        <f t="shared" si="1050"/>
        <v>7640</v>
      </c>
      <c r="L984" s="281">
        <f t="shared" si="1051"/>
        <v>0.53203342618384397</v>
      </c>
      <c r="M984" s="431">
        <f t="shared" si="1052"/>
        <v>32000</v>
      </c>
      <c r="N984" s="408"/>
      <c r="O984" s="293"/>
      <c r="P984" s="293"/>
      <c r="Q984" s="293"/>
      <c r="R984" s="293"/>
      <c r="S984" s="293"/>
      <c r="T984" s="293"/>
      <c r="U984" s="327"/>
      <c r="V984" s="463"/>
      <c r="W984" s="15"/>
      <c r="X984" s="95"/>
      <c r="Y984" s="70"/>
      <c r="Z984" s="70"/>
      <c r="AA984" s="120"/>
      <c r="AB984" s="120"/>
      <c r="AC984" s="120"/>
      <c r="AD984" s="384"/>
      <c r="AE984" s="462"/>
      <c r="AF984" s="408"/>
      <c r="AG984" s="293"/>
      <c r="AH984" s="293"/>
      <c r="AI984" s="293"/>
      <c r="AJ984" s="293"/>
      <c r="AK984" s="293"/>
      <c r="AL984" s="327"/>
      <c r="AM984" s="463"/>
      <c r="AN984" s="15"/>
      <c r="AO984" s="120"/>
      <c r="AP984" s="120"/>
      <c r="AQ984" s="120"/>
      <c r="AR984" s="120"/>
      <c r="AS984" s="120"/>
      <c r="AT984" s="120"/>
      <c r="AU984" s="422"/>
      <c r="AV984" s="508"/>
      <c r="AW984" s="15"/>
      <c r="AX984" s="70"/>
      <c r="AY984" s="70"/>
      <c r="AZ984" s="70"/>
      <c r="BA984" s="70"/>
      <c r="BB984" s="70"/>
      <c r="BC984" s="70"/>
      <c r="BD984" s="250"/>
      <c r="BE984" s="250"/>
      <c r="BF984" s="250"/>
      <c r="BG984" s="250"/>
      <c r="BH984" s="250"/>
      <c r="BI984" s="71"/>
      <c r="BJ984" s="71"/>
      <c r="BK984" s="71"/>
      <c r="BL984" s="550"/>
      <c r="BM984" s="542"/>
    </row>
    <row r="985" spans="2:65" ht="32.1" customHeight="1">
      <c r="B985" s="358" t="s">
        <v>3176</v>
      </c>
      <c r="C985" s="15" t="s">
        <v>1318</v>
      </c>
      <c r="D985" s="177" t="s">
        <v>1319</v>
      </c>
      <c r="E985" s="384" t="s">
        <v>905</v>
      </c>
      <c r="F985" s="410">
        <v>1626319</v>
      </c>
      <c r="G985" s="10"/>
      <c r="H985" s="167">
        <v>250000</v>
      </c>
      <c r="I985" s="10">
        <v>300000</v>
      </c>
      <c r="J985" s="76">
        <f t="shared" si="1049"/>
        <v>300000</v>
      </c>
      <c r="K985" s="24">
        <f t="shared" si="1050"/>
        <v>-1326319</v>
      </c>
      <c r="L985" s="281">
        <f t="shared" si="1051"/>
        <v>-0.815534344738025</v>
      </c>
      <c r="M985" s="431" t="s">
        <v>807</v>
      </c>
      <c r="N985" s="408"/>
      <c r="O985" s="293"/>
      <c r="P985" s="293"/>
      <c r="Q985" s="293"/>
      <c r="R985" s="293"/>
      <c r="S985" s="293"/>
      <c r="T985" s="293"/>
      <c r="U985" s="327"/>
      <c r="V985" s="463"/>
      <c r="W985" s="15"/>
      <c r="X985" s="95"/>
      <c r="Y985" s="70"/>
      <c r="Z985" s="70"/>
      <c r="AA985" s="120"/>
      <c r="AB985" s="120"/>
      <c r="AC985" s="120"/>
      <c r="AD985" s="384"/>
      <c r="AE985" s="462"/>
      <c r="AF985" s="408"/>
      <c r="AG985" s="293"/>
      <c r="AH985" s="293"/>
      <c r="AI985" s="293"/>
      <c r="AJ985" s="293"/>
      <c r="AK985" s="293"/>
      <c r="AL985" s="327"/>
      <c r="AM985" s="463"/>
      <c r="AN985" s="15"/>
      <c r="AO985" s="120"/>
      <c r="AP985" s="120"/>
      <c r="AQ985" s="120"/>
      <c r="AR985" s="120"/>
      <c r="AS985" s="120"/>
      <c r="AT985" s="120"/>
      <c r="AU985" s="422"/>
      <c r="AV985" s="508"/>
      <c r="AW985" s="15"/>
      <c r="AX985" s="70"/>
      <c r="AY985" s="70"/>
      <c r="AZ985" s="70"/>
      <c r="BA985" s="70"/>
      <c r="BB985" s="70"/>
      <c r="BC985" s="70"/>
      <c r="BD985" s="250"/>
      <c r="BE985" s="250"/>
      <c r="BF985" s="250"/>
      <c r="BG985" s="250"/>
      <c r="BH985" s="250"/>
      <c r="BI985" s="71"/>
      <c r="BJ985" s="71"/>
      <c r="BK985" s="71"/>
      <c r="BL985" s="550"/>
      <c r="BM985" s="542"/>
    </row>
    <row r="986" spans="2:65" ht="32.1" customHeight="1">
      <c r="B986" s="358" t="s">
        <v>3177</v>
      </c>
      <c r="C986" s="15" t="s">
        <v>1320</v>
      </c>
      <c r="D986" s="177" t="s">
        <v>1321</v>
      </c>
      <c r="E986" s="384" t="s">
        <v>13</v>
      </c>
      <c r="F986" s="410">
        <v>54299</v>
      </c>
      <c r="G986" s="10">
        <v>12500</v>
      </c>
      <c r="H986" s="167">
        <v>37500</v>
      </c>
      <c r="I986" s="10">
        <v>18500</v>
      </c>
      <c r="J986" s="76">
        <f t="shared" si="1049"/>
        <v>15500</v>
      </c>
      <c r="K986" s="24">
        <f t="shared" si="1050"/>
        <v>-38799</v>
      </c>
      <c r="L986" s="281">
        <f t="shared" si="1051"/>
        <v>-0.71454354592165603</v>
      </c>
      <c r="M986" s="431">
        <f t="shared" si="1052"/>
        <v>37500</v>
      </c>
      <c r="N986" s="408"/>
      <c r="O986" s="293"/>
      <c r="P986" s="293"/>
      <c r="Q986" s="293"/>
      <c r="R986" s="293"/>
      <c r="S986" s="293"/>
      <c r="T986" s="293"/>
      <c r="U986" s="327"/>
      <c r="V986" s="463"/>
      <c r="W986" s="15"/>
      <c r="X986" s="95"/>
      <c r="Y986" s="70"/>
      <c r="Z986" s="70"/>
      <c r="AA986" s="120"/>
      <c r="AB986" s="120"/>
      <c r="AC986" s="120"/>
      <c r="AD986" s="384"/>
      <c r="AE986" s="462"/>
      <c r="AF986" s="408"/>
      <c r="AG986" s="293"/>
      <c r="AH986" s="293"/>
      <c r="AI986" s="293"/>
      <c r="AJ986" s="293"/>
      <c r="AK986" s="293"/>
      <c r="AL986" s="327"/>
      <c r="AM986" s="463"/>
      <c r="AN986" s="15"/>
      <c r="AO986" s="120"/>
      <c r="AP986" s="120"/>
      <c r="AQ986" s="120"/>
      <c r="AR986" s="120"/>
      <c r="AS986" s="120"/>
      <c r="AT986" s="120"/>
      <c r="AU986" s="422"/>
      <c r="AV986" s="508"/>
      <c r="AW986" s="15"/>
      <c r="AX986" s="70"/>
      <c r="AY986" s="70"/>
      <c r="AZ986" s="70"/>
      <c r="BA986" s="70"/>
      <c r="BB986" s="70"/>
      <c r="BC986" s="70"/>
      <c r="BD986" s="250"/>
      <c r="BE986" s="250"/>
      <c r="BF986" s="250"/>
      <c r="BG986" s="250"/>
      <c r="BH986" s="250"/>
      <c r="BI986" s="71"/>
      <c r="BJ986" s="71"/>
      <c r="BK986" s="71"/>
      <c r="BL986" s="550"/>
      <c r="BM986" s="542"/>
    </row>
    <row r="987" spans="2:65" ht="32.1" customHeight="1">
      <c r="B987" s="358" t="s">
        <v>3178</v>
      </c>
      <c r="C987" s="15" t="s">
        <v>1322</v>
      </c>
      <c r="D987" s="177" t="s">
        <v>1323</v>
      </c>
      <c r="E987" s="384" t="s">
        <v>13</v>
      </c>
      <c r="F987" s="410">
        <v>77097</v>
      </c>
      <c r="G987" s="10">
        <v>91320</v>
      </c>
      <c r="H987" s="167">
        <v>273960</v>
      </c>
      <c r="I987" s="10">
        <v>76890</v>
      </c>
      <c r="J987" s="76">
        <f t="shared" si="1049"/>
        <v>84105</v>
      </c>
      <c r="K987" s="24">
        <f t="shared" si="1050"/>
        <v>7008</v>
      </c>
      <c r="L987" s="281">
        <f t="shared" si="1051"/>
        <v>9.0898478540021019E-2</v>
      </c>
      <c r="M987" s="431">
        <f t="shared" si="1052"/>
        <v>273960</v>
      </c>
      <c r="N987" s="408"/>
      <c r="O987" s="293"/>
      <c r="P987" s="293"/>
      <c r="Q987" s="293"/>
      <c r="R987" s="293"/>
      <c r="S987" s="293"/>
      <c r="T987" s="293"/>
      <c r="U987" s="327"/>
      <c r="V987" s="463"/>
      <c r="W987" s="15"/>
      <c r="X987" s="95"/>
      <c r="Y987" s="70"/>
      <c r="Z987" s="70"/>
      <c r="AA987" s="120"/>
      <c r="AB987" s="120"/>
      <c r="AC987" s="120"/>
      <c r="AD987" s="384"/>
      <c r="AE987" s="462"/>
      <c r="AF987" s="408"/>
      <c r="AG987" s="293"/>
      <c r="AH987" s="293"/>
      <c r="AI987" s="293"/>
      <c r="AJ987" s="293"/>
      <c r="AK987" s="293"/>
      <c r="AL987" s="327"/>
      <c r="AM987" s="463"/>
      <c r="AN987" s="15"/>
      <c r="AO987" s="120"/>
      <c r="AP987" s="120"/>
      <c r="AQ987" s="120"/>
      <c r="AR987" s="120"/>
      <c r="AS987" s="120"/>
      <c r="AT987" s="120"/>
      <c r="AU987" s="422"/>
      <c r="AV987" s="508"/>
      <c r="AW987" s="15"/>
      <c r="AX987" s="70"/>
      <c r="AY987" s="70"/>
      <c r="AZ987" s="70"/>
      <c r="BA987" s="70"/>
      <c r="BB987" s="70"/>
      <c r="BC987" s="70"/>
      <c r="BD987" s="250"/>
      <c r="BE987" s="250"/>
      <c r="BF987" s="250"/>
      <c r="BG987" s="250"/>
      <c r="BH987" s="250"/>
      <c r="BI987" s="71"/>
      <c r="BJ987" s="71"/>
      <c r="BK987" s="71"/>
      <c r="BL987" s="550"/>
      <c r="BM987" s="542"/>
    </row>
    <row r="988" spans="2:65" ht="32.1" customHeight="1">
      <c r="B988" s="358" t="s">
        <v>3179</v>
      </c>
      <c r="C988" s="15" t="s">
        <v>1324</v>
      </c>
      <c r="D988" s="177" t="s">
        <v>1325</v>
      </c>
      <c r="E988" s="384" t="s">
        <v>10</v>
      </c>
      <c r="F988" s="410">
        <v>14801</v>
      </c>
      <c r="G988" s="10">
        <v>8000</v>
      </c>
      <c r="H988" s="167">
        <v>24000</v>
      </c>
      <c r="I988" s="10">
        <v>12000</v>
      </c>
      <c r="J988" s="76">
        <f t="shared" si="1049"/>
        <v>10000</v>
      </c>
      <c r="K988" s="24">
        <f t="shared" si="1050"/>
        <v>-4801</v>
      </c>
      <c r="L988" s="281">
        <f t="shared" si="1051"/>
        <v>-0.32436997500168907</v>
      </c>
      <c r="M988" s="431">
        <f t="shared" si="1052"/>
        <v>24000</v>
      </c>
      <c r="N988" s="408"/>
      <c r="O988" s="293"/>
      <c r="P988" s="293"/>
      <c r="Q988" s="293"/>
      <c r="R988" s="293"/>
      <c r="S988" s="293"/>
      <c r="T988" s="293"/>
      <c r="U988" s="327"/>
      <c r="V988" s="463"/>
      <c r="W988" s="15"/>
      <c r="X988" s="95"/>
      <c r="Y988" s="70"/>
      <c r="Z988" s="70"/>
      <c r="AA988" s="120"/>
      <c r="AB988" s="120"/>
      <c r="AC988" s="120"/>
      <c r="AD988" s="384"/>
      <c r="AE988" s="462"/>
      <c r="AF988" s="408"/>
      <c r="AG988" s="293"/>
      <c r="AH988" s="293"/>
      <c r="AI988" s="293"/>
      <c r="AJ988" s="293"/>
      <c r="AK988" s="293"/>
      <c r="AL988" s="327"/>
      <c r="AM988" s="463"/>
      <c r="AN988" s="15"/>
      <c r="AO988" s="120"/>
      <c r="AP988" s="120"/>
      <c r="AQ988" s="120"/>
      <c r="AR988" s="120"/>
      <c r="AS988" s="120"/>
      <c r="AT988" s="120"/>
      <c r="AU988" s="422"/>
      <c r="AV988" s="508"/>
      <c r="AW988" s="15"/>
      <c r="AX988" s="70"/>
      <c r="AY988" s="70"/>
      <c r="AZ988" s="70"/>
      <c r="BA988" s="70"/>
      <c r="BB988" s="70"/>
      <c r="BC988" s="70"/>
      <c r="BD988" s="250"/>
      <c r="BE988" s="250"/>
      <c r="BF988" s="250"/>
      <c r="BG988" s="250"/>
      <c r="BH988" s="250"/>
      <c r="BI988" s="71"/>
      <c r="BJ988" s="71"/>
      <c r="BK988" s="71"/>
      <c r="BL988" s="550"/>
      <c r="BM988" s="542"/>
    </row>
    <row r="989" spans="2:65" ht="32.1" customHeight="1">
      <c r="B989" s="358" t="s">
        <v>3180</v>
      </c>
      <c r="C989" s="15" t="s">
        <v>1326</v>
      </c>
      <c r="D989" s="177" t="s">
        <v>1327</v>
      </c>
      <c r="E989" s="384" t="s">
        <v>14</v>
      </c>
      <c r="F989" s="410">
        <v>55794</v>
      </c>
      <c r="G989" s="10">
        <v>85000</v>
      </c>
      <c r="H989" s="167">
        <v>255000</v>
      </c>
      <c r="I989" s="10">
        <v>90000</v>
      </c>
      <c r="J989" s="76">
        <f t="shared" si="1049"/>
        <v>87500</v>
      </c>
      <c r="K989" s="24">
        <f t="shared" si="1050"/>
        <v>31706</v>
      </c>
      <c r="L989" s="281">
        <f t="shared" si="1051"/>
        <v>0.56826898949707849</v>
      </c>
      <c r="M989" s="431">
        <f t="shared" si="1052"/>
        <v>255000</v>
      </c>
      <c r="N989" s="408"/>
      <c r="O989" s="293"/>
      <c r="P989" s="293"/>
      <c r="Q989" s="293"/>
      <c r="R989" s="293"/>
      <c r="S989" s="293"/>
      <c r="T989" s="293"/>
      <c r="U989" s="327"/>
      <c r="V989" s="463"/>
      <c r="W989" s="15"/>
      <c r="X989" s="95"/>
      <c r="Y989" s="70"/>
      <c r="Z989" s="70"/>
      <c r="AA989" s="120"/>
      <c r="AB989" s="120"/>
      <c r="AC989" s="120"/>
      <c r="AD989" s="384"/>
      <c r="AE989" s="462"/>
      <c r="AF989" s="408"/>
      <c r="AG989" s="293"/>
      <c r="AH989" s="293"/>
      <c r="AI989" s="293"/>
      <c r="AJ989" s="293"/>
      <c r="AK989" s="293"/>
      <c r="AL989" s="327"/>
      <c r="AM989" s="463"/>
      <c r="AN989" s="15"/>
      <c r="AO989" s="120"/>
      <c r="AP989" s="120"/>
      <c r="AQ989" s="120"/>
      <c r="AR989" s="120"/>
      <c r="AS989" s="120"/>
      <c r="AT989" s="120"/>
      <c r="AU989" s="422"/>
      <c r="AV989" s="508"/>
      <c r="AW989" s="15"/>
      <c r="AX989" s="70"/>
      <c r="AY989" s="70"/>
      <c r="AZ989" s="70"/>
      <c r="BA989" s="70"/>
      <c r="BB989" s="70"/>
      <c r="BC989" s="70"/>
      <c r="BD989" s="250"/>
      <c r="BE989" s="250"/>
      <c r="BF989" s="250"/>
      <c r="BG989" s="250"/>
      <c r="BH989" s="250"/>
      <c r="BI989" s="71"/>
      <c r="BJ989" s="71"/>
      <c r="BK989" s="71"/>
      <c r="BL989" s="550"/>
      <c r="BM989" s="542"/>
    </row>
    <row r="990" spans="2:65" ht="32.1" customHeight="1">
      <c r="B990" s="358" t="s">
        <v>3181</v>
      </c>
      <c r="C990" s="15" t="s">
        <v>1328</v>
      </c>
      <c r="D990" s="177" t="s">
        <v>1329</v>
      </c>
      <c r="E990" s="384" t="s">
        <v>10</v>
      </c>
      <c r="F990" s="410">
        <v>10478</v>
      </c>
      <c r="G990" s="10"/>
      <c r="H990" s="167">
        <v>78000</v>
      </c>
      <c r="I990" s="10">
        <v>15000</v>
      </c>
      <c r="J990" s="76">
        <f t="shared" si="1049"/>
        <v>15000</v>
      </c>
      <c r="K990" s="24">
        <f t="shared" si="1050"/>
        <v>4522</v>
      </c>
      <c r="L990" s="281">
        <f t="shared" si="1051"/>
        <v>0.43157091047909907</v>
      </c>
      <c r="M990" s="431">
        <f t="shared" si="1052"/>
        <v>78000</v>
      </c>
      <c r="N990" s="408"/>
      <c r="O990" s="293"/>
      <c r="P990" s="293"/>
      <c r="Q990" s="293"/>
      <c r="R990" s="293"/>
      <c r="S990" s="293"/>
      <c r="T990" s="293"/>
      <c r="U990" s="327"/>
      <c r="V990" s="463"/>
      <c r="W990" s="15"/>
      <c r="X990" s="95"/>
      <c r="Y990" s="70"/>
      <c r="Z990" s="70"/>
      <c r="AA990" s="120"/>
      <c r="AB990" s="120"/>
      <c r="AC990" s="120"/>
      <c r="AD990" s="384"/>
      <c r="AE990" s="462"/>
      <c r="AF990" s="408"/>
      <c r="AG990" s="293"/>
      <c r="AH990" s="293"/>
      <c r="AI990" s="293"/>
      <c r="AJ990" s="293"/>
      <c r="AK990" s="293"/>
      <c r="AL990" s="327"/>
      <c r="AM990" s="463"/>
      <c r="AN990" s="15"/>
      <c r="AO990" s="120"/>
      <c r="AP990" s="120"/>
      <c r="AQ990" s="120"/>
      <c r="AR990" s="120"/>
      <c r="AS990" s="120"/>
      <c r="AT990" s="120"/>
      <c r="AU990" s="422"/>
      <c r="AV990" s="508"/>
      <c r="AW990" s="15"/>
      <c r="AX990" s="70"/>
      <c r="AY990" s="70"/>
      <c r="AZ990" s="70"/>
      <c r="BA990" s="70"/>
      <c r="BB990" s="70"/>
      <c r="BC990" s="70"/>
      <c r="BD990" s="250"/>
      <c r="BE990" s="250"/>
      <c r="BF990" s="250"/>
      <c r="BG990" s="250"/>
      <c r="BH990" s="250"/>
      <c r="BI990" s="71"/>
      <c r="BJ990" s="71"/>
      <c r="BK990" s="71"/>
      <c r="BL990" s="550"/>
      <c r="BM990" s="542"/>
    </row>
    <row r="991" spans="2:65" ht="32.1" customHeight="1">
      <c r="B991" s="358" t="s">
        <v>3182</v>
      </c>
      <c r="C991" s="15" t="s">
        <v>1330</v>
      </c>
      <c r="D991" s="177" t="s">
        <v>1331</v>
      </c>
      <c r="E991" s="384" t="s">
        <v>14</v>
      </c>
      <c r="F991" s="410">
        <v>13871</v>
      </c>
      <c r="G991" s="10">
        <v>5900</v>
      </c>
      <c r="H991" s="167">
        <v>5900</v>
      </c>
      <c r="I991" s="10">
        <v>12300</v>
      </c>
      <c r="J991" s="76">
        <f t="shared" si="1049"/>
        <v>9100</v>
      </c>
      <c r="K991" s="24">
        <f t="shared" si="1050"/>
        <v>-4771</v>
      </c>
      <c r="L991" s="281">
        <f t="shared" si="1051"/>
        <v>-0.34395501405810686</v>
      </c>
      <c r="M991" s="431">
        <f t="shared" si="1052"/>
        <v>5900</v>
      </c>
      <c r="N991" s="408"/>
      <c r="O991" s="293"/>
      <c r="P991" s="293"/>
      <c r="Q991" s="293"/>
      <c r="R991" s="293"/>
      <c r="S991" s="293"/>
      <c r="T991" s="293"/>
      <c r="U991" s="327"/>
      <c r="V991" s="463"/>
      <c r="W991" s="15"/>
      <c r="X991" s="95"/>
      <c r="Y991" s="70"/>
      <c r="Z991" s="70"/>
      <c r="AA991" s="120"/>
      <c r="AB991" s="120"/>
      <c r="AC991" s="120"/>
      <c r="AD991" s="384"/>
      <c r="AE991" s="462"/>
      <c r="AF991" s="408"/>
      <c r="AG991" s="293"/>
      <c r="AH991" s="293"/>
      <c r="AI991" s="293"/>
      <c r="AJ991" s="293"/>
      <c r="AK991" s="293"/>
      <c r="AL991" s="327"/>
      <c r="AM991" s="463"/>
      <c r="AN991" s="15"/>
      <c r="AO991" s="120"/>
      <c r="AP991" s="120"/>
      <c r="AQ991" s="120"/>
      <c r="AR991" s="120"/>
      <c r="AS991" s="120"/>
      <c r="AT991" s="120"/>
      <c r="AU991" s="422"/>
      <c r="AV991" s="508"/>
      <c r="AW991" s="15"/>
      <c r="AX991" s="70"/>
      <c r="AY991" s="70"/>
      <c r="AZ991" s="70"/>
      <c r="BA991" s="70"/>
      <c r="BB991" s="70"/>
      <c r="BC991" s="70"/>
      <c r="BD991" s="250"/>
      <c r="BE991" s="250"/>
      <c r="BF991" s="250"/>
      <c r="BG991" s="250"/>
      <c r="BH991" s="250"/>
      <c r="BI991" s="71"/>
      <c r="BJ991" s="71"/>
      <c r="BK991" s="71"/>
      <c r="BL991" s="550"/>
      <c r="BM991" s="542"/>
    </row>
    <row r="992" spans="2:65" ht="32.1" customHeight="1">
      <c r="B992" s="358" t="s">
        <v>3183</v>
      </c>
      <c r="C992" s="15" t="s">
        <v>1332</v>
      </c>
      <c r="D992" s="177" t="s">
        <v>1333</v>
      </c>
      <c r="E992" s="384" t="s">
        <v>14</v>
      </c>
      <c r="F992" s="410">
        <v>32499</v>
      </c>
      <c r="G992" s="10"/>
      <c r="H992" s="167">
        <v>65000</v>
      </c>
      <c r="I992" s="10">
        <v>70000</v>
      </c>
      <c r="J992" s="76">
        <f t="shared" si="1049"/>
        <v>70000</v>
      </c>
      <c r="K992" s="24">
        <f t="shared" si="1050"/>
        <v>37501</v>
      </c>
      <c r="L992" s="281">
        <f t="shared" si="1051"/>
        <v>1.15391242807471</v>
      </c>
      <c r="M992" s="431">
        <f t="shared" si="1052"/>
        <v>65000</v>
      </c>
      <c r="N992" s="408"/>
      <c r="O992" s="293"/>
      <c r="P992" s="293"/>
      <c r="Q992" s="293"/>
      <c r="R992" s="293"/>
      <c r="S992" s="293"/>
      <c r="T992" s="293"/>
      <c r="U992" s="327"/>
      <c r="V992" s="463"/>
      <c r="W992" s="15"/>
      <c r="X992" s="95"/>
      <c r="Y992" s="70"/>
      <c r="Z992" s="70"/>
      <c r="AA992" s="120"/>
      <c r="AB992" s="120"/>
      <c r="AC992" s="120"/>
      <c r="AD992" s="384"/>
      <c r="AE992" s="462"/>
      <c r="AF992" s="408"/>
      <c r="AG992" s="293"/>
      <c r="AH992" s="293"/>
      <c r="AI992" s="293"/>
      <c r="AJ992" s="293"/>
      <c r="AK992" s="293"/>
      <c r="AL992" s="327"/>
      <c r="AM992" s="463"/>
      <c r="AN992" s="15"/>
      <c r="AO992" s="120"/>
      <c r="AP992" s="120"/>
      <c r="AQ992" s="120"/>
      <c r="AR992" s="120"/>
      <c r="AS992" s="120"/>
      <c r="AT992" s="120"/>
      <c r="AU992" s="422"/>
      <c r="AV992" s="508"/>
      <c r="AW992" s="15"/>
      <c r="AX992" s="70"/>
      <c r="AY992" s="70"/>
      <c r="AZ992" s="70"/>
      <c r="BA992" s="70"/>
      <c r="BB992" s="70"/>
      <c r="BC992" s="70"/>
      <c r="BD992" s="250"/>
      <c r="BE992" s="250"/>
      <c r="BF992" s="250"/>
      <c r="BG992" s="250"/>
      <c r="BH992" s="250"/>
      <c r="BI992" s="71"/>
      <c r="BJ992" s="71"/>
      <c r="BK992" s="71"/>
      <c r="BL992" s="550"/>
      <c r="BM992" s="542"/>
    </row>
    <row r="993" spans="2:65" ht="32.1" customHeight="1">
      <c r="B993" s="358" t="s">
        <v>3184</v>
      </c>
      <c r="C993" s="15" t="s">
        <v>1334</v>
      </c>
      <c r="D993" s="177" t="s">
        <v>1335</v>
      </c>
      <c r="E993" s="384" t="s">
        <v>14</v>
      </c>
      <c r="F993" s="410">
        <v>128278</v>
      </c>
      <c r="G993" s="10"/>
      <c r="H993" s="167">
        <v>55500</v>
      </c>
      <c r="I993" s="10">
        <v>45600</v>
      </c>
      <c r="J993" s="76">
        <f t="shared" si="1049"/>
        <v>45600</v>
      </c>
      <c r="K993" s="24">
        <f t="shared" si="1050"/>
        <v>-82678</v>
      </c>
      <c r="L993" s="281">
        <f t="shared" si="1051"/>
        <v>-0.64452205366469695</v>
      </c>
      <c r="M993" s="431">
        <f t="shared" si="1052"/>
        <v>55500</v>
      </c>
      <c r="N993" s="408"/>
      <c r="O993" s="293"/>
      <c r="P993" s="293"/>
      <c r="Q993" s="293"/>
      <c r="R993" s="293"/>
      <c r="S993" s="293"/>
      <c r="T993" s="293"/>
      <c r="U993" s="327"/>
      <c r="V993" s="463"/>
      <c r="W993" s="15"/>
      <c r="X993" s="95"/>
      <c r="Y993" s="70"/>
      <c r="Z993" s="70"/>
      <c r="AA993" s="120"/>
      <c r="AB993" s="120"/>
      <c r="AC993" s="120"/>
      <c r="AD993" s="384"/>
      <c r="AE993" s="462"/>
      <c r="AF993" s="408"/>
      <c r="AG993" s="293"/>
      <c r="AH993" s="293"/>
      <c r="AI993" s="293"/>
      <c r="AJ993" s="293"/>
      <c r="AK993" s="293"/>
      <c r="AL993" s="327"/>
      <c r="AM993" s="463"/>
      <c r="AN993" s="15"/>
      <c r="AO993" s="120"/>
      <c r="AP993" s="120"/>
      <c r="AQ993" s="120"/>
      <c r="AR993" s="120"/>
      <c r="AS993" s="120"/>
      <c r="AT993" s="120"/>
      <c r="AU993" s="422"/>
      <c r="AV993" s="508"/>
      <c r="AW993" s="15"/>
      <c r="AX993" s="70"/>
      <c r="AY993" s="70"/>
      <c r="AZ993" s="70"/>
      <c r="BA993" s="70"/>
      <c r="BB993" s="70"/>
      <c r="BC993" s="70"/>
      <c r="BD993" s="250"/>
      <c r="BE993" s="250"/>
      <c r="BF993" s="250"/>
      <c r="BG993" s="250"/>
      <c r="BH993" s="250"/>
      <c r="BI993" s="71"/>
      <c r="BJ993" s="71"/>
      <c r="BK993" s="71"/>
      <c r="BL993" s="550"/>
      <c r="BM993" s="542"/>
    </row>
    <row r="994" spans="2:65" ht="32.1" customHeight="1">
      <c r="B994" s="358" t="s">
        <v>3185</v>
      </c>
      <c r="C994" s="15" t="s">
        <v>1336</v>
      </c>
      <c r="D994" s="177" t="s">
        <v>1337</v>
      </c>
      <c r="E994" s="384" t="s">
        <v>14</v>
      </c>
      <c r="F994" s="410">
        <v>7399</v>
      </c>
      <c r="G994" s="10"/>
      <c r="H994" s="167">
        <v>43000</v>
      </c>
      <c r="I994" s="10">
        <v>15000</v>
      </c>
      <c r="J994" s="76">
        <f t="shared" si="1049"/>
        <v>15000</v>
      </c>
      <c r="K994" s="24">
        <f t="shared" si="1050"/>
        <v>7601</v>
      </c>
      <c r="L994" s="281">
        <f t="shared" si="1051"/>
        <v>1.0273009866198135</v>
      </c>
      <c r="M994" s="431">
        <f t="shared" si="1052"/>
        <v>43000</v>
      </c>
      <c r="N994" s="408"/>
      <c r="O994" s="293"/>
      <c r="P994" s="293"/>
      <c r="Q994" s="293"/>
      <c r="R994" s="293"/>
      <c r="S994" s="293"/>
      <c r="T994" s="293"/>
      <c r="U994" s="327"/>
      <c r="V994" s="463"/>
      <c r="W994" s="15"/>
      <c r="X994" s="95"/>
      <c r="Y994" s="70"/>
      <c r="Z994" s="70"/>
      <c r="AA994" s="120"/>
      <c r="AB994" s="120"/>
      <c r="AC994" s="120"/>
      <c r="AD994" s="384"/>
      <c r="AE994" s="462"/>
      <c r="AF994" s="408"/>
      <c r="AG994" s="293"/>
      <c r="AH994" s="293"/>
      <c r="AI994" s="293"/>
      <c r="AJ994" s="293"/>
      <c r="AK994" s="293"/>
      <c r="AL994" s="327"/>
      <c r="AM994" s="463"/>
      <c r="AN994" s="15"/>
      <c r="AO994" s="120"/>
      <c r="AP994" s="120"/>
      <c r="AQ994" s="120"/>
      <c r="AR994" s="120"/>
      <c r="AS994" s="120"/>
      <c r="AT994" s="120"/>
      <c r="AU994" s="422"/>
      <c r="AV994" s="508"/>
      <c r="AW994" s="15"/>
      <c r="AX994" s="70"/>
      <c r="AY994" s="70"/>
      <c r="AZ994" s="70"/>
      <c r="BA994" s="70"/>
      <c r="BB994" s="70"/>
      <c r="BC994" s="70"/>
      <c r="BD994" s="250"/>
      <c r="BE994" s="250"/>
      <c r="BF994" s="250"/>
      <c r="BG994" s="250"/>
      <c r="BH994" s="250"/>
      <c r="BI994" s="71"/>
      <c r="BJ994" s="71"/>
      <c r="BK994" s="71"/>
      <c r="BL994" s="550"/>
      <c r="BM994" s="542"/>
    </row>
    <row r="995" spans="2:65" ht="32.1" customHeight="1">
      <c r="B995" s="358" t="s">
        <v>3186</v>
      </c>
      <c r="C995" s="15" t="s">
        <v>1338</v>
      </c>
      <c r="D995" s="177" t="s">
        <v>1339</v>
      </c>
      <c r="E995" s="384" t="s">
        <v>14</v>
      </c>
      <c r="F995" s="410">
        <v>32863</v>
      </c>
      <c r="G995" s="10">
        <v>20400</v>
      </c>
      <c r="H995" s="167">
        <v>20400</v>
      </c>
      <c r="I995" s="10">
        <v>35700</v>
      </c>
      <c r="J995" s="76">
        <f t="shared" si="1049"/>
        <v>28050</v>
      </c>
      <c r="K995" s="24">
        <f t="shared" si="1050"/>
        <v>-4813</v>
      </c>
      <c r="L995" s="281">
        <f t="shared" si="1051"/>
        <v>-0.14645650123238901</v>
      </c>
      <c r="M995" s="431">
        <f t="shared" si="1052"/>
        <v>20400</v>
      </c>
      <c r="N995" s="408"/>
      <c r="O995" s="293"/>
      <c r="P995" s="293"/>
      <c r="Q995" s="293"/>
      <c r="R995" s="293"/>
      <c r="S995" s="293"/>
      <c r="T995" s="293"/>
      <c r="U995" s="327"/>
      <c r="V995" s="463"/>
      <c r="W995" s="15"/>
      <c r="X995" s="95"/>
      <c r="Y995" s="70"/>
      <c r="Z995" s="70"/>
      <c r="AA995" s="120"/>
      <c r="AB995" s="120"/>
      <c r="AC995" s="120"/>
      <c r="AD995" s="384"/>
      <c r="AE995" s="462"/>
      <c r="AF995" s="408"/>
      <c r="AG995" s="293"/>
      <c r="AH995" s="293"/>
      <c r="AI995" s="293"/>
      <c r="AJ995" s="293"/>
      <c r="AK995" s="293"/>
      <c r="AL995" s="327"/>
      <c r="AM995" s="463"/>
      <c r="AN995" s="15"/>
      <c r="AO995" s="120"/>
      <c r="AP995" s="120"/>
      <c r="AQ995" s="120"/>
      <c r="AR995" s="120"/>
      <c r="AS995" s="120"/>
      <c r="AT995" s="120"/>
      <c r="AU995" s="422"/>
      <c r="AV995" s="508"/>
      <c r="AW995" s="15"/>
      <c r="AX995" s="70"/>
      <c r="AY995" s="70"/>
      <c r="AZ995" s="70"/>
      <c r="BA995" s="70"/>
      <c r="BB995" s="70"/>
      <c r="BC995" s="70"/>
      <c r="BD995" s="250"/>
      <c r="BE995" s="250"/>
      <c r="BF995" s="250"/>
      <c r="BG995" s="250"/>
      <c r="BH995" s="250"/>
      <c r="BI995" s="71"/>
      <c r="BJ995" s="71"/>
      <c r="BK995" s="71"/>
      <c r="BL995" s="550"/>
      <c r="BM995" s="542"/>
    </row>
    <row r="996" spans="2:65" ht="32.1" customHeight="1">
      <c r="B996" s="358" t="s">
        <v>3187</v>
      </c>
      <c r="C996" s="15" t="s">
        <v>1340</v>
      </c>
      <c r="D996" s="177" t="s">
        <v>1341</v>
      </c>
      <c r="E996" s="384" t="s">
        <v>14</v>
      </c>
      <c r="F996" s="410">
        <v>457164</v>
      </c>
      <c r="G996" s="10">
        <v>70000</v>
      </c>
      <c r="H996" s="167">
        <v>70000</v>
      </c>
      <c r="I996" s="10">
        <v>145000</v>
      </c>
      <c r="J996" s="76">
        <f t="shared" si="1049"/>
        <v>107500</v>
      </c>
      <c r="K996" s="24">
        <f t="shared" si="1050"/>
        <v>-349664</v>
      </c>
      <c r="L996" s="281">
        <f t="shared" si="1051"/>
        <v>-0.76485462547357186</v>
      </c>
      <c r="M996" s="431">
        <f t="shared" si="1052"/>
        <v>70000</v>
      </c>
      <c r="N996" s="408"/>
      <c r="O996" s="293"/>
      <c r="P996" s="293"/>
      <c r="Q996" s="293"/>
      <c r="R996" s="293"/>
      <c r="S996" s="293"/>
      <c r="T996" s="293"/>
      <c r="U996" s="327"/>
      <c r="V996" s="463"/>
      <c r="W996" s="15"/>
      <c r="X996" s="95"/>
      <c r="Y996" s="70"/>
      <c r="Z996" s="70"/>
      <c r="AA996" s="120"/>
      <c r="AB996" s="120"/>
      <c r="AC996" s="120"/>
      <c r="AD996" s="384"/>
      <c r="AE996" s="462"/>
      <c r="AF996" s="408"/>
      <c r="AG996" s="293"/>
      <c r="AH996" s="293"/>
      <c r="AI996" s="293"/>
      <c r="AJ996" s="293"/>
      <c r="AK996" s="293"/>
      <c r="AL996" s="327"/>
      <c r="AM996" s="463"/>
      <c r="AN996" s="15"/>
      <c r="AO996" s="120"/>
      <c r="AP996" s="120"/>
      <c r="AQ996" s="120"/>
      <c r="AR996" s="120"/>
      <c r="AS996" s="120"/>
      <c r="AT996" s="120"/>
      <c r="AU996" s="422"/>
      <c r="AV996" s="508"/>
      <c r="AW996" s="15"/>
      <c r="AX996" s="70"/>
      <c r="AY996" s="70"/>
      <c r="AZ996" s="70"/>
      <c r="BA996" s="70"/>
      <c r="BB996" s="70"/>
      <c r="BC996" s="70"/>
      <c r="BD996" s="250"/>
      <c r="BE996" s="250"/>
      <c r="BF996" s="250"/>
      <c r="BG996" s="250"/>
      <c r="BH996" s="250"/>
      <c r="BI996" s="71"/>
      <c r="BJ996" s="71"/>
      <c r="BK996" s="71"/>
      <c r="BL996" s="550"/>
      <c r="BM996" s="542"/>
    </row>
    <row r="997" spans="2:65" ht="32.1" customHeight="1">
      <c r="B997" s="358" t="s">
        <v>3188</v>
      </c>
      <c r="C997" s="15" t="s">
        <v>1342</v>
      </c>
      <c r="D997" s="177" t="s">
        <v>1343</v>
      </c>
      <c r="E997" s="384" t="s">
        <v>10</v>
      </c>
      <c r="F997" s="410">
        <v>325152</v>
      </c>
      <c r="G997" s="10"/>
      <c r="H997" s="167">
        <v>245000</v>
      </c>
      <c r="I997" s="10">
        <v>35000</v>
      </c>
      <c r="J997" s="76">
        <f t="shared" si="1049"/>
        <v>35000</v>
      </c>
      <c r="K997" s="24">
        <f t="shared" si="1050"/>
        <v>-290152</v>
      </c>
      <c r="L997" s="281">
        <f t="shared" si="1051"/>
        <v>-0.89235803562641469</v>
      </c>
      <c r="M997" s="431">
        <f t="shared" si="1052"/>
        <v>245000</v>
      </c>
      <c r="N997" s="408"/>
      <c r="O997" s="293"/>
      <c r="P997" s="293"/>
      <c r="Q997" s="293"/>
      <c r="R997" s="293"/>
      <c r="S997" s="293"/>
      <c r="T997" s="293"/>
      <c r="U997" s="327"/>
      <c r="V997" s="463"/>
      <c r="W997" s="15"/>
      <c r="X997" s="95"/>
      <c r="Y997" s="70"/>
      <c r="Z997" s="70"/>
      <c r="AA997" s="120"/>
      <c r="AB997" s="120"/>
      <c r="AC997" s="120"/>
      <c r="AD997" s="384"/>
      <c r="AE997" s="462"/>
      <c r="AF997" s="408"/>
      <c r="AG997" s="293"/>
      <c r="AH997" s="293"/>
      <c r="AI997" s="293"/>
      <c r="AJ997" s="293"/>
      <c r="AK997" s="293"/>
      <c r="AL997" s="327"/>
      <c r="AM997" s="463"/>
      <c r="AN997" s="15"/>
      <c r="AO997" s="120"/>
      <c r="AP997" s="120"/>
      <c r="AQ997" s="120"/>
      <c r="AR997" s="120"/>
      <c r="AS997" s="120"/>
      <c r="AT997" s="120"/>
      <c r="AU997" s="422"/>
      <c r="AV997" s="508"/>
      <c r="AW997" s="15"/>
      <c r="AX997" s="70"/>
      <c r="AY997" s="70"/>
      <c r="AZ997" s="70"/>
      <c r="BA997" s="70"/>
      <c r="BB997" s="70"/>
      <c r="BC997" s="70"/>
      <c r="BD997" s="250"/>
      <c r="BE997" s="250"/>
      <c r="BF997" s="250"/>
      <c r="BG997" s="250"/>
      <c r="BH997" s="250"/>
      <c r="BI997" s="71"/>
      <c r="BJ997" s="71"/>
      <c r="BK997" s="71"/>
      <c r="BL997" s="550"/>
      <c r="BM997" s="542"/>
    </row>
    <row r="998" spans="2:65" ht="41.1" customHeight="1">
      <c r="B998" s="358" t="s">
        <v>3189</v>
      </c>
      <c r="C998" s="15" t="s">
        <v>1344</v>
      </c>
      <c r="D998" s="177" t="s">
        <v>1345</v>
      </c>
      <c r="E998" s="384" t="s">
        <v>13</v>
      </c>
      <c r="F998" s="410">
        <v>26518</v>
      </c>
      <c r="G998" s="10"/>
      <c r="H998" s="167">
        <v>345000</v>
      </c>
      <c r="I998" s="10">
        <v>22400</v>
      </c>
      <c r="J998" s="76">
        <f t="shared" ref="J998:J1011" si="1053">AVERAGE(G998,I998)</f>
        <v>22400</v>
      </c>
      <c r="K998" s="24">
        <f t="shared" ref="K998:K1011" si="1054">J998-F998</f>
        <v>-4118</v>
      </c>
      <c r="L998" s="281">
        <f t="shared" ref="L998:L1011" si="1055">+K998/F998</f>
        <v>-0.15529074590843955</v>
      </c>
      <c r="M998" s="431">
        <f t="shared" ref="M998:M1011" si="1056">H998</f>
        <v>345000</v>
      </c>
      <c r="N998" s="408"/>
      <c r="O998" s="293"/>
      <c r="P998" s="293"/>
      <c r="Q998" s="293"/>
      <c r="R998" s="293"/>
      <c r="S998" s="293"/>
      <c r="T998" s="293"/>
      <c r="U998" s="327"/>
      <c r="V998" s="463"/>
      <c r="W998" s="15"/>
      <c r="X998" s="95"/>
      <c r="Y998" s="70"/>
      <c r="Z998" s="70"/>
      <c r="AA998" s="120"/>
      <c r="AB998" s="120"/>
      <c r="AC998" s="120"/>
      <c r="AD998" s="384"/>
      <c r="AE998" s="462"/>
      <c r="AF998" s="408"/>
      <c r="AG998" s="293"/>
      <c r="AH998" s="293"/>
      <c r="AI998" s="293"/>
      <c r="AJ998" s="293"/>
      <c r="AK998" s="293"/>
      <c r="AL998" s="327"/>
      <c r="AM998" s="463"/>
      <c r="AN998" s="15"/>
      <c r="AO998" s="120"/>
      <c r="AP998" s="120"/>
      <c r="AQ998" s="120"/>
      <c r="AR998" s="120"/>
      <c r="AS998" s="120"/>
      <c r="AT998" s="120"/>
      <c r="AU998" s="422"/>
      <c r="AV998" s="508"/>
      <c r="AW998" s="15"/>
      <c r="AX998" s="70"/>
      <c r="AY998" s="70"/>
      <c r="AZ998" s="70"/>
      <c r="BA998" s="70"/>
      <c r="BB998" s="70"/>
      <c r="BC998" s="70"/>
      <c r="BD998" s="250"/>
      <c r="BE998" s="250"/>
      <c r="BF998" s="250"/>
      <c r="BG998" s="250"/>
      <c r="BH998" s="250"/>
      <c r="BI998" s="71"/>
      <c r="BJ998" s="71"/>
      <c r="BK998" s="71"/>
      <c r="BL998" s="550"/>
      <c r="BM998" s="542"/>
    </row>
    <row r="999" spans="2:65" ht="32.1" customHeight="1">
      <c r="B999" s="358" t="s">
        <v>3190</v>
      </c>
      <c r="C999" s="15" t="s">
        <v>1346</v>
      </c>
      <c r="D999" s="177" t="s">
        <v>1347</v>
      </c>
      <c r="E999" s="384" t="s">
        <v>10</v>
      </c>
      <c r="F999" s="410">
        <v>38129</v>
      </c>
      <c r="G999" s="10"/>
      <c r="H999" s="167">
        <v>246780</v>
      </c>
      <c r="I999" s="10">
        <v>10000</v>
      </c>
      <c r="J999" s="76">
        <f t="shared" si="1053"/>
        <v>10000</v>
      </c>
      <c r="K999" s="24">
        <f t="shared" si="1054"/>
        <v>-28129</v>
      </c>
      <c r="L999" s="281">
        <f t="shared" si="1055"/>
        <v>-0.73773243462980931</v>
      </c>
      <c r="M999" s="431">
        <f t="shared" si="1056"/>
        <v>246780</v>
      </c>
      <c r="N999" s="408"/>
      <c r="O999" s="293"/>
      <c r="P999" s="293"/>
      <c r="Q999" s="293"/>
      <c r="R999" s="293"/>
      <c r="S999" s="293"/>
      <c r="T999" s="293"/>
      <c r="U999" s="327"/>
      <c r="V999" s="463"/>
      <c r="W999" s="15"/>
      <c r="X999" s="95"/>
      <c r="Y999" s="70"/>
      <c r="Z999" s="70"/>
      <c r="AA999" s="120"/>
      <c r="AB999" s="120"/>
      <c r="AC999" s="120"/>
      <c r="AD999" s="384"/>
      <c r="AE999" s="462"/>
      <c r="AF999" s="408"/>
      <c r="AG999" s="293"/>
      <c r="AH999" s="293"/>
      <c r="AI999" s="293"/>
      <c r="AJ999" s="293"/>
      <c r="AK999" s="293"/>
      <c r="AL999" s="327"/>
      <c r="AM999" s="463"/>
      <c r="AN999" s="15"/>
      <c r="AO999" s="120"/>
      <c r="AP999" s="120"/>
      <c r="AQ999" s="120"/>
      <c r="AR999" s="120"/>
      <c r="AS999" s="120"/>
      <c r="AT999" s="120"/>
      <c r="AU999" s="422"/>
      <c r="AV999" s="508"/>
      <c r="AW999" s="15"/>
      <c r="AX999" s="70"/>
      <c r="AY999" s="70"/>
      <c r="AZ999" s="70"/>
      <c r="BA999" s="70"/>
      <c r="BB999" s="70"/>
      <c r="BC999" s="70"/>
      <c r="BD999" s="250"/>
      <c r="BE999" s="250"/>
      <c r="BF999" s="250"/>
      <c r="BG999" s="250"/>
      <c r="BH999" s="250"/>
      <c r="BI999" s="71"/>
      <c r="BJ999" s="71"/>
      <c r="BK999" s="71"/>
      <c r="BL999" s="550"/>
      <c r="BM999" s="542"/>
    </row>
    <row r="1000" spans="2:65" ht="50.1" customHeight="1">
      <c r="B1000" s="358" t="s">
        <v>3191</v>
      </c>
      <c r="C1000" s="15" t="s">
        <v>1348</v>
      </c>
      <c r="D1000" s="177" t="s">
        <v>1349</v>
      </c>
      <c r="E1000" s="384" t="s">
        <v>14</v>
      </c>
      <c r="F1000" s="410">
        <v>11440</v>
      </c>
      <c r="G1000" s="10"/>
      <c r="H1000" s="167">
        <v>34000</v>
      </c>
      <c r="I1000" s="10">
        <v>80000</v>
      </c>
      <c r="J1000" s="76">
        <f t="shared" si="1053"/>
        <v>80000</v>
      </c>
      <c r="K1000" s="24">
        <f t="shared" si="1054"/>
        <v>68560</v>
      </c>
      <c r="L1000" s="281">
        <f t="shared" si="1055"/>
        <v>5.9930069930069934</v>
      </c>
      <c r="M1000" s="431">
        <f t="shared" si="1056"/>
        <v>34000</v>
      </c>
      <c r="N1000" s="408"/>
      <c r="O1000" s="293"/>
      <c r="P1000" s="293"/>
      <c r="Q1000" s="293"/>
      <c r="R1000" s="293"/>
      <c r="S1000" s="293"/>
      <c r="T1000" s="293"/>
      <c r="U1000" s="327"/>
      <c r="V1000" s="463"/>
      <c r="W1000" s="15"/>
      <c r="X1000" s="95"/>
      <c r="Y1000" s="70"/>
      <c r="Z1000" s="70"/>
      <c r="AA1000" s="120"/>
      <c r="AB1000" s="120"/>
      <c r="AC1000" s="120"/>
      <c r="AD1000" s="384"/>
      <c r="AE1000" s="462"/>
      <c r="AF1000" s="408"/>
      <c r="AG1000" s="293"/>
      <c r="AH1000" s="293"/>
      <c r="AI1000" s="293"/>
      <c r="AJ1000" s="293"/>
      <c r="AK1000" s="293"/>
      <c r="AL1000" s="327"/>
      <c r="AM1000" s="463"/>
      <c r="AN1000" s="15"/>
      <c r="AO1000" s="120"/>
      <c r="AP1000" s="120"/>
      <c r="AQ1000" s="120"/>
      <c r="AR1000" s="120"/>
      <c r="AS1000" s="120"/>
      <c r="AT1000" s="120"/>
      <c r="AU1000" s="422"/>
      <c r="AV1000" s="508"/>
      <c r="AW1000" s="15"/>
      <c r="AX1000" s="70"/>
      <c r="AY1000" s="70"/>
      <c r="AZ1000" s="70"/>
      <c r="BA1000" s="70"/>
      <c r="BB1000" s="70"/>
      <c r="BC1000" s="70"/>
      <c r="BD1000" s="250"/>
      <c r="BE1000" s="250"/>
      <c r="BF1000" s="250"/>
      <c r="BG1000" s="250"/>
      <c r="BH1000" s="250"/>
      <c r="BI1000" s="71"/>
      <c r="BJ1000" s="71"/>
      <c r="BK1000" s="71"/>
      <c r="BL1000" s="550"/>
      <c r="BM1000" s="542"/>
    </row>
    <row r="1001" spans="2:65" ht="48.95" customHeight="1">
      <c r="B1001" s="358" t="s">
        <v>3192</v>
      </c>
      <c r="C1001" s="15" t="s">
        <v>1350</v>
      </c>
      <c r="D1001" s="177" t="s">
        <v>1351</v>
      </c>
      <c r="E1001" s="384" t="s">
        <v>14</v>
      </c>
      <c r="F1001" s="410">
        <v>36282</v>
      </c>
      <c r="G1001" s="10"/>
      <c r="H1001" s="167">
        <v>45000</v>
      </c>
      <c r="I1001" s="10">
        <v>56000</v>
      </c>
      <c r="J1001" s="76">
        <f t="shared" si="1053"/>
        <v>56000</v>
      </c>
      <c r="K1001" s="24">
        <f t="shared" si="1054"/>
        <v>19718</v>
      </c>
      <c r="L1001" s="281">
        <f t="shared" si="1055"/>
        <v>0.54346507910258535</v>
      </c>
      <c r="M1001" s="431">
        <f t="shared" si="1056"/>
        <v>45000</v>
      </c>
      <c r="N1001" s="408"/>
      <c r="O1001" s="293"/>
      <c r="P1001" s="293"/>
      <c r="Q1001" s="293"/>
      <c r="R1001" s="293"/>
      <c r="S1001" s="293"/>
      <c r="T1001" s="293"/>
      <c r="U1001" s="327"/>
      <c r="V1001" s="463"/>
      <c r="W1001" s="15"/>
      <c r="X1001" s="95"/>
      <c r="Y1001" s="70"/>
      <c r="Z1001" s="70"/>
      <c r="AA1001" s="120"/>
      <c r="AB1001" s="120"/>
      <c r="AC1001" s="120"/>
      <c r="AD1001" s="384"/>
      <c r="AE1001" s="462"/>
      <c r="AF1001" s="408"/>
      <c r="AG1001" s="293"/>
      <c r="AH1001" s="293"/>
      <c r="AI1001" s="293"/>
      <c r="AJ1001" s="293"/>
      <c r="AK1001" s="293"/>
      <c r="AL1001" s="327"/>
      <c r="AM1001" s="463"/>
      <c r="AN1001" s="15"/>
      <c r="AO1001" s="120"/>
      <c r="AP1001" s="120"/>
      <c r="AQ1001" s="120"/>
      <c r="AR1001" s="120"/>
      <c r="AS1001" s="120"/>
      <c r="AT1001" s="120"/>
      <c r="AU1001" s="422"/>
      <c r="AV1001" s="508"/>
      <c r="AW1001" s="15"/>
      <c r="AX1001" s="70"/>
      <c r="AY1001" s="70"/>
      <c r="AZ1001" s="70"/>
      <c r="BA1001" s="70"/>
      <c r="BB1001" s="70"/>
      <c r="BC1001" s="70"/>
      <c r="BD1001" s="250"/>
      <c r="BE1001" s="250"/>
      <c r="BF1001" s="250"/>
      <c r="BG1001" s="250"/>
      <c r="BH1001" s="250"/>
      <c r="BI1001" s="71"/>
      <c r="BJ1001" s="71"/>
      <c r="BK1001" s="71"/>
      <c r="BL1001" s="550"/>
      <c r="BM1001" s="542"/>
    </row>
    <row r="1002" spans="2:65" ht="42.95" customHeight="1">
      <c r="B1002" s="358" t="s">
        <v>3193</v>
      </c>
      <c r="C1002" s="15" t="s">
        <v>1352</v>
      </c>
      <c r="D1002" s="177" t="s">
        <v>1353</v>
      </c>
      <c r="E1002" s="384" t="s">
        <v>14</v>
      </c>
      <c r="F1002" s="410">
        <v>600759</v>
      </c>
      <c r="G1002" s="10">
        <v>450000</v>
      </c>
      <c r="H1002" s="167">
        <v>900000</v>
      </c>
      <c r="I1002" s="10">
        <v>445000</v>
      </c>
      <c r="J1002" s="76">
        <f t="shared" si="1053"/>
        <v>447500</v>
      </c>
      <c r="K1002" s="24">
        <f t="shared" si="1054"/>
        <v>-153259</v>
      </c>
      <c r="L1002" s="281">
        <f t="shared" si="1055"/>
        <v>-0.25510895384005899</v>
      </c>
      <c r="M1002" s="431">
        <f t="shared" si="1056"/>
        <v>900000</v>
      </c>
      <c r="N1002" s="408"/>
      <c r="O1002" s="293"/>
      <c r="P1002" s="293"/>
      <c r="Q1002" s="293"/>
      <c r="R1002" s="293"/>
      <c r="S1002" s="293"/>
      <c r="T1002" s="293"/>
      <c r="U1002" s="327"/>
      <c r="V1002" s="463"/>
      <c r="W1002" s="15"/>
      <c r="X1002" s="95"/>
      <c r="Y1002" s="70"/>
      <c r="Z1002" s="70"/>
      <c r="AA1002" s="120"/>
      <c r="AB1002" s="120"/>
      <c r="AC1002" s="120"/>
      <c r="AD1002" s="384"/>
      <c r="AE1002" s="462"/>
      <c r="AF1002" s="408"/>
      <c r="AG1002" s="293"/>
      <c r="AH1002" s="293"/>
      <c r="AI1002" s="293"/>
      <c r="AJ1002" s="293"/>
      <c r="AK1002" s="293"/>
      <c r="AL1002" s="327"/>
      <c r="AM1002" s="463"/>
      <c r="AN1002" s="15"/>
      <c r="AO1002" s="120"/>
      <c r="AP1002" s="120"/>
      <c r="AQ1002" s="120"/>
      <c r="AR1002" s="120"/>
      <c r="AS1002" s="120"/>
      <c r="AT1002" s="120"/>
      <c r="AU1002" s="422"/>
      <c r="AV1002" s="508"/>
      <c r="AW1002" s="15"/>
      <c r="AX1002" s="70"/>
      <c r="AY1002" s="70"/>
      <c r="AZ1002" s="70"/>
      <c r="BA1002" s="70"/>
      <c r="BB1002" s="70"/>
      <c r="BC1002" s="70"/>
      <c r="BD1002" s="250"/>
      <c r="BE1002" s="250"/>
      <c r="BF1002" s="250"/>
      <c r="BG1002" s="250"/>
      <c r="BH1002" s="250"/>
      <c r="BI1002" s="71"/>
      <c r="BJ1002" s="71"/>
      <c r="BK1002" s="71"/>
      <c r="BL1002" s="550"/>
      <c r="BM1002" s="542"/>
    </row>
    <row r="1003" spans="2:65" ht="50.1" customHeight="1">
      <c r="B1003" s="358" t="s">
        <v>3194</v>
      </c>
      <c r="C1003" s="15" t="s">
        <v>1354</v>
      </c>
      <c r="D1003" s="177" t="s">
        <v>1355</v>
      </c>
      <c r="E1003" s="384" t="s">
        <v>14</v>
      </c>
      <c r="F1003" s="410">
        <v>216699</v>
      </c>
      <c r="G1003" s="10">
        <v>85000</v>
      </c>
      <c r="H1003" s="167">
        <v>170000</v>
      </c>
      <c r="I1003" s="10">
        <v>85000</v>
      </c>
      <c r="J1003" s="76">
        <f t="shared" si="1053"/>
        <v>85000</v>
      </c>
      <c r="K1003" s="24">
        <f t="shared" si="1054"/>
        <v>-131699</v>
      </c>
      <c r="L1003" s="281">
        <f t="shared" si="1055"/>
        <v>-0.60775084333568685</v>
      </c>
      <c r="M1003" s="431">
        <f t="shared" si="1056"/>
        <v>170000</v>
      </c>
      <c r="N1003" s="408"/>
      <c r="O1003" s="293"/>
      <c r="P1003" s="293"/>
      <c r="Q1003" s="293"/>
      <c r="R1003" s="293"/>
      <c r="S1003" s="293"/>
      <c r="T1003" s="293"/>
      <c r="U1003" s="327"/>
      <c r="V1003" s="463"/>
      <c r="W1003" s="15"/>
      <c r="X1003" s="95"/>
      <c r="Y1003" s="70"/>
      <c r="Z1003" s="70"/>
      <c r="AA1003" s="120"/>
      <c r="AB1003" s="120"/>
      <c r="AC1003" s="120"/>
      <c r="AD1003" s="384"/>
      <c r="AE1003" s="462"/>
      <c r="AF1003" s="408"/>
      <c r="AG1003" s="293"/>
      <c r="AH1003" s="293"/>
      <c r="AI1003" s="293"/>
      <c r="AJ1003" s="293"/>
      <c r="AK1003" s="293"/>
      <c r="AL1003" s="327"/>
      <c r="AM1003" s="463"/>
      <c r="AN1003" s="15"/>
      <c r="AO1003" s="120"/>
      <c r="AP1003" s="120"/>
      <c r="AQ1003" s="120"/>
      <c r="AR1003" s="120"/>
      <c r="AS1003" s="120"/>
      <c r="AT1003" s="120"/>
      <c r="AU1003" s="422"/>
      <c r="AV1003" s="508"/>
      <c r="AW1003" s="15"/>
      <c r="AX1003" s="70"/>
      <c r="AY1003" s="70"/>
      <c r="AZ1003" s="70"/>
      <c r="BA1003" s="70"/>
      <c r="BB1003" s="70"/>
      <c r="BC1003" s="70"/>
      <c r="BD1003" s="250"/>
      <c r="BE1003" s="250"/>
      <c r="BF1003" s="250"/>
      <c r="BG1003" s="250"/>
      <c r="BH1003" s="250"/>
      <c r="BI1003" s="71"/>
      <c r="BJ1003" s="71"/>
      <c r="BK1003" s="71"/>
      <c r="BL1003" s="550"/>
      <c r="BM1003" s="542"/>
    </row>
    <row r="1004" spans="2:65" ht="48" customHeight="1">
      <c r="B1004" s="358" t="s">
        <v>3195</v>
      </c>
      <c r="C1004" s="15" t="s">
        <v>1356</v>
      </c>
      <c r="D1004" s="177" t="s">
        <v>1357</v>
      </c>
      <c r="E1004" s="384" t="s">
        <v>13</v>
      </c>
      <c r="F1004" s="410">
        <v>323251</v>
      </c>
      <c r="G1004" s="10">
        <v>250000</v>
      </c>
      <c r="H1004" s="167">
        <v>500000</v>
      </c>
      <c r="I1004" s="10">
        <v>230000</v>
      </c>
      <c r="J1004" s="76">
        <f t="shared" si="1053"/>
        <v>240000</v>
      </c>
      <c r="K1004" s="24">
        <f t="shared" si="1054"/>
        <v>-83251</v>
      </c>
      <c r="L1004" s="281">
        <f t="shared" si="1055"/>
        <v>-0.25754290009930364</v>
      </c>
      <c r="M1004" s="431">
        <f t="shared" si="1056"/>
        <v>500000</v>
      </c>
      <c r="N1004" s="408"/>
      <c r="O1004" s="293"/>
      <c r="P1004" s="293"/>
      <c r="Q1004" s="293"/>
      <c r="R1004" s="293"/>
      <c r="S1004" s="293"/>
      <c r="T1004" s="293"/>
      <c r="U1004" s="327"/>
      <c r="V1004" s="463"/>
      <c r="W1004" s="15"/>
      <c r="X1004" s="95"/>
      <c r="Y1004" s="70"/>
      <c r="Z1004" s="70"/>
      <c r="AA1004" s="120"/>
      <c r="AB1004" s="120"/>
      <c r="AC1004" s="120"/>
      <c r="AD1004" s="384"/>
      <c r="AE1004" s="462"/>
      <c r="AF1004" s="408"/>
      <c r="AG1004" s="293"/>
      <c r="AH1004" s="293"/>
      <c r="AI1004" s="293"/>
      <c r="AJ1004" s="293"/>
      <c r="AK1004" s="293"/>
      <c r="AL1004" s="327"/>
      <c r="AM1004" s="463"/>
      <c r="AN1004" s="15"/>
      <c r="AO1004" s="120"/>
      <c r="AP1004" s="120"/>
      <c r="AQ1004" s="120"/>
      <c r="AR1004" s="120"/>
      <c r="AS1004" s="120"/>
      <c r="AT1004" s="120"/>
      <c r="AU1004" s="422"/>
      <c r="AV1004" s="508"/>
      <c r="AW1004" s="15"/>
      <c r="AX1004" s="70"/>
      <c r="AY1004" s="70"/>
      <c r="AZ1004" s="70"/>
      <c r="BA1004" s="70"/>
      <c r="BB1004" s="70"/>
      <c r="BC1004" s="70"/>
      <c r="BD1004" s="250"/>
      <c r="BE1004" s="250"/>
      <c r="BF1004" s="250"/>
      <c r="BG1004" s="250"/>
      <c r="BH1004" s="250"/>
      <c r="BI1004" s="71"/>
      <c r="BJ1004" s="71"/>
      <c r="BK1004" s="71"/>
      <c r="BL1004" s="550"/>
      <c r="BM1004" s="542"/>
    </row>
    <row r="1005" spans="2:65" ht="32.1" customHeight="1">
      <c r="B1005" s="358" t="s">
        <v>3196</v>
      </c>
      <c r="C1005" s="15" t="s">
        <v>1358</v>
      </c>
      <c r="D1005" s="177" t="s">
        <v>1359</v>
      </c>
      <c r="E1005" s="384" t="s">
        <v>10</v>
      </c>
      <c r="F1005" s="410">
        <v>205519</v>
      </c>
      <c r="G1005" s="10"/>
      <c r="H1005" s="167">
        <v>99000</v>
      </c>
      <c r="I1005" s="10">
        <v>267000</v>
      </c>
      <c r="J1005" s="76">
        <f t="shared" si="1053"/>
        <v>267000</v>
      </c>
      <c r="K1005" s="24">
        <f t="shared" si="1054"/>
        <v>61481</v>
      </c>
      <c r="L1005" s="281">
        <f t="shared" si="1055"/>
        <v>0.29914995693828794</v>
      </c>
      <c r="M1005" s="431">
        <f t="shared" si="1056"/>
        <v>99000</v>
      </c>
      <c r="N1005" s="408"/>
      <c r="O1005" s="293"/>
      <c r="P1005" s="293"/>
      <c r="Q1005" s="293"/>
      <c r="R1005" s="293"/>
      <c r="S1005" s="293"/>
      <c r="T1005" s="293"/>
      <c r="U1005" s="327"/>
      <c r="V1005" s="463"/>
      <c r="W1005" s="15"/>
      <c r="X1005" s="95"/>
      <c r="Y1005" s="70"/>
      <c r="Z1005" s="70"/>
      <c r="AA1005" s="120"/>
      <c r="AB1005" s="120"/>
      <c r="AC1005" s="120"/>
      <c r="AD1005" s="384"/>
      <c r="AE1005" s="462"/>
      <c r="AF1005" s="408"/>
      <c r="AG1005" s="293"/>
      <c r="AH1005" s="293"/>
      <c r="AI1005" s="293"/>
      <c r="AJ1005" s="293"/>
      <c r="AK1005" s="293"/>
      <c r="AL1005" s="327"/>
      <c r="AM1005" s="463"/>
      <c r="AN1005" s="15"/>
      <c r="AO1005" s="120"/>
      <c r="AP1005" s="120"/>
      <c r="AQ1005" s="120"/>
      <c r="AR1005" s="120"/>
      <c r="AS1005" s="120"/>
      <c r="AT1005" s="120"/>
      <c r="AU1005" s="422"/>
      <c r="AV1005" s="508"/>
      <c r="AW1005" s="15"/>
      <c r="AX1005" s="70"/>
      <c r="AY1005" s="70"/>
      <c r="AZ1005" s="70"/>
      <c r="BA1005" s="70"/>
      <c r="BB1005" s="70"/>
      <c r="BC1005" s="70"/>
      <c r="BD1005" s="250"/>
      <c r="BE1005" s="250"/>
      <c r="BF1005" s="250"/>
      <c r="BG1005" s="250"/>
      <c r="BH1005" s="250"/>
      <c r="BI1005" s="71"/>
      <c r="BJ1005" s="71"/>
      <c r="BK1005" s="71"/>
      <c r="BL1005" s="550"/>
      <c r="BM1005" s="542"/>
    </row>
    <row r="1006" spans="2:65" ht="32.1" customHeight="1">
      <c r="B1006" s="358" t="s">
        <v>3197</v>
      </c>
      <c r="C1006" s="15" t="s">
        <v>1360</v>
      </c>
      <c r="D1006" s="177" t="s">
        <v>1361</v>
      </c>
      <c r="E1006" s="384" t="s">
        <v>14</v>
      </c>
      <c r="F1006" s="410">
        <v>3806755</v>
      </c>
      <c r="G1006" s="10"/>
      <c r="H1006" s="167">
        <v>89000</v>
      </c>
      <c r="I1006" s="10">
        <v>800000</v>
      </c>
      <c r="J1006" s="76">
        <f t="shared" si="1053"/>
        <v>800000</v>
      </c>
      <c r="K1006" s="24">
        <f t="shared" si="1054"/>
        <v>-3006755</v>
      </c>
      <c r="L1006" s="281">
        <f t="shared" si="1055"/>
        <v>-0.7898472583604671</v>
      </c>
      <c r="M1006" s="431">
        <f t="shared" si="1056"/>
        <v>89000</v>
      </c>
      <c r="N1006" s="408"/>
      <c r="O1006" s="293"/>
      <c r="P1006" s="293"/>
      <c r="Q1006" s="293"/>
      <c r="R1006" s="293"/>
      <c r="S1006" s="293"/>
      <c r="T1006" s="293"/>
      <c r="U1006" s="327"/>
      <c r="V1006" s="463"/>
      <c r="W1006" s="15"/>
      <c r="X1006" s="95"/>
      <c r="Y1006" s="70"/>
      <c r="Z1006" s="70"/>
      <c r="AA1006" s="120"/>
      <c r="AB1006" s="120"/>
      <c r="AC1006" s="120"/>
      <c r="AD1006" s="384"/>
      <c r="AE1006" s="462"/>
      <c r="AF1006" s="408"/>
      <c r="AG1006" s="293"/>
      <c r="AH1006" s="293"/>
      <c r="AI1006" s="293"/>
      <c r="AJ1006" s="293"/>
      <c r="AK1006" s="293"/>
      <c r="AL1006" s="327"/>
      <c r="AM1006" s="463"/>
      <c r="AN1006" s="15"/>
      <c r="AO1006" s="120"/>
      <c r="AP1006" s="120"/>
      <c r="AQ1006" s="120"/>
      <c r="AR1006" s="120"/>
      <c r="AS1006" s="120"/>
      <c r="AT1006" s="120"/>
      <c r="AU1006" s="422"/>
      <c r="AV1006" s="508"/>
      <c r="AW1006" s="15"/>
      <c r="AX1006" s="70"/>
      <c r="AY1006" s="70"/>
      <c r="AZ1006" s="70"/>
      <c r="BA1006" s="70"/>
      <c r="BB1006" s="70"/>
      <c r="BC1006" s="70"/>
      <c r="BD1006" s="250"/>
      <c r="BE1006" s="250"/>
      <c r="BF1006" s="250"/>
      <c r="BG1006" s="250"/>
      <c r="BH1006" s="250"/>
      <c r="BI1006" s="71"/>
      <c r="BJ1006" s="71"/>
      <c r="BK1006" s="71"/>
      <c r="BL1006" s="550"/>
      <c r="BM1006" s="542"/>
    </row>
    <row r="1007" spans="2:65" ht="32.1" customHeight="1">
      <c r="B1007" s="358" t="s">
        <v>3198</v>
      </c>
      <c r="C1007" s="15" t="s">
        <v>1362</v>
      </c>
      <c r="D1007" s="177" t="s">
        <v>1363</v>
      </c>
      <c r="E1007" s="384" t="s">
        <v>14</v>
      </c>
      <c r="F1007" s="410">
        <v>21144</v>
      </c>
      <c r="G1007" s="10">
        <v>160860</v>
      </c>
      <c r="H1007" s="167">
        <v>321720</v>
      </c>
      <c r="I1007" s="10">
        <v>150000</v>
      </c>
      <c r="J1007" s="76">
        <f t="shared" si="1053"/>
        <v>155430</v>
      </c>
      <c r="K1007" s="24">
        <f t="shared" si="1054"/>
        <v>134286</v>
      </c>
      <c r="L1007" s="281">
        <f t="shared" si="1055"/>
        <v>6.3510215664018164</v>
      </c>
      <c r="M1007" s="431">
        <f t="shared" si="1056"/>
        <v>321720</v>
      </c>
      <c r="N1007" s="408"/>
      <c r="O1007" s="293"/>
      <c r="P1007" s="293"/>
      <c r="Q1007" s="293"/>
      <c r="R1007" s="293"/>
      <c r="S1007" s="293"/>
      <c r="T1007" s="293"/>
      <c r="U1007" s="327"/>
      <c r="V1007" s="463"/>
      <c r="W1007" s="15"/>
      <c r="X1007" s="95"/>
      <c r="Y1007" s="70"/>
      <c r="Z1007" s="70"/>
      <c r="AA1007" s="120"/>
      <c r="AB1007" s="120"/>
      <c r="AC1007" s="120"/>
      <c r="AD1007" s="384"/>
      <c r="AE1007" s="462"/>
      <c r="AF1007" s="408"/>
      <c r="AG1007" s="293"/>
      <c r="AH1007" s="293"/>
      <c r="AI1007" s="293"/>
      <c r="AJ1007" s="293"/>
      <c r="AK1007" s="293"/>
      <c r="AL1007" s="327"/>
      <c r="AM1007" s="463"/>
      <c r="AN1007" s="15"/>
      <c r="AO1007" s="120"/>
      <c r="AP1007" s="120"/>
      <c r="AQ1007" s="120"/>
      <c r="AR1007" s="120"/>
      <c r="AS1007" s="120"/>
      <c r="AT1007" s="120"/>
      <c r="AU1007" s="422"/>
      <c r="AV1007" s="508"/>
      <c r="AW1007" s="15"/>
      <c r="AX1007" s="70"/>
      <c r="AY1007" s="70"/>
      <c r="AZ1007" s="70"/>
      <c r="BA1007" s="70"/>
      <c r="BB1007" s="70"/>
      <c r="BC1007" s="70"/>
      <c r="BD1007" s="250"/>
      <c r="BE1007" s="250"/>
      <c r="BF1007" s="250"/>
      <c r="BG1007" s="250"/>
      <c r="BH1007" s="250"/>
      <c r="BI1007" s="71"/>
      <c r="BJ1007" s="71"/>
      <c r="BK1007" s="71"/>
      <c r="BL1007" s="550"/>
      <c r="BM1007" s="542"/>
    </row>
    <row r="1008" spans="2:65" ht="32.1" customHeight="1">
      <c r="B1008" s="358" t="s">
        <v>3199</v>
      </c>
      <c r="C1008" s="15" t="s">
        <v>1364</v>
      </c>
      <c r="D1008" s="177" t="s">
        <v>1365</v>
      </c>
      <c r="E1008" s="384" t="s">
        <v>14</v>
      </c>
      <c r="F1008" s="410">
        <v>208402</v>
      </c>
      <c r="G1008" s="10">
        <v>241687</v>
      </c>
      <c r="H1008" s="167">
        <v>725061</v>
      </c>
      <c r="I1008" s="10">
        <v>220500</v>
      </c>
      <c r="J1008" s="76">
        <f t="shared" si="1053"/>
        <v>231093.5</v>
      </c>
      <c r="K1008" s="24">
        <f t="shared" si="1054"/>
        <v>22691.5</v>
      </c>
      <c r="L1008" s="281">
        <f t="shared" si="1055"/>
        <v>0.10888331206034491</v>
      </c>
      <c r="M1008" s="431">
        <f t="shared" si="1056"/>
        <v>725061</v>
      </c>
      <c r="N1008" s="408"/>
      <c r="O1008" s="293"/>
      <c r="P1008" s="293"/>
      <c r="Q1008" s="293"/>
      <c r="R1008" s="293"/>
      <c r="S1008" s="293"/>
      <c r="T1008" s="293"/>
      <c r="U1008" s="327"/>
      <c r="V1008" s="463"/>
      <c r="W1008" s="15"/>
      <c r="X1008" s="95"/>
      <c r="Y1008" s="70"/>
      <c r="Z1008" s="70"/>
      <c r="AA1008" s="120"/>
      <c r="AB1008" s="120"/>
      <c r="AC1008" s="120"/>
      <c r="AD1008" s="384"/>
      <c r="AE1008" s="462"/>
      <c r="AF1008" s="408"/>
      <c r="AG1008" s="293"/>
      <c r="AH1008" s="293"/>
      <c r="AI1008" s="293"/>
      <c r="AJ1008" s="293"/>
      <c r="AK1008" s="293"/>
      <c r="AL1008" s="327"/>
      <c r="AM1008" s="463"/>
      <c r="AN1008" s="15"/>
      <c r="AO1008" s="120"/>
      <c r="AP1008" s="120"/>
      <c r="AQ1008" s="120"/>
      <c r="AR1008" s="120"/>
      <c r="AS1008" s="120"/>
      <c r="AT1008" s="120"/>
      <c r="AU1008" s="422"/>
      <c r="AV1008" s="508"/>
      <c r="AW1008" s="15"/>
      <c r="AX1008" s="70"/>
      <c r="AY1008" s="70"/>
      <c r="AZ1008" s="70"/>
      <c r="BA1008" s="70"/>
      <c r="BB1008" s="70"/>
      <c r="BC1008" s="70"/>
      <c r="BD1008" s="250"/>
      <c r="BE1008" s="250"/>
      <c r="BF1008" s="250"/>
      <c r="BG1008" s="250"/>
      <c r="BH1008" s="250"/>
      <c r="BI1008" s="71"/>
      <c r="BJ1008" s="71"/>
      <c r="BK1008" s="71"/>
      <c r="BL1008" s="550"/>
      <c r="BM1008" s="542"/>
    </row>
    <row r="1009" spans="1:65" ht="32.1" customHeight="1">
      <c r="B1009" s="358" t="s">
        <v>3200</v>
      </c>
      <c r="C1009" s="15" t="s">
        <v>1366</v>
      </c>
      <c r="D1009" s="177" t="s">
        <v>1367</v>
      </c>
      <c r="E1009" s="384" t="s">
        <v>13</v>
      </c>
      <c r="F1009" s="410">
        <v>30692</v>
      </c>
      <c r="G1009" s="10">
        <v>70360.350000000006</v>
      </c>
      <c r="H1009" s="167">
        <v>211081.05000000002</v>
      </c>
      <c r="I1009" s="10">
        <v>65000</v>
      </c>
      <c r="J1009" s="76">
        <f t="shared" si="1053"/>
        <v>67680.175000000003</v>
      </c>
      <c r="K1009" s="24">
        <f t="shared" si="1054"/>
        <v>36988.175000000003</v>
      </c>
      <c r="L1009" s="281">
        <f t="shared" si="1055"/>
        <v>1.2051405903818586</v>
      </c>
      <c r="M1009" s="431">
        <f t="shared" si="1056"/>
        <v>211081.05000000002</v>
      </c>
      <c r="N1009" s="408"/>
      <c r="O1009" s="293"/>
      <c r="P1009" s="293"/>
      <c r="Q1009" s="293"/>
      <c r="R1009" s="293"/>
      <c r="S1009" s="293"/>
      <c r="T1009" s="293"/>
      <c r="U1009" s="327"/>
      <c r="V1009" s="463"/>
      <c r="W1009" s="15"/>
      <c r="X1009" s="95"/>
      <c r="Y1009" s="70"/>
      <c r="Z1009" s="70"/>
      <c r="AA1009" s="120"/>
      <c r="AB1009" s="120"/>
      <c r="AC1009" s="120"/>
      <c r="AD1009" s="384"/>
      <c r="AE1009" s="462"/>
      <c r="AF1009" s="408"/>
      <c r="AG1009" s="293"/>
      <c r="AH1009" s="293"/>
      <c r="AI1009" s="293"/>
      <c r="AJ1009" s="293"/>
      <c r="AK1009" s="293"/>
      <c r="AL1009" s="327"/>
      <c r="AM1009" s="463"/>
      <c r="AN1009" s="15"/>
      <c r="AO1009" s="120"/>
      <c r="AP1009" s="120"/>
      <c r="AQ1009" s="120"/>
      <c r="AR1009" s="120"/>
      <c r="AS1009" s="120"/>
      <c r="AT1009" s="120"/>
      <c r="AU1009" s="422"/>
      <c r="AV1009" s="508"/>
      <c r="AW1009" s="15"/>
      <c r="AX1009" s="70"/>
      <c r="AY1009" s="70"/>
      <c r="AZ1009" s="70"/>
      <c r="BA1009" s="70"/>
      <c r="BB1009" s="70"/>
      <c r="BC1009" s="70"/>
      <c r="BD1009" s="250"/>
      <c r="BE1009" s="250"/>
      <c r="BF1009" s="250"/>
      <c r="BG1009" s="250"/>
      <c r="BH1009" s="250"/>
      <c r="BI1009" s="71"/>
      <c r="BJ1009" s="71"/>
      <c r="BK1009" s="71"/>
      <c r="BL1009" s="550"/>
      <c r="BM1009" s="542"/>
    </row>
    <row r="1010" spans="1:65" ht="32.1" customHeight="1">
      <c r="B1010" s="358" t="s">
        <v>3201</v>
      </c>
      <c r="C1010" s="282" t="s">
        <v>1368</v>
      </c>
      <c r="D1010" s="331" t="s">
        <v>1369</v>
      </c>
      <c r="E1010" s="399" t="s">
        <v>10</v>
      </c>
      <c r="F1010" s="410">
        <v>175007</v>
      </c>
      <c r="G1010" s="10"/>
      <c r="H1010" s="167">
        <v>350000</v>
      </c>
      <c r="I1010" s="10">
        <v>500000</v>
      </c>
      <c r="J1010" s="76">
        <f t="shared" si="1053"/>
        <v>500000</v>
      </c>
      <c r="K1010" s="24">
        <f t="shared" si="1054"/>
        <v>324993</v>
      </c>
      <c r="L1010" s="281">
        <f t="shared" si="1055"/>
        <v>1.8570285759998171</v>
      </c>
      <c r="M1010" s="431">
        <f t="shared" si="1056"/>
        <v>350000</v>
      </c>
      <c r="N1010" s="408"/>
      <c r="O1010" s="293"/>
      <c r="P1010" s="293"/>
      <c r="Q1010" s="293"/>
      <c r="R1010" s="293"/>
      <c r="S1010" s="293"/>
      <c r="T1010" s="293"/>
      <c r="U1010" s="327"/>
      <c r="V1010" s="463"/>
      <c r="W1010" s="15"/>
      <c r="X1010" s="95"/>
      <c r="Y1010" s="70"/>
      <c r="Z1010" s="70"/>
      <c r="AA1010" s="120"/>
      <c r="AB1010" s="120"/>
      <c r="AC1010" s="120"/>
      <c r="AD1010" s="384"/>
      <c r="AE1010" s="462"/>
      <c r="AF1010" s="408"/>
      <c r="AG1010" s="293"/>
      <c r="AH1010" s="293"/>
      <c r="AI1010" s="293"/>
      <c r="AJ1010" s="293"/>
      <c r="AK1010" s="293"/>
      <c r="AL1010" s="327"/>
      <c r="AM1010" s="463"/>
      <c r="AN1010" s="15"/>
      <c r="AO1010" s="120"/>
      <c r="AP1010" s="120"/>
      <c r="AQ1010" s="120"/>
      <c r="AR1010" s="120"/>
      <c r="AS1010" s="120"/>
      <c r="AT1010" s="120"/>
      <c r="AU1010" s="422"/>
      <c r="AV1010" s="508"/>
      <c r="AW1010" s="282"/>
      <c r="AX1010" s="284"/>
      <c r="AY1010" s="284"/>
      <c r="AZ1010" s="284"/>
      <c r="BA1010" s="284"/>
      <c r="BB1010" s="284"/>
      <c r="BC1010" s="284"/>
      <c r="BD1010" s="250"/>
      <c r="BE1010" s="250"/>
      <c r="BF1010" s="250"/>
      <c r="BG1010" s="250"/>
      <c r="BH1010" s="250"/>
      <c r="BI1010" s="285"/>
      <c r="BJ1010" s="285"/>
      <c r="BK1010" s="285"/>
      <c r="BL1010" s="555"/>
      <c r="BM1010" s="544"/>
    </row>
    <row r="1011" spans="1:65" ht="32.1" customHeight="1">
      <c r="A1011" s="141"/>
      <c r="B1011" s="358" t="s">
        <v>3202</v>
      </c>
      <c r="C1011" s="70" t="s">
        <v>1370</v>
      </c>
      <c r="D1011" s="177" t="s">
        <v>1371</v>
      </c>
      <c r="E1011" s="384" t="s">
        <v>14</v>
      </c>
      <c r="F1011" s="416">
        <v>47194</v>
      </c>
      <c r="G1011" s="10"/>
      <c r="H1011" s="167">
        <v>480000</v>
      </c>
      <c r="I1011" s="10">
        <v>345000</v>
      </c>
      <c r="J1011" s="76">
        <f t="shared" si="1053"/>
        <v>345000</v>
      </c>
      <c r="K1011" s="24">
        <f t="shared" si="1054"/>
        <v>297806</v>
      </c>
      <c r="L1011" s="281">
        <f t="shared" si="1055"/>
        <v>6.3102513031317544</v>
      </c>
      <c r="M1011" s="431">
        <f t="shared" si="1056"/>
        <v>480000</v>
      </c>
      <c r="N1011" s="408"/>
      <c r="O1011" s="293"/>
      <c r="P1011" s="293"/>
      <c r="Q1011" s="293"/>
      <c r="R1011" s="293"/>
      <c r="S1011" s="293"/>
      <c r="T1011" s="293"/>
      <c r="U1011" s="327"/>
      <c r="V1011" s="463"/>
      <c r="W1011" s="15"/>
      <c r="X1011" s="95"/>
      <c r="Y1011" s="70"/>
      <c r="Z1011" s="70"/>
      <c r="AA1011" s="120"/>
      <c r="AB1011" s="120"/>
      <c r="AC1011" s="120"/>
      <c r="AD1011" s="384"/>
      <c r="AE1011" s="462"/>
      <c r="AF1011" s="408"/>
      <c r="AG1011" s="293"/>
      <c r="AH1011" s="293"/>
      <c r="AI1011" s="293"/>
      <c r="AJ1011" s="293"/>
      <c r="AK1011" s="293"/>
      <c r="AL1011" s="327"/>
      <c r="AM1011" s="463"/>
      <c r="AN1011" s="15"/>
      <c r="AO1011" s="120"/>
      <c r="AP1011" s="120"/>
      <c r="AQ1011" s="120"/>
      <c r="AR1011" s="120"/>
      <c r="AS1011" s="120"/>
      <c r="AT1011" s="120"/>
      <c r="AU1011" s="422"/>
      <c r="AV1011" s="508"/>
      <c r="AW1011" s="15"/>
      <c r="AX1011" s="70"/>
      <c r="AY1011" s="70"/>
      <c r="AZ1011" s="70"/>
      <c r="BA1011" s="70"/>
      <c r="BB1011" s="70"/>
      <c r="BC1011" s="70"/>
      <c r="BD1011" s="293"/>
      <c r="BE1011" s="293"/>
      <c r="BF1011" s="293"/>
      <c r="BG1011" s="293"/>
      <c r="BH1011" s="293"/>
      <c r="BI1011" s="71"/>
      <c r="BJ1011" s="71"/>
      <c r="BK1011" s="71"/>
      <c r="BL1011" s="550"/>
      <c r="BM1011" s="542"/>
    </row>
    <row r="1012" spans="1:65">
      <c r="B1012" s="358" t="s">
        <v>3203</v>
      </c>
      <c r="C1012" s="292">
        <v>17</v>
      </c>
      <c r="D1012" s="290" t="s">
        <v>1985</v>
      </c>
      <c r="E1012" s="400"/>
      <c r="F1012" s="412"/>
      <c r="G1012" s="120"/>
      <c r="H1012" s="120"/>
      <c r="I1012" s="120"/>
      <c r="J1012" s="120"/>
      <c r="K1012" s="120"/>
      <c r="L1012" s="422"/>
      <c r="M1012" s="436"/>
      <c r="N1012" s="450"/>
      <c r="O1012" s="295"/>
      <c r="P1012" s="295"/>
      <c r="Q1012" s="296"/>
      <c r="R1012" s="294"/>
      <c r="S1012" s="76"/>
      <c r="T1012" s="24"/>
      <c r="U1012" s="281"/>
      <c r="V1012" s="462"/>
      <c r="W1012" s="15"/>
      <c r="X1012" s="95"/>
      <c r="Y1012" s="70"/>
      <c r="Z1012" s="70"/>
      <c r="AA1012" s="120"/>
      <c r="AB1012" s="120"/>
      <c r="AC1012" s="120"/>
      <c r="AD1012" s="384"/>
      <c r="AE1012" s="493"/>
      <c r="AF1012" s="408"/>
      <c r="AG1012" s="293"/>
      <c r="AH1012" s="293"/>
      <c r="AI1012" s="293"/>
      <c r="AJ1012" s="293"/>
      <c r="AK1012" s="293"/>
      <c r="AL1012" s="327"/>
      <c r="AM1012" s="463"/>
      <c r="AN1012" s="516"/>
      <c r="AO1012" s="476"/>
      <c r="AP1012" s="476"/>
      <c r="AQ1012" s="476"/>
      <c r="AR1012" s="476"/>
      <c r="AS1012" s="476"/>
      <c r="AT1012" s="476"/>
      <c r="AU1012" s="519"/>
      <c r="AV1012" s="493"/>
      <c r="AW1012" s="556"/>
      <c r="AX1012" s="291"/>
      <c r="AY1012" s="291"/>
      <c r="AZ1012" s="291"/>
      <c r="BA1012" s="291"/>
      <c r="BB1012" s="291"/>
      <c r="BC1012" s="291"/>
      <c r="BD1012" s="291"/>
      <c r="BE1012" s="291"/>
      <c r="BF1012" s="291"/>
      <c r="BG1012" s="291"/>
      <c r="BH1012" s="291"/>
      <c r="BI1012" s="291"/>
      <c r="BJ1012" s="291"/>
      <c r="BK1012" s="291"/>
      <c r="BL1012" s="557"/>
      <c r="BM1012" s="545"/>
    </row>
    <row r="1013" spans="1:65">
      <c r="B1013" s="358" t="s">
        <v>3204</v>
      </c>
      <c r="C1013" s="70" t="s">
        <v>2006</v>
      </c>
      <c r="D1013" s="264" t="s">
        <v>1986</v>
      </c>
      <c r="E1013" s="393" t="s">
        <v>1579</v>
      </c>
      <c r="F1013" s="412"/>
      <c r="G1013" s="120"/>
      <c r="H1013" s="120"/>
      <c r="I1013" s="120"/>
      <c r="J1013" s="120"/>
      <c r="K1013" s="120"/>
      <c r="L1013" s="422"/>
      <c r="M1013" s="436"/>
      <c r="N1013" s="410">
        <v>99670</v>
      </c>
      <c r="O1013" s="10">
        <v>120000</v>
      </c>
      <c r="P1013" s="10">
        <v>130000</v>
      </c>
      <c r="Q1013" s="268">
        <v>125000</v>
      </c>
      <c r="R1013" s="10">
        <v>150000</v>
      </c>
      <c r="S1013" s="76">
        <f t="shared" ref="S1013:S1031" si="1057">AVERAGE(O1013,P1013,Q1013,R1013)</f>
        <v>131250</v>
      </c>
      <c r="T1013" s="24">
        <f t="shared" ref="T1013:T1031" si="1058">S1013-N1013</f>
        <v>31580</v>
      </c>
      <c r="U1013" s="281">
        <f t="shared" ref="U1013:U1031" si="1059">+T1013/N1013</f>
        <v>0.31684559044847999</v>
      </c>
      <c r="V1013" s="462">
        <f t="shared" ref="V1013:V1031" si="1060">S1013</f>
        <v>131250</v>
      </c>
      <c r="W1013" s="15"/>
      <c r="X1013" s="95"/>
      <c r="Y1013" s="70"/>
      <c r="Z1013" s="70"/>
      <c r="AA1013" s="120"/>
      <c r="AB1013" s="120"/>
      <c r="AC1013" s="120"/>
      <c r="AD1013" s="384"/>
      <c r="AE1013" s="494"/>
      <c r="AF1013" s="408"/>
      <c r="AG1013" s="293"/>
      <c r="AH1013" s="293"/>
      <c r="AI1013" s="293"/>
      <c r="AJ1013" s="293"/>
      <c r="AK1013" s="293"/>
      <c r="AL1013" s="327"/>
      <c r="AM1013" s="463"/>
      <c r="AN1013" s="15"/>
      <c r="AO1013" s="120"/>
      <c r="AP1013" s="120"/>
      <c r="AQ1013" s="120"/>
      <c r="AR1013" s="120"/>
      <c r="AS1013" s="120"/>
      <c r="AT1013" s="120"/>
      <c r="AU1013" s="422"/>
      <c r="AV1013" s="508"/>
      <c r="AW1013" s="15"/>
      <c r="AX1013" s="70"/>
      <c r="AY1013" s="70"/>
      <c r="AZ1013" s="70"/>
      <c r="BA1013" s="70"/>
      <c r="BB1013" s="70"/>
      <c r="BC1013" s="70"/>
      <c r="BD1013" s="120"/>
      <c r="BE1013" s="120"/>
      <c r="BF1013" s="120"/>
      <c r="BG1013" s="120"/>
      <c r="BH1013" s="120"/>
      <c r="BI1013" s="71"/>
      <c r="BJ1013" s="71"/>
      <c r="BK1013" s="71"/>
      <c r="BL1013" s="550"/>
      <c r="BM1013" s="542"/>
    </row>
    <row r="1014" spans="1:65">
      <c r="B1014" s="358" t="s">
        <v>3205</v>
      </c>
      <c r="C1014" s="70" t="s">
        <v>2007</v>
      </c>
      <c r="D1014" s="264" t="s">
        <v>1987</v>
      </c>
      <c r="E1014" s="393" t="s">
        <v>1579</v>
      </c>
      <c r="F1014" s="412"/>
      <c r="G1014" s="120"/>
      <c r="H1014" s="120"/>
      <c r="I1014" s="120"/>
      <c r="J1014" s="120"/>
      <c r="K1014" s="120"/>
      <c r="L1014" s="422"/>
      <c r="M1014" s="436"/>
      <c r="N1014" s="410">
        <v>25658</v>
      </c>
      <c r="O1014" s="10">
        <v>55000</v>
      </c>
      <c r="P1014" s="10">
        <v>60000</v>
      </c>
      <c r="Q1014" s="268">
        <v>60000</v>
      </c>
      <c r="R1014" s="10">
        <v>60000</v>
      </c>
      <c r="S1014" s="76">
        <f t="shared" si="1057"/>
        <v>58750</v>
      </c>
      <c r="T1014" s="24">
        <f t="shared" si="1058"/>
        <v>33092</v>
      </c>
      <c r="U1014" s="281">
        <f t="shared" si="1059"/>
        <v>1.289734195962273</v>
      </c>
      <c r="V1014" s="462">
        <f t="shared" si="1060"/>
        <v>58750</v>
      </c>
      <c r="W1014" s="15"/>
      <c r="X1014" s="95"/>
      <c r="Y1014" s="70"/>
      <c r="Z1014" s="70"/>
      <c r="AA1014" s="120"/>
      <c r="AB1014" s="120"/>
      <c r="AC1014" s="120"/>
      <c r="AD1014" s="384"/>
      <c r="AE1014" s="494"/>
      <c r="AF1014" s="408"/>
      <c r="AG1014" s="293"/>
      <c r="AH1014" s="293"/>
      <c r="AI1014" s="293"/>
      <c r="AJ1014" s="293"/>
      <c r="AK1014" s="293"/>
      <c r="AL1014" s="327"/>
      <c r="AM1014" s="463"/>
      <c r="AN1014" s="15"/>
      <c r="AO1014" s="120"/>
      <c r="AP1014" s="120"/>
      <c r="AQ1014" s="120"/>
      <c r="AR1014" s="120"/>
      <c r="AS1014" s="120"/>
      <c r="AT1014" s="120"/>
      <c r="AU1014" s="422"/>
      <c r="AV1014" s="508"/>
      <c r="AW1014" s="15"/>
      <c r="AX1014" s="70"/>
      <c r="AY1014" s="70"/>
      <c r="AZ1014" s="70"/>
      <c r="BA1014" s="70"/>
      <c r="BB1014" s="70"/>
      <c r="BC1014" s="70"/>
      <c r="BD1014" s="120"/>
      <c r="BE1014" s="120"/>
      <c r="BF1014" s="120"/>
      <c r="BG1014" s="120"/>
      <c r="BH1014" s="120"/>
      <c r="BI1014" s="71"/>
      <c r="BJ1014" s="71"/>
      <c r="BK1014" s="71"/>
      <c r="BL1014" s="550"/>
      <c r="BM1014" s="542"/>
    </row>
    <row r="1015" spans="1:65" ht="30">
      <c r="B1015" s="358" t="s">
        <v>3206</v>
      </c>
      <c r="C1015" s="70" t="s">
        <v>2008</v>
      </c>
      <c r="D1015" s="264" t="s">
        <v>1988</v>
      </c>
      <c r="E1015" s="393" t="s">
        <v>1579</v>
      </c>
      <c r="F1015" s="412"/>
      <c r="G1015" s="120"/>
      <c r="H1015" s="120"/>
      <c r="I1015" s="120"/>
      <c r="J1015" s="120"/>
      <c r="K1015" s="120"/>
      <c r="L1015" s="422"/>
      <c r="M1015" s="436"/>
      <c r="N1015" s="410">
        <v>63124</v>
      </c>
      <c r="O1015" s="10">
        <v>65000</v>
      </c>
      <c r="P1015" s="10">
        <v>65000</v>
      </c>
      <c r="Q1015" s="268">
        <v>60000</v>
      </c>
      <c r="R1015" s="10">
        <v>60000</v>
      </c>
      <c r="S1015" s="76">
        <f t="shared" si="1057"/>
        <v>62500</v>
      </c>
      <c r="T1015" s="24">
        <f t="shared" si="1058"/>
        <v>-624</v>
      </c>
      <c r="U1015" s="281">
        <f t="shared" si="1059"/>
        <v>-9.8853051137443755E-3</v>
      </c>
      <c r="V1015" s="462">
        <f t="shared" si="1060"/>
        <v>62500</v>
      </c>
      <c r="W1015" s="15"/>
      <c r="X1015" s="95"/>
      <c r="Y1015" s="70"/>
      <c r="Z1015" s="70"/>
      <c r="AA1015" s="120"/>
      <c r="AB1015" s="120"/>
      <c r="AC1015" s="120"/>
      <c r="AD1015" s="384"/>
      <c r="AE1015" s="494"/>
      <c r="AF1015" s="408"/>
      <c r="AG1015" s="293"/>
      <c r="AH1015" s="293"/>
      <c r="AI1015" s="293"/>
      <c r="AJ1015" s="293"/>
      <c r="AK1015" s="293"/>
      <c r="AL1015" s="327"/>
      <c r="AM1015" s="463"/>
      <c r="AN1015" s="15"/>
      <c r="AO1015" s="120"/>
      <c r="AP1015" s="120"/>
      <c r="AQ1015" s="120"/>
      <c r="AR1015" s="120"/>
      <c r="AS1015" s="120"/>
      <c r="AT1015" s="120"/>
      <c r="AU1015" s="422"/>
      <c r="AV1015" s="508"/>
      <c r="AW1015" s="15"/>
      <c r="AX1015" s="70"/>
      <c r="AY1015" s="70"/>
      <c r="AZ1015" s="70"/>
      <c r="BA1015" s="70"/>
      <c r="BB1015" s="70"/>
      <c r="BC1015" s="70"/>
      <c r="BD1015" s="120"/>
      <c r="BE1015" s="120"/>
      <c r="BF1015" s="120"/>
      <c r="BG1015" s="120"/>
      <c r="BH1015" s="120"/>
      <c r="BI1015" s="71"/>
      <c r="BJ1015" s="71"/>
      <c r="BK1015" s="71"/>
      <c r="BL1015" s="550"/>
      <c r="BM1015" s="542"/>
    </row>
    <row r="1016" spans="1:65" ht="30">
      <c r="B1016" s="358" t="s">
        <v>3207</v>
      </c>
      <c r="C1016" s="70" t="s">
        <v>2009</v>
      </c>
      <c r="D1016" s="264" t="s">
        <v>1989</v>
      </c>
      <c r="E1016" s="393" t="s">
        <v>1579</v>
      </c>
      <c r="F1016" s="412"/>
      <c r="G1016" s="120"/>
      <c r="H1016" s="120"/>
      <c r="I1016" s="120"/>
      <c r="J1016" s="120"/>
      <c r="K1016" s="120"/>
      <c r="L1016" s="422"/>
      <c r="M1016" s="436"/>
      <c r="N1016" s="410">
        <v>81777</v>
      </c>
      <c r="O1016" s="10">
        <v>140000</v>
      </c>
      <c r="P1016" s="10">
        <v>150000</v>
      </c>
      <c r="Q1016" s="268">
        <v>145000</v>
      </c>
      <c r="R1016" s="10">
        <v>150000</v>
      </c>
      <c r="S1016" s="76">
        <f t="shared" si="1057"/>
        <v>146250</v>
      </c>
      <c r="T1016" s="24">
        <f t="shared" si="1058"/>
        <v>64473</v>
      </c>
      <c r="U1016" s="281">
        <f t="shared" si="1059"/>
        <v>0.78840016141457869</v>
      </c>
      <c r="V1016" s="462">
        <f t="shared" si="1060"/>
        <v>146250</v>
      </c>
      <c r="W1016" s="15"/>
      <c r="X1016" s="95"/>
      <c r="Y1016" s="70"/>
      <c r="Z1016" s="70"/>
      <c r="AA1016" s="120"/>
      <c r="AB1016" s="120"/>
      <c r="AC1016" s="120"/>
      <c r="AD1016" s="384"/>
      <c r="AE1016" s="494"/>
      <c r="AF1016" s="408"/>
      <c r="AG1016" s="293"/>
      <c r="AH1016" s="293"/>
      <c r="AI1016" s="293"/>
      <c r="AJ1016" s="293"/>
      <c r="AK1016" s="293"/>
      <c r="AL1016" s="327"/>
      <c r="AM1016" s="463"/>
      <c r="AN1016" s="15"/>
      <c r="AO1016" s="120"/>
      <c r="AP1016" s="120"/>
      <c r="AQ1016" s="120"/>
      <c r="AR1016" s="120"/>
      <c r="AS1016" s="120"/>
      <c r="AT1016" s="120"/>
      <c r="AU1016" s="422"/>
      <c r="AV1016" s="508"/>
      <c r="AW1016" s="15"/>
      <c r="AX1016" s="70"/>
      <c r="AY1016" s="70"/>
      <c r="AZ1016" s="70"/>
      <c r="BA1016" s="70"/>
      <c r="BB1016" s="70"/>
      <c r="BC1016" s="70"/>
      <c r="BD1016" s="120"/>
      <c r="BE1016" s="120"/>
      <c r="BF1016" s="120"/>
      <c r="BG1016" s="120"/>
      <c r="BH1016" s="120"/>
      <c r="BI1016" s="71"/>
      <c r="BJ1016" s="71"/>
      <c r="BK1016" s="71"/>
      <c r="BL1016" s="550"/>
      <c r="BM1016" s="542"/>
    </row>
    <row r="1017" spans="1:65">
      <c r="B1017" s="358" t="s">
        <v>3208</v>
      </c>
      <c r="C1017" s="70" t="s">
        <v>2010</v>
      </c>
      <c r="D1017" s="264" t="s">
        <v>1990</v>
      </c>
      <c r="E1017" s="394" t="s">
        <v>1991</v>
      </c>
      <c r="F1017" s="412"/>
      <c r="G1017" s="120"/>
      <c r="H1017" s="120"/>
      <c r="I1017" s="120"/>
      <c r="J1017" s="120"/>
      <c r="K1017" s="120"/>
      <c r="L1017" s="422"/>
      <c r="M1017" s="436"/>
      <c r="N1017" s="410">
        <v>4585</v>
      </c>
      <c r="O1017" s="10">
        <v>35000</v>
      </c>
      <c r="P1017" s="10">
        <v>40000</v>
      </c>
      <c r="Q1017" s="268">
        <v>38000</v>
      </c>
      <c r="R1017" s="10">
        <v>50000</v>
      </c>
      <c r="S1017" s="76">
        <f t="shared" si="1057"/>
        <v>40750</v>
      </c>
      <c r="T1017" s="24">
        <f t="shared" si="1058"/>
        <v>36165</v>
      </c>
      <c r="U1017" s="281">
        <f t="shared" si="1059"/>
        <v>7.8876772082878954</v>
      </c>
      <c r="V1017" s="462">
        <f t="shared" si="1060"/>
        <v>40750</v>
      </c>
      <c r="W1017" s="15"/>
      <c r="X1017" s="95"/>
      <c r="Y1017" s="70"/>
      <c r="Z1017" s="70"/>
      <c r="AA1017" s="120"/>
      <c r="AB1017" s="120"/>
      <c r="AC1017" s="120"/>
      <c r="AD1017" s="384"/>
      <c r="AE1017" s="494"/>
      <c r="AF1017" s="408"/>
      <c r="AG1017" s="293"/>
      <c r="AH1017" s="293"/>
      <c r="AI1017" s="293"/>
      <c r="AJ1017" s="293"/>
      <c r="AK1017" s="293"/>
      <c r="AL1017" s="327"/>
      <c r="AM1017" s="463"/>
      <c r="AN1017" s="15"/>
      <c r="AO1017" s="120"/>
      <c r="AP1017" s="120"/>
      <c r="AQ1017" s="120"/>
      <c r="AR1017" s="120"/>
      <c r="AS1017" s="120"/>
      <c r="AT1017" s="120"/>
      <c r="AU1017" s="422"/>
      <c r="AV1017" s="508"/>
      <c r="AW1017" s="15"/>
      <c r="AX1017" s="70"/>
      <c r="AY1017" s="70"/>
      <c r="AZ1017" s="70"/>
      <c r="BA1017" s="70"/>
      <c r="BB1017" s="70"/>
      <c r="BC1017" s="70"/>
      <c r="BD1017" s="120"/>
      <c r="BE1017" s="120"/>
      <c r="BF1017" s="120"/>
      <c r="BG1017" s="120"/>
      <c r="BH1017" s="120"/>
      <c r="BI1017" s="71"/>
      <c r="BJ1017" s="71"/>
      <c r="BK1017" s="71"/>
      <c r="BL1017" s="550"/>
      <c r="BM1017" s="542"/>
    </row>
    <row r="1018" spans="1:65" ht="30">
      <c r="B1018" s="358" t="s">
        <v>3209</v>
      </c>
      <c r="C1018" s="70" t="s">
        <v>2011</v>
      </c>
      <c r="D1018" s="264" t="s">
        <v>1992</v>
      </c>
      <c r="E1018" s="394" t="s">
        <v>1457</v>
      </c>
      <c r="F1018" s="412"/>
      <c r="G1018" s="120"/>
      <c r="H1018" s="120"/>
      <c r="I1018" s="120"/>
      <c r="J1018" s="120"/>
      <c r="K1018" s="120"/>
      <c r="L1018" s="422"/>
      <c r="M1018" s="436"/>
      <c r="N1018" s="410">
        <v>87862</v>
      </c>
      <c r="O1018" s="10">
        <v>95000</v>
      </c>
      <c r="P1018" s="10">
        <v>105000</v>
      </c>
      <c r="Q1018" s="268">
        <v>100000</v>
      </c>
      <c r="R1018" s="10">
        <v>100000</v>
      </c>
      <c r="S1018" s="76">
        <f t="shared" si="1057"/>
        <v>100000</v>
      </c>
      <c r="T1018" s="24">
        <f t="shared" si="1058"/>
        <v>12138</v>
      </c>
      <c r="U1018" s="281">
        <f t="shared" si="1059"/>
        <v>0.13814846008513351</v>
      </c>
      <c r="V1018" s="462">
        <f t="shared" si="1060"/>
        <v>100000</v>
      </c>
      <c r="W1018" s="15"/>
      <c r="X1018" s="95"/>
      <c r="Y1018" s="70"/>
      <c r="Z1018" s="70"/>
      <c r="AA1018" s="120"/>
      <c r="AB1018" s="120"/>
      <c r="AC1018" s="120"/>
      <c r="AD1018" s="384"/>
      <c r="AE1018" s="494"/>
      <c r="AF1018" s="408"/>
      <c r="AG1018" s="293"/>
      <c r="AH1018" s="293"/>
      <c r="AI1018" s="293"/>
      <c r="AJ1018" s="293"/>
      <c r="AK1018" s="293"/>
      <c r="AL1018" s="327"/>
      <c r="AM1018" s="463"/>
      <c r="AN1018" s="15"/>
      <c r="AO1018" s="120"/>
      <c r="AP1018" s="120"/>
      <c r="AQ1018" s="120"/>
      <c r="AR1018" s="120"/>
      <c r="AS1018" s="120"/>
      <c r="AT1018" s="120"/>
      <c r="AU1018" s="422"/>
      <c r="AV1018" s="508"/>
      <c r="AW1018" s="15"/>
      <c r="AX1018" s="70"/>
      <c r="AY1018" s="70"/>
      <c r="AZ1018" s="70"/>
      <c r="BA1018" s="70"/>
      <c r="BB1018" s="70"/>
      <c r="BC1018" s="70"/>
      <c r="BD1018" s="120"/>
      <c r="BE1018" s="120"/>
      <c r="BF1018" s="120"/>
      <c r="BG1018" s="120"/>
      <c r="BH1018" s="120"/>
      <c r="BI1018" s="71"/>
      <c r="BJ1018" s="71"/>
      <c r="BK1018" s="71"/>
      <c r="BL1018" s="550"/>
      <c r="BM1018" s="542"/>
    </row>
    <row r="1019" spans="1:65" ht="30">
      <c r="B1019" s="358" t="s">
        <v>3210</v>
      </c>
      <c r="C1019" s="70" t="s">
        <v>2012</v>
      </c>
      <c r="D1019" s="264" t="s">
        <v>1993</v>
      </c>
      <c r="E1019" s="393" t="s">
        <v>1579</v>
      </c>
      <c r="F1019" s="412"/>
      <c r="G1019" s="120"/>
      <c r="H1019" s="120"/>
      <c r="I1019" s="120"/>
      <c r="J1019" s="120"/>
      <c r="K1019" s="120"/>
      <c r="L1019" s="422"/>
      <c r="M1019" s="436"/>
      <c r="N1019" s="410">
        <v>99670</v>
      </c>
      <c r="O1019" s="10">
        <v>45000</v>
      </c>
      <c r="P1019" s="10">
        <v>50000</v>
      </c>
      <c r="Q1019" s="268">
        <v>50000</v>
      </c>
      <c r="R1019" s="10">
        <v>120000</v>
      </c>
      <c r="S1019" s="76">
        <f t="shared" si="1057"/>
        <v>66250</v>
      </c>
      <c r="T1019" s="24">
        <f t="shared" si="1058"/>
        <v>-33420</v>
      </c>
      <c r="U1019" s="281">
        <f t="shared" si="1059"/>
        <v>-0.33530651148791013</v>
      </c>
      <c r="V1019" s="462">
        <f t="shared" si="1060"/>
        <v>66250</v>
      </c>
      <c r="W1019" s="15"/>
      <c r="X1019" s="95"/>
      <c r="Y1019" s="70"/>
      <c r="Z1019" s="70"/>
      <c r="AA1019" s="120"/>
      <c r="AB1019" s="120"/>
      <c r="AC1019" s="120"/>
      <c r="AD1019" s="384"/>
      <c r="AE1019" s="494"/>
      <c r="AF1019" s="408"/>
      <c r="AG1019" s="293"/>
      <c r="AH1019" s="293"/>
      <c r="AI1019" s="293"/>
      <c r="AJ1019" s="293"/>
      <c r="AK1019" s="293"/>
      <c r="AL1019" s="327"/>
      <c r="AM1019" s="463"/>
      <c r="AN1019" s="15"/>
      <c r="AO1019" s="120"/>
      <c r="AP1019" s="120"/>
      <c r="AQ1019" s="120"/>
      <c r="AR1019" s="120"/>
      <c r="AS1019" s="120"/>
      <c r="AT1019" s="120"/>
      <c r="AU1019" s="422"/>
      <c r="AV1019" s="508"/>
      <c r="AW1019" s="15"/>
      <c r="AX1019" s="70"/>
      <c r="AY1019" s="70"/>
      <c r="AZ1019" s="70"/>
      <c r="BA1019" s="70"/>
      <c r="BB1019" s="70"/>
      <c r="BC1019" s="70"/>
      <c r="BD1019" s="120"/>
      <c r="BE1019" s="120"/>
      <c r="BF1019" s="120"/>
      <c r="BG1019" s="120"/>
      <c r="BH1019" s="120"/>
      <c r="BI1019" s="71"/>
      <c r="BJ1019" s="71"/>
      <c r="BK1019" s="71"/>
      <c r="BL1019" s="550"/>
      <c r="BM1019" s="542"/>
    </row>
    <row r="1020" spans="1:65" ht="45">
      <c r="B1020" s="358" t="s">
        <v>3211</v>
      </c>
      <c r="C1020" s="70" t="s">
        <v>2013</v>
      </c>
      <c r="D1020" s="264" t="s">
        <v>1994</v>
      </c>
      <c r="E1020" s="393" t="s">
        <v>1579</v>
      </c>
      <c r="F1020" s="412"/>
      <c r="G1020" s="120"/>
      <c r="H1020" s="120"/>
      <c r="I1020" s="120"/>
      <c r="J1020" s="120"/>
      <c r="K1020" s="120"/>
      <c r="L1020" s="422"/>
      <c r="M1020" s="436"/>
      <c r="N1020" s="410">
        <v>8922</v>
      </c>
      <c r="O1020" s="10">
        <v>65000</v>
      </c>
      <c r="P1020" s="10">
        <v>70000</v>
      </c>
      <c r="Q1020" s="268">
        <v>65000</v>
      </c>
      <c r="R1020" s="10">
        <v>60000</v>
      </c>
      <c r="S1020" s="76">
        <f t="shared" si="1057"/>
        <v>65000</v>
      </c>
      <c r="T1020" s="24">
        <f t="shared" si="1058"/>
        <v>56078</v>
      </c>
      <c r="U1020" s="281">
        <f t="shared" si="1059"/>
        <v>6.2853620264514687</v>
      </c>
      <c r="V1020" s="462">
        <f t="shared" si="1060"/>
        <v>65000</v>
      </c>
      <c r="W1020" s="15"/>
      <c r="X1020" s="95"/>
      <c r="Y1020" s="70"/>
      <c r="Z1020" s="70"/>
      <c r="AA1020" s="120"/>
      <c r="AB1020" s="120"/>
      <c r="AC1020" s="120"/>
      <c r="AD1020" s="384"/>
      <c r="AE1020" s="494"/>
      <c r="AF1020" s="408"/>
      <c r="AG1020" s="293"/>
      <c r="AH1020" s="293"/>
      <c r="AI1020" s="293"/>
      <c r="AJ1020" s="293"/>
      <c r="AK1020" s="293"/>
      <c r="AL1020" s="327"/>
      <c r="AM1020" s="463"/>
      <c r="AN1020" s="15"/>
      <c r="AO1020" s="120"/>
      <c r="AP1020" s="120"/>
      <c r="AQ1020" s="120"/>
      <c r="AR1020" s="120"/>
      <c r="AS1020" s="120"/>
      <c r="AT1020" s="120"/>
      <c r="AU1020" s="422"/>
      <c r="AV1020" s="508"/>
      <c r="AW1020" s="15"/>
      <c r="AX1020" s="70"/>
      <c r="AY1020" s="70"/>
      <c r="AZ1020" s="70"/>
      <c r="BA1020" s="70"/>
      <c r="BB1020" s="70"/>
      <c r="BC1020" s="70"/>
      <c r="BD1020" s="120"/>
      <c r="BE1020" s="120"/>
      <c r="BF1020" s="120"/>
      <c r="BG1020" s="120"/>
      <c r="BH1020" s="120"/>
      <c r="BI1020" s="71"/>
      <c r="BJ1020" s="71"/>
      <c r="BK1020" s="71"/>
      <c r="BL1020" s="550"/>
      <c r="BM1020" s="542"/>
    </row>
    <row r="1021" spans="1:65">
      <c r="B1021" s="358" t="s">
        <v>3212</v>
      </c>
      <c r="C1021" s="70" t="s">
        <v>2014</v>
      </c>
      <c r="D1021" s="264" t="s">
        <v>1995</v>
      </c>
      <c r="E1021" s="393" t="s">
        <v>1579</v>
      </c>
      <c r="F1021" s="412"/>
      <c r="G1021" s="120"/>
      <c r="H1021" s="120"/>
      <c r="I1021" s="120"/>
      <c r="J1021" s="120"/>
      <c r="K1021" s="120"/>
      <c r="L1021" s="422"/>
      <c r="M1021" s="436"/>
      <c r="N1021" s="410">
        <v>34172</v>
      </c>
      <c r="O1021" s="10">
        <v>340000</v>
      </c>
      <c r="P1021" s="10">
        <v>350000</v>
      </c>
      <c r="Q1021" s="268">
        <v>345000</v>
      </c>
      <c r="R1021" s="10">
        <v>400000</v>
      </c>
      <c r="S1021" s="76">
        <f t="shared" si="1057"/>
        <v>358750</v>
      </c>
      <c r="T1021" s="24">
        <f t="shared" si="1058"/>
        <v>324578</v>
      </c>
      <c r="U1021" s="281">
        <f t="shared" si="1059"/>
        <v>9.498361231417535</v>
      </c>
      <c r="V1021" s="462">
        <f t="shared" si="1060"/>
        <v>358750</v>
      </c>
      <c r="W1021" s="15"/>
      <c r="X1021" s="95"/>
      <c r="Y1021" s="70"/>
      <c r="Z1021" s="70"/>
      <c r="AA1021" s="120"/>
      <c r="AB1021" s="120"/>
      <c r="AC1021" s="120"/>
      <c r="AD1021" s="384"/>
      <c r="AE1021" s="494"/>
      <c r="AF1021" s="408"/>
      <c r="AG1021" s="293"/>
      <c r="AH1021" s="293"/>
      <c r="AI1021" s="293"/>
      <c r="AJ1021" s="293"/>
      <c r="AK1021" s="293"/>
      <c r="AL1021" s="327"/>
      <c r="AM1021" s="463"/>
      <c r="AN1021" s="15"/>
      <c r="AO1021" s="120"/>
      <c r="AP1021" s="120"/>
      <c r="AQ1021" s="120"/>
      <c r="AR1021" s="120"/>
      <c r="AS1021" s="120"/>
      <c r="AT1021" s="120"/>
      <c r="AU1021" s="422"/>
      <c r="AV1021" s="508"/>
      <c r="AW1021" s="15"/>
      <c r="AX1021" s="70"/>
      <c r="AY1021" s="70"/>
      <c r="AZ1021" s="70"/>
      <c r="BA1021" s="70"/>
      <c r="BB1021" s="70"/>
      <c r="BC1021" s="70"/>
      <c r="BD1021" s="120"/>
      <c r="BE1021" s="120"/>
      <c r="BF1021" s="120"/>
      <c r="BG1021" s="120"/>
      <c r="BH1021" s="120"/>
      <c r="BI1021" s="71"/>
      <c r="BJ1021" s="71"/>
      <c r="BK1021" s="71"/>
      <c r="BL1021" s="550"/>
      <c r="BM1021" s="542"/>
    </row>
    <row r="1022" spans="1:65" ht="45">
      <c r="B1022" s="358" t="s">
        <v>3213</v>
      </c>
      <c r="C1022" s="70" t="s">
        <v>2015</v>
      </c>
      <c r="D1022" s="264" t="s">
        <v>1996</v>
      </c>
      <c r="E1022" s="393" t="s">
        <v>1579</v>
      </c>
      <c r="F1022" s="412"/>
      <c r="G1022" s="120"/>
      <c r="H1022" s="120"/>
      <c r="I1022" s="120"/>
      <c r="J1022" s="120"/>
      <c r="K1022" s="120"/>
      <c r="L1022" s="422"/>
      <c r="M1022" s="436"/>
      <c r="N1022" s="410">
        <v>1187</v>
      </c>
      <c r="O1022" s="10">
        <v>55000</v>
      </c>
      <c r="P1022" s="10">
        <v>60000</v>
      </c>
      <c r="Q1022" s="268">
        <v>60000</v>
      </c>
      <c r="R1022" s="10">
        <v>65000</v>
      </c>
      <c r="S1022" s="76">
        <f t="shared" si="1057"/>
        <v>60000</v>
      </c>
      <c r="T1022" s="24">
        <f t="shared" si="1058"/>
        <v>58813</v>
      </c>
      <c r="U1022" s="281">
        <f t="shared" si="1059"/>
        <v>49.547598989048019</v>
      </c>
      <c r="V1022" s="462">
        <f t="shared" si="1060"/>
        <v>60000</v>
      </c>
      <c r="W1022" s="15"/>
      <c r="X1022" s="95"/>
      <c r="Y1022" s="70"/>
      <c r="Z1022" s="70"/>
      <c r="AA1022" s="120"/>
      <c r="AB1022" s="120"/>
      <c r="AC1022" s="120"/>
      <c r="AD1022" s="384"/>
      <c r="AE1022" s="494"/>
      <c r="AF1022" s="408"/>
      <c r="AG1022" s="293"/>
      <c r="AH1022" s="293"/>
      <c r="AI1022" s="293"/>
      <c r="AJ1022" s="293"/>
      <c r="AK1022" s="293"/>
      <c r="AL1022" s="327"/>
      <c r="AM1022" s="463"/>
      <c r="AN1022" s="15"/>
      <c r="AO1022" s="120"/>
      <c r="AP1022" s="120"/>
      <c r="AQ1022" s="120"/>
      <c r="AR1022" s="120"/>
      <c r="AS1022" s="120"/>
      <c r="AT1022" s="120"/>
      <c r="AU1022" s="422"/>
      <c r="AV1022" s="508"/>
      <c r="AW1022" s="15"/>
      <c r="AX1022" s="70"/>
      <c r="AY1022" s="70"/>
      <c r="AZ1022" s="70"/>
      <c r="BA1022" s="70"/>
      <c r="BB1022" s="70"/>
      <c r="BC1022" s="70"/>
      <c r="BD1022" s="120"/>
      <c r="BE1022" s="120"/>
      <c r="BF1022" s="120"/>
      <c r="BG1022" s="120"/>
      <c r="BH1022" s="120"/>
      <c r="BI1022" s="71"/>
      <c r="BJ1022" s="71"/>
      <c r="BK1022" s="71"/>
      <c r="BL1022" s="550"/>
      <c r="BM1022" s="542"/>
    </row>
    <row r="1023" spans="1:65" ht="30">
      <c r="B1023" s="358" t="s">
        <v>3214</v>
      </c>
      <c r="C1023" s="70" t="s">
        <v>2016</v>
      </c>
      <c r="D1023" s="264" t="s">
        <v>1997</v>
      </c>
      <c r="E1023" s="393" t="s">
        <v>1579</v>
      </c>
      <c r="F1023" s="412"/>
      <c r="G1023" s="120"/>
      <c r="H1023" s="120"/>
      <c r="I1023" s="120"/>
      <c r="J1023" s="120"/>
      <c r="K1023" s="120"/>
      <c r="L1023" s="422"/>
      <c r="M1023" s="436"/>
      <c r="N1023" s="410">
        <v>89703</v>
      </c>
      <c r="O1023" s="10">
        <v>140000</v>
      </c>
      <c r="P1023" s="10">
        <v>150000</v>
      </c>
      <c r="Q1023" s="268">
        <v>150000</v>
      </c>
      <c r="R1023" s="10">
        <v>150000</v>
      </c>
      <c r="S1023" s="76">
        <f t="shared" si="1057"/>
        <v>147500</v>
      </c>
      <c r="T1023" s="24">
        <f t="shared" si="1058"/>
        <v>57797</v>
      </c>
      <c r="U1023" s="281">
        <f t="shared" si="1059"/>
        <v>0.64431512881397501</v>
      </c>
      <c r="V1023" s="462">
        <f t="shared" si="1060"/>
        <v>147500</v>
      </c>
      <c r="W1023" s="15"/>
      <c r="X1023" s="95"/>
      <c r="Y1023" s="70"/>
      <c r="Z1023" s="70"/>
      <c r="AA1023" s="120"/>
      <c r="AB1023" s="120"/>
      <c r="AC1023" s="120"/>
      <c r="AD1023" s="384"/>
      <c r="AE1023" s="494"/>
      <c r="AF1023" s="408"/>
      <c r="AG1023" s="293"/>
      <c r="AH1023" s="293"/>
      <c r="AI1023" s="293"/>
      <c r="AJ1023" s="293"/>
      <c r="AK1023" s="293"/>
      <c r="AL1023" s="327"/>
      <c r="AM1023" s="463"/>
      <c r="AN1023" s="15"/>
      <c r="AO1023" s="120"/>
      <c r="AP1023" s="120"/>
      <c r="AQ1023" s="120"/>
      <c r="AR1023" s="120"/>
      <c r="AS1023" s="120"/>
      <c r="AT1023" s="120"/>
      <c r="AU1023" s="422"/>
      <c r="AV1023" s="508"/>
      <c r="AW1023" s="15"/>
      <c r="AX1023" s="70"/>
      <c r="AY1023" s="70"/>
      <c r="AZ1023" s="70"/>
      <c r="BA1023" s="70"/>
      <c r="BB1023" s="70"/>
      <c r="BC1023" s="70"/>
      <c r="BD1023" s="120"/>
      <c r="BE1023" s="120"/>
      <c r="BF1023" s="120"/>
      <c r="BG1023" s="120"/>
      <c r="BH1023" s="120"/>
      <c r="BI1023" s="71"/>
      <c r="BJ1023" s="71"/>
      <c r="BK1023" s="71"/>
      <c r="BL1023" s="550"/>
      <c r="BM1023" s="542"/>
    </row>
    <row r="1024" spans="1:65" ht="30">
      <c r="B1024" s="358" t="s">
        <v>3215</v>
      </c>
      <c r="C1024" s="70" t="s">
        <v>2017</v>
      </c>
      <c r="D1024" s="264" t="s">
        <v>1998</v>
      </c>
      <c r="E1024" s="393" t="s">
        <v>1579</v>
      </c>
      <c r="F1024" s="412"/>
      <c r="G1024" s="120"/>
      <c r="H1024" s="120"/>
      <c r="I1024" s="120"/>
      <c r="J1024" s="120"/>
      <c r="K1024" s="120"/>
      <c r="L1024" s="422"/>
      <c r="M1024" s="436"/>
      <c r="N1024" s="410">
        <v>64169</v>
      </c>
      <c r="O1024" s="10">
        <v>120000</v>
      </c>
      <c r="P1024" s="10">
        <v>130000</v>
      </c>
      <c r="Q1024" s="268">
        <v>125000</v>
      </c>
      <c r="R1024" s="10">
        <v>130000</v>
      </c>
      <c r="S1024" s="76">
        <f t="shared" si="1057"/>
        <v>126250</v>
      </c>
      <c r="T1024" s="24">
        <f t="shared" si="1058"/>
        <v>62081</v>
      </c>
      <c r="U1024" s="281">
        <f t="shared" si="1059"/>
        <v>0.96746092349888579</v>
      </c>
      <c r="V1024" s="462">
        <f t="shared" si="1060"/>
        <v>126250</v>
      </c>
      <c r="W1024" s="15"/>
      <c r="X1024" s="95"/>
      <c r="Y1024" s="70"/>
      <c r="Z1024" s="70"/>
      <c r="AA1024" s="120"/>
      <c r="AB1024" s="120"/>
      <c r="AC1024" s="120"/>
      <c r="AD1024" s="384"/>
      <c r="AE1024" s="494"/>
      <c r="AF1024" s="408"/>
      <c r="AG1024" s="293"/>
      <c r="AH1024" s="293"/>
      <c r="AI1024" s="293"/>
      <c r="AJ1024" s="293"/>
      <c r="AK1024" s="293"/>
      <c r="AL1024" s="327"/>
      <c r="AM1024" s="463"/>
      <c r="AN1024" s="15"/>
      <c r="AO1024" s="120"/>
      <c r="AP1024" s="120"/>
      <c r="AQ1024" s="120"/>
      <c r="AR1024" s="120"/>
      <c r="AS1024" s="120"/>
      <c r="AT1024" s="120"/>
      <c r="AU1024" s="422"/>
      <c r="AV1024" s="508"/>
      <c r="AW1024" s="15"/>
      <c r="AX1024" s="70"/>
      <c r="AY1024" s="70"/>
      <c r="AZ1024" s="70"/>
      <c r="BA1024" s="70"/>
      <c r="BB1024" s="70"/>
      <c r="BC1024" s="70"/>
      <c r="BD1024" s="120"/>
      <c r="BE1024" s="120"/>
      <c r="BF1024" s="120"/>
      <c r="BG1024" s="120"/>
      <c r="BH1024" s="120"/>
      <c r="BI1024" s="71"/>
      <c r="BJ1024" s="71"/>
      <c r="BK1024" s="71"/>
      <c r="BL1024" s="550"/>
      <c r="BM1024" s="542"/>
    </row>
    <row r="1025" spans="2:65">
      <c r="B1025" s="358" t="s">
        <v>3216</v>
      </c>
      <c r="C1025" s="70" t="s">
        <v>2018</v>
      </c>
      <c r="D1025" s="264" t="s">
        <v>1999</v>
      </c>
      <c r="E1025" s="393" t="s">
        <v>1430</v>
      </c>
      <c r="F1025" s="412"/>
      <c r="G1025" s="120"/>
      <c r="H1025" s="120"/>
      <c r="I1025" s="120"/>
      <c r="J1025" s="120"/>
      <c r="K1025" s="120"/>
      <c r="L1025" s="422"/>
      <c r="M1025" s="436"/>
      <c r="N1025" s="410">
        <v>19061</v>
      </c>
      <c r="O1025" s="10">
        <v>52000</v>
      </c>
      <c r="P1025" s="10">
        <v>60000</v>
      </c>
      <c r="Q1025" s="268">
        <v>55000</v>
      </c>
      <c r="R1025" s="10">
        <v>120000</v>
      </c>
      <c r="S1025" s="76">
        <f t="shared" si="1057"/>
        <v>71750</v>
      </c>
      <c r="T1025" s="24">
        <f t="shared" si="1058"/>
        <v>52689</v>
      </c>
      <c r="U1025" s="281">
        <f t="shared" si="1059"/>
        <v>2.7642306279838413</v>
      </c>
      <c r="V1025" s="462">
        <f t="shared" si="1060"/>
        <v>71750</v>
      </c>
      <c r="W1025" s="15"/>
      <c r="X1025" s="95"/>
      <c r="Y1025" s="70"/>
      <c r="Z1025" s="70"/>
      <c r="AA1025" s="120"/>
      <c r="AB1025" s="120"/>
      <c r="AC1025" s="120"/>
      <c r="AD1025" s="384"/>
      <c r="AE1025" s="494"/>
      <c r="AF1025" s="408"/>
      <c r="AG1025" s="293"/>
      <c r="AH1025" s="293"/>
      <c r="AI1025" s="293"/>
      <c r="AJ1025" s="293"/>
      <c r="AK1025" s="293"/>
      <c r="AL1025" s="327"/>
      <c r="AM1025" s="463"/>
      <c r="AN1025" s="15"/>
      <c r="AO1025" s="120"/>
      <c r="AP1025" s="120"/>
      <c r="AQ1025" s="120"/>
      <c r="AR1025" s="120"/>
      <c r="AS1025" s="120"/>
      <c r="AT1025" s="120"/>
      <c r="AU1025" s="422"/>
      <c r="AV1025" s="508"/>
      <c r="AW1025" s="15"/>
      <c r="AX1025" s="70"/>
      <c r="AY1025" s="70"/>
      <c r="AZ1025" s="70"/>
      <c r="BA1025" s="70"/>
      <c r="BB1025" s="70"/>
      <c r="BC1025" s="70"/>
      <c r="BD1025" s="120"/>
      <c r="BE1025" s="120"/>
      <c r="BF1025" s="120"/>
      <c r="BG1025" s="120"/>
      <c r="BH1025" s="120"/>
      <c r="BI1025" s="71"/>
      <c r="BJ1025" s="71"/>
      <c r="BK1025" s="71"/>
      <c r="BL1025" s="550"/>
      <c r="BM1025" s="542"/>
    </row>
    <row r="1026" spans="2:65">
      <c r="B1026" s="358" t="s">
        <v>3217</v>
      </c>
      <c r="C1026" s="70" t="s">
        <v>2019</v>
      </c>
      <c r="D1026" s="264" t="s">
        <v>2000</v>
      </c>
      <c r="E1026" s="394" t="s">
        <v>1399</v>
      </c>
      <c r="F1026" s="412"/>
      <c r="G1026" s="120"/>
      <c r="H1026" s="120"/>
      <c r="I1026" s="120"/>
      <c r="J1026" s="120"/>
      <c r="K1026" s="120"/>
      <c r="L1026" s="422"/>
      <c r="M1026" s="436"/>
      <c r="N1026" s="410">
        <v>2344</v>
      </c>
      <c r="O1026" s="10">
        <v>9500</v>
      </c>
      <c r="P1026" s="10">
        <v>11000</v>
      </c>
      <c r="Q1026" s="268">
        <v>10000</v>
      </c>
      <c r="R1026" s="10">
        <v>10000</v>
      </c>
      <c r="S1026" s="76">
        <f t="shared" si="1057"/>
        <v>10125</v>
      </c>
      <c r="T1026" s="24">
        <f t="shared" si="1058"/>
        <v>7781</v>
      </c>
      <c r="U1026" s="281">
        <f t="shared" si="1059"/>
        <v>3.3195392491467577</v>
      </c>
      <c r="V1026" s="462">
        <f t="shared" si="1060"/>
        <v>10125</v>
      </c>
      <c r="W1026" s="15"/>
      <c r="X1026" s="95"/>
      <c r="Y1026" s="70"/>
      <c r="Z1026" s="70"/>
      <c r="AA1026" s="120"/>
      <c r="AB1026" s="120"/>
      <c r="AC1026" s="120"/>
      <c r="AD1026" s="384"/>
      <c r="AE1026" s="494"/>
      <c r="AF1026" s="408"/>
      <c r="AG1026" s="293"/>
      <c r="AH1026" s="293"/>
      <c r="AI1026" s="293"/>
      <c r="AJ1026" s="293"/>
      <c r="AK1026" s="293"/>
      <c r="AL1026" s="327"/>
      <c r="AM1026" s="463"/>
      <c r="AN1026" s="15"/>
      <c r="AO1026" s="120"/>
      <c r="AP1026" s="120"/>
      <c r="AQ1026" s="120"/>
      <c r="AR1026" s="120"/>
      <c r="AS1026" s="120"/>
      <c r="AT1026" s="120"/>
      <c r="AU1026" s="422"/>
      <c r="AV1026" s="508"/>
      <c r="AW1026" s="15"/>
      <c r="AX1026" s="70"/>
      <c r="AY1026" s="70"/>
      <c r="AZ1026" s="70"/>
      <c r="BA1026" s="70"/>
      <c r="BB1026" s="70"/>
      <c r="BC1026" s="70"/>
      <c r="BD1026" s="120"/>
      <c r="BE1026" s="120"/>
      <c r="BF1026" s="120"/>
      <c r="BG1026" s="120"/>
      <c r="BH1026" s="120"/>
      <c r="BI1026" s="71"/>
      <c r="BJ1026" s="71"/>
      <c r="BK1026" s="71"/>
      <c r="BL1026" s="550"/>
      <c r="BM1026" s="542"/>
    </row>
    <row r="1027" spans="2:65">
      <c r="B1027" s="358" t="s">
        <v>3218</v>
      </c>
      <c r="C1027" s="70" t="s">
        <v>2020</v>
      </c>
      <c r="D1027" s="264" t="s">
        <v>2001</v>
      </c>
      <c r="E1027" s="393" t="s">
        <v>1579</v>
      </c>
      <c r="F1027" s="412"/>
      <c r="G1027" s="120"/>
      <c r="H1027" s="120"/>
      <c r="I1027" s="120"/>
      <c r="J1027" s="120"/>
      <c r="K1027" s="120"/>
      <c r="L1027" s="422"/>
      <c r="M1027" s="436"/>
      <c r="N1027" s="410">
        <v>7993</v>
      </c>
      <c r="O1027" s="10">
        <v>55000</v>
      </c>
      <c r="P1027" s="10">
        <v>60000</v>
      </c>
      <c r="Q1027" s="268">
        <v>60000</v>
      </c>
      <c r="R1027" s="10">
        <v>60000</v>
      </c>
      <c r="S1027" s="76">
        <f t="shared" si="1057"/>
        <v>58750</v>
      </c>
      <c r="T1027" s="24">
        <f t="shared" si="1058"/>
        <v>50757</v>
      </c>
      <c r="U1027" s="281">
        <f t="shared" si="1059"/>
        <v>6.3501814087326407</v>
      </c>
      <c r="V1027" s="462">
        <f t="shared" si="1060"/>
        <v>58750</v>
      </c>
      <c r="W1027" s="15"/>
      <c r="X1027" s="95"/>
      <c r="Y1027" s="70"/>
      <c r="Z1027" s="70"/>
      <c r="AA1027" s="120"/>
      <c r="AB1027" s="120"/>
      <c r="AC1027" s="120"/>
      <c r="AD1027" s="384"/>
      <c r="AE1027" s="494"/>
      <c r="AF1027" s="408"/>
      <c r="AG1027" s="293"/>
      <c r="AH1027" s="293"/>
      <c r="AI1027" s="293"/>
      <c r="AJ1027" s="293"/>
      <c r="AK1027" s="293"/>
      <c r="AL1027" s="327"/>
      <c r="AM1027" s="463"/>
      <c r="AN1027" s="15"/>
      <c r="AO1027" s="120"/>
      <c r="AP1027" s="120"/>
      <c r="AQ1027" s="120"/>
      <c r="AR1027" s="120"/>
      <c r="AS1027" s="120"/>
      <c r="AT1027" s="120"/>
      <c r="AU1027" s="422"/>
      <c r="AV1027" s="508"/>
      <c r="AW1027" s="15"/>
      <c r="AX1027" s="70"/>
      <c r="AY1027" s="70"/>
      <c r="AZ1027" s="70"/>
      <c r="BA1027" s="70"/>
      <c r="BB1027" s="70"/>
      <c r="BC1027" s="70"/>
      <c r="BD1027" s="120"/>
      <c r="BE1027" s="120"/>
      <c r="BF1027" s="120"/>
      <c r="BG1027" s="120"/>
      <c r="BH1027" s="120"/>
      <c r="BI1027" s="71"/>
      <c r="BJ1027" s="71"/>
      <c r="BK1027" s="71"/>
      <c r="BL1027" s="550"/>
      <c r="BM1027" s="542"/>
    </row>
    <row r="1028" spans="2:65">
      <c r="B1028" s="358" t="s">
        <v>3219</v>
      </c>
      <c r="C1028" s="70" t="s">
        <v>2021</v>
      </c>
      <c r="D1028" s="264" t="s">
        <v>2002</v>
      </c>
      <c r="E1028" s="393" t="s">
        <v>1579</v>
      </c>
      <c r="F1028" s="412"/>
      <c r="G1028" s="120"/>
      <c r="H1028" s="120"/>
      <c r="I1028" s="120"/>
      <c r="J1028" s="120"/>
      <c r="K1028" s="120"/>
      <c r="L1028" s="422"/>
      <c r="M1028" s="436"/>
      <c r="N1028" s="410">
        <v>17276</v>
      </c>
      <c r="O1028" s="10">
        <v>142000</v>
      </c>
      <c r="P1028" s="10">
        <v>150000</v>
      </c>
      <c r="Q1028" s="268">
        <v>145000</v>
      </c>
      <c r="R1028" s="10">
        <v>150000</v>
      </c>
      <c r="S1028" s="76">
        <f t="shared" si="1057"/>
        <v>146750</v>
      </c>
      <c r="T1028" s="24">
        <f t="shared" si="1058"/>
        <v>129474</v>
      </c>
      <c r="U1028" s="281">
        <f t="shared" si="1059"/>
        <v>7.4944431581384583</v>
      </c>
      <c r="V1028" s="462">
        <f t="shared" si="1060"/>
        <v>146750</v>
      </c>
      <c r="W1028" s="15"/>
      <c r="X1028" s="95"/>
      <c r="Y1028" s="70"/>
      <c r="Z1028" s="70"/>
      <c r="AA1028" s="120"/>
      <c r="AB1028" s="120"/>
      <c r="AC1028" s="120"/>
      <c r="AD1028" s="384"/>
      <c r="AE1028" s="494"/>
      <c r="AF1028" s="408"/>
      <c r="AG1028" s="293"/>
      <c r="AH1028" s="293"/>
      <c r="AI1028" s="293"/>
      <c r="AJ1028" s="293"/>
      <c r="AK1028" s="293"/>
      <c r="AL1028" s="327"/>
      <c r="AM1028" s="463"/>
      <c r="AN1028" s="15"/>
      <c r="AO1028" s="120"/>
      <c r="AP1028" s="120"/>
      <c r="AQ1028" s="120"/>
      <c r="AR1028" s="120"/>
      <c r="AS1028" s="120"/>
      <c r="AT1028" s="120"/>
      <c r="AU1028" s="422"/>
      <c r="AV1028" s="508"/>
      <c r="AW1028" s="15"/>
      <c r="AX1028" s="70"/>
      <c r="AY1028" s="70"/>
      <c r="AZ1028" s="70"/>
      <c r="BA1028" s="70"/>
      <c r="BB1028" s="70"/>
      <c r="BC1028" s="70"/>
      <c r="BD1028" s="120"/>
      <c r="BE1028" s="120"/>
      <c r="BF1028" s="120"/>
      <c r="BG1028" s="120"/>
      <c r="BH1028" s="120"/>
      <c r="BI1028" s="71"/>
      <c r="BJ1028" s="71"/>
      <c r="BK1028" s="71"/>
      <c r="BL1028" s="550"/>
      <c r="BM1028" s="542"/>
    </row>
    <row r="1029" spans="2:65">
      <c r="B1029" s="358" t="s">
        <v>3220</v>
      </c>
      <c r="C1029" s="70" t="s">
        <v>2022</v>
      </c>
      <c r="D1029" s="264" t="s">
        <v>2003</v>
      </c>
      <c r="E1029" s="393" t="s">
        <v>1579</v>
      </c>
      <c r="F1029" s="412"/>
      <c r="G1029" s="120"/>
      <c r="H1029" s="120"/>
      <c r="I1029" s="120"/>
      <c r="J1029" s="120"/>
      <c r="K1029" s="120"/>
      <c r="L1029" s="422"/>
      <c r="M1029" s="436"/>
      <c r="N1029" s="410">
        <v>24092</v>
      </c>
      <c r="O1029" s="10">
        <v>160000</v>
      </c>
      <c r="P1029" s="10">
        <v>165000</v>
      </c>
      <c r="Q1029" s="268">
        <v>162000</v>
      </c>
      <c r="R1029" s="10">
        <v>175000</v>
      </c>
      <c r="S1029" s="76">
        <f t="shared" si="1057"/>
        <v>165500</v>
      </c>
      <c r="T1029" s="24">
        <f t="shared" si="1058"/>
        <v>141408</v>
      </c>
      <c r="U1029" s="281">
        <f t="shared" si="1059"/>
        <v>5.8695002490453261</v>
      </c>
      <c r="V1029" s="462">
        <f t="shared" si="1060"/>
        <v>165500</v>
      </c>
      <c r="W1029" s="15"/>
      <c r="X1029" s="95"/>
      <c r="Y1029" s="70"/>
      <c r="Z1029" s="70"/>
      <c r="AA1029" s="120"/>
      <c r="AB1029" s="120"/>
      <c r="AC1029" s="120"/>
      <c r="AD1029" s="384"/>
      <c r="AE1029" s="494"/>
      <c r="AF1029" s="408"/>
      <c r="AG1029" s="293"/>
      <c r="AH1029" s="293"/>
      <c r="AI1029" s="293"/>
      <c r="AJ1029" s="293"/>
      <c r="AK1029" s="293"/>
      <c r="AL1029" s="327"/>
      <c r="AM1029" s="463"/>
      <c r="AN1029" s="15"/>
      <c r="AO1029" s="120"/>
      <c r="AP1029" s="120"/>
      <c r="AQ1029" s="120"/>
      <c r="AR1029" s="120"/>
      <c r="AS1029" s="120"/>
      <c r="AT1029" s="120"/>
      <c r="AU1029" s="422"/>
      <c r="AV1029" s="508"/>
      <c r="AW1029" s="15"/>
      <c r="AX1029" s="70"/>
      <c r="AY1029" s="70"/>
      <c r="AZ1029" s="70"/>
      <c r="BA1029" s="70"/>
      <c r="BB1029" s="70"/>
      <c r="BC1029" s="70"/>
      <c r="BD1029" s="120"/>
      <c r="BE1029" s="120"/>
      <c r="BF1029" s="120"/>
      <c r="BG1029" s="120"/>
      <c r="BH1029" s="120"/>
      <c r="BI1029" s="71"/>
      <c r="BJ1029" s="71"/>
      <c r="BK1029" s="71"/>
      <c r="BL1029" s="550"/>
      <c r="BM1029" s="542"/>
    </row>
    <row r="1030" spans="2:65">
      <c r="B1030" s="358" t="s">
        <v>3221</v>
      </c>
      <c r="C1030" s="70" t="s">
        <v>2023</v>
      </c>
      <c r="D1030" s="264" t="s">
        <v>2004</v>
      </c>
      <c r="E1030" s="393" t="s">
        <v>1579</v>
      </c>
      <c r="F1030" s="412"/>
      <c r="G1030" s="120"/>
      <c r="H1030" s="120"/>
      <c r="I1030" s="120"/>
      <c r="J1030" s="120"/>
      <c r="K1030" s="120"/>
      <c r="L1030" s="422"/>
      <c r="M1030" s="436"/>
      <c r="N1030" s="410">
        <v>6474</v>
      </c>
      <c r="O1030" s="10">
        <v>55000</v>
      </c>
      <c r="P1030" s="10">
        <v>60000</v>
      </c>
      <c r="Q1030" s="268">
        <v>60000</v>
      </c>
      <c r="R1030" s="10">
        <v>60000</v>
      </c>
      <c r="S1030" s="76">
        <f t="shared" si="1057"/>
        <v>58750</v>
      </c>
      <c r="T1030" s="24">
        <f t="shared" si="1058"/>
        <v>52276</v>
      </c>
      <c r="U1030" s="281">
        <f t="shared" si="1059"/>
        <v>8.0747605807846767</v>
      </c>
      <c r="V1030" s="462">
        <f t="shared" si="1060"/>
        <v>58750</v>
      </c>
      <c r="W1030" s="15"/>
      <c r="X1030" s="95"/>
      <c r="Y1030" s="70"/>
      <c r="Z1030" s="70"/>
      <c r="AA1030" s="120"/>
      <c r="AB1030" s="120"/>
      <c r="AC1030" s="120"/>
      <c r="AD1030" s="384"/>
      <c r="AE1030" s="494"/>
      <c r="AF1030" s="408"/>
      <c r="AG1030" s="293"/>
      <c r="AH1030" s="293"/>
      <c r="AI1030" s="293"/>
      <c r="AJ1030" s="293"/>
      <c r="AK1030" s="293"/>
      <c r="AL1030" s="327"/>
      <c r="AM1030" s="463"/>
      <c r="AN1030" s="15"/>
      <c r="AO1030" s="120"/>
      <c r="AP1030" s="120"/>
      <c r="AQ1030" s="120"/>
      <c r="AR1030" s="120"/>
      <c r="AS1030" s="120"/>
      <c r="AT1030" s="120"/>
      <c r="AU1030" s="422"/>
      <c r="AV1030" s="508"/>
      <c r="AW1030" s="15"/>
      <c r="AX1030" s="70"/>
      <c r="AY1030" s="70"/>
      <c r="AZ1030" s="70"/>
      <c r="BA1030" s="70"/>
      <c r="BB1030" s="70"/>
      <c r="BC1030" s="70"/>
      <c r="BD1030" s="120"/>
      <c r="BE1030" s="120"/>
      <c r="BF1030" s="120"/>
      <c r="BG1030" s="120"/>
      <c r="BH1030" s="120"/>
      <c r="BI1030" s="71"/>
      <c r="BJ1030" s="71"/>
      <c r="BK1030" s="71"/>
      <c r="BL1030" s="550"/>
      <c r="BM1030" s="542"/>
    </row>
    <row r="1031" spans="2:65" ht="30">
      <c r="B1031" s="358" t="s">
        <v>3222</v>
      </c>
      <c r="C1031" s="70" t="s">
        <v>2024</v>
      </c>
      <c r="D1031" s="264" t="s">
        <v>2005</v>
      </c>
      <c r="E1031" s="393" t="s">
        <v>1430</v>
      </c>
      <c r="F1031" s="412"/>
      <c r="G1031" s="120"/>
      <c r="H1031" s="120"/>
      <c r="I1031" s="120"/>
      <c r="J1031" s="120"/>
      <c r="K1031" s="120"/>
      <c r="L1031" s="422"/>
      <c r="M1031" s="436"/>
      <c r="N1031" s="410">
        <v>466852</v>
      </c>
      <c r="O1031" s="10">
        <v>688000</v>
      </c>
      <c r="P1031" s="10">
        <v>680000</v>
      </c>
      <c r="Q1031" s="268">
        <v>700000</v>
      </c>
      <c r="R1031" s="10">
        <v>700000</v>
      </c>
      <c r="S1031" s="76">
        <f t="shared" si="1057"/>
        <v>692000</v>
      </c>
      <c r="T1031" s="24">
        <f t="shared" si="1058"/>
        <v>225148</v>
      </c>
      <c r="U1031" s="281">
        <f t="shared" si="1059"/>
        <v>0.48226847052170707</v>
      </c>
      <c r="V1031" s="462">
        <f t="shared" si="1060"/>
        <v>692000</v>
      </c>
      <c r="W1031" s="15"/>
      <c r="X1031" s="95"/>
      <c r="Y1031" s="70"/>
      <c r="Z1031" s="70"/>
      <c r="AA1031" s="120"/>
      <c r="AB1031" s="120"/>
      <c r="AC1031" s="120"/>
      <c r="AD1031" s="384"/>
      <c r="AE1031" s="494"/>
      <c r="AF1031" s="408"/>
      <c r="AG1031" s="293"/>
      <c r="AH1031" s="293"/>
      <c r="AI1031" s="293"/>
      <c r="AJ1031" s="293"/>
      <c r="AK1031" s="293"/>
      <c r="AL1031" s="327"/>
      <c r="AM1031" s="463"/>
      <c r="AN1031" s="15"/>
      <c r="AO1031" s="120"/>
      <c r="AP1031" s="120"/>
      <c r="AQ1031" s="120"/>
      <c r="AR1031" s="120"/>
      <c r="AS1031" s="120"/>
      <c r="AT1031" s="120"/>
      <c r="AU1031" s="422"/>
      <c r="AV1031" s="508"/>
      <c r="AW1031" s="15"/>
      <c r="AX1031" s="70"/>
      <c r="AY1031" s="70"/>
      <c r="AZ1031" s="70"/>
      <c r="BA1031" s="70"/>
      <c r="BB1031" s="70"/>
      <c r="BC1031" s="70"/>
      <c r="BD1031" s="120"/>
      <c r="BE1031" s="120"/>
      <c r="BF1031" s="120"/>
      <c r="BG1031" s="120"/>
      <c r="BH1031" s="120"/>
      <c r="BI1031" s="71"/>
      <c r="BJ1031" s="71"/>
      <c r="BK1031" s="71"/>
      <c r="BL1031" s="550"/>
      <c r="BM1031" s="542"/>
    </row>
    <row r="1032" spans="2:65" ht="15" customHeight="1">
      <c r="B1032" s="358" t="s">
        <v>3223</v>
      </c>
      <c r="C1032" s="297">
        <v>18</v>
      </c>
      <c r="D1032" s="258" t="s">
        <v>2025</v>
      </c>
      <c r="E1032" s="401"/>
      <c r="F1032" s="412"/>
      <c r="G1032" s="120"/>
      <c r="H1032" s="120"/>
      <c r="I1032" s="120"/>
      <c r="J1032" s="120"/>
      <c r="K1032" s="120"/>
      <c r="L1032" s="422"/>
      <c r="M1032" s="436"/>
      <c r="N1032" s="411"/>
      <c r="O1032" s="173"/>
      <c r="P1032" s="173"/>
      <c r="Q1032" s="274"/>
      <c r="R1032" s="266"/>
      <c r="S1032" s="76"/>
      <c r="T1032" s="24"/>
      <c r="U1032" s="281"/>
      <c r="V1032" s="462"/>
      <c r="W1032" s="15"/>
      <c r="X1032" s="95"/>
      <c r="Y1032" s="70"/>
      <c r="Z1032" s="70"/>
      <c r="AA1032" s="120"/>
      <c r="AB1032" s="120"/>
      <c r="AC1032" s="120"/>
      <c r="AD1032" s="384"/>
      <c r="AE1032" s="495"/>
      <c r="AF1032" s="408"/>
      <c r="AG1032" s="293"/>
      <c r="AH1032" s="293"/>
      <c r="AI1032" s="293"/>
      <c r="AJ1032" s="293"/>
      <c r="AK1032" s="293"/>
      <c r="AL1032" s="327"/>
      <c r="AM1032" s="463"/>
      <c r="AN1032" s="517"/>
      <c r="AO1032" s="137"/>
      <c r="AP1032" s="137"/>
      <c r="AQ1032" s="137"/>
      <c r="AR1032" s="137"/>
      <c r="AS1032" s="137"/>
      <c r="AT1032" s="137"/>
      <c r="AU1032" s="401"/>
      <c r="AV1032" s="495"/>
      <c r="AW1032" s="517"/>
      <c r="AX1032" s="137"/>
      <c r="AY1032" s="137"/>
      <c r="AZ1032" s="137"/>
      <c r="BA1032" s="137"/>
      <c r="BB1032" s="137"/>
      <c r="BC1032" s="137"/>
      <c r="BD1032" s="137"/>
      <c r="BE1032" s="137"/>
      <c r="BF1032" s="137"/>
      <c r="BG1032" s="137"/>
      <c r="BH1032" s="137"/>
      <c r="BI1032" s="137"/>
      <c r="BJ1032" s="137"/>
      <c r="BK1032" s="137"/>
      <c r="BL1032" s="481"/>
      <c r="BM1032" s="489"/>
    </row>
    <row r="1033" spans="2:65" ht="15" customHeight="1">
      <c r="B1033" s="358" t="s">
        <v>3224</v>
      </c>
      <c r="C1033" s="298" t="s">
        <v>2029</v>
      </c>
      <c r="D1033" s="264" t="s">
        <v>1794</v>
      </c>
      <c r="E1033" s="393" t="s">
        <v>999</v>
      </c>
      <c r="F1033" s="412"/>
      <c r="G1033" s="120"/>
      <c r="H1033" s="120"/>
      <c r="I1033" s="120"/>
      <c r="J1033" s="120"/>
      <c r="K1033" s="120"/>
      <c r="L1033" s="422"/>
      <c r="M1033" s="436"/>
      <c r="N1033" s="410">
        <v>52977</v>
      </c>
      <c r="O1033" s="10">
        <v>56000</v>
      </c>
      <c r="P1033" s="10">
        <v>60000</v>
      </c>
      <c r="Q1033" s="268">
        <v>60000</v>
      </c>
      <c r="R1033" s="10">
        <v>80000</v>
      </c>
      <c r="S1033" s="76">
        <f t="shared" ref="S1033:S1036" si="1061">AVERAGE(O1033,P1033,Q1033,R1033)</f>
        <v>64000</v>
      </c>
      <c r="T1033" s="24">
        <f t="shared" ref="T1033:T1036" si="1062">S1033-N1033</f>
        <v>11023</v>
      </c>
      <c r="U1033" s="281">
        <f t="shared" ref="U1033:U1036" si="1063">+T1033/N1033</f>
        <v>0.20807142722313457</v>
      </c>
      <c r="V1033" s="462">
        <f t="shared" ref="V1033:V1036" si="1064">S1033</f>
        <v>64000</v>
      </c>
      <c r="W1033" s="15"/>
      <c r="X1033" s="95"/>
      <c r="Y1033" s="70"/>
      <c r="Z1033" s="70"/>
      <c r="AA1033" s="120"/>
      <c r="AB1033" s="120"/>
      <c r="AC1033" s="120"/>
      <c r="AD1033" s="384"/>
      <c r="AE1033" s="494"/>
      <c r="AF1033" s="408"/>
      <c r="AG1033" s="293"/>
      <c r="AH1033" s="293"/>
      <c r="AI1033" s="293"/>
      <c r="AJ1033" s="293"/>
      <c r="AK1033" s="293"/>
      <c r="AL1033" s="327"/>
      <c r="AM1033" s="463"/>
      <c r="AN1033" s="15"/>
      <c r="AO1033" s="120"/>
      <c r="AP1033" s="120"/>
      <c r="AQ1033" s="120"/>
      <c r="AR1033" s="120"/>
      <c r="AS1033" s="120"/>
      <c r="AT1033" s="120"/>
      <c r="AU1033" s="422"/>
      <c r="AV1033" s="508"/>
      <c r="AW1033" s="15"/>
      <c r="AX1033" s="70"/>
      <c r="AY1033" s="70"/>
      <c r="AZ1033" s="70"/>
      <c r="BA1033" s="70"/>
      <c r="BB1033" s="70"/>
      <c r="BC1033" s="70"/>
      <c r="BD1033" s="120"/>
      <c r="BE1033" s="120"/>
      <c r="BF1033" s="120"/>
      <c r="BG1033" s="120"/>
      <c r="BH1033" s="120"/>
      <c r="BI1033" s="71"/>
      <c r="BJ1033" s="71"/>
      <c r="BK1033" s="71"/>
      <c r="BL1033" s="550"/>
      <c r="BM1033" s="542"/>
    </row>
    <row r="1034" spans="2:65" ht="15" customHeight="1">
      <c r="B1034" s="358" t="s">
        <v>3225</v>
      </c>
      <c r="C1034" s="298" t="s">
        <v>2030</v>
      </c>
      <c r="D1034" s="264" t="s">
        <v>2026</v>
      </c>
      <c r="E1034" s="394" t="s">
        <v>1399</v>
      </c>
      <c r="F1034" s="412"/>
      <c r="G1034" s="120"/>
      <c r="H1034" s="120"/>
      <c r="I1034" s="120"/>
      <c r="J1034" s="120"/>
      <c r="K1034" s="120"/>
      <c r="L1034" s="422"/>
      <c r="M1034" s="436"/>
      <c r="N1034" s="410">
        <v>10005</v>
      </c>
      <c r="O1034" s="10">
        <v>35500</v>
      </c>
      <c r="P1034" s="10">
        <v>39500</v>
      </c>
      <c r="Q1034" s="268">
        <v>39000</v>
      </c>
      <c r="R1034" s="10">
        <v>45000</v>
      </c>
      <c r="S1034" s="76">
        <f t="shared" si="1061"/>
        <v>39750</v>
      </c>
      <c r="T1034" s="24">
        <f t="shared" si="1062"/>
        <v>29745</v>
      </c>
      <c r="U1034" s="281">
        <f t="shared" si="1063"/>
        <v>2.9730134932533732</v>
      </c>
      <c r="V1034" s="462">
        <f t="shared" si="1064"/>
        <v>39750</v>
      </c>
      <c r="W1034" s="15"/>
      <c r="X1034" s="95"/>
      <c r="Y1034" s="70"/>
      <c r="Z1034" s="70"/>
      <c r="AA1034" s="120"/>
      <c r="AB1034" s="120"/>
      <c r="AC1034" s="120"/>
      <c r="AD1034" s="384"/>
      <c r="AE1034" s="494"/>
      <c r="AF1034" s="408"/>
      <c r="AG1034" s="293"/>
      <c r="AH1034" s="293"/>
      <c r="AI1034" s="293"/>
      <c r="AJ1034" s="293"/>
      <c r="AK1034" s="293"/>
      <c r="AL1034" s="327"/>
      <c r="AM1034" s="463"/>
      <c r="AN1034" s="15"/>
      <c r="AO1034" s="120"/>
      <c r="AP1034" s="120"/>
      <c r="AQ1034" s="120"/>
      <c r="AR1034" s="120"/>
      <c r="AS1034" s="120"/>
      <c r="AT1034" s="120"/>
      <c r="AU1034" s="422"/>
      <c r="AV1034" s="508"/>
      <c r="AW1034" s="15"/>
      <c r="AX1034" s="70"/>
      <c r="AY1034" s="70"/>
      <c r="AZ1034" s="70"/>
      <c r="BA1034" s="70"/>
      <c r="BB1034" s="70"/>
      <c r="BC1034" s="70"/>
      <c r="BD1034" s="120"/>
      <c r="BE1034" s="120"/>
      <c r="BF1034" s="120"/>
      <c r="BG1034" s="120"/>
      <c r="BH1034" s="120"/>
      <c r="BI1034" s="71"/>
      <c r="BJ1034" s="71"/>
      <c r="BK1034" s="71"/>
      <c r="BL1034" s="550"/>
      <c r="BM1034" s="542"/>
    </row>
    <row r="1035" spans="2:65" ht="15" customHeight="1">
      <c r="B1035" s="358" t="s">
        <v>3226</v>
      </c>
      <c r="C1035" s="298" t="s">
        <v>2031</v>
      </c>
      <c r="D1035" s="264" t="s">
        <v>2027</v>
      </c>
      <c r="E1035" s="393" t="s">
        <v>827</v>
      </c>
      <c r="F1035" s="412"/>
      <c r="G1035" s="120"/>
      <c r="H1035" s="120"/>
      <c r="I1035" s="120"/>
      <c r="J1035" s="120"/>
      <c r="K1035" s="120"/>
      <c r="L1035" s="422"/>
      <c r="M1035" s="436"/>
      <c r="N1035" s="410">
        <v>4680</v>
      </c>
      <c r="O1035" s="10">
        <v>35500</v>
      </c>
      <c r="P1035" s="10">
        <v>39500</v>
      </c>
      <c r="Q1035" s="268">
        <v>39000</v>
      </c>
      <c r="R1035" s="10">
        <v>45000</v>
      </c>
      <c r="S1035" s="76">
        <f t="shared" si="1061"/>
        <v>39750</v>
      </c>
      <c r="T1035" s="24">
        <f t="shared" si="1062"/>
        <v>35070</v>
      </c>
      <c r="U1035" s="281">
        <f t="shared" si="1063"/>
        <v>7.4935897435897436</v>
      </c>
      <c r="V1035" s="462">
        <f t="shared" si="1064"/>
        <v>39750</v>
      </c>
      <c r="W1035" s="15"/>
      <c r="X1035" s="95"/>
      <c r="Y1035" s="70"/>
      <c r="Z1035" s="70"/>
      <c r="AA1035" s="120"/>
      <c r="AB1035" s="120"/>
      <c r="AC1035" s="120"/>
      <c r="AD1035" s="384"/>
      <c r="AE1035" s="494"/>
      <c r="AF1035" s="408"/>
      <c r="AG1035" s="293"/>
      <c r="AH1035" s="293"/>
      <c r="AI1035" s="293"/>
      <c r="AJ1035" s="293"/>
      <c r="AK1035" s="293"/>
      <c r="AL1035" s="327"/>
      <c r="AM1035" s="463"/>
      <c r="AN1035" s="15"/>
      <c r="AO1035" s="120"/>
      <c r="AP1035" s="120"/>
      <c r="AQ1035" s="120"/>
      <c r="AR1035" s="120"/>
      <c r="AS1035" s="120"/>
      <c r="AT1035" s="120"/>
      <c r="AU1035" s="422"/>
      <c r="AV1035" s="508"/>
      <c r="AW1035" s="15"/>
      <c r="AX1035" s="70"/>
      <c r="AY1035" s="70"/>
      <c r="AZ1035" s="70"/>
      <c r="BA1035" s="70"/>
      <c r="BB1035" s="70"/>
      <c r="BC1035" s="70"/>
      <c r="BD1035" s="120"/>
      <c r="BE1035" s="120"/>
      <c r="BF1035" s="120"/>
      <c r="BG1035" s="120"/>
      <c r="BH1035" s="120"/>
      <c r="BI1035" s="71"/>
      <c r="BJ1035" s="71"/>
      <c r="BK1035" s="71"/>
      <c r="BL1035" s="550"/>
      <c r="BM1035" s="542"/>
    </row>
    <row r="1036" spans="2:65" ht="15" customHeight="1">
      <c r="B1036" s="358" t="s">
        <v>3227</v>
      </c>
      <c r="C1036" s="298" t="s">
        <v>2032</v>
      </c>
      <c r="D1036" s="264" t="s">
        <v>2028</v>
      </c>
      <c r="E1036" s="393" t="s">
        <v>1466</v>
      </c>
      <c r="F1036" s="412"/>
      <c r="G1036" s="120"/>
      <c r="H1036" s="120"/>
      <c r="I1036" s="120"/>
      <c r="J1036" s="120"/>
      <c r="K1036" s="120"/>
      <c r="L1036" s="422"/>
      <c r="M1036" s="436"/>
      <c r="N1036" s="410">
        <v>18146</v>
      </c>
      <c r="O1036" s="10">
        <v>48900</v>
      </c>
      <c r="P1036" s="10">
        <v>55000</v>
      </c>
      <c r="Q1036" s="268">
        <v>52000</v>
      </c>
      <c r="R1036" s="10">
        <v>50000</v>
      </c>
      <c r="S1036" s="76">
        <f t="shared" si="1061"/>
        <v>51475</v>
      </c>
      <c r="T1036" s="24">
        <f t="shared" si="1062"/>
        <v>33329</v>
      </c>
      <c r="U1036" s="281">
        <f t="shared" si="1063"/>
        <v>1.8367133252507439</v>
      </c>
      <c r="V1036" s="462">
        <f t="shared" si="1064"/>
        <v>51475</v>
      </c>
      <c r="W1036" s="15"/>
      <c r="X1036" s="95"/>
      <c r="Y1036" s="70"/>
      <c r="Z1036" s="70"/>
      <c r="AA1036" s="120"/>
      <c r="AB1036" s="120"/>
      <c r="AC1036" s="120"/>
      <c r="AD1036" s="384"/>
      <c r="AE1036" s="494"/>
      <c r="AF1036" s="408"/>
      <c r="AG1036" s="293"/>
      <c r="AH1036" s="293"/>
      <c r="AI1036" s="293"/>
      <c r="AJ1036" s="293"/>
      <c r="AK1036" s="293"/>
      <c r="AL1036" s="327"/>
      <c r="AM1036" s="463"/>
      <c r="AN1036" s="15"/>
      <c r="AO1036" s="120"/>
      <c r="AP1036" s="120"/>
      <c r="AQ1036" s="120"/>
      <c r="AR1036" s="120"/>
      <c r="AS1036" s="120"/>
      <c r="AT1036" s="120"/>
      <c r="AU1036" s="422"/>
      <c r="AV1036" s="508"/>
      <c r="AW1036" s="15"/>
      <c r="AX1036" s="70"/>
      <c r="AY1036" s="70"/>
      <c r="AZ1036" s="70"/>
      <c r="BA1036" s="70"/>
      <c r="BB1036" s="70"/>
      <c r="BC1036" s="70"/>
      <c r="BD1036" s="120"/>
      <c r="BE1036" s="120"/>
      <c r="BF1036" s="120"/>
      <c r="BG1036" s="120"/>
      <c r="BH1036" s="120"/>
      <c r="BI1036" s="71"/>
      <c r="BJ1036" s="71"/>
      <c r="BK1036" s="71"/>
      <c r="BL1036" s="550"/>
      <c r="BM1036" s="542"/>
    </row>
    <row r="1037" spans="2:65" ht="15" customHeight="1">
      <c r="B1037" s="358" t="s">
        <v>3228</v>
      </c>
      <c r="C1037" s="297">
        <v>19</v>
      </c>
      <c r="D1037" s="258" t="s">
        <v>2033</v>
      </c>
      <c r="E1037" s="401"/>
      <c r="F1037" s="412"/>
      <c r="G1037" s="120"/>
      <c r="H1037" s="120"/>
      <c r="I1037" s="120"/>
      <c r="J1037" s="120"/>
      <c r="K1037" s="120"/>
      <c r="L1037" s="422"/>
      <c r="M1037" s="436"/>
      <c r="N1037" s="411"/>
      <c r="O1037" s="173"/>
      <c r="P1037" s="173"/>
      <c r="Q1037" s="274"/>
      <c r="R1037" s="266"/>
      <c r="S1037" s="76"/>
      <c r="T1037" s="24"/>
      <c r="U1037" s="281"/>
      <c r="V1037" s="462"/>
      <c r="W1037" s="15"/>
      <c r="X1037" s="95"/>
      <c r="Y1037" s="70"/>
      <c r="Z1037" s="70"/>
      <c r="AA1037" s="120"/>
      <c r="AB1037" s="120"/>
      <c r="AC1037" s="120"/>
      <c r="AD1037" s="384"/>
      <c r="AE1037" s="495"/>
      <c r="AF1037" s="408"/>
      <c r="AG1037" s="293"/>
      <c r="AH1037" s="293"/>
      <c r="AI1037" s="293"/>
      <c r="AJ1037" s="293"/>
      <c r="AK1037" s="293"/>
      <c r="AL1037" s="327"/>
      <c r="AM1037" s="463"/>
      <c r="AN1037" s="517"/>
      <c r="AO1037" s="137"/>
      <c r="AP1037" s="137"/>
      <c r="AQ1037" s="137"/>
      <c r="AR1037" s="137"/>
      <c r="AS1037" s="137"/>
      <c r="AT1037" s="137"/>
      <c r="AU1037" s="401"/>
      <c r="AV1037" s="495"/>
      <c r="AW1037" s="517"/>
      <c r="AX1037" s="137"/>
      <c r="AY1037" s="137"/>
      <c r="AZ1037" s="137"/>
      <c r="BA1037" s="137"/>
      <c r="BB1037" s="137"/>
      <c r="BC1037" s="137"/>
      <c r="BD1037" s="137"/>
      <c r="BE1037" s="137"/>
      <c r="BF1037" s="137"/>
      <c r="BG1037" s="137"/>
      <c r="BH1037" s="137"/>
      <c r="BI1037" s="137"/>
      <c r="BJ1037" s="137"/>
      <c r="BK1037" s="137"/>
      <c r="BL1037" s="481"/>
      <c r="BM1037" s="489"/>
    </row>
    <row r="1038" spans="2:65" ht="120">
      <c r="B1038" s="358" t="s">
        <v>3229</v>
      </c>
      <c r="C1038" s="298" t="s">
        <v>2057</v>
      </c>
      <c r="D1038" s="264" t="s">
        <v>2034</v>
      </c>
      <c r="E1038" s="393" t="s">
        <v>905</v>
      </c>
      <c r="F1038" s="412"/>
      <c r="G1038" s="120"/>
      <c r="H1038" s="120"/>
      <c r="I1038" s="120"/>
      <c r="J1038" s="120"/>
      <c r="K1038" s="120"/>
      <c r="L1038" s="422"/>
      <c r="M1038" s="436"/>
      <c r="N1038" s="410">
        <v>2302042</v>
      </c>
      <c r="O1038" s="10"/>
      <c r="P1038" s="10"/>
      <c r="Q1038" s="10"/>
      <c r="R1038" s="10" t="s">
        <v>1421</v>
      </c>
      <c r="S1038" s="76"/>
      <c r="T1038" s="24"/>
      <c r="U1038" s="281"/>
      <c r="V1038" s="464" t="s">
        <v>807</v>
      </c>
      <c r="W1038" s="15"/>
      <c r="X1038" s="95"/>
      <c r="Y1038" s="70"/>
      <c r="Z1038" s="70"/>
      <c r="AA1038" s="120"/>
      <c r="AB1038" s="120"/>
      <c r="AC1038" s="120"/>
      <c r="AD1038" s="384"/>
      <c r="AE1038" s="494"/>
      <c r="AF1038" s="408"/>
      <c r="AG1038" s="293"/>
      <c r="AH1038" s="293"/>
      <c r="AI1038" s="293"/>
      <c r="AJ1038" s="293"/>
      <c r="AK1038" s="293"/>
      <c r="AL1038" s="327"/>
      <c r="AM1038" s="463"/>
      <c r="AN1038" s="15"/>
      <c r="AO1038" s="120"/>
      <c r="AP1038" s="120"/>
      <c r="AQ1038" s="120"/>
      <c r="AR1038" s="120"/>
      <c r="AS1038" s="120"/>
      <c r="AT1038" s="120"/>
      <c r="AU1038" s="422"/>
      <c r="AV1038" s="508"/>
      <c r="AW1038" s="15"/>
      <c r="AX1038" s="70"/>
      <c r="AY1038" s="70"/>
      <c r="AZ1038" s="70"/>
      <c r="BA1038" s="70"/>
      <c r="BB1038" s="70"/>
      <c r="BC1038" s="70"/>
      <c r="BD1038" s="120"/>
      <c r="BE1038" s="120"/>
      <c r="BF1038" s="120"/>
      <c r="BG1038" s="120"/>
      <c r="BH1038" s="120"/>
      <c r="BI1038" s="71"/>
      <c r="BJ1038" s="71"/>
      <c r="BK1038" s="71"/>
      <c r="BL1038" s="550"/>
      <c r="BM1038" s="542"/>
    </row>
    <row r="1039" spans="2:65" ht="30">
      <c r="B1039" s="358" t="s">
        <v>3230</v>
      </c>
      <c r="C1039" s="298" t="s">
        <v>2058</v>
      </c>
      <c r="D1039" s="264" t="s">
        <v>2035</v>
      </c>
      <c r="E1039" s="393" t="s">
        <v>999</v>
      </c>
      <c r="F1039" s="412"/>
      <c r="G1039" s="120"/>
      <c r="H1039" s="120"/>
      <c r="I1039" s="120"/>
      <c r="J1039" s="120"/>
      <c r="K1039" s="120"/>
      <c r="L1039" s="422"/>
      <c r="M1039" s="436"/>
      <c r="N1039" s="410">
        <v>1253899</v>
      </c>
      <c r="O1039" s="10"/>
      <c r="P1039" s="10"/>
      <c r="Q1039" s="10"/>
      <c r="R1039" s="10" t="s">
        <v>1421</v>
      </c>
      <c r="S1039" s="76"/>
      <c r="T1039" s="24"/>
      <c r="U1039" s="281"/>
      <c r="V1039" s="464" t="s">
        <v>807</v>
      </c>
      <c r="W1039" s="15"/>
      <c r="X1039" s="95"/>
      <c r="Y1039" s="70"/>
      <c r="Z1039" s="70"/>
      <c r="AA1039" s="120"/>
      <c r="AB1039" s="120"/>
      <c r="AC1039" s="120"/>
      <c r="AD1039" s="384"/>
      <c r="AE1039" s="494"/>
      <c r="AF1039" s="408"/>
      <c r="AG1039" s="293"/>
      <c r="AH1039" s="293"/>
      <c r="AI1039" s="293"/>
      <c r="AJ1039" s="293"/>
      <c r="AK1039" s="293"/>
      <c r="AL1039" s="327"/>
      <c r="AM1039" s="463"/>
      <c r="AN1039" s="15"/>
      <c r="AO1039" s="120"/>
      <c r="AP1039" s="120"/>
      <c r="AQ1039" s="120"/>
      <c r="AR1039" s="120"/>
      <c r="AS1039" s="120"/>
      <c r="AT1039" s="120"/>
      <c r="AU1039" s="422"/>
      <c r="AV1039" s="508"/>
      <c r="AW1039" s="15"/>
      <c r="AX1039" s="70"/>
      <c r="AY1039" s="70"/>
      <c r="AZ1039" s="70"/>
      <c r="BA1039" s="70"/>
      <c r="BB1039" s="70"/>
      <c r="BC1039" s="70"/>
      <c r="BD1039" s="120"/>
      <c r="BE1039" s="120"/>
      <c r="BF1039" s="120"/>
      <c r="BG1039" s="120"/>
      <c r="BH1039" s="120"/>
      <c r="BI1039" s="71"/>
      <c r="BJ1039" s="71"/>
      <c r="BK1039" s="71"/>
      <c r="BL1039" s="550"/>
      <c r="BM1039" s="542"/>
    </row>
    <row r="1040" spans="2:65" ht="60">
      <c r="B1040" s="358" t="s">
        <v>3231</v>
      </c>
      <c r="C1040" s="298" t="s">
        <v>2059</v>
      </c>
      <c r="D1040" s="264" t="s">
        <v>2036</v>
      </c>
      <c r="E1040" s="393" t="s">
        <v>999</v>
      </c>
      <c r="F1040" s="412"/>
      <c r="G1040" s="120"/>
      <c r="H1040" s="120"/>
      <c r="I1040" s="120"/>
      <c r="J1040" s="120"/>
      <c r="K1040" s="120"/>
      <c r="L1040" s="422"/>
      <c r="M1040" s="436"/>
      <c r="N1040" s="410">
        <v>2103992</v>
      </c>
      <c r="O1040" s="10"/>
      <c r="P1040" s="10"/>
      <c r="Q1040" s="10"/>
      <c r="R1040" s="10">
        <v>4000000</v>
      </c>
      <c r="S1040" s="76">
        <f t="shared" ref="S1040:S1043" si="1065">AVERAGE(O1040,P1040,Q1040,R1040)</f>
        <v>4000000</v>
      </c>
      <c r="T1040" s="24">
        <f t="shared" ref="T1040:T1043" si="1066">S1040-N1040</f>
        <v>1896008</v>
      </c>
      <c r="U1040" s="281">
        <f t="shared" ref="U1040:U1043" si="1067">+T1040/N1040</f>
        <v>0.90114791310993581</v>
      </c>
      <c r="V1040" s="462">
        <f t="shared" ref="V1040:V1043" si="1068">S1040</f>
        <v>4000000</v>
      </c>
      <c r="W1040" s="15"/>
      <c r="X1040" s="95"/>
      <c r="Y1040" s="70"/>
      <c r="Z1040" s="70"/>
      <c r="AA1040" s="120"/>
      <c r="AB1040" s="120"/>
      <c r="AC1040" s="120"/>
      <c r="AD1040" s="384"/>
      <c r="AE1040" s="494"/>
      <c r="AF1040" s="408"/>
      <c r="AG1040" s="293"/>
      <c r="AH1040" s="293"/>
      <c r="AI1040" s="293"/>
      <c r="AJ1040" s="293"/>
      <c r="AK1040" s="293"/>
      <c r="AL1040" s="327"/>
      <c r="AM1040" s="463"/>
      <c r="AN1040" s="15"/>
      <c r="AO1040" s="120"/>
      <c r="AP1040" s="120"/>
      <c r="AQ1040" s="120"/>
      <c r="AR1040" s="120"/>
      <c r="AS1040" s="120"/>
      <c r="AT1040" s="120"/>
      <c r="AU1040" s="422"/>
      <c r="AV1040" s="508"/>
      <c r="AW1040" s="15"/>
      <c r="AX1040" s="70"/>
      <c r="AY1040" s="70"/>
      <c r="AZ1040" s="70"/>
      <c r="BA1040" s="70"/>
      <c r="BB1040" s="70"/>
      <c r="BC1040" s="70"/>
      <c r="BD1040" s="120"/>
      <c r="BE1040" s="120"/>
      <c r="BF1040" s="120"/>
      <c r="BG1040" s="120"/>
      <c r="BH1040" s="120"/>
      <c r="BI1040" s="71"/>
      <c r="BJ1040" s="71"/>
      <c r="BK1040" s="71"/>
      <c r="BL1040" s="550"/>
      <c r="BM1040" s="542"/>
    </row>
    <row r="1041" spans="2:65">
      <c r="B1041" s="358" t="s">
        <v>3232</v>
      </c>
      <c r="C1041" s="298" t="s">
        <v>2060</v>
      </c>
      <c r="D1041" s="264" t="s">
        <v>2037</v>
      </c>
      <c r="E1041" s="393" t="s">
        <v>1430</v>
      </c>
      <c r="F1041" s="412"/>
      <c r="G1041" s="120"/>
      <c r="H1041" s="120"/>
      <c r="I1041" s="120"/>
      <c r="J1041" s="120"/>
      <c r="K1041" s="120"/>
      <c r="L1041" s="422"/>
      <c r="M1041" s="436"/>
      <c r="N1041" s="410">
        <v>5914</v>
      </c>
      <c r="O1041" s="10"/>
      <c r="P1041" s="10"/>
      <c r="Q1041" s="10"/>
      <c r="R1041" s="10">
        <v>250000</v>
      </c>
      <c r="S1041" s="76">
        <f t="shared" si="1065"/>
        <v>250000</v>
      </c>
      <c r="T1041" s="24">
        <f t="shared" si="1066"/>
        <v>244086</v>
      </c>
      <c r="U1041" s="281">
        <f t="shared" si="1067"/>
        <v>41.272573554277983</v>
      </c>
      <c r="V1041" s="462">
        <f t="shared" si="1068"/>
        <v>250000</v>
      </c>
      <c r="W1041" s="15"/>
      <c r="X1041" s="95"/>
      <c r="Y1041" s="70"/>
      <c r="Z1041" s="70"/>
      <c r="AA1041" s="120"/>
      <c r="AB1041" s="120"/>
      <c r="AC1041" s="120"/>
      <c r="AD1041" s="384"/>
      <c r="AE1041" s="494"/>
      <c r="AF1041" s="408"/>
      <c r="AG1041" s="293"/>
      <c r="AH1041" s="293"/>
      <c r="AI1041" s="293"/>
      <c r="AJ1041" s="293"/>
      <c r="AK1041" s="293"/>
      <c r="AL1041" s="327"/>
      <c r="AM1041" s="463"/>
      <c r="AN1041" s="15"/>
      <c r="AO1041" s="120"/>
      <c r="AP1041" s="120"/>
      <c r="AQ1041" s="120"/>
      <c r="AR1041" s="120"/>
      <c r="AS1041" s="120"/>
      <c r="AT1041" s="120"/>
      <c r="AU1041" s="422"/>
      <c r="AV1041" s="508"/>
      <c r="AW1041" s="15"/>
      <c r="AX1041" s="70"/>
      <c r="AY1041" s="70"/>
      <c r="AZ1041" s="70"/>
      <c r="BA1041" s="70"/>
      <c r="BB1041" s="70"/>
      <c r="BC1041" s="70"/>
      <c r="BD1041" s="120"/>
      <c r="BE1041" s="120"/>
      <c r="BF1041" s="120"/>
      <c r="BG1041" s="120"/>
      <c r="BH1041" s="120"/>
      <c r="BI1041" s="71"/>
      <c r="BJ1041" s="71"/>
      <c r="BK1041" s="71"/>
      <c r="BL1041" s="550"/>
      <c r="BM1041" s="542"/>
    </row>
    <row r="1042" spans="2:65" ht="45">
      <c r="B1042" s="358" t="s">
        <v>3233</v>
      </c>
      <c r="C1042" s="298" t="s">
        <v>2061</v>
      </c>
      <c r="D1042" s="264" t="s">
        <v>2038</v>
      </c>
      <c r="E1042" s="393" t="s">
        <v>999</v>
      </c>
      <c r="F1042" s="412"/>
      <c r="G1042" s="120"/>
      <c r="H1042" s="120"/>
      <c r="I1042" s="120"/>
      <c r="J1042" s="120"/>
      <c r="K1042" s="120"/>
      <c r="L1042" s="422"/>
      <c r="M1042" s="436"/>
      <c r="N1042" s="410">
        <v>17048172</v>
      </c>
      <c r="O1042" s="10"/>
      <c r="P1042" s="10"/>
      <c r="Q1042" s="10"/>
      <c r="R1042" s="10">
        <v>6000000</v>
      </c>
      <c r="S1042" s="76">
        <f t="shared" si="1065"/>
        <v>6000000</v>
      </c>
      <c r="T1042" s="24">
        <f t="shared" si="1066"/>
        <v>-11048172</v>
      </c>
      <c r="U1042" s="281">
        <f t="shared" si="1067"/>
        <v>-0.64805610830298988</v>
      </c>
      <c r="V1042" s="462">
        <f t="shared" si="1068"/>
        <v>6000000</v>
      </c>
      <c r="W1042" s="15"/>
      <c r="X1042" s="95"/>
      <c r="Y1042" s="70"/>
      <c r="Z1042" s="70"/>
      <c r="AA1042" s="120"/>
      <c r="AB1042" s="120"/>
      <c r="AC1042" s="120"/>
      <c r="AD1042" s="384"/>
      <c r="AE1042" s="494"/>
      <c r="AF1042" s="408"/>
      <c r="AG1042" s="293"/>
      <c r="AH1042" s="293"/>
      <c r="AI1042" s="293"/>
      <c r="AJ1042" s="293"/>
      <c r="AK1042" s="293"/>
      <c r="AL1042" s="327"/>
      <c r="AM1042" s="463"/>
      <c r="AN1042" s="15"/>
      <c r="AO1042" s="120"/>
      <c r="AP1042" s="120"/>
      <c r="AQ1042" s="120"/>
      <c r="AR1042" s="120"/>
      <c r="AS1042" s="120"/>
      <c r="AT1042" s="120"/>
      <c r="AU1042" s="422"/>
      <c r="AV1042" s="508"/>
      <c r="AW1042" s="15"/>
      <c r="AX1042" s="70"/>
      <c r="AY1042" s="70"/>
      <c r="AZ1042" s="70"/>
      <c r="BA1042" s="70"/>
      <c r="BB1042" s="70"/>
      <c r="BC1042" s="70"/>
      <c r="BD1042" s="120"/>
      <c r="BE1042" s="120"/>
      <c r="BF1042" s="120"/>
      <c r="BG1042" s="120"/>
      <c r="BH1042" s="120"/>
      <c r="BI1042" s="71"/>
      <c r="BJ1042" s="71"/>
      <c r="BK1042" s="71"/>
      <c r="BL1042" s="550"/>
      <c r="BM1042" s="542"/>
    </row>
    <row r="1043" spans="2:65" ht="30">
      <c r="B1043" s="358" t="s">
        <v>3234</v>
      </c>
      <c r="C1043" s="298" t="s">
        <v>2062</v>
      </c>
      <c r="D1043" s="264" t="s">
        <v>2039</v>
      </c>
      <c r="E1043" s="393" t="s">
        <v>999</v>
      </c>
      <c r="F1043" s="412"/>
      <c r="G1043" s="120"/>
      <c r="H1043" s="120"/>
      <c r="I1043" s="120"/>
      <c r="J1043" s="120"/>
      <c r="K1043" s="120"/>
      <c r="L1043" s="422"/>
      <c r="M1043" s="436"/>
      <c r="N1043" s="410">
        <v>2615386</v>
      </c>
      <c r="O1043" s="10"/>
      <c r="P1043" s="10"/>
      <c r="Q1043" s="10"/>
      <c r="R1043" s="10">
        <v>500000</v>
      </c>
      <c r="S1043" s="76">
        <f t="shared" si="1065"/>
        <v>500000</v>
      </c>
      <c r="T1043" s="24">
        <f t="shared" si="1066"/>
        <v>-2115386</v>
      </c>
      <c r="U1043" s="281">
        <f t="shared" si="1067"/>
        <v>-0.80882363062278384</v>
      </c>
      <c r="V1043" s="462">
        <f t="shared" si="1068"/>
        <v>500000</v>
      </c>
      <c r="W1043" s="15"/>
      <c r="X1043" s="95"/>
      <c r="Y1043" s="70"/>
      <c r="Z1043" s="70"/>
      <c r="AA1043" s="120"/>
      <c r="AB1043" s="120"/>
      <c r="AC1043" s="120"/>
      <c r="AD1043" s="384"/>
      <c r="AE1043" s="494"/>
      <c r="AF1043" s="408"/>
      <c r="AG1043" s="293"/>
      <c r="AH1043" s="293"/>
      <c r="AI1043" s="293"/>
      <c r="AJ1043" s="293"/>
      <c r="AK1043" s="293"/>
      <c r="AL1043" s="327"/>
      <c r="AM1043" s="463"/>
      <c r="AN1043" s="15"/>
      <c r="AO1043" s="120"/>
      <c r="AP1043" s="120"/>
      <c r="AQ1043" s="120"/>
      <c r="AR1043" s="120"/>
      <c r="AS1043" s="120"/>
      <c r="AT1043" s="120"/>
      <c r="AU1043" s="422"/>
      <c r="AV1043" s="508"/>
      <c r="AW1043" s="15"/>
      <c r="AX1043" s="70"/>
      <c r="AY1043" s="70"/>
      <c r="AZ1043" s="70"/>
      <c r="BA1043" s="70"/>
      <c r="BB1043" s="70"/>
      <c r="BC1043" s="70"/>
      <c r="BD1043" s="120"/>
      <c r="BE1043" s="120"/>
      <c r="BF1043" s="120"/>
      <c r="BG1043" s="120"/>
      <c r="BH1043" s="120"/>
      <c r="BI1043" s="71"/>
      <c r="BJ1043" s="71"/>
      <c r="BK1043" s="71"/>
      <c r="BL1043" s="550"/>
      <c r="BM1043" s="542"/>
    </row>
    <row r="1044" spans="2:65" ht="30">
      <c r="B1044" s="358" t="s">
        <v>3235</v>
      </c>
      <c r="C1044" s="298" t="s">
        <v>2063</v>
      </c>
      <c r="D1044" s="264" t="s">
        <v>2040</v>
      </c>
      <c r="E1044" s="393" t="s">
        <v>999</v>
      </c>
      <c r="F1044" s="412"/>
      <c r="G1044" s="120"/>
      <c r="H1044" s="120"/>
      <c r="I1044" s="120"/>
      <c r="J1044" s="120"/>
      <c r="K1044" s="120"/>
      <c r="L1044" s="422"/>
      <c r="M1044" s="436"/>
      <c r="N1044" s="410">
        <v>5159123</v>
      </c>
      <c r="O1044" s="10"/>
      <c r="P1044" s="10"/>
      <c r="Q1044" s="10"/>
      <c r="R1044" s="10" t="s">
        <v>1421</v>
      </c>
      <c r="S1044" s="76"/>
      <c r="T1044" s="24"/>
      <c r="U1044" s="281"/>
      <c r="V1044" s="464" t="s">
        <v>807</v>
      </c>
      <c r="W1044" s="15"/>
      <c r="X1044" s="95"/>
      <c r="Y1044" s="70"/>
      <c r="Z1044" s="70"/>
      <c r="AA1044" s="120"/>
      <c r="AB1044" s="120"/>
      <c r="AC1044" s="120"/>
      <c r="AD1044" s="384"/>
      <c r="AE1044" s="494"/>
      <c r="AF1044" s="408"/>
      <c r="AG1044" s="293"/>
      <c r="AH1044" s="293"/>
      <c r="AI1044" s="293"/>
      <c r="AJ1044" s="293"/>
      <c r="AK1044" s="293"/>
      <c r="AL1044" s="327"/>
      <c r="AM1044" s="463"/>
      <c r="AN1044" s="15"/>
      <c r="AO1044" s="120"/>
      <c r="AP1044" s="120"/>
      <c r="AQ1044" s="120"/>
      <c r="AR1044" s="120"/>
      <c r="AS1044" s="120"/>
      <c r="AT1044" s="120"/>
      <c r="AU1044" s="422"/>
      <c r="AV1044" s="508"/>
      <c r="AW1044" s="15"/>
      <c r="AX1044" s="70"/>
      <c r="AY1044" s="70"/>
      <c r="AZ1044" s="70"/>
      <c r="BA1044" s="70"/>
      <c r="BB1044" s="70"/>
      <c r="BC1044" s="70"/>
      <c r="BD1044" s="120"/>
      <c r="BE1044" s="120"/>
      <c r="BF1044" s="120"/>
      <c r="BG1044" s="120"/>
      <c r="BH1044" s="120"/>
      <c r="BI1044" s="71"/>
      <c r="BJ1044" s="71"/>
      <c r="BK1044" s="71"/>
      <c r="BL1044" s="550"/>
      <c r="BM1044" s="542"/>
    </row>
    <row r="1045" spans="2:65" ht="30">
      <c r="B1045" s="358" t="s">
        <v>3236</v>
      </c>
      <c r="C1045" s="298" t="s">
        <v>2064</v>
      </c>
      <c r="D1045" s="264" t="s">
        <v>2041</v>
      </c>
      <c r="E1045" s="393" t="s">
        <v>1430</v>
      </c>
      <c r="F1045" s="412"/>
      <c r="G1045" s="120"/>
      <c r="H1045" s="120"/>
      <c r="I1045" s="120"/>
      <c r="J1045" s="120"/>
      <c r="K1045" s="120"/>
      <c r="L1045" s="422"/>
      <c r="M1045" s="436"/>
      <c r="N1045" s="410">
        <v>378104</v>
      </c>
      <c r="O1045" s="10"/>
      <c r="P1045" s="10"/>
      <c r="Q1045" s="10"/>
      <c r="R1045" s="10"/>
      <c r="S1045" s="76"/>
      <c r="T1045" s="24"/>
      <c r="U1045" s="281"/>
      <c r="V1045" s="462" t="s">
        <v>894</v>
      </c>
      <c r="W1045" s="15"/>
      <c r="X1045" s="95"/>
      <c r="Y1045" s="70"/>
      <c r="Z1045" s="70"/>
      <c r="AA1045" s="120"/>
      <c r="AB1045" s="120"/>
      <c r="AC1045" s="120"/>
      <c r="AD1045" s="384"/>
      <c r="AE1045" s="494"/>
      <c r="AF1045" s="408"/>
      <c r="AG1045" s="293"/>
      <c r="AH1045" s="293"/>
      <c r="AI1045" s="293"/>
      <c r="AJ1045" s="293"/>
      <c r="AK1045" s="293"/>
      <c r="AL1045" s="327"/>
      <c r="AM1045" s="463"/>
      <c r="AN1045" s="15"/>
      <c r="AO1045" s="120"/>
      <c r="AP1045" s="120"/>
      <c r="AQ1045" s="120"/>
      <c r="AR1045" s="120"/>
      <c r="AS1045" s="120"/>
      <c r="AT1045" s="120"/>
      <c r="AU1045" s="422"/>
      <c r="AV1045" s="508"/>
      <c r="AW1045" s="15"/>
      <c r="AX1045" s="70"/>
      <c r="AY1045" s="70"/>
      <c r="AZ1045" s="70"/>
      <c r="BA1045" s="70"/>
      <c r="BB1045" s="70"/>
      <c r="BC1045" s="70"/>
      <c r="BD1045" s="120"/>
      <c r="BE1045" s="120"/>
      <c r="BF1045" s="120"/>
      <c r="BG1045" s="120"/>
      <c r="BH1045" s="120"/>
      <c r="BI1045" s="71"/>
      <c r="BJ1045" s="71"/>
      <c r="BK1045" s="71"/>
      <c r="BL1045" s="550"/>
      <c r="BM1045" s="542"/>
    </row>
    <row r="1046" spans="2:65" ht="60">
      <c r="B1046" s="358" t="s">
        <v>3237</v>
      </c>
      <c r="C1046" s="298" t="s">
        <v>2065</v>
      </c>
      <c r="D1046" s="264" t="s">
        <v>2042</v>
      </c>
      <c r="E1046" s="393" t="s">
        <v>2043</v>
      </c>
      <c r="F1046" s="412"/>
      <c r="G1046" s="120"/>
      <c r="H1046" s="120"/>
      <c r="I1046" s="120"/>
      <c r="J1046" s="120"/>
      <c r="K1046" s="120"/>
      <c r="L1046" s="422"/>
      <c r="M1046" s="436"/>
      <c r="N1046" s="410">
        <v>1506982</v>
      </c>
      <c r="O1046" s="10"/>
      <c r="P1046" s="10"/>
      <c r="Q1046" s="10"/>
      <c r="R1046" s="10"/>
      <c r="S1046" s="76"/>
      <c r="T1046" s="24"/>
      <c r="U1046" s="281"/>
      <c r="V1046" s="464" t="s">
        <v>807</v>
      </c>
      <c r="W1046" s="15"/>
      <c r="X1046" s="95"/>
      <c r="Y1046" s="70"/>
      <c r="Z1046" s="70"/>
      <c r="AA1046" s="120"/>
      <c r="AB1046" s="120"/>
      <c r="AC1046" s="120"/>
      <c r="AD1046" s="384"/>
      <c r="AE1046" s="494"/>
      <c r="AF1046" s="408"/>
      <c r="AG1046" s="293"/>
      <c r="AH1046" s="293"/>
      <c r="AI1046" s="293"/>
      <c r="AJ1046" s="293"/>
      <c r="AK1046" s="293"/>
      <c r="AL1046" s="327"/>
      <c r="AM1046" s="463"/>
      <c r="AN1046" s="15"/>
      <c r="AO1046" s="120"/>
      <c r="AP1046" s="120"/>
      <c r="AQ1046" s="120"/>
      <c r="AR1046" s="120"/>
      <c r="AS1046" s="120"/>
      <c r="AT1046" s="120"/>
      <c r="AU1046" s="422"/>
      <c r="AV1046" s="508"/>
      <c r="AW1046" s="15"/>
      <c r="AX1046" s="70"/>
      <c r="AY1046" s="70"/>
      <c r="AZ1046" s="70"/>
      <c r="BA1046" s="70"/>
      <c r="BB1046" s="70"/>
      <c r="BC1046" s="70"/>
      <c r="BD1046" s="120"/>
      <c r="BE1046" s="120"/>
      <c r="BF1046" s="120"/>
      <c r="BG1046" s="120"/>
      <c r="BH1046" s="120"/>
      <c r="BI1046" s="71"/>
      <c r="BJ1046" s="71"/>
      <c r="BK1046" s="71"/>
      <c r="BL1046" s="550"/>
      <c r="BM1046" s="542"/>
    </row>
    <row r="1047" spans="2:65" ht="30">
      <c r="B1047" s="358" t="s">
        <v>3238</v>
      </c>
      <c r="C1047" s="298" t="s">
        <v>2066</v>
      </c>
      <c r="D1047" s="264" t="s">
        <v>2044</v>
      </c>
      <c r="E1047" s="393" t="s">
        <v>999</v>
      </c>
      <c r="F1047" s="412"/>
      <c r="G1047" s="120"/>
      <c r="H1047" s="120"/>
      <c r="I1047" s="120"/>
      <c r="J1047" s="120"/>
      <c r="K1047" s="120"/>
      <c r="L1047" s="422"/>
      <c r="M1047" s="436"/>
      <c r="N1047" s="410">
        <v>14531</v>
      </c>
      <c r="O1047" s="10"/>
      <c r="P1047" s="10"/>
      <c r="Q1047" s="10"/>
      <c r="R1047" s="10"/>
      <c r="S1047" s="76"/>
      <c r="T1047" s="24"/>
      <c r="U1047" s="281"/>
      <c r="V1047" s="462" t="s">
        <v>894</v>
      </c>
      <c r="W1047" s="15"/>
      <c r="X1047" s="95"/>
      <c r="Y1047" s="70"/>
      <c r="Z1047" s="70"/>
      <c r="AA1047" s="120"/>
      <c r="AB1047" s="120"/>
      <c r="AC1047" s="120"/>
      <c r="AD1047" s="384"/>
      <c r="AE1047" s="494"/>
      <c r="AF1047" s="408"/>
      <c r="AG1047" s="293"/>
      <c r="AH1047" s="293"/>
      <c r="AI1047" s="293"/>
      <c r="AJ1047" s="293"/>
      <c r="AK1047" s="293"/>
      <c r="AL1047" s="327"/>
      <c r="AM1047" s="463"/>
      <c r="AN1047" s="15"/>
      <c r="AO1047" s="120"/>
      <c r="AP1047" s="120"/>
      <c r="AQ1047" s="120"/>
      <c r="AR1047" s="120"/>
      <c r="AS1047" s="120"/>
      <c r="AT1047" s="120"/>
      <c r="AU1047" s="422"/>
      <c r="AV1047" s="508"/>
      <c r="AW1047" s="15"/>
      <c r="AX1047" s="70"/>
      <c r="AY1047" s="70"/>
      <c r="AZ1047" s="70"/>
      <c r="BA1047" s="70"/>
      <c r="BB1047" s="70"/>
      <c r="BC1047" s="70"/>
      <c r="BD1047" s="120"/>
      <c r="BE1047" s="120"/>
      <c r="BF1047" s="120"/>
      <c r="BG1047" s="120"/>
      <c r="BH1047" s="120"/>
      <c r="BI1047" s="71"/>
      <c r="BJ1047" s="71"/>
      <c r="BK1047" s="71"/>
      <c r="BL1047" s="550"/>
      <c r="BM1047" s="542"/>
    </row>
    <row r="1048" spans="2:65" ht="30">
      <c r="B1048" s="358" t="s">
        <v>3239</v>
      </c>
      <c r="C1048" s="298" t="s">
        <v>2067</v>
      </c>
      <c r="D1048" s="264" t="s">
        <v>2045</v>
      </c>
      <c r="E1048" s="393" t="s">
        <v>1426</v>
      </c>
      <c r="F1048" s="412"/>
      <c r="G1048" s="120"/>
      <c r="H1048" s="120"/>
      <c r="I1048" s="120"/>
      <c r="J1048" s="120"/>
      <c r="K1048" s="120"/>
      <c r="L1048" s="422"/>
      <c r="M1048" s="436"/>
      <c r="N1048" s="410">
        <v>13819265</v>
      </c>
      <c r="O1048" s="10"/>
      <c r="P1048" s="10"/>
      <c r="Q1048" s="10"/>
      <c r="R1048" s="10"/>
      <c r="S1048" s="76"/>
      <c r="T1048" s="24"/>
      <c r="U1048" s="281"/>
      <c r="V1048" s="464" t="s">
        <v>807</v>
      </c>
      <c r="W1048" s="15"/>
      <c r="X1048" s="95"/>
      <c r="Y1048" s="70"/>
      <c r="Z1048" s="70"/>
      <c r="AA1048" s="120"/>
      <c r="AB1048" s="120"/>
      <c r="AC1048" s="120"/>
      <c r="AD1048" s="384"/>
      <c r="AE1048" s="494"/>
      <c r="AF1048" s="408"/>
      <c r="AG1048" s="293"/>
      <c r="AH1048" s="293"/>
      <c r="AI1048" s="293"/>
      <c r="AJ1048" s="293"/>
      <c r="AK1048" s="293"/>
      <c r="AL1048" s="327"/>
      <c r="AM1048" s="463"/>
      <c r="AN1048" s="15"/>
      <c r="AO1048" s="120"/>
      <c r="AP1048" s="120"/>
      <c r="AQ1048" s="120"/>
      <c r="AR1048" s="120"/>
      <c r="AS1048" s="120"/>
      <c r="AT1048" s="120"/>
      <c r="AU1048" s="422"/>
      <c r="AV1048" s="508"/>
      <c r="AW1048" s="15"/>
      <c r="AX1048" s="70"/>
      <c r="AY1048" s="70"/>
      <c r="AZ1048" s="70"/>
      <c r="BA1048" s="70"/>
      <c r="BB1048" s="70"/>
      <c r="BC1048" s="70"/>
      <c r="BD1048" s="120"/>
      <c r="BE1048" s="120"/>
      <c r="BF1048" s="120"/>
      <c r="BG1048" s="120"/>
      <c r="BH1048" s="120"/>
      <c r="BI1048" s="71"/>
      <c r="BJ1048" s="71"/>
      <c r="BK1048" s="71"/>
      <c r="BL1048" s="550"/>
      <c r="BM1048" s="542"/>
    </row>
    <row r="1049" spans="2:65" ht="30">
      <c r="B1049" s="358" t="s">
        <v>3240</v>
      </c>
      <c r="C1049" s="298" t="s">
        <v>2068</v>
      </c>
      <c r="D1049" s="264" t="s">
        <v>2046</v>
      </c>
      <c r="E1049" s="393" t="s">
        <v>999</v>
      </c>
      <c r="F1049" s="412"/>
      <c r="G1049" s="120"/>
      <c r="H1049" s="120"/>
      <c r="I1049" s="120"/>
      <c r="J1049" s="120"/>
      <c r="K1049" s="120"/>
      <c r="L1049" s="422"/>
      <c r="M1049" s="436"/>
      <c r="N1049" s="410">
        <v>421099</v>
      </c>
      <c r="O1049" s="10"/>
      <c r="P1049" s="10"/>
      <c r="Q1049" s="10"/>
      <c r="R1049" s="10"/>
      <c r="S1049" s="76"/>
      <c r="T1049" s="24"/>
      <c r="U1049" s="281"/>
      <c r="V1049" s="464" t="s">
        <v>807</v>
      </c>
      <c r="W1049" s="15"/>
      <c r="X1049" s="95"/>
      <c r="Y1049" s="70"/>
      <c r="Z1049" s="70"/>
      <c r="AA1049" s="120"/>
      <c r="AB1049" s="120"/>
      <c r="AC1049" s="120"/>
      <c r="AD1049" s="384"/>
      <c r="AE1049" s="494"/>
      <c r="AF1049" s="408"/>
      <c r="AG1049" s="293"/>
      <c r="AH1049" s="293"/>
      <c r="AI1049" s="293"/>
      <c r="AJ1049" s="293"/>
      <c r="AK1049" s="293"/>
      <c r="AL1049" s="327"/>
      <c r="AM1049" s="463"/>
      <c r="AN1049" s="15"/>
      <c r="AO1049" s="120"/>
      <c r="AP1049" s="120"/>
      <c r="AQ1049" s="120"/>
      <c r="AR1049" s="120"/>
      <c r="AS1049" s="120"/>
      <c r="AT1049" s="120"/>
      <c r="AU1049" s="422"/>
      <c r="AV1049" s="508"/>
      <c r="AW1049" s="15"/>
      <c r="AX1049" s="70"/>
      <c r="AY1049" s="70"/>
      <c r="AZ1049" s="70"/>
      <c r="BA1049" s="70"/>
      <c r="BB1049" s="70"/>
      <c r="BC1049" s="70"/>
      <c r="BD1049" s="120"/>
      <c r="BE1049" s="120"/>
      <c r="BF1049" s="120"/>
      <c r="BG1049" s="120"/>
      <c r="BH1049" s="120"/>
      <c r="BI1049" s="71"/>
      <c r="BJ1049" s="71"/>
      <c r="BK1049" s="71"/>
      <c r="BL1049" s="550"/>
      <c r="BM1049" s="542"/>
    </row>
    <row r="1050" spans="2:65" ht="30">
      <c r="B1050" s="358" t="s">
        <v>3241</v>
      </c>
      <c r="C1050" s="298" t="s">
        <v>2069</v>
      </c>
      <c r="D1050" s="264" t="s">
        <v>2047</v>
      </c>
      <c r="E1050" s="393" t="s">
        <v>999</v>
      </c>
      <c r="F1050" s="412"/>
      <c r="G1050" s="120"/>
      <c r="H1050" s="120"/>
      <c r="I1050" s="120"/>
      <c r="J1050" s="120"/>
      <c r="K1050" s="120"/>
      <c r="L1050" s="422"/>
      <c r="M1050" s="436"/>
      <c r="N1050" s="410">
        <v>446628</v>
      </c>
      <c r="O1050" s="10"/>
      <c r="P1050" s="10"/>
      <c r="Q1050" s="10"/>
      <c r="R1050" s="10"/>
      <c r="S1050" s="76"/>
      <c r="T1050" s="24"/>
      <c r="U1050" s="281"/>
      <c r="V1050" s="464" t="s">
        <v>807</v>
      </c>
      <c r="W1050" s="15"/>
      <c r="X1050" s="95"/>
      <c r="Y1050" s="70"/>
      <c r="Z1050" s="70"/>
      <c r="AA1050" s="120"/>
      <c r="AB1050" s="120"/>
      <c r="AC1050" s="120"/>
      <c r="AD1050" s="384"/>
      <c r="AE1050" s="494"/>
      <c r="AF1050" s="408"/>
      <c r="AG1050" s="293"/>
      <c r="AH1050" s="293"/>
      <c r="AI1050" s="293"/>
      <c r="AJ1050" s="293"/>
      <c r="AK1050" s="293"/>
      <c r="AL1050" s="327"/>
      <c r="AM1050" s="463"/>
      <c r="AN1050" s="15"/>
      <c r="AO1050" s="120"/>
      <c r="AP1050" s="120"/>
      <c r="AQ1050" s="120"/>
      <c r="AR1050" s="120"/>
      <c r="AS1050" s="120"/>
      <c r="AT1050" s="120"/>
      <c r="AU1050" s="422"/>
      <c r="AV1050" s="508"/>
      <c r="AW1050" s="15"/>
      <c r="AX1050" s="70"/>
      <c r="AY1050" s="70"/>
      <c r="AZ1050" s="70"/>
      <c r="BA1050" s="70"/>
      <c r="BB1050" s="70"/>
      <c r="BC1050" s="70"/>
      <c r="BD1050" s="120"/>
      <c r="BE1050" s="120"/>
      <c r="BF1050" s="120"/>
      <c r="BG1050" s="120"/>
      <c r="BH1050" s="120"/>
      <c r="BI1050" s="71"/>
      <c r="BJ1050" s="71"/>
      <c r="BK1050" s="71"/>
      <c r="BL1050" s="550"/>
      <c r="BM1050" s="542"/>
    </row>
    <row r="1051" spans="2:65" ht="30">
      <c r="B1051" s="358" t="s">
        <v>3242</v>
      </c>
      <c r="C1051" s="298" t="s">
        <v>2070</v>
      </c>
      <c r="D1051" s="264" t="s">
        <v>2048</v>
      </c>
      <c r="E1051" s="393" t="s">
        <v>999</v>
      </c>
      <c r="F1051" s="412"/>
      <c r="G1051" s="120"/>
      <c r="H1051" s="120"/>
      <c r="I1051" s="120"/>
      <c r="J1051" s="120"/>
      <c r="K1051" s="120"/>
      <c r="L1051" s="422"/>
      <c r="M1051" s="436"/>
      <c r="N1051" s="410">
        <v>2409195</v>
      </c>
      <c r="O1051" s="10"/>
      <c r="P1051" s="10"/>
      <c r="Q1051" s="10"/>
      <c r="R1051" s="10"/>
      <c r="S1051" s="76"/>
      <c r="T1051" s="24"/>
      <c r="U1051" s="281"/>
      <c r="V1051" s="462" t="s">
        <v>894</v>
      </c>
      <c r="W1051" s="15"/>
      <c r="X1051" s="95"/>
      <c r="Y1051" s="70"/>
      <c r="Z1051" s="70"/>
      <c r="AA1051" s="120"/>
      <c r="AB1051" s="120"/>
      <c r="AC1051" s="120"/>
      <c r="AD1051" s="384"/>
      <c r="AE1051" s="494"/>
      <c r="AF1051" s="408"/>
      <c r="AG1051" s="293"/>
      <c r="AH1051" s="293"/>
      <c r="AI1051" s="293"/>
      <c r="AJ1051" s="293"/>
      <c r="AK1051" s="293"/>
      <c r="AL1051" s="327"/>
      <c r="AM1051" s="463"/>
      <c r="AN1051" s="15"/>
      <c r="AO1051" s="120"/>
      <c r="AP1051" s="120"/>
      <c r="AQ1051" s="120"/>
      <c r="AR1051" s="120"/>
      <c r="AS1051" s="120"/>
      <c r="AT1051" s="120"/>
      <c r="AU1051" s="422"/>
      <c r="AV1051" s="508"/>
      <c r="AW1051" s="15"/>
      <c r="AX1051" s="70"/>
      <c r="AY1051" s="70"/>
      <c r="AZ1051" s="70"/>
      <c r="BA1051" s="70"/>
      <c r="BB1051" s="70"/>
      <c r="BC1051" s="70"/>
      <c r="BD1051" s="120"/>
      <c r="BE1051" s="120"/>
      <c r="BF1051" s="120"/>
      <c r="BG1051" s="120"/>
      <c r="BH1051" s="120"/>
      <c r="BI1051" s="71"/>
      <c r="BJ1051" s="71"/>
      <c r="BK1051" s="71"/>
      <c r="BL1051" s="550"/>
      <c r="BM1051" s="542"/>
    </row>
    <row r="1052" spans="2:65" ht="45">
      <c r="B1052" s="358" t="s">
        <v>3243</v>
      </c>
      <c r="C1052" s="298" t="s">
        <v>2071</v>
      </c>
      <c r="D1052" s="264" t="s">
        <v>2049</v>
      </c>
      <c r="E1052" s="393" t="s">
        <v>1466</v>
      </c>
      <c r="F1052" s="412"/>
      <c r="G1052" s="120"/>
      <c r="H1052" s="120"/>
      <c r="I1052" s="120"/>
      <c r="J1052" s="120"/>
      <c r="K1052" s="120"/>
      <c r="L1052" s="422"/>
      <c r="M1052" s="436"/>
      <c r="N1052" s="410">
        <v>484665</v>
      </c>
      <c r="O1052" s="10"/>
      <c r="P1052" s="10"/>
      <c r="Q1052" s="10"/>
      <c r="R1052" s="10"/>
      <c r="S1052" s="76"/>
      <c r="T1052" s="24"/>
      <c r="U1052" s="281"/>
      <c r="V1052" s="464" t="s">
        <v>807</v>
      </c>
      <c r="W1052" s="15"/>
      <c r="X1052" s="95"/>
      <c r="Y1052" s="70"/>
      <c r="Z1052" s="70"/>
      <c r="AA1052" s="120"/>
      <c r="AB1052" s="120"/>
      <c r="AC1052" s="120"/>
      <c r="AD1052" s="384"/>
      <c r="AE1052" s="494"/>
      <c r="AF1052" s="408"/>
      <c r="AG1052" s="293"/>
      <c r="AH1052" s="293"/>
      <c r="AI1052" s="293"/>
      <c r="AJ1052" s="293"/>
      <c r="AK1052" s="293"/>
      <c r="AL1052" s="327"/>
      <c r="AM1052" s="463"/>
      <c r="AN1052" s="15"/>
      <c r="AO1052" s="120"/>
      <c r="AP1052" s="120"/>
      <c r="AQ1052" s="120"/>
      <c r="AR1052" s="120"/>
      <c r="AS1052" s="120"/>
      <c r="AT1052" s="120"/>
      <c r="AU1052" s="422"/>
      <c r="AV1052" s="508"/>
      <c r="AW1052" s="15"/>
      <c r="AX1052" s="70"/>
      <c r="AY1052" s="70"/>
      <c r="AZ1052" s="70"/>
      <c r="BA1052" s="70"/>
      <c r="BB1052" s="70"/>
      <c r="BC1052" s="70"/>
      <c r="BD1052" s="120"/>
      <c r="BE1052" s="120"/>
      <c r="BF1052" s="120"/>
      <c r="BG1052" s="120"/>
      <c r="BH1052" s="120"/>
      <c r="BI1052" s="71"/>
      <c r="BJ1052" s="71"/>
      <c r="BK1052" s="71"/>
      <c r="BL1052" s="550"/>
      <c r="BM1052" s="542"/>
    </row>
    <row r="1053" spans="2:65" ht="30">
      <c r="B1053" s="358" t="s">
        <v>3244</v>
      </c>
      <c r="C1053" s="298" t="s">
        <v>2072</v>
      </c>
      <c r="D1053" s="264" t="s">
        <v>2050</v>
      </c>
      <c r="E1053" s="393" t="s">
        <v>1466</v>
      </c>
      <c r="F1053" s="412"/>
      <c r="G1053" s="120"/>
      <c r="H1053" s="120"/>
      <c r="I1053" s="120"/>
      <c r="J1053" s="120"/>
      <c r="K1053" s="120"/>
      <c r="L1053" s="422"/>
      <c r="M1053" s="436"/>
      <c r="N1053" s="410">
        <v>53356</v>
      </c>
      <c r="O1053" s="10">
        <v>220000</v>
      </c>
      <c r="P1053" s="10"/>
      <c r="Q1053" s="10"/>
      <c r="R1053" s="10"/>
      <c r="S1053" s="76">
        <f t="shared" ref="S1053:S1054" si="1069">AVERAGE(O1053,P1053,Q1053,R1053)</f>
        <v>220000</v>
      </c>
      <c r="T1053" s="24">
        <f t="shared" ref="T1053:T1054" si="1070">S1053-N1053</f>
        <v>166644</v>
      </c>
      <c r="U1053" s="281">
        <f t="shared" ref="U1053:U1054" si="1071">+T1053/N1053</f>
        <v>3.1232476197616013</v>
      </c>
      <c r="V1053" s="462">
        <f t="shared" ref="V1053:V1054" si="1072">S1053</f>
        <v>220000</v>
      </c>
      <c r="W1053" s="15"/>
      <c r="X1053" s="95"/>
      <c r="Y1053" s="70"/>
      <c r="Z1053" s="70"/>
      <c r="AA1053" s="120"/>
      <c r="AB1053" s="120"/>
      <c r="AC1053" s="120"/>
      <c r="AD1053" s="384"/>
      <c r="AE1053" s="494"/>
      <c r="AF1053" s="408"/>
      <c r="AG1053" s="293"/>
      <c r="AH1053" s="293"/>
      <c r="AI1053" s="293"/>
      <c r="AJ1053" s="293"/>
      <c r="AK1053" s="293"/>
      <c r="AL1053" s="327"/>
      <c r="AM1053" s="463"/>
      <c r="AN1053" s="15"/>
      <c r="AO1053" s="120"/>
      <c r="AP1053" s="120"/>
      <c r="AQ1053" s="120"/>
      <c r="AR1053" s="120"/>
      <c r="AS1053" s="120"/>
      <c r="AT1053" s="120"/>
      <c r="AU1053" s="422"/>
      <c r="AV1053" s="508"/>
      <c r="AW1053" s="15"/>
      <c r="AX1053" s="70"/>
      <c r="AY1053" s="70"/>
      <c r="AZ1053" s="70"/>
      <c r="BA1053" s="70"/>
      <c r="BB1053" s="70"/>
      <c r="BC1053" s="70"/>
      <c r="BD1053" s="120"/>
      <c r="BE1053" s="120"/>
      <c r="BF1053" s="120"/>
      <c r="BG1053" s="120"/>
      <c r="BH1053" s="120"/>
      <c r="BI1053" s="71"/>
      <c r="BJ1053" s="71"/>
      <c r="BK1053" s="71"/>
      <c r="BL1053" s="550"/>
      <c r="BM1053" s="542"/>
    </row>
    <row r="1054" spans="2:65">
      <c r="B1054" s="358" t="s">
        <v>3245</v>
      </c>
      <c r="C1054" s="298" t="s">
        <v>2073</v>
      </c>
      <c r="D1054" s="264" t="s">
        <v>2051</v>
      </c>
      <c r="E1054" s="393" t="s">
        <v>1466</v>
      </c>
      <c r="F1054" s="412"/>
      <c r="G1054" s="120"/>
      <c r="H1054" s="120"/>
      <c r="I1054" s="120"/>
      <c r="J1054" s="120"/>
      <c r="K1054" s="120"/>
      <c r="L1054" s="422"/>
      <c r="M1054" s="436"/>
      <c r="N1054" s="410">
        <v>33201</v>
      </c>
      <c r="O1054" s="10">
        <v>15000</v>
      </c>
      <c r="P1054" s="10"/>
      <c r="Q1054" s="10"/>
      <c r="R1054" s="10"/>
      <c r="S1054" s="76">
        <f t="shared" si="1069"/>
        <v>15000</v>
      </c>
      <c r="T1054" s="24">
        <f t="shared" si="1070"/>
        <v>-18201</v>
      </c>
      <c r="U1054" s="281">
        <f t="shared" si="1071"/>
        <v>-0.54820637932592386</v>
      </c>
      <c r="V1054" s="462">
        <f t="shared" si="1072"/>
        <v>15000</v>
      </c>
      <c r="W1054" s="15"/>
      <c r="X1054" s="95"/>
      <c r="Y1054" s="70"/>
      <c r="Z1054" s="70"/>
      <c r="AA1054" s="120"/>
      <c r="AB1054" s="120"/>
      <c r="AC1054" s="120"/>
      <c r="AD1054" s="384"/>
      <c r="AE1054" s="494"/>
      <c r="AF1054" s="408"/>
      <c r="AG1054" s="293"/>
      <c r="AH1054" s="293"/>
      <c r="AI1054" s="293"/>
      <c r="AJ1054" s="293"/>
      <c r="AK1054" s="293"/>
      <c r="AL1054" s="327"/>
      <c r="AM1054" s="463"/>
      <c r="AN1054" s="15"/>
      <c r="AO1054" s="120"/>
      <c r="AP1054" s="120"/>
      <c r="AQ1054" s="120"/>
      <c r="AR1054" s="120"/>
      <c r="AS1054" s="120"/>
      <c r="AT1054" s="120"/>
      <c r="AU1054" s="422"/>
      <c r="AV1054" s="508"/>
      <c r="AW1054" s="15"/>
      <c r="AX1054" s="70"/>
      <c r="AY1054" s="70"/>
      <c r="AZ1054" s="70"/>
      <c r="BA1054" s="70"/>
      <c r="BB1054" s="70"/>
      <c r="BC1054" s="70"/>
      <c r="BD1054" s="120"/>
      <c r="BE1054" s="120"/>
      <c r="BF1054" s="120"/>
      <c r="BG1054" s="120"/>
      <c r="BH1054" s="120"/>
      <c r="BI1054" s="71"/>
      <c r="BJ1054" s="71"/>
      <c r="BK1054" s="71"/>
      <c r="BL1054" s="550"/>
      <c r="BM1054" s="542"/>
    </row>
    <row r="1055" spans="2:65">
      <c r="B1055" s="358" t="s">
        <v>3246</v>
      </c>
      <c r="C1055" s="298" t="s">
        <v>2074</v>
      </c>
      <c r="D1055" s="264" t="s">
        <v>2052</v>
      </c>
      <c r="E1055" s="393" t="s">
        <v>999</v>
      </c>
      <c r="F1055" s="412"/>
      <c r="G1055" s="120"/>
      <c r="H1055" s="120"/>
      <c r="I1055" s="120"/>
      <c r="J1055" s="120"/>
      <c r="K1055" s="120"/>
      <c r="L1055" s="422"/>
      <c r="M1055" s="436"/>
      <c r="N1055" s="410">
        <v>37038</v>
      </c>
      <c r="O1055" s="10"/>
      <c r="P1055" s="10"/>
      <c r="Q1055" s="10"/>
      <c r="R1055" s="10"/>
      <c r="S1055" s="76"/>
      <c r="T1055" s="24"/>
      <c r="U1055" s="281"/>
      <c r="V1055" s="462" t="s">
        <v>894</v>
      </c>
      <c r="W1055" s="15"/>
      <c r="X1055" s="95"/>
      <c r="Y1055" s="70"/>
      <c r="Z1055" s="70"/>
      <c r="AA1055" s="120"/>
      <c r="AB1055" s="120"/>
      <c r="AC1055" s="120"/>
      <c r="AD1055" s="384"/>
      <c r="AE1055" s="494"/>
      <c r="AF1055" s="408"/>
      <c r="AG1055" s="293"/>
      <c r="AH1055" s="293"/>
      <c r="AI1055" s="293"/>
      <c r="AJ1055" s="293"/>
      <c r="AK1055" s="293"/>
      <c r="AL1055" s="327"/>
      <c r="AM1055" s="463"/>
      <c r="AN1055" s="15"/>
      <c r="AO1055" s="120"/>
      <c r="AP1055" s="120"/>
      <c r="AQ1055" s="120"/>
      <c r="AR1055" s="120"/>
      <c r="AS1055" s="120"/>
      <c r="AT1055" s="120"/>
      <c r="AU1055" s="422"/>
      <c r="AV1055" s="508"/>
      <c r="AW1055" s="15"/>
      <c r="AX1055" s="70"/>
      <c r="AY1055" s="70"/>
      <c r="AZ1055" s="70"/>
      <c r="BA1055" s="70"/>
      <c r="BB1055" s="70"/>
      <c r="BC1055" s="70"/>
      <c r="BD1055" s="120"/>
      <c r="BE1055" s="120"/>
      <c r="BF1055" s="120"/>
      <c r="BG1055" s="120"/>
      <c r="BH1055" s="120"/>
      <c r="BI1055" s="71"/>
      <c r="BJ1055" s="71"/>
      <c r="BK1055" s="71"/>
      <c r="BL1055" s="550"/>
      <c r="BM1055" s="542"/>
    </row>
    <row r="1056" spans="2:65" ht="30">
      <c r="B1056" s="358" t="s">
        <v>3247</v>
      </c>
      <c r="C1056" s="298" t="s">
        <v>2075</v>
      </c>
      <c r="D1056" s="264" t="s">
        <v>2053</v>
      </c>
      <c r="E1056" s="393" t="s">
        <v>999</v>
      </c>
      <c r="F1056" s="412"/>
      <c r="G1056" s="120"/>
      <c r="H1056" s="120"/>
      <c r="I1056" s="120"/>
      <c r="J1056" s="120"/>
      <c r="K1056" s="120"/>
      <c r="L1056" s="422"/>
      <c r="M1056" s="436"/>
      <c r="N1056" s="410">
        <v>3017179</v>
      </c>
      <c r="O1056" s="10"/>
      <c r="P1056" s="10"/>
      <c r="Q1056" s="10"/>
      <c r="R1056" s="10"/>
      <c r="S1056" s="76"/>
      <c r="T1056" s="24"/>
      <c r="U1056" s="281"/>
      <c r="V1056" s="462" t="s">
        <v>894</v>
      </c>
      <c r="W1056" s="15"/>
      <c r="X1056" s="95"/>
      <c r="Y1056" s="70"/>
      <c r="Z1056" s="70"/>
      <c r="AA1056" s="120"/>
      <c r="AB1056" s="120"/>
      <c r="AC1056" s="120"/>
      <c r="AD1056" s="384"/>
      <c r="AE1056" s="494"/>
      <c r="AF1056" s="408"/>
      <c r="AG1056" s="293"/>
      <c r="AH1056" s="293"/>
      <c r="AI1056" s="293"/>
      <c r="AJ1056" s="293"/>
      <c r="AK1056" s="293"/>
      <c r="AL1056" s="327"/>
      <c r="AM1056" s="463"/>
      <c r="AN1056" s="15"/>
      <c r="AO1056" s="120"/>
      <c r="AP1056" s="120"/>
      <c r="AQ1056" s="120"/>
      <c r="AR1056" s="120"/>
      <c r="AS1056" s="120"/>
      <c r="AT1056" s="120"/>
      <c r="AU1056" s="422"/>
      <c r="AV1056" s="508"/>
      <c r="AW1056" s="15"/>
      <c r="AX1056" s="70"/>
      <c r="AY1056" s="70"/>
      <c r="AZ1056" s="70"/>
      <c r="BA1056" s="70"/>
      <c r="BB1056" s="70"/>
      <c r="BC1056" s="70"/>
      <c r="BD1056" s="120"/>
      <c r="BE1056" s="120"/>
      <c r="BF1056" s="120"/>
      <c r="BG1056" s="120"/>
      <c r="BH1056" s="120"/>
      <c r="BI1056" s="71"/>
      <c r="BJ1056" s="71"/>
      <c r="BK1056" s="71"/>
      <c r="BL1056" s="550"/>
      <c r="BM1056" s="542"/>
    </row>
    <row r="1057" spans="2:65" ht="30">
      <c r="B1057" s="358" t="s">
        <v>3248</v>
      </c>
      <c r="C1057" s="298" t="s">
        <v>2076</v>
      </c>
      <c r="D1057" s="264" t="s">
        <v>2054</v>
      </c>
      <c r="E1057" s="393" t="s">
        <v>999</v>
      </c>
      <c r="F1057" s="412"/>
      <c r="G1057" s="120"/>
      <c r="H1057" s="120"/>
      <c r="I1057" s="120"/>
      <c r="J1057" s="120"/>
      <c r="K1057" s="120"/>
      <c r="L1057" s="422"/>
      <c r="M1057" s="436"/>
      <c r="N1057" s="410">
        <v>3946766</v>
      </c>
      <c r="O1057" s="10"/>
      <c r="P1057" s="10"/>
      <c r="Q1057" s="10"/>
      <c r="R1057" s="10"/>
      <c r="S1057" s="76"/>
      <c r="T1057" s="24"/>
      <c r="U1057" s="281"/>
      <c r="V1057" s="464" t="s">
        <v>807</v>
      </c>
      <c r="W1057" s="15"/>
      <c r="X1057" s="95"/>
      <c r="Y1057" s="70"/>
      <c r="Z1057" s="70"/>
      <c r="AA1057" s="120"/>
      <c r="AB1057" s="120"/>
      <c r="AC1057" s="120"/>
      <c r="AD1057" s="384"/>
      <c r="AE1057" s="494"/>
      <c r="AF1057" s="408"/>
      <c r="AG1057" s="293"/>
      <c r="AH1057" s="293"/>
      <c r="AI1057" s="293"/>
      <c r="AJ1057" s="293"/>
      <c r="AK1057" s="293"/>
      <c r="AL1057" s="327"/>
      <c r="AM1057" s="463"/>
      <c r="AN1057" s="15"/>
      <c r="AO1057" s="120"/>
      <c r="AP1057" s="120"/>
      <c r="AQ1057" s="120"/>
      <c r="AR1057" s="120"/>
      <c r="AS1057" s="120"/>
      <c r="AT1057" s="120"/>
      <c r="AU1057" s="422"/>
      <c r="AV1057" s="508"/>
      <c r="AW1057" s="15"/>
      <c r="AX1057" s="70"/>
      <c r="AY1057" s="70"/>
      <c r="AZ1057" s="70"/>
      <c r="BA1057" s="70"/>
      <c r="BB1057" s="70"/>
      <c r="BC1057" s="70"/>
      <c r="BD1057" s="120"/>
      <c r="BE1057" s="120"/>
      <c r="BF1057" s="120"/>
      <c r="BG1057" s="120"/>
      <c r="BH1057" s="120"/>
      <c r="BI1057" s="71"/>
      <c r="BJ1057" s="71"/>
      <c r="BK1057" s="71"/>
      <c r="BL1057" s="550"/>
      <c r="BM1057" s="542"/>
    </row>
    <row r="1058" spans="2:65" ht="30">
      <c r="B1058" s="358" t="s">
        <v>3249</v>
      </c>
      <c r="C1058" s="298" t="s">
        <v>2077</v>
      </c>
      <c r="D1058" s="264" t="s">
        <v>2055</v>
      </c>
      <c r="E1058" s="393" t="s">
        <v>999</v>
      </c>
      <c r="F1058" s="412"/>
      <c r="G1058" s="120"/>
      <c r="H1058" s="120"/>
      <c r="I1058" s="120"/>
      <c r="J1058" s="120"/>
      <c r="K1058" s="120"/>
      <c r="L1058" s="422"/>
      <c r="M1058" s="436"/>
      <c r="N1058" s="410">
        <v>3088715</v>
      </c>
      <c r="O1058" s="10"/>
      <c r="P1058" s="10"/>
      <c r="Q1058" s="10"/>
      <c r="R1058" s="10"/>
      <c r="S1058" s="76"/>
      <c r="T1058" s="24"/>
      <c r="U1058" s="281"/>
      <c r="V1058" s="464" t="s">
        <v>807</v>
      </c>
      <c r="W1058" s="15"/>
      <c r="X1058" s="95"/>
      <c r="Y1058" s="70"/>
      <c r="Z1058" s="70"/>
      <c r="AA1058" s="120"/>
      <c r="AB1058" s="120"/>
      <c r="AC1058" s="120"/>
      <c r="AD1058" s="384"/>
      <c r="AE1058" s="494"/>
      <c r="AF1058" s="408"/>
      <c r="AG1058" s="293"/>
      <c r="AH1058" s="293"/>
      <c r="AI1058" s="293"/>
      <c r="AJ1058" s="293"/>
      <c r="AK1058" s="293"/>
      <c r="AL1058" s="327"/>
      <c r="AM1058" s="463"/>
      <c r="AN1058" s="15"/>
      <c r="AO1058" s="120"/>
      <c r="AP1058" s="120"/>
      <c r="AQ1058" s="120"/>
      <c r="AR1058" s="120"/>
      <c r="AS1058" s="120"/>
      <c r="AT1058" s="120"/>
      <c r="AU1058" s="422"/>
      <c r="AV1058" s="508"/>
      <c r="AW1058" s="15"/>
      <c r="AX1058" s="70"/>
      <c r="AY1058" s="70"/>
      <c r="AZ1058" s="70"/>
      <c r="BA1058" s="70"/>
      <c r="BB1058" s="70"/>
      <c r="BC1058" s="70"/>
      <c r="BD1058" s="120"/>
      <c r="BE1058" s="120"/>
      <c r="BF1058" s="120"/>
      <c r="BG1058" s="120"/>
      <c r="BH1058" s="120"/>
      <c r="BI1058" s="71"/>
      <c r="BJ1058" s="71"/>
      <c r="BK1058" s="71"/>
      <c r="BL1058" s="550"/>
      <c r="BM1058" s="542"/>
    </row>
    <row r="1059" spans="2:65">
      <c r="B1059" s="358" t="s">
        <v>3250</v>
      </c>
      <c r="C1059" s="298" t="s">
        <v>2078</v>
      </c>
      <c r="D1059" s="264" t="s">
        <v>2056</v>
      </c>
      <c r="E1059" s="393" t="s">
        <v>999</v>
      </c>
      <c r="F1059" s="412"/>
      <c r="G1059" s="120"/>
      <c r="H1059" s="120"/>
      <c r="I1059" s="120"/>
      <c r="J1059" s="120"/>
      <c r="K1059" s="120"/>
      <c r="L1059" s="422"/>
      <c r="M1059" s="436"/>
      <c r="N1059" s="410">
        <v>1640030</v>
      </c>
      <c r="O1059" s="10"/>
      <c r="P1059" s="10"/>
      <c r="Q1059" s="10"/>
      <c r="R1059" s="10"/>
      <c r="S1059" s="76"/>
      <c r="T1059" s="24"/>
      <c r="U1059" s="281"/>
      <c r="V1059" s="464" t="s">
        <v>894</v>
      </c>
      <c r="W1059" s="15"/>
      <c r="X1059" s="95"/>
      <c r="Y1059" s="70"/>
      <c r="Z1059" s="70"/>
      <c r="AA1059" s="120"/>
      <c r="AB1059" s="120"/>
      <c r="AC1059" s="120"/>
      <c r="AD1059" s="384"/>
      <c r="AE1059" s="494"/>
      <c r="AF1059" s="408"/>
      <c r="AG1059" s="293"/>
      <c r="AH1059" s="293"/>
      <c r="AI1059" s="293"/>
      <c r="AJ1059" s="293"/>
      <c r="AK1059" s="293"/>
      <c r="AL1059" s="327"/>
      <c r="AM1059" s="463"/>
      <c r="AN1059" s="15"/>
      <c r="AO1059" s="120"/>
      <c r="AP1059" s="120"/>
      <c r="AQ1059" s="120"/>
      <c r="AR1059" s="120"/>
      <c r="AS1059" s="120"/>
      <c r="AT1059" s="120"/>
      <c r="AU1059" s="422"/>
      <c r="AV1059" s="508"/>
      <c r="AW1059" s="15"/>
      <c r="AX1059" s="70"/>
      <c r="AY1059" s="70"/>
      <c r="AZ1059" s="70"/>
      <c r="BA1059" s="70"/>
      <c r="BB1059" s="70"/>
      <c r="BC1059" s="70"/>
      <c r="BD1059" s="120"/>
      <c r="BE1059" s="120"/>
      <c r="BF1059" s="120"/>
      <c r="BG1059" s="120"/>
      <c r="BH1059" s="120"/>
      <c r="BI1059" s="71"/>
      <c r="BJ1059" s="71"/>
      <c r="BK1059" s="71"/>
      <c r="BL1059" s="550"/>
      <c r="BM1059" s="542"/>
    </row>
    <row r="1060" spans="2:65">
      <c r="B1060" s="358" t="s">
        <v>3251</v>
      </c>
      <c r="C1060" s="297">
        <v>20</v>
      </c>
      <c r="D1060" s="258" t="s">
        <v>2119</v>
      </c>
      <c r="E1060" s="401"/>
      <c r="F1060" s="412"/>
      <c r="G1060" s="120"/>
      <c r="H1060" s="120"/>
      <c r="I1060" s="120"/>
      <c r="J1060" s="120"/>
      <c r="K1060" s="120"/>
      <c r="L1060" s="422"/>
      <c r="M1060" s="436"/>
      <c r="N1060" s="411"/>
      <c r="O1060" s="173"/>
      <c r="P1060" s="173"/>
      <c r="Q1060" s="173"/>
      <c r="R1060" s="173"/>
      <c r="S1060" s="76"/>
      <c r="T1060" s="24"/>
      <c r="U1060" s="281"/>
      <c r="V1060" s="462"/>
      <c r="W1060" s="15"/>
      <c r="X1060" s="95"/>
      <c r="Y1060" s="70"/>
      <c r="Z1060" s="70"/>
      <c r="AA1060" s="120"/>
      <c r="AB1060" s="120"/>
      <c r="AC1060" s="120"/>
      <c r="AD1060" s="384"/>
      <c r="AE1060" s="495"/>
      <c r="AF1060" s="408"/>
      <c r="AG1060" s="293"/>
      <c r="AH1060" s="293"/>
      <c r="AI1060" s="293"/>
      <c r="AJ1060" s="293"/>
      <c r="AK1060" s="293"/>
      <c r="AL1060" s="327"/>
      <c r="AM1060" s="463"/>
      <c r="AN1060" s="517"/>
      <c r="AO1060" s="137"/>
      <c r="AP1060" s="137"/>
      <c r="AQ1060" s="137"/>
      <c r="AR1060" s="137"/>
      <c r="AS1060" s="137"/>
      <c r="AT1060" s="137"/>
      <c r="AU1060" s="401"/>
      <c r="AV1060" s="495"/>
      <c r="AW1060" s="517"/>
      <c r="AX1060" s="137"/>
      <c r="AY1060" s="137"/>
      <c r="AZ1060" s="137"/>
      <c r="BA1060" s="137"/>
      <c r="BB1060" s="137"/>
      <c r="BC1060" s="137"/>
      <c r="BD1060" s="137"/>
      <c r="BE1060" s="137"/>
      <c r="BF1060" s="137"/>
      <c r="BG1060" s="137"/>
      <c r="BH1060" s="137"/>
      <c r="BI1060" s="137"/>
      <c r="BJ1060" s="137"/>
      <c r="BK1060" s="137"/>
      <c r="BL1060" s="481"/>
      <c r="BM1060" s="489"/>
    </row>
    <row r="1061" spans="2:65">
      <c r="B1061" s="358" t="s">
        <v>3252</v>
      </c>
      <c r="C1061" s="298" t="s">
        <v>2120</v>
      </c>
      <c r="D1061" s="264" t="s">
        <v>2121</v>
      </c>
      <c r="E1061" s="393" t="s">
        <v>1426</v>
      </c>
      <c r="F1061" s="412"/>
      <c r="G1061" s="120"/>
      <c r="H1061" s="120"/>
      <c r="I1061" s="120"/>
      <c r="J1061" s="120"/>
      <c r="K1061" s="120"/>
      <c r="L1061" s="422"/>
      <c r="M1061" s="436"/>
      <c r="N1061" s="410">
        <v>124812440</v>
      </c>
      <c r="O1061" s="300"/>
      <c r="P1061" s="300"/>
      <c r="Q1061" s="300"/>
      <c r="R1061" s="10">
        <v>9000000</v>
      </c>
      <c r="S1061" s="76">
        <f t="shared" ref="S1061" si="1073">AVERAGE(O1061,P1061,Q1061,R1061)</f>
        <v>9000000</v>
      </c>
      <c r="T1061" s="24">
        <f t="shared" ref="T1061" si="1074">S1061-N1061</f>
        <v>-115812440</v>
      </c>
      <c r="U1061" s="281">
        <f t="shared" ref="U1061" si="1075">+T1061/N1061</f>
        <v>-0.92789180309270458</v>
      </c>
      <c r="V1061" s="462">
        <f t="shared" ref="V1061" si="1076">S1061</f>
        <v>9000000</v>
      </c>
      <c r="W1061" s="15"/>
      <c r="X1061" s="95"/>
      <c r="Y1061" s="70"/>
      <c r="Z1061" s="70"/>
      <c r="AA1061" s="120"/>
      <c r="AB1061" s="120"/>
      <c r="AC1061" s="120"/>
      <c r="AD1061" s="384"/>
      <c r="AE1061" s="494"/>
      <c r="AF1061" s="408"/>
      <c r="AG1061" s="293"/>
      <c r="AH1061" s="293"/>
      <c r="AI1061" s="293"/>
      <c r="AJ1061" s="293"/>
      <c r="AK1061" s="293"/>
      <c r="AL1061" s="327"/>
      <c r="AM1061" s="463"/>
      <c r="AN1061" s="15"/>
      <c r="AO1061" s="120"/>
      <c r="AP1061" s="120"/>
      <c r="AQ1061" s="120"/>
      <c r="AR1061" s="120"/>
      <c r="AS1061" s="120"/>
      <c r="AT1061" s="120"/>
      <c r="AU1061" s="422"/>
      <c r="AV1061" s="508"/>
      <c r="AW1061" s="15"/>
      <c r="AX1061" s="70"/>
      <c r="AY1061" s="70"/>
      <c r="AZ1061" s="70"/>
      <c r="BA1061" s="70"/>
      <c r="BB1061" s="70"/>
      <c r="BC1061" s="70"/>
      <c r="BD1061" s="120"/>
      <c r="BE1061" s="120"/>
      <c r="BF1061" s="120"/>
      <c r="BG1061" s="120"/>
      <c r="BH1061" s="120"/>
      <c r="BI1061" s="71"/>
      <c r="BJ1061" s="71"/>
      <c r="BK1061" s="71"/>
      <c r="BL1061" s="550"/>
      <c r="BM1061" s="542"/>
    </row>
    <row r="1062" spans="2:65" ht="30">
      <c r="B1062" s="358" t="s">
        <v>3253</v>
      </c>
      <c r="C1062" s="298" t="s">
        <v>2122</v>
      </c>
      <c r="D1062" s="264" t="s">
        <v>2123</v>
      </c>
      <c r="E1062" s="393" t="s">
        <v>999</v>
      </c>
      <c r="F1062" s="412"/>
      <c r="G1062" s="120"/>
      <c r="H1062" s="120"/>
      <c r="I1062" s="120"/>
      <c r="J1062" s="120"/>
      <c r="K1062" s="120"/>
      <c r="L1062" s="422"/>
      <c r="M1062" s="436"/>
      <c r="N1062" s="410">
        <v>1906204</v>
      </c>
      <c r="O1062" s="300"/>
      <c r="P1062" s="300"/>
      <c r="Q1062" s="300"/>
      <c r="R1062" s="10" t="s">
        <v>1421</v>
      </c>
      <c r="S1062" s="76"/>
      <c r="T1062" s="24"/>
      <c r="U1062" s="281"/>
      <c r="V1062" s="468" t="s">
        <v>807</v>
      </c>
      <c r="W1062" s="15"/>
      <c r="X1062" s="95"/>
      <c r="Y1062" s="70"/>
      <c r="Z1062" s="70"/>
      <c r="AA1062" s="120"/>
      <c r="AB1062" s="120"/>
      <c r="AC1062" s="120"/>
      <c r="AD1062" s="384"/>
      <c r="AE1062" s="494"/>
      <c r="AF1062" s="408"/>
      <c r="AG1062" s="293"/>
      <c r="AH1062" s="293"/>
      <c r="AI1062" s="293"/>
      <c r="AJ1062" s="293"/>
      <c r="AK1062" s="293"/>
      <c r="AL1062" s="327"/>
      <c r="AM1062" s="463"/>
      <c r="AN1062" s="15"/>
      <c r="AO1062" s="120"/>
      <c r="AP1062" s="120"/>
      <c r="AQ1062" s="120"/>
      <c r="AR1062" s="120"/>
      <c r="AS1062" s="120"/>
      <c r="AT1062" s="120"/>
      <c r="AU1062" s="422"/>
      <c r="AV1062" s="508"/>
      <c r="AW1062" s="15"/>
      <c r="AX1062" s="70"/>
      <c r="AY1062" s="70"/>
      <c r="AZ1062" s="70"/>
      <c r="BA1062" s="70"/>
      <c r="BB1062" s="70"/>
      <c r="BC1062" s="70"/>
      <c r="BD1062" s="120"/>
      <c r="BE1062" s="120"/>
      <c r="BF1062" s="120"/>
      <c r="BG1062" s="120"/>
      <c r="BH1062" s="120"/>
      <c r="BI1062" s="71"/>
      <c r="BJ1062" s="71"/>
      <c r="BK1062" s="71"/>
      <c r="BL1062" s="550"/>
      <c r="BM1062" s="542"/>
    </row>
    <row r="1063" spans="2:65" ht="30">
      <c r="B1063" s="358" t="s">
        <v>3254</v>
      </c>
      <c r="C1063" s="298" t="s">
        <v>2124</v>
      </c>
      <c r="D1063" s="264" t="s">
        <v>2125</v>
      </c>
      <c r="E1063" s="393" t="s">
        <v>1426</v>
      </c>
      <c r="F1063" s="412"/>
      <c r="G1063" s="120"/>
      <c r="H1063" s="120"/>
      <c r="I1063" s="120"/>
      <c r="J1063" s="120"/>
      <c r="K1063" s="120"/>
      <c r="L1063" s="422"/>
      <c r="M1063" s="436"/>
      <c r="N1063" s="410">
        <v>370816</v>
      </c>
      <c r="O1063" s="300"/>
      <c r="P1063" s="300"/>
      <c r="Q1063" s="300"/>
      <c r="R1063" s="10" t="s">
        <v>1421</v>
      </c>
      <c r="S1063" s="76"/>
      <c r="T1063" s="24"/>
      <c r="U1063" s="281"/>
      <c r="V1063" s="464" t="s">
        <v>807</v>
      </c>
      <c r="W1063" s="15"/>
      <c r="X1063" s="95"/>
      <c r="Y1063" s="70"/>
      <c r="Z1063" s="70"/>
      <c r="AA1063" s="120"/>
      <c r="AB1063" s="120"/>
      <c r="AC1063" s="120"/>
      <c r="AD1063" s="384"/>
      <c r="AE1063" s="494"/>
      <c r="AF1063" s="408"/>
      <c r="AG1063" s="293"/>
      <c r="AH1063" s="293"/>
      <c r="AI1063" s="293"/>
      <c r="AJ1063" s="293"/>
      <c r="AK1063" s="293"/>
      <c r="AL1063" s="327"/>
      <c r="AM1063" s="463"/>
      <c r="AN1063" s="15"/>
      <c r="AO1063" s="120"/>
      <c r="AP1063" s="120"/>
      <c r="AQ1063" s="120"/>
      <c r="AR1063" s="120"/>
      <c r="AS1063" s="120"/>
      <c r="AT1063" s="120"/>
      <c r="AU1063" s="422"/>
      <c r="AV1063" s="508"/>
      <c r="AW1063" s="15"/>
      <c r="AX1063" s="70"/>
      <c r="AY1063" s="70"/>
      <c r="AZ1063" s="70"/>
      <c r="BA1063" s="70"/>
      <c r="BB1063" s="70"/>
      <c r="BC1063" s="70"/>
      <c r="BD1063" s="120"/>
      <c r="BE1063" s="120"/>
      <c r="BF1063" s="120"/>
      <c r="BG1063" s="120"/>
      <c r="BH1063" s="120"/>
      <c r="BI1063" s="71"/>
      <c r="BJ1063" s="71"/>
      <c r="BK1063" s="71"/>
      <c r="BL1063" s="550"/>
      <c r="BM1063" s="542"/>
    </row>
    <row r="1064" spans="2:65" ht="30">
      <c r="B1064" s="358" t="s">
        <v>3255</v>
      </c>
      <c r="C1064" s="298" t="s">
        <v>2126</v>
      </c>
      <c r="D1064" s="264" t="s">
        <v>2127</v>
      </c>
      <c r="E1064" s="393" t="s">
        <v>905</v>
      </c>
      <c r="F1064" s="412"/>
      <c r="G1064" s="120"/>
      <c r="H1064" s="120"/>
      <c r="I1064" s="120"/>
      <c r="J1064" s="120"/>
      <c r="K1064" s="120"/>
      <c r="L1064" s="422"/>
      <c r="M1064" s="436"/>
      <c r="N1064" s="410">
        <v>914490</v>
      </c>
      <c r="O1064" s="300"/>
      <c r="P1064" s="300"/>
      <c r="Q1064" s="300"/>
      <c r="R1064" s="10">
        <v>5000000</v>
      </c>
      <c r="S1064" s="76">
        <f t="shared" ref="S1064:S1065" si="1077">AVERAGE(O1064,P1064,Q1064,R1064)</f>
        <v>5000000</v>
      </c>
      <c r="T1064" s="24">
        <f t="shared" ref="T1064:T1065" si="1078">S1064-N1064</f>
        <v>4085510</v>
      </c>
      <c r="U1064" s="281">
        <f t="shared" ref="U1064:U1065" si="1079">+T1064/N1064</f>
        <v>4.4675283491344899</v>
      </c>
      <c r="V1064" s="464" t="s">
        <v>807</v>
      </c>
      <c r="W1064" s="15"/>
      <c r="X1064" s="95"/>
      <c r="Y1064" s="70"/>
      <c r="Z1064" s="70"/>
      <c r="AA1064" s="120"/>
      <c r="AB1064" s="120"/>
      <c r="AC1064" s="120"/>
      <c r="AD1064" s="384"/>
      <c r="AE1064" s="494"/>
      <c r="AF1064" s="408"/>
      <c r="AG1064" s="293"/>
      <c r="AH1064" s="293"/>
      <c r="AI1064" s="293"/>
      <c r="AJ1064" s="293"/>
      <c r="AK1064" s="293"/>
      <c r="AL1064" s="327"/>
      <c r="AM1064" s="463"/>
      <c r="AN1064" s="15"/>
      <c r="AO1064" s="120"/>
      <c r="AP1064" s="120"/>
      <c r="AQ1064" s="120"/>
      <c r="AR1064" s="120"/>
      <c r="AS1064" s="120"/>
      <c r="AT1064" s="120"/>
      <c r="AU1064" s="422"/>
      <c r="AV1064" s="508"/>
      <c r="AW1064" s="15"/>
      <c r="AX1064" s="70"/>
      <c r="AY1064" s="70"/>
      <c r="AZ1064" s="70"/>
      <c r="BA1064" s="70"/>
      <c r="BB1064" s="70"/>
      <c r="BC1064" s="70"/>
      <c r="BD1064" s="120"/>
      <c r="BE1064" s="120"/>
      <c r="BF1064" s="120"/>
      <c r="BG1064" s="120"/>
      <c r="BH1064" s="120"/>
      <c r="BI1064" s="71"/>
      <c r="BJ1064" s="71"/>
      <c r="BK1064" s="71"/>
      <c r="BL1064" s="550"/>
      <c r="BM1064" s="542"/>
    </row>
    <row r="1065" spans="2:65" ht="30">
      <c r="B1065" s="358" t="s">
        <v>3256</v>
      </c>
      <c r="C1065" s="298" t="s">
        <v>2128</v>
      </c>
      <c r="D1065" s="264" t="s">
        <v>2129</v>
      </c>
      <c r="E1065" s="393" t="s">
        <v>905</v>
      </c>
      <c r="F1065" s="412"/>
      <c r="G1065" s="120"/>
      <c r="H1065" s="120"/>
      <c r="I1065" s="120"/>
      <c r="J1065" s="120"/>
      <c r="K1065" s="120"/>
      <c r="L1065" s="422"/>
      <c r="M1065" s="436"/>
      <c r="N1065" s="410">
        <v>1371735</v>
      </c>
      <c r="O1065" s="300"/>
      <c r="P1065" s="300"/>
      <c r="Q1065" s="300"/>
      <c r="R1065" s="10">
        <v>7000000</v>
      </c>
      <c r="S1065" s="76">
        <f t="shared" si="1077"/>
        <v>7000000</v>
      </c>
      <c r="T1065" s="24">
        <f t="shared" si="1078"/>
        <v>5628265</v>
      </c>
      <c r="U1065" s="281">
        <f t="shared" si="1079"/>
        <v>4.1030264591921908</v>
      </c>
      <c r="V1065" s="464" t="s">
        <v>807</v>
      </c>
      <c r="W1065" s="15"/>
      <c r="X1065" s="95"/>
      <c r="Y1065" s="70"/>
      <c r="Z1065" s="70"/>
      <c r="AA1065" s="120"/>
      <c r="AB1065" s="120"/>
      <c r="AC1065" s="120"/>
      <c r="AD1065" s="384"/>
      <c r="AE1065" s="494"/>
      <c r="AF1065" s="408"/>
      <c r="AG1065" s="293"/>
      <c r="AH1065" s="293"/>
      <c r="AI1065" s="293"/>
      <c r="AJ1065" s="293"/>
      <c r="AK1065" s="293"/>
      <c r="AL1065" s="327"/>
      <c r="AM1065" s="463"/>
      <c r="AN1065" s="15"/>
      <c r="AO1065" s="120"/>
      <c r="AP1065" s="120"/>
      <c r="AQ1065" s="120"/>
      <c r="AR1065" s="120"/>
      <c r="AS1065" s="120"/>
      <c r="AT1065" s="120"/>
      <c r="AU1065" s="422"/>
      <c r="AV1065" s="508"/>
      <c r="AW1065" s="15"/>
      <c r="AX1065" s="70"/>
      <c r="AY1065" s="70"/>
      <c r="AZ1065" s="70"/>
      <c r="BA1065" s="70"/>
      <c r="BB1065" s="70"/>
      <c r="BC1065" s="70"/>
      <c r="BD1065" s="120"/>
      <c r="BE1065" s="120"/>
      <c r="BF1065" s="120"/>
      <c r="BG1065" s="120"/>
      <c r="BH1065" s="120"/>
      <c r="BI1065" s="71"/>
      <c r="BJ1065" s="71"/>
      <c r="BK1065" s="71"/>
      <c r="BL1065" s="550"/>
      <c r="BM1065" s="542"/>
    </row>
    <row r="1066" spans="2:65" ht="30">
      <c r="B1066" s="358" t="s">
        <v>3257</v>
      </c>
      <c r="C1066" s="298" t="s">
        <v>2130</v>
      </c>
      <c r="D1066" s="264" t="s">
        <v>2131</v>
      </c>
      <c r="E1066" s="393" t="s">
        <v>905</v>
      </c>
      <c r="F1066" s="412"/>
      <c r="G1066" s="120"/>
      <c r="H1066" s="120"/>
      <c r="I1066" s="120"/>
      <c r="J1066" s="120"/>
      <c r="K1066" s="120"/>
      <c r="L1066" s="422"/>
      <c r="M1066" s="436"/>
      <c r="N1066" s="410">
        <v>3556350</v>
      </c>
      <c r="O1066" s="300"/>
      <c r="P1066" s="300"/>
      <c r="Q1066" s="300"/>
      <c r="R1066" s="10"/>
      <c r="S1066" s="76"/>
      <c r="T1066" s="24"/>
      <c r="U1066" s="281"/>
      <c r="V1066" s="464" t="s">
        <v>807</v>
      </c>
      <c r="W1066" s="15"/>
      <c r="X1066" s="95"/>
      <c r="Y1066" s="70"/>
      <c r="Z1066" s="70"/>
      <c r="AA1066" s="120"/>
      <c r="AB1066" s="120"/>
      <c r="AC1066" s="120"/>
      <c r="AD1066" s="384"/>
      <c r="AE1066" s="494"/>
      <c r="AF1066" s="408"/>
      <c r="AG1066" s="293"/>
      <c r="AH1066" s="293"/>
      <c r="AI1066" s="293"/>
      <c r="AJ1066" s="293"/>
      <c r="AK1066" s="293"/>
      <c r="AL1066" s="327"/>
      <c r="AM1066" s="463"/>
      <c r="AN1066" s="15"/>
      <c r="AO1066" s="120"/>
      <c r="AP1066" s="120"/>
      <c r="AQ1066" s="120"/>
      <c r="AR1066" s="120"/>
      <c r="AS1066" s="120"/>
      <c r="AT1066" s="120"/>
      <c r="AU1066" s="422"/>
      <c r="AV1066" s="508"/>
      <c r="AW1066" s="15"/>
      <c r="AX1066" s="70"/>
      <c r="AY1066" s="70"/>
      <c r="AZ1066" s="70"/>
      <c r="BA1066" s="70"/>
      <c r="BB1066" s="70"/>
      <c r="BC1066" s="70"/>
      <c r="BD1066" s="120"/>
      <c r="BE1066" s="120"/>
      <c r="BF1066" s="120"/>
      <c r="BG1066" s="120"/>
      <c r="BH1066" s="120"/>
      <c r="BI1066" s="71"/>
      <c r="BJ1066" s="71"/>
      <c r="BK1066" s="71"/>
      <c r="BL1066" s="550"/>
      <c r="BM1066" s="542"/>
    </row>
    <row r="1067" spans="2:65">
      <c r="B1067" s="358" t="s">
        <v>3258</v>
      </c>
      <c r="C1067" s="298" t="s">
        <v>2132</v>
      </c>
      <c r="D1067" s="264" t="s">
        <v>2133</v>
      </c>
      <c r="E1067" s="393" t="s">
        <v>999</v>
      </c>
      <c r="F1067" s="412"/>
      <c r="G1067" s="120"/>
      <c r="H1067" s="120"/>
      <c r="I1067" s="120"/>
      <c r="J1067" s="120"/>
      <c r="K1067" s="120"/>
      <c r="L1067" s="422"/>
      <c r="M1067" s="436"/>
      <c r="N1067" s="410">
        <v>3861180</v>
      </c>
      <c r="O1067" s="300"/>
      <c r="P1067" s="300"/>
      <c r="Q1067" s="300"/>
      <c r="R1067" s="10">
        <v>5000000</v>
      </c>
      <c r="S1067" s="76">
        <f t="shared" ref="S1067:S1068" si="1080">AVERAGE(O1067,P1067,Q1067,R1067)</f>
        <v>5000000</v>
      </c>
      <c r="T1067" s="24">
        <f t="shared" ref="T1067:T1068" si="1081">S1067-N1067</f>
        <v>1138820</v>
      </c>
      <c r="U1067" s="281">
        <f t="shared" ref="U1067:U1068" si="1082">+T1067/N1067</f>
        <v>0.29494092479501083</v>
      </c>
      <c r="V1067" s="462">
        <f t="shared" ref="V1067:V1068" si="1083">S1067</f>
        <v>5000000</v>
      </c>
      <c r="W1067" s="15"/>
      <c r="X1067" s="95"/>
      <c r="Y1067" s="70"/>
      <c r="Z1067" s="70"/>
      <c r="AA1067" s="120"/>
      <c r="AB1067" s="120"/>
      <c r="AC1067" s="120"/>
      <c r="AD1067" s="384"/>
      <c r="AE1067" s="494"/>
      <c r="AF1067" s="408"/>
      <c r="AG1067" s="293"/>
      <c r="AH1067" s="293"/>
      <c r="AI1067" s="293"/>
      <c r="AJ1067" s="293"/>
      <c r="AK1067" s="293"/>
      <c r="AL1067" s="327"/>
      <c r="AM1067" s="463"/>
      <c r="AN1067" s="15"/>
      <c r="AO1067" s="120"/>
      <c r="AP1067" s="120"/>
      <c r="AQ1067" s="120"/>
      <c r="AR1067" s="120"/>
      <c r="AS1067" s="120"/>
      <c r="AT1067" s="120"/>
      <c r="AU1067" s="422"/>
      <c r="AV1067" s="508"/>
      <c r="AW1067" s="15"/>
      <c r="AX1067" s="70"/>
      <c r="AY1067" s="70"/>
      <c r="AZ1067" s="70"/>
      <c r="BA1067" s="70"/>
      <c r="BB1067" s="70"/>
      <c r="BC1067" s="70"/>
      <c r="BD1067" s="120"/>
      <c r="BE1067" s="120"/>
      <c r="BF1067" s="120"/>
      <c r="BG1067" s="120"/>
      <c r="BH1067" s="120"/>
      <c r="BI1067" s="71"/>
      <c r="BJ1067" s="71"/>
      <c r="BK1067" s="71"/>
      <c r="BL1067" s="550"/>
      <c r="BM1067" s="542"/>
    </row>
    <row r="1068" spans="2:65">
      <c r="B1068" s="358" t="s">
        <v>3259</v>
      </c>
      <c r="C1068" s="298" t="s">
        <v>2134</v>
      </c>
      <c r="D1068" s="264" t="s">
        <v>2135</v>
      </c>
      <c r="E1068" s="393" t="s">
        <v>999</v>
      </c>
      <c r="F1068" s="412"/>
      <c r="G1068" s="120"/>
      <c r="H1068" s="120"/>
      <c r="I1068" s="120"/>
      <c r="J1068" s="120"/>
      <c r="K1068" s="120"/>
      <c r="L1068" s="422"/>
      <c r="M1068" s="436"/>
      <c r="N1068" s="410">
        <v>3353130</v>
      </c>
      <c r="O1068" s="300"/>
      <c r="P1068" s="300"/>
      <c r="Q1068" s="300"/>
      <c r="R1068" s="10">
        <v>10000000</v>
      </c>
      <c r="S1068" s="76">
        <f t="shared" si="1080"/>
        <v>10000000</v>
      </c>
      <c r="T1068" s="24">
        <f t="shared" si="1081"/>
        <v>6646870</v>
      </c>
      <c r="U1068" s="281">
        <f t="shared" si="1082"/>
        <v>1.9822881904369947</v>
      </c>
      <c r="V1068" s="462">
        <f t="shared" si="1083"/>
        <v>10000000</v>
      </c>
      <c r="W1068" s="15"/>
      <c r="X1068" s="95"/>
      <c r="Y1068" s="70"/>
      <c r="Z1068" s="70"/>
      <c r="AA1068" s="120"/>
      <c r="AB1068" s="120"/>
      <c r="AC1068" s="120"/>
      <c r="AD1068" s="384"/>
      <c r="AE1068" s="494"/>
      <c r="AF1068" s="408"/>
      <c r="AG1068" s="293"/>
      <c r="AH1068" s="293"/>
      <c r="AI1068" s="293"/>
      <c r="AJ1068" s="293"/>
      <c r="AK1068" s="293"/>
      <c r="AL1068" s="327"/>
      <c r="AM1068" s="463"/>
      <c r="AN1068" s="15"/>
      <c r="AO1068" s="120"/>
      <c r="AP1068" s="120"/>
      <c r="AQ1068" s="120"/>
      <c r="AR1068" s="120"/>
      <c r="AS1068" s="120"/>
      <c r="AT1068" s="120"/>
      <c r="AU1068" s="422"/>
      <c r="AV1068" s="508"/>
      <c r="AW1068" s="15"/>
      <c r="AX1068" s="70"/>
      <c r="AY1068" s="70"/>
      <c r="AZ1068" s="70"/>
      <c r="BA1068" s="70"/>
      <c r="BB1068" s="70"/>
      <c r="BC1068" s="70"/>
      <c r="BD1068" s="120"/>
      <c r="BE1068" s="120"/>
      <c r="BF1068" s="120"/>
      <c r="BG1068" s="120"/>
      <c r="BH1068" s="120"/>
      <c r="BI1068" s="71"/>
      <c r="BJ1068" s="71"/>
      <c r="BK1068" s="71"/>
      <c r="BL1068" s="550"/>
      <c r="BM1068" s="542"/>
    </row>
    <row r="1069" spans="2:65">
      <c r="B1069" s="358" t="s">
        <v>3260</v>
      </c>
      <c r="C1069" s="297">
        <v>21</v>
      </c>
      <c r="D1069" s="258" t="s">
        <v>2136</v>
      </c>
      <c r="E1069" s="401"/>
      <c r="F1069" s="412"/>
      <c r="G1069" s="120"/>
      <c r="H1069" s="120"/>
      <c r="I1069" s="120"/>
      <c r="J1069" s="120"/>
      <c r="K1069" s="120"/>
      <c r="L1069" s="422"/>
      <c r="M1069" s="436"/>
      <c r="N1069" s="411"/>
      <c r="O1069" s="173"/>
      <c r="P1069" s="173"/>
      <c r="Q1069" s="173"/>
      <c r="R1069" s="173"/>
      <c r="S1069" s="76"/>
      <c r="T1069" s="24"/>
      <c r="U1069" s="281"/>
      <c r="V1069" s="462"/>
      <c r="W1069" s="15"/>
      <c r="X1069" s="95"/>
      <c r="Y1069" s="70"/>
      <c r="Z1069" s="70"/>
      <c r="AA1069" s="120"/>
      <c r="AB1069" s="120"/>
      <c r="AC1069" s="120"/>
      <c r="AD1069" s="384"/>
      <c r="AE1069" s="495"/>
      <c r="AF1069" s="408"/>
      <c r="AG1069" s="293"/>
      <c r="AH1069" s="293"/>
      <c r="AI1069" s="293"/>
      <c r="AJ1069" s="293"/>
      <c r="AK1069" s="293"/>
      <c r="AL1069" s="327"/>
      <c r="AM1069" s="463"/>
      <c r="AN1069" s="517"/>
      <c r="AO1069" s="137"/>
      <c r="AP1069" s="137"/>
      <c r="AQ1069" s="137"/>
      <c r="AR1069" s="137"/>
      <c r="AS1069" s="137"/>
      <c r="AT1069" s="137"/>
      <c r="AU1069" s="401"/>
      <c r="AV1069" s="495"/>
      <c r="AW1069" s="517"/>
      <c r="AX1069" s="137"/>
      <c r="AY1069" s="137"/>
      <c r="AZ1069" s="137"/>
      <c r="BA1069" s="137"/>
      <c r="BB1069" s="137"/>
      <c r="BC1069" s="137"/>
      <c r="BD1069" s="137"/>
      <c r="BE1069" s="137"/>
      <c r="BF1069" s="137"/>
      <c r="BG1069" s="137"/>
      <c r="BH1069" s="137"/>
      <c r="BI1069" s="137"/>
      <c r="BJ1069" s="137"/>
      <c r="BK1069" s="137"/>
      <c r="BL1069" s="481"/>
      <c r="BM1069" s="489"/>
    </row>
    <row r="1070" spans="2:65">
      <c r="B1070" s="358" t="s">
        <v>3261</v>
      </c>
      <c r="C1070" s="298" t="s">
        <v>2137</v>
      </c>
      <c r="D1070" s="264" t="s">
        <v>2138</v>
      </c>
      <c r="E1070" s="393" t="s">
        <v>2139</v>
      </c>
      <c r="F1070" s="412"/>
      <c r="G1070" s="120"/>
      <c r="H1070" s="120"/>
      <c r="I1070" s="120"/>
      <c r="J1070" s="120"/>
      <c r="K1070" s="120"/>
      <c r="L1070" s="422"/>
      <c r="M1070" s="436"/>
      <c r="N1070" s="410">
        <v>4821</v>
      </c>
      <c r="O1070" s="10">
        <v>11800</v>
      </c>
      <c r="P1070" s="10">
        <v>12500</v>
      </c>
      <c r="Q1070" s="300"/>
      <c r="R1070" s="10">
        <v>20000</v>
      </c>
      <c r="S1070" s="76">
        <f t="shared" ref="S1070:S1071" si="1084">AVERAGE(O1070,P1070,Q1070,R1070)</f>
        <v>14766.666666666666</v>
      </c>
      <c r="T1070" s="24">
        <f t="shared" ref="T1070:T1071" si="1085">S1070-N1070</f>
        <v>9945.6666666666661</v>
      </c>
      <c r="U1070" s="281">
        <f t="shared" ref="U1070:U1071" si="1086">+T1070/N1070</f>
        <v>2.0629883150107169</v>
      </c>
      <c r="V1070" s="462">
        <f t="shared" ref="V1070:V1071" si="1087">S1070</f>
        <v>14766.666666666666</v>
      </c>
      <c r="W1070" s="15"/>
      <c r="X1070" s="95"/>
      <c r="Y1070" s="70"/>
      <c r="Z1070" s="70"/>
      <c r="AA1070" s="120"/>
      <c r="AB1070" s="120"/>
      <c r="AC1070" s="120"/>
      <c r="AD1070" s="384"/>
      <c r="AE1070" s="494"/>
      <c r="AF1070" s="408"/>
      <c r="AG1070" s="293"/>
      <c r="AH1070" s="293"/>
      <c r="AI1070" s="293"/>
      <c r="AJ1070" s="293"/>
      <c r="AK1070" s="293"/>
      <c r="AL1070" s="327"/>
      <c r="AM1070" s="463"/>
      <c r="AN1070" s="15"/>
      <c r="AO1070" s="120"/>
      <c r="AP1070" s="120"/>
      <c r="AQ1070" s="120"/>
      <c r="AR1070" s="120"/>
      <c r="AS1070" s="120"/>
      <c r="AT1070" s="120"/>
      <c r="AU1070" s="422"/>
      <c r="AV1070" s="508"/>
      <c r="AW1070" s="15"/>
      <c r="AX1070" s="70"/>
      <c r="AY1070" s="70"/>
      <c r="AZ1070" s="70"/>
      <c r="BA1070" s="70"/>
      <c r="BB1070" s="70"/>
      <c r="BC1070" s="70"/>
      <c r="BD1070" s="120"/>
      <c r="BE1070" s="120"/>
      <c r="BF1070" s="120"/>
      <c r="BG1070" s="120"/>
      <c r="BH1070" s="120"/>
      <c r="BI1070" s="71"/>
      <c r="BJ1070" s="71"/>
      <c r="BK1070" s="71"/>
      <c r="BL1070" s="550"/>
      <c r="BM1070" s="542"/>
    </row>
    <row r="1071" spans="2:65" ht="30.75" thickBot="1">
      <c r="B1071" s="358" t="s">
        <v>3262</v>
      </c>
      <c r="C1071" s="298" t="s">
        <v>2140</v>
      </c>
      <c r="D1071" s="301" t="s">
        <v>2141</v>
      </c>
      <c r="E1071" s="402" t="s">
        <v>2139</v>
      </c>
      <c r="F1071" s="417"/>
      <c r="G1071" s="418"/>
      <c r="H1071" s="418"/>
      <c r="I1071" s="418"/>
      <c r="J1071" s="418"/>
      <c r="K1071" s="418"/>
      <c r="L1071" s="425"/>
      <c r="M1071" s="440"/>
      <c r="N1071" s="451">
        <v>5227</v>
      </c>
      <c r="O1071" s="224">
        <v>11800</v>
      </c>
      <c r="P1071" s="224">
        <v>12500</v>
      </c>
      <c r="Q1071" s="303"/>
      <c r="R1071" s="224">
        <v>20000</v>
      </c>
      <c r="S1071" s="304">
        <f t="shared" si="1084"/>
        <v>14766.666666666666</v>
      </c>
      <c r="T1071" s="228">
        <f t="shared" si="1085"/>
        <v>9539.6666666666661</v>
      </c>
      <c r="U1071" s="456">
        <f t="shared" si="1086"/>
        <v>1.8250749314456984</v>
      </c>
      <c r="V1071" s="469">
        <f t="shared" si="1087"/>
        <v>14766.666666666666</v>
      </c>
      <c r="W1071" s="482"/>
      <c r="X1071" s="483"/>
      <c r="Y1071" s="484"/>
      <c r="Z1071" s="484"/>
      <c r="AA1071" s="418"/>
      <c r="AB1071" s="418"/>
      <c r="AC1071" s="418"/>
      <c r="AD1071" s="488"/>
      <c r="AE1071" s="496"/>
      <c r="AF1071" s="503"/>
      <c r="AG1071" s="504"/>
      <c r="AH1071" s="504"/>
      <c r="AI1071" s="504"/>
      <c r="AJ1071" s="504"/>
      <c r="AK1071" s="504"/>
      <c r="AL1071" s="507"/>
      <c r="AM1071" s="510"/>
      <c r="AN1071" s="482"/>
      <c r="AO1071" s="418"/>
      <c r="AP1071" s="418"/>
      <c r="AQ1071" s="418"/>
      <c r="AR1071" s="418"/>
      <c r="AS1071" s="418"/>
      <c r="AT1071" s="418"/>
      <c r="AU1071" s="425"/>
      <c r="AV1071" s="549"/>
      <c r="AW1071" s="482"/>
      <c r="AX1071" s="484"/>
      <c r="AY1071" s="484"/>
      <c r="AZ1071" s="484"/>
      <c r="BA1071" s="484"/>
      <c r="BB1071" s="484"/>
      <c r="BC1071" s="484"/>
      <c r="BD1071" s="418"/>
      <c r="BE1071" s="418"/>
      <c r="BF1071" s="418"/>
      <c r="BG1071" s="418"/>
      <c r="BH1071" s="418"/>
      <c r="BI1071" s="558"/>
      <c r="BJ1071" s="558"/>
      <c r="BK1071" s="558"/>
      <c r="BL1071" s="559"/>
      <c r="BM1071" s="546"/>
    </row>
  </sheetData>
  <autoFilter ref="A4:BM898" xr:uid="{00000000-0009-0000-0000-000002000000}"/>
  <mergeCells count="18">
    <mergeCell ref="BI3:BK3"/>
    <mergeCell ref="AW1:BL1"/>
    <mergeCell ref="AW2:BL2"/>
    <mergeCell ref="AJ3:AL3"/>
    <mergeCell ref="AF2:AL2"/>
    <mergeCell ref="AF1:AL1"/>
    <mergeCell ref="AN2:AU2"/>
    <mergeCell ref="AN1:AU1"/>
    <mergeCell ref="AR3:AU3"/>
    <mergeCell ref="F1:L1"/>
    <mergeCell ref="N1:U1"/>
    <mergeCell ref="W1:AD1"/>
    <mergeCell ref="J3:L3"/>
    <mergeCell ref="F2:L2"/>
    <mergeCell ref="S3:U3"/>
    <mergeCell ref="N2:U2"/>
    <mergeCell ref="W2:AD2"/>
    <mergeCell ref="AA3:AD3"/>
  </mergeCells>
  <conditionalFormatting sqref="L291:L333 L228:L252 L781:L867 L150:L165">
    <cfRule type="cellIs" dxfId="2974" priority="2081" operator="lessThan">
      <formula>0</formula>
    </cfRule>
    <cfRule type="cellIs" dxfId="2973" priority="2082" operator="greaterThan">
      <formula>100.00001%</formula>
    </cfRule>
    <cfRule type="cellIs" dxfId="2972" priority="2083" operator="between">
      <formula>0.66</formula>
      <formula>1</formula>
    </cfRule>
    <cfRule type="cellIs" dxfId="2971" priority="2084" operator="between">
      <formula>0.401</formula>
      <formula>0.659999999999</formula>
    </cfRule>
    <cfRule type="cellIs" dxfId="2970" priority="2085" operator="between">
      <formula>0</formula>
      <formula>0.4</formula>
    </cfRule>
  </conditionalFormatting>
  <conditionalFormatting sqref="L6">
    <cfRule type="cellIs" dxfId="2969" priority="2076" operator="lessThan">
      <formula>0</formula>
    </cfRule>
    <cfRule type="cellIs" dxfId="2968" priority="2077" operator="greaterThan">
      <formula>100.00001%</formula>
    </cfRule>
    <cfRule type="cellIs" dxfId="2967" priority="2078" operator="between">
      <formula>0.66</formula>
      <formula>1</formula>
    </cfRule>
    <cfRule type="cellIs" dxfId="2966" priority="2079" operator="between">
      <formula>0.401</formula>
      <formula>0.659999999999</formula>
    </cfRule>
    <cfRule type="cellIs" dxfId="2965" priority="2080" operator="between">
      <formula>0</formula>
      <formula>0.4</formula>
    </cfRule>
  </conditionalFormatting>
  <conditionalFormatting sqref="L13">
    <cfRule type="cellIs" dxfId="2964" priority="2071" operator="lessThan">
      <formula>0</formula>
    </cfRule>
    <cfRule type="cellIs" dxfId="2963" priority="2072" operator="greaterThan">
      <formula>100.00001%</formula>
    </cfRule>
    <cfRule type="cellIs" dxfId="2962" priority="2073" operator="between">
      <formula>0.66</formula>
      <formula>1</formula>
    </cfRule>
    <cfRule type="cellIs" dxfId="2961" priority="2074" operator="between">
      <formula>0.401</formula>
      <formula>0.659999999999</formula>
    </cfRule>
    <cfRule type="cellIs" dxfId="2960" priority="2075" operator="between">
      <formula>0</formula>
      <formula>0.4</formula>
    </cfRule>
  </conditionalFormatting>
  <conditionalFormatting sqref="L8">
    <cfRule type="cellIs" dxfId="2959" priority="2066" operator="lessThan">
      <formula>0</formula>
    </cfRule>
    <cfRule type="cellIs" dxfId="2958" priority="2067" operator="greaterThan">
      <formula>100.00001%</formula>
    </cfRule>
    <cfRule type="cellIs" dxfId="2957" priority="2068" operator="between">
      <formula>0.66</formula>
      <formula>1</formula>
    </cfRule>
    <cfRule type="cellIs" dxfId="2956" priority="2069" operator="between">
      <formula>0.401</formula>
      <formula>0.659999999999</formula>
    </cfRule>
    <cfRule type="cellIs" dxfId="2955" priority="2070" operator="between">
      <formula>0</formula>
      <formula>0.4</formula>
    </cfRule>
  </conditionalFormatting>
  <conditionalFormatting sqref="L9:L10">
    <cfRule type="cellIs" dxfId="2954" priority="2061" operator="lessThan">
      <formula>0</formula>
    </cfRule>
    <cfRule type="cellIs" dxfId="2953" priority="2062" operator="greaterThan">
      <formula>100.00001%</formula>
    </cfRule>
    <cfRule type="cellIs" dxfId="2952" priority="2063" operator="between">
      <formula>0.66</formula>
      <formula>1</formula>
    </cfRule>
    <cfRule type="cellIs" dxfId="2951" priority="2064" operator="between">
      <formula>0.401</formula>
      <formula>0.659999999999</formula>
    </cfRule>
    <cfRule type="cellIs" dxfId="2950" priority="2065" operator="between">
      <formula>0</formula>
      <formula>0.4</formula>
    </cfRule>
  </conditionalFormatting>
  <conditionalFormatting sqref="L14:L17">
    <cfRule type="cellIs" dxfId="2949" priority="2056" operator="lessThan">
      <formula>0</formula>
    </cfRule>
    <cfRule type="cellIs" dxfId="2948" priority="2057" operator="greaterThan">
      <formula>100.00001%</formula>
    </cfRule>
    <cfRule type="cellIs" dxfId="2947" priority="2058" operator="between">
      <formula>0.66</formula>
      <formula>1</formula>
    </cfRule>
    <cfRule type="cellIs" dxfId="2946" priority="2059" operator="between">
      <formula>0.401</formula>
      <formula>0.659999999999</formula>
    </cfRule>
    <cfRule type="cellIs" dxfId="2945" priority="2060" operator="between">
      <formula>0</formula>
      <formula>0.4</formula>
    </cfRule>
  </conditionalFormatting>
  <conditionalFormatting sqref="L18:L33">
    <cfRule type="cellIs" dxfId="2944" priority="2051" operator="lessThan">
      <formula>0</formula>
    </cfRule>
    <cfRule type="cellIs" dxfId="2943" priority="2052" operator="greaterThan">
      <formula>100.00001%</formula>
    </cfRule>
    <cfRule type="cellIs" dxfId="2942" priority="2053" operator="between">
      <formula>0.66</formula>
      <formula>1</formula>
    </cfRule>
    <cfRule type="cellIs" dxfId="2941" priority="2054" operator="between">
      <formula>0.401</formula>
      <formula>0.659999999999</formula>
    </cfRule>
    <cfRule type="cellIs" dxfId="2940" priority="2055" operator="between">
      <formula>0</formula>
      <formula>0.4</formula>
    </cfRule>
  </conditionalFormatting>
  <conditionalFormatting sqref="L34:L62">
    <cfRule type="cellIs" dxfId="2939" priority="2046" operator="lessThan">
      <formula>0</formula>
    </cfRule>
    <cfRule type="cellIs" dxfId="2938" priority="2047" operator="greaterThan">
      <formula>100.00001%</formula>
    </cfRule>
    <cfRule type="cellIs" dxfId="2937" priority="2048" operator="between">
      <formula>0.66</formula>
      <formula>1</formula>
    </cfRule>
    <cfRule type="cellIs" dxfId="2936" priority="2049" operator="between">
      <formula>0.401</formula>
      <formula>0.659999999999</formula>
    </cfRule>
    <cfRule type="cellIs" dxfId="2935" priority="2050" operator="between">
      <formula>0</formula>
      <formula>0.4</formula>
    </cfRule>
  </conditionalFormatting>
  <conditionalFormatting sqref="L63:L68">
    <cfRule type="cellIs" dxfId="2934" priority="2041" operator="lessThan">
      <formula>0</formula>
    </cfRule>
    <cfRule type="cellIs" dxfId="2933" priority="2042" operator="greaterThan">
      <formula>100.00001%</formula>
    </cfRule>
    <cfRule type="cellIs" dxfId="2932" priority="2043" operator="between">
      <formula>0.66</formula>
      <formula>1</formula>
    </cfRule>
    <cfRule type="cellIs" dxfId="2931" priority="2044" operator="between">
      <formula>0.401</formula>
      <formula>0.659999999999</formula>
    </cfRule>
    <cfRule type="cellIs" dxfId="2930" priority="2045" operator="between">
      <formula>0</formula>
      <formula>0.4</formula>
    </cfRule>
  </conditionalFormatting>
  <conditionalFormatting sqref="L69">
    <cfRule type="cellIs" dxfId="2929" priority="2036" operator="lessThan">
      <formula>0</formula>
    </cfRule>
    <cfRule type="cellIs" dxfId="2928" priority="2037" operator="greaterThan">
      <formula>100.00001%</formula>
    </cfRule>
    <cfRule type="cellIs" dxfId="2927" priority="2038" operator="between">
      <formula>0.66</formula>
      <formula>1</formula>
    </cfRule>
    <cfRule type="cellIs" dxfId="2926" priority="2039" operator="between">
      <formula>0.401</formula>
      <formula>0.659999999999</formula>
    </cfRule>
    <cfRule type="cellIs" dxfId="2925" priority="2040" operator="between">
      <formula>0</formula>
      <formula>0.4</formula>
    </cfRule>
  </conditionalFormatting>
  <conditionalFormatting sqref="L77:L84">
    <cfRule type="cellIs" dxfId="2924" priority="2026" operator="lessThan">
      <formula>0</formula>
    </cfRule>
    <cfRule type="cellIs" dxfId="2923" priority="2027" operator="greaterThan">
      <formula>100.00001%</formula>
    </cfRule>
    <cfRule type="cellIs" dxfId="2922" priority="2028" operator="between">
      <formula>0.66</formula>
      <formula>1</formula>
    </cfRule>
    <cfRule type="cellIs" dxfId="2921" priority="2029" operator="between">
      <formula>0.401</formula>
      <formula>0.659999999999</formula>
    </cfRule>
    <cfRule type="cellIs" dxfId="2920" priority="2030" operator="between">
      <formula>0</formula>
      <formula>0.4</formula>
    </cfRule>
  </conditionalFormatting>
  <conditionalFormatting sqref="L71:L76">
    <cfRule type="cellIs" dxfId="2919" priority="2031" operator="lessThan">
      <formula>0</formula>
    </cfRule>
    <cfRule type="cellIs" dxfId="2918" priority="2032" operator="greaterThan">
      <formula>100.00001%</formula>
    </cfRule>
    <cfRule type="cellIs" dxfId="2917" priority="2033" operator="between">
      <formula>0.66</formula>
      <formula>1</formula>
    </cfRule>
    <cfRule type="cellIs" dxfId="2916" priority="2034" operator="between">
      <formula>0.401</formula>
      <formula>0.659999999999</formula>
    </cfRule>
    <cfRule type="cellIs" dxfId="2915" priority="2035" operator="between">
      <formula>0</formula>
      <formula>0.4</formula>
    </cfRule>
  </conditionalFormatting>
  <conditionalFormatting sqref="L85:L89">
    <cfRule type="cellIs" dxfId="2914" priority="2021" operator="lessThan">
      <formula>0</formula>
    </cfRule>
    <cfRule type="cellIs" dxfId="2913" priority="2022" operator="greaterThan">
      <formula>100.00001%</formula>
    </cfRule>
    <cfRule type="cellIs" dxfId="2912" priority="2023" operator="between">
      <formula>0.66</formula>
      <formula>1</formula>
    </cfRule>
    <cfRule type="cellIs" dxfId="2911" priority="2024" operator="between">
      <formula>0.401</formula>
      <formula>0.659999999999</formula>
    </cfRule>
    <cfRule type="cellIs" dxfId="2910" priority="2025" operator="between">
      <formula>0</formula>
      <formula>0.4</formula>
    </cfRule>
  </conditionalFormatting>
  <conditionalFormatting sqref="L96">
    <cfRule type="cellIs" dxfId="2909" priority="2016" operator="lessThan">
      <formula>0</formula>
    </cfRule>
    <cfRule type="cellIs" dxfId="2908" priority="2017" operator="greaterThan">
      <formula>100.00001%</formula>
    </cfRule>
    <cfRule type="cellIs" dxfId="2907" priority="2018" operator="between">
      <formula>0.66</formula>
      <formula>1</formula>
    </cfRule>
    <cfRule type="cellIs" dxfId="2906" priority="2019" operator="between">
      <formula>0.401</formula>
      <formula>0.659999999999</formula>
    </cfRule>
    <cfRule type="cellIs" dxfId="2905" priority="2020" operator="between">
      <formula>0</formula>
      <formula>0.4</formula>
    </cfRule>
  </conditionalFormatting>
  <conditionalFormatting sqref="L97:L128">
    <cfRule type="cellIs" dxfId="2904" priority="2011" operator="lessThan">
      <formula>0</formula>
    </cfRule>
    <cfRule type="cellIs" dxfId="2903" priority="2012" operator="greaterThan">
      <formula>100.00001%</formula>
    </cfRule>
    <cfRule type="cellIs" dxfId="2902" priority="2013" operator="between">
      <formula>0.66</formula>
      <formula>1</formula>
    </cfRule>
    <cfRule type="cellIs" dxfId="2901" priority="2014" operator="between">
      <formula>0.401</formula>
      <formula>0.659999999999</formula>
    </cfRule>
    <cfRule type="cellIs" dxfId="2900" priority="2015" operator="between">
      <formula>0</formula>
      <formula>0.4</formula>
    </cfRule>
  </conditionalFormatting>
  <conditionalFormatting sqref="L129:L132">
    <cfRule type="cellIs" dxfId="2899" priority="2006" operator="lessThan">
      <formula>0</formula>
    </cfRule>
    <cfRule type="cellIs" dxfId="2898" priority="2007" operator="greaterThan">
      <formula>100.00001%</formula>
    </cfRule>
    <cfRule type="cellIs" dxfId="2897" priority="2008" operator="between">
      <formula>0.66</formula>
      <formula>1</formula>
    </cfRule>
    <cfRule type="cellIs" dxfId="2896" priority="2009" operator="between">
      <formula>0.401</formula>
      <formula>0.659999999999</formula>
    </cfRule>
    <cfRule type="cellIs" dxfId="2895" priority="2010" operator="between">
      <formula>0</formula>
      <formula>0.4</formula>
    </cfRule>
  </conditionalFormatting>
  <conditionalFormatting sqref="L137">
    <cfRule type="cellIs" dxfId="2894" priority="2001" operator="lessThan">
      <formula>0</formula>
    </cfRule>
    <cfRule type="cellIs" dxfId="2893" priority="2002" operator="greaterThan">
      <formula>100.00001%</formula>
    </cfRule>
    <cfRule type="cellIs" dxfId="2892" priority="2003" operator="between">
      <formula>0.66</formula>
      <formula>1</formula>
    </cfRule>
    <cfRule type="cellIs" dxfId="2891" priority="2004" operator="between">
      <formula>0.401</formula>
      <formula>0.659999999999</formula>
    </cfRule>
    <cfRule type="cellIs" dxfId="2890" priority="2005" operator="between">
      <formula>0</formula>
      <formula>0.4</formula>
    </cfRule>
  </conditionalFormatting>
  <conditionalFormatting sqref="L138:L139">
    <cfRule type="cellIs" dxfId="2889" priority="1996" operator="lessThan">
      <formula>0</formula>
    </cfRule>
    <cfRule type="cellIs" dxfId="2888" priority="1997" operator="greaterThan">
      <formula>100.00001%</formula>
    </cfRule>
    <cfRule type="cellIs" dxfId="2887" priority="1998" operator="between">
      <formula>0.66</formula>
      <formula>1</formula>
    </cfRule>
    <cfRule type="cellIs" dxfId="2886" priority="1999" operator="between">
      <formula>0.401</formula>
      <formula>0.659999999999</formula>
    </cfRule>
    <cfRule type="cellIs" dxfId="2885" priority="2000" operator="between">
      <formula>0</formula>
      <formula>0.4</formula>
    </cfRule>
  </conditionalFormatting>
  <conditionalFormatting sqref="L140">
    <cfRule type="cellIs" dxfId="2884" priority="1991" operator="lessThan">
      <formula>0</formula>
    </cfRule>
    <cfRule type="cellIs" dxfId="2883" priority="1992" operator="greaterThan">
      <formula>100.00001%</formula>
    </cfRule>
    <cfRule type="cellIs" dxfId="2882" priority="1993" operator="between">
      <formula>0.66</formula>
      <formula>1</formula>
    </cfRule>
    <cfRule type="cellIs" dxfId="2881" priority="1994" operator="between">
      <formula>0.401</formula>
      <formula>0.659999999999</formula>
    </cfRule>
    <cfRule type="cellIs" dxfId="2880" priority="1995" operator="between">
      <formula>0</formula>
      <formula>0.4</formula>
    </cfRule>
  </conditionalFormatting>
  <conditionalFormatting sqref="L144:L149">
    <cfRule type="cellIs" dxfId="2879" priority="1986" operator="lessThan">
      <formula>0</formula>
    </cfRule>
    <cfRule type="cellIs" dxfId="2878" priority="1987" operator="greaterThan">
      <formula>100.00001%</formula>
    </cfRule>
    <cfRule type="cellIs" dxfId="2877" priority="1988" operator="between">
      <formula>0.66</formula>
      <formula>1</formula>
    </cfRule>
    <cfRule type="cellIs" dxfId="2876" priority="1989" operator="between">
      <formula>0.401</formula>
      <formula>0.659999999999</formula>
    </cfRule>
    <cfRule type="cellIs" dxfId="2875" priority="1990" operator="between">
      <formula>0</formula>
      <formula>0.4</formula>
    </cfRule>
  </conditionalFormatting>
  <conditionalFormatting sqref="L166:L180">
    <cfRule type="cellIs" dxfId="2874" priority="1981" operator="lessThan">
      <formula>0</formula>
    </cfRule>
    <cfRule type="cellIs" dxfId="2873" priority="1982" operator="greaterThan">
      <formula>100.00001%</formula>
    </cfRule>
    <cfRule type="cellIs" dxfId="2872" priority="1983" operator="between">
      <formula>0.66</formula>
      <formula>1</formula>
    </cfRule>
    <cfRule type="cellIs" dxfId="2871" priority="1984" operator="between">
      <formula>0.401</formula>
      <formula>0.659999999999</formula>
    </cfRule>
    <cfRule type="cellIs" dxfId="2870" priority="1985" operator="between">
      <formula>0</formula>
      <formula>0.4</formula>
    </cfRule>
  </conditionalFormatting>
  <conditionalFormatting sqref="L181:L195">
    <cfRule type="cellIs" dxfId="2869" priority="1976" operator="lessThan">
      <formula>0</formula>
    </cfRule>
    <cfRule type="cellIs" dxfId="2868" priority="1977" operator="greaterThan">
      <formula>100.00001%</formula>
    </cfRule>
    <cfRule type="cellIs" dxfId="2867" priority="1978" operator="between">
      <formula>0.66</formula>
      <formula>1</formula>
    </cfRule>
    <cfRule type="cellIs" dxfId="2866" priority="1979" operator="between">
      <formula>0.401</formula>
      <formula>0.659999999999</formula>
    </cfRule>
    <cfRule type="cellIs" dxfId="2865" priority="1980" operator="between">
      <formula>0</formula>
      <formula>0.4</formula>
    </cfRule>
  </conditionalFormatting>
  <conditionalFormatting sqref="L196:L205">
    <cfRule type="cellIs" dxfId="2864" priority="1971" operator="lessThan">
      <formula>0</formula>
    </cfRule>
    <cfRule type="cellIs" dxfId="2863" priority="1972" operator="greaterThan">
      <formula>100.00001%</formula>
    </cfRule>
    <cfRule type="cellIs" dxfId="2862" priority="1973" operator="between">
      <formula>0.66</formula>
      <formula>1</formula>
    </cfRule>
    <cfRule type="cellIs" dxfId="2861" priority="1974" operator="between">
      <formula>0.401</formula>
      <formula>0.659999999999</formula>
    </cfRule>
    <cfRule type="cellIs" dxfId="2860" priority="1975" operator="between">
      <formula>0</formula>
      <formula>0.4</formula>
    </cfRule>
  </conditionalFormatting>
  <conditionalFormatting sqref="L207:L213">
    <cfRule type="cellIs" dxfId="2859" priority="1966" operator="lessThan">
      <formula>0</formula>
    </cfRule>
    <cfRule type="cellIs" dxfId="2858" priority="1967" operator="greaterThan">
      <formula>100.00001%</formula>
    </cfRule>
    <cfRule type="cellIs" dxfId="2857" priority="1968" operator="between">
      <formula>0.66</formula>
      <formula>1</formula>
    </cfRule>
    <cfRule type="cellIs" dxfId="2856" priority="1969" operator="between">
      <formula>0.401</formula>
      <formula>0.659999999999</formula>
    </cfRule>
    <cfRule type="cellIs" dxfId="2855" priority="1970" operator="between">
      <formula>0</formula>
      <formula>0.4</formula>
    </cfRule>
  </conditionalFormatting>
  <conditionalFormatting sqref="L223:L226">
    <cfRule type="cellIs" dxfId="2854" priority="1961" operator="lessThan">
      <formula>0</formula>
    </cfRule>
    <cfRule type="cellIs" dxfId="2853" priority="1962" operator="greaterThan">
      <formula>100.00001%</formula>
    </cfRule>
    <cfRule type="cellIs" dxfId="2852" priority="1963" operator="between">
      <formula>0.66</formula>
      <formula>1</formula>
    </cfRule>
    <cfRule type="cellIs" dxfId="2851" priority="1964" operator="between">
      <formula>0.401</formula>
      <formula>0.659999999999</formula>
    </cfRule>
    <cfRule type="cellIs" dxfId="2850" priority="1965" operator="between">
      <formula>0</formula>
      <formula>0.4</formula>
    </cfRule>
  </conditionalFormatting>
  <conditionalFormatting sqref="L227">
    <cfRule type="cellIs" dxfId="2849" priority="1956" operator="lessThan">
      <formula>0</formula>
    </cfRule>
    <cfRule type="cellIs" dxfId="2848" priority="1957" operator="greaterThan">
      <formula>100.00001%</formula>
    </cfRule>
    <cfRule type="cellIs" dxfId="2847" priority="1958" operator="between">
      <formula>0.66</formula>
      <formula>1</formula>
    </cfRule>
    <cfRule type="cellIs" dxfId="2846" priority="1959" operator="between">
      <formula>0.401</formula>
      <formula>0.659999999999</formula>
    </cfRule>
    <cfRule type="cellIs" dxfId="2845" priority="1960" operator="between">
      <formula>0</formula>
      <formula>0.4</formula>
    </cfRule>
  </conditionalFormatting>
  <conditionalFormatting sqref="L253:L256">
    <cfRule type="cellIs" dxfId="2844" priority="1951" operator="lessThan">
      <formula>0</formula>
    </cfRule>
    <cfRule type="cellIs" dxfId="2843" priority="1952" operator="greaterThan">
      <formula>100.00001%</formula>
    </cfRule>
    <cfRule type="cellIs" dxfId="2842" priority="1953" operator="between">
      <formula>0.66</formula>
      <formula>1</formula>
    </cfRule>
    <cfRule type="cellIs" dxfId="2841" priority="1954" operator="between">
      <formula>0.401</formula>
      <formula>0.659999999999</formula>
    </cfRule>
    <cfRule type="cellIs" dxfId="2840" priority="1955" operator="between">
      <formula>0</formula>
      <formula>0.4</formula>
    </cfRule>
  </conditionalFormatting>
  <conditionalFormatting sqref="L257">
    <cfRule type="cellIs" dxfId="2839" priority="1946" operator="lessThan">
      <formula>0</formula>
    </cfRule>
    <cfRule type="cellIs" dxfId="2838" priority="1947" operator="greaterThan">
      <formula>100.00001%</formula>
    </cfRule>
    <cfRule type="cellIs" dxfId="2837" priority="1948" operator="between">
      <formula>0.66</formula>
      <formula>1</formula>
    </cfRule>
    <cfRule type="cellIs" dxfId="2836" priority="1949" operator="between">
      <formula>0.401</formula>
      <formula>0.659999999999</formula>
    </cfRule>
    <cfRule type="cellIs" dxfId="2835" priority="1950" operator="between">
      <formula>0</formula>
      <formula>0.4</formula>
    </cfRule>
  </conditionalFormatting>
  <conditionalFormatting sqref="L258:L260">
    <cfRule type="cellIs" dxfId="2834" priority="1941" operator="lessThan">
      <formula>0</formula>
    </cfRule>
    <cfRule type="cellIs" dxfId="2833" priority="1942" operator="greaterThan">
      <formula>100.00001%</formula>
    </cfRule>
    <cfRule type="cellIs" dxfId="2832" priority="1943" operator="between">
      <formula>0.66</formula>
      <formula>1</formula>
    </cfRule>
    <cfRule type="cellIs" dxfId="2831" priority="1944" operator="between">
      <formula>0.401</formula>
      <formula>0.659999999999</formula>
    </cfRule>
    <cfRule type="cellIs" dxfId="2830" priority="1945" operator="between">
      <formula>0</formula>
      <formula>0.4</formula>
    </cfRule>
  </conditionalFormatting>
  <conditionalFormatting sqref="L261">
    <cfRule type="cellIs" dxfId="2829" priority="1936" operator="lessThan">
      <formula>0</formula>
    </cfRule>
    <cfRule type="cellIs" dxfId="2828" priority="1937" operator="greaterThan">
      <formula>100.00001%</formula>
    </cfRule>
    <cfRule type="cellIs" dxfId="2827" priority="1938" operator="between">
      <formula>0.66</formula>
      <formula>1</formula>
    </cfRule>
    <cfRule type="cellIs" dxfId="2826" priority="1939" operator="between">
      <formula>0.401</formula>
      <formula>0.659999999999</formula>
    </cfRule>
    <cfRule type="cellIs" dxfId="2825" priority="1940" operator="between">
      <formula>0</formula>
      <formula>0.4</formula>
    </cfRule>
  </conditionalFormatting>
  <conditionalFormatting sqref="L262">
    <cfRule type="cellIs" dxfId="2824" priority="1931" operator="lessThan">
      <formula>0</formula>
    </cfRule>
    <cfRule type="cellIs" dxfId="2823" priority="1932" operator="greaterThan">
      <formula>100.00001%</formula>
    </cfRule>
    <cfRule type="cellIs" dxfId="2822" priority="1933" operator="between">
      <formula>0.66</formula>
      <formula>1</formula>
    </cfRule>
    <cfRule type="cellIs" dxfId="2821" priority="1934" operator="between">
      <formula>0.401</formula>
      <formula>0.659999999999</formula>
    </cfRule>
    <cfRule type="cellIs" dxfId="2820" priority="1935" operator="between">
      <formula>0</formula>
      <formula>0.4</formula>
    </cfRule>
  </conditionalFormatting>
  <conditionalFormatting sqref="L263:L264">
    <cfRule type="cellIs" dxfId="2819" priority="1926" operator="lessThan">
      <formula>0</formula>
    </cfRule>
    <cfRule type="cellIs" dxfId="2818" priority="1927" operator="greaterThan">
      <formula>100.00001%</formula>
    </cfRule>
    <cfRule type="cellIs" dxfId="2817" priority="1928" operator="between">
      <formula>0.66</formula>
      <formula>1</formula>
    </cfRule>
    <cfRule type="cellIs" dxfId="2816" priority="1929" operator="between">
      <formula>0.401</formula>
      <formula>0.659999999999</formula>
    </cfRule>
    <cfRule type="cellIs" dxfId="2815" priority="1930" operator="between">
      <formula>0</formula>
      <formula>0.4</formula>
    </cfRule>
  </conditionalFormatting>
  <conditionalFormatting sqref="L265:L266">
    <cfRule type="cellIs" dxfId="2814" priority="1921" operator="lessThan">
      <formula>0</formula>
    </cfRule>
    <cfRule type="cellIs" dxfId="2813" priority="1922" operator="greaterThan">
      <formula>100.00001%</formula>
    </cfRule>
    <cfRule type="cellIs" dxfId="2812" priority="1923" operator="between">
      <formula>0.66</formula>
      <formula>1</formula>
    </cfRule>
    <cfRule type="cellIs" dxfId="2811" priority="1924" operator="between">
      <formula>0.401</formula>
      <formula>0.659999999999</formula>
    </cfRule>
    <cfRule type="cellIs" dxfId="2810" priority="1925" operator="between">
      <formula>0</formula>
      <formula>0.4</formula>
    </cfRule>
  </conditionalFormatting>
  <conditionalFormatting sqref="L267">
    <cfRule type="cellIs" dxfId="2809" priority="1916" operator="lessThan">
      <formula>0</formula>
    </cfRule>
    <cfRule type="cellIs" dxfId="2808" priority="1917" operator="greaterThan">
      <formula>100.00001%</formula>
    </cfRule>
    <cfRule type="cellIs" dxfId="2807" priority="1918" operator="between">
      <formula>0.66</formula>
      <formula>1</formula>
    </cfRule>
    <cfRule type="cellIs" dxfId="2806" priority="1919" operator="between">
      <formula>0.401</formula>
      <formula>0.659999999999</formula>
    </cfRule>
    <cfRule type="cellIs" dxfId="2805" priority="1920" operator="between">
      <formula>0</formula>
      <formula>0.4</formula>
    </cfRule>
  </conditionalFormatting>
  <conditionalFormatting sqref="L268:L272">
    <cfRule type="cellIs" dxfId="2804" priority="1911" operator="lessThan">
      <formula>0</formula>
    </cfRule>
    <cfRule type="cellIs" dxfId="2803" priority="1912" operator="greaterThan">
      <formula>100.00001%</formula>
    </cfRule>
    <cfRule type="cellIs" dxfId="2802" priority="1913" operator="between">
      <formula>0.66</formula>
      <formula>1</formula>
    </cfRule>
    <cfRule type="cellIs" dxfId="2801" priority="1914" operator="between">
      <formula>0.401</formula>
      <formula>0.659999999999</formula>
    </cfRule>
    <cfRule type="cellIs" dxfId="2800" priority="1915" operator="between">
      <formula>0</formula>
      <formula>0.4</formula>
    </cfRule>
  </conditionalFormatting>
  <conditionalFormatting sqref="L276">
    <cfRule type="cellIs" dxfId="2799" priority="1906" operator="lessThan">
      <formula>0</formula>
    </cfRule>
    <cfRule type="cellIs" dxfId="2798" priority="1907" operator="greaterThan">
      <formula>100.00001%</formula>
    </cfRule>
    <cfRule type="cellIs" dxfId="2797" priority="1908" operator="between">
      <formula>0.66</formula>
      <formula>1</formula>
    </cfRule>
    <cfRule type="cellIs" dxfId="2796" priority="1909" operator="between">
      <formula>0.401</formula>
      <formula>0.659999999999</formula>
    </cfRule>
    <cfRule type="cellIs" dxfId="2795" priority="1910" operator="between">
      <formula>0</formula>
      <formula>0.4</formula>
    </cfRule>
  </conditionalFormatting>
  <conditionalFormatting sqref="L277">
    <cfRule type="cellIs" dxfId="2794" priority="1901" operator="lessThan">
      <formula>0</formula>
    </cfRule>
    <cfRule type="cellIs" dxfId="2793" priority="1902" operator="greaterThan">
      <formula>100.00001%</formula>
    </cfRule>
    <cfRule type="cellIs" dxfId="2792" priority="1903" operator="between">
      <formula>0.66</formula>
      <formula>1</formula>
    </cfRule>
    <cfRule type="cellIs" dxfId="2791" priority="1904" operator="between">
      <formula>0.401</formula>
      <formula>0.659999999999</formula>
    </cfRule>
    <cfRule type="cellIs" dxfId="2790" priority="1905" operator="between">
      <formula>0</formula>
      <formula>0.4</formula>
    </cfRule>
  </conditionalFormatting>
  <conditionalFormatting sqref="L278">
    <cfRule type="cellIs" dxfId="2789" priority="1896" operator="lessThan">
      <formula>0</formula>
    </cfRule>
    <cfRule type="cellIs" dxfId="2788" priority="1897" operator="greaterThan">
      <formula>100.00001%</formula>
    </cfRule>
    <cfRule type="cellIs" dxfId="2787" priority="1898" operator="between">
      <formula>0.66</formula>
      <formula>1</formula>
    </cfRule>
    <cfRule type="cellIs" dxfId="2786" priority="1899" operator="between">
      <formula>0.401</formula>
      <formula>0.659999999999</formula>
    </cfRule>
    <cfRule type="cellIs" dxfId="2785" priority="1900" operator="between">
      <formula>0</formula>
      <formula>0.4</formula>
    </cfRule>
  </conditionalFormatting>
  <conditionalFormatting sqref="L279:L280">
    <cfRule type="cellIs" dxfId="2784" priority="1891" operator="lessThan">
      <formula>0</formula>
    </cfRule>
    <cfRule type="cellIs" dxfId="2783" priority="1892" operator="greaterThan">
      <formula>100.00001%</formula>
    </cfRule>
    <cfRule type="cellIs" dxfId="2782" priority="1893" operator="between">
      <formula>0.66</formula>
      <formula>1</formula>
    </cfRule>
    <cfRule type="cellIs" dxfId="2781" priority="1894" operator="between">
      <formula>0.401</formula>
      <formula>0.659999999999</formula>
    </cfRule>
    <cfRule type="cellIs" dxfId="2780" priority="1895" operator="between">
      <formula>0</formula>
      <formula>0.4</formula>
    </cfRule>
  </conditionalFormatting>
  <conditionalFormatting sqref="L281:L282">
    <cfRule type="cellIs" dxfId="2779" priority="1886" operator="lessThan">
      <formula>0</formula>
    </cfRule>
    <cfRule type="cellIs" dxfId="2778" priority="1887" operator="greaterThan">
      <formula>100.00001%</formula>
    </cfRule>
    <cfRule type="cellIs" dxfId="2777" priority="1888" operator="between">
      <formula>0.66</formula>
      <formula>1</formula>
    </cfRule>
    <cfRule type="cellIs" dxfId="2776" priority="1889" operator="between">
      <formula>0.401</formula>
      <formula>0.659999999999</formula>
    </cfRule>
    <cfRule type="cellIs" dxfId="2775" priority="1890" operator="between">
      <formula>0</formula>
      <formula>0.4</formula>
    </cfRule>
  </conditionalFormatting>
  <conditionalFormatting sqref="L283:L287">
    <cfRule type="cellIs" dxfId="2774" priority="1881" operator="lessThan">
      <formula>0</formula>
    </cfRule>
    <cfRule type="cellIs" dxfId="2773" priority="1882" operator="greaterThan">
      <formula>100.00001%</formula>
    </cfRule>
    <cfRule type="cellIs" dxfId="2772" priority="1883" operator="between">
      <formula>0.66</formula>
      <formula>1</formula>
    </cfRule>
    <cfRule type="cellIs" dxfId="2771" priority="1884" operator="between">
      <formula>0.401</formula>
      <formula>0.659999999999</formula>
    </cfRule>
    <cfRule type="cellIs" dxfId="2770" priority="1885" operator="between">
      <formula>0</formula>
      <formula>0.4</formula>
    </cfRule>
  </conditionalFormatting>
  <conditionalFormatting sqref="L288:L290">
    <cfRule type="cellIs" dxfId="2769" priority="1876" operator="lessThan">
      <formula>0</formula>
    </cfRule>
    <cfRule type="cellIs" dxfId="2768" priority="1877" operator="greaterThan">
      <formula>100.00001%</formula>
    </cfRule>
    <cfRule type="cellIs" dxfId="2767" priority="1878" operator="between">
      <formula>0.66</formula>
      <formula>1</formula>
    </cfRule>
    <cfRule type="cellIs" dxfId="2766" priority="1879" operator="between">
      <formula>0.401</formula>
      <formula>0.659999999999</formula>
    </cfRule>
    <cfRule type="cellIs" dxfId="2765" priority="1880" operator="between">
      <formula>0</formula>
      <formula>0.4</formula>
    </cfRule>
  </conditionalFormatting>
  <conditionalFormatting sqref="L335:L346">
    <cfRule type="cellIs" dxfId="2764" priority="1871" operator="lessThan">
      <formula>0</formula>
    </cfRule>
    <cfRule type="cellIs" dxfId="2763" priority="1872" operator="greaterThan">
      <formula>100.00001%</formula>
    </cfRule>
    <cfRule type="cellIs" dxfId="2762" priority="1873" operator="between">
      <formula>0.66</formula>
      <formula>1</formula>
    </cfRule>
    <cfRule type="cellIs" dxfId="2761" priority="1874" operator="between">
      <formula>0.401</formula>
      <formula>0.659999999999</formula>
    </cfRule>
    <cfRule type="cellIs" dxfId="2760" priority="1875" operator="between">
      <formula>0</formula>
      <formula>0.4</formula>
    </cfRule>
  </conditionalFormatting>
  <conditionalFormatting sqref="L347:L358">
    <cfRule type="cellIs" dxfId="2759" priority="1866" operator="lessThan">
      <formula>0</formula>
    </cfRule>
    <cfRule type="cellIs" dxfId="2758" priority="1867" operator="greaterThan">
      <formula>100.00001%</formula>
    </cfRule>
    <cfRule type="cellIs" dxfId="2757" priority="1868" operator="between">
      <formula>0.66</formula>
      <formula>1</formula>
    </cfRule>
    <cfRule type="cellIs" dxfId="2756" priority="1869" operator="between">
      <formula>0.401</formula>
      <formula>0.659999999999</formula>
    </cfRule>
    <cfRule type="cellIs" dxfId="2755" priority="1870" operator="between">
      <formula>0</formula>
      <formula>0.4</formula>
    </cfRule>
  </conditionalFormatting>
  <conditionalFormatting sqref="L359:L360">
    <cfRule type="cellIs" dxfId="2754" priority="1861" operator="lessThan">
      <formula>0</formula>
    </cfRule>
    <cfRule type="cellIs" dxfId="2753" priority="1862" operator="greaterThan">
      <formula>100.00001%</formula>
    </cfRule>
    <cfRule type="cellIs" dxfId="2752" priority="1863" operator="between">
      <formula>0.66</formula>
      <formula>1</formula>
    </cfRule>
    <cfRule type="cellIs" dxfId="2751" priority="1864" operator="between">
      <formula>0.401</formula>
      <formula>0.659999999999</formula>
    </cfRule>
    <cfRule type="cellIs" dxfId="2750" priority="1865" operator="between">
      <formula>0</formula>
      <formula>0.4</formula>
    </cfRule>
  </conditionalFormatting>
  <conditionalFormatting sqref="L362:L395">
    <cfRule type="cellIs" dxfId="2749" priority="1856" operator="lessThan">
      <formula>0</formula>
    </cfRule>
    <cfRule type="cellIs" dxfId="2748" priority="1857" operator="greaterThan">
      <formula>100.00001%</formula>
    </cfRule>
    <cfRule type="cellIs" dxfId="2747" priority="1858" operator="between">
      <formula>0.66</formula>
      <formula>1</formula>
    </cfRule>
    <cfRule type="cellIs" dxfId="2746" priority="1859" operator="between">
      <formula>0.401</formula>
      <formula>0.659999999999</formula>
    </cfRule>
    <cfRule type="cellIs" dxfId="2745" priority="1860" operator="between">
      <formula>0</formula>
      <formula>0.4</formula>
    </cfRule>
  </conditionalFormatting>
  <conditionalFormatting sqref="L397">
    <cfRule type="cellIs" dxfId="2744" priority="1851" operator="lessThan">
      <formula>0</formula>
    </cfRule>
    <cfRule type="cellIs" dxfId="2743" priority="1852" operator="greaterThan">
      <formula>100.00001%</formula>
    </cfRule>
    <cfRule type="cellIs" dxfId="2742" priority="1853" operator="between">
      <formula>0.66</formula>
      <formula>1</formula>
    </cfRule>
    <cfRule type="cellIs" dxfId="2741" priority="1854" operator="between">
      <formula>0.401</formula>
      <formula>0.659999999999</formula>
    </cfRule>
    <cfRule type="cellIs" dxfId="2740" priority="1855" operator="between">
      <formula>0</formula>
      <formula>0.4</formula>
    </cfRule>
  </conditionalFormatting>
  <conditionalFormatting sqref="L396">
    <cfRule type="cellIs" dxfId="2739" priority="1846" operator="lessThan">
      <formula>0</formula>
    </cfRule>
    <cfRule type="cellIs" dxfId="2738" priority="1847" operator="greaterThan">
      <formula>100.00001%</formula>
    </cfRule>
    <cfRule type="cellIs" dxfId="2737" priority="1848" operator="between">
      <formula>0.66</formula>
      <formula>1</formula>
    </cfRule>
    <cfRule type="cellIs" dxfId="2736" priority="1849" operator="between">
      <formula>0.401</formula>
      <formula>0.659999999999</formula>
    </cfRule>
    <cfRule type="cellIs" dxfId="2735" priority="1850" operator="between">
      <formula>0</formula>
      <formula>0.4</formula>
    </cfRule>
  </conditionalFormatting>
  <conditionalFormatting sqref="L398">
    <cfRule type="cellIs" dxfId="2734" priority="1841" operator="lessThan">
      <formula>0</formula>
    </cfRule>
    <cfRule type="cellIs" dxfId="2733" priority="1842" operator="greaterThan">
      <formula>100.00001%</formula>
    </cfRule>
    <cfRule type="cellIs" dxfId="2732" priority="1843" operator="between">
      <formula>0.66</formula>
      <formula>1</formula>
    </cfRule>
    <cfRule type="cellIs" dxfId="2731" priority="1844" operator="between">
      <formula>0.401</formula>
      <formula>0.659999999999</formula>
    </cfRule>
    <cfRule type="cellIs" dxfId="2730" priority="1845" operator="between">
      <formula>0</formula>
      <formula>0.4</formula>
    </cfRule>
  </conditionalFormatting>
  <conditionalFormatting sqref="L401:L405">
    <cfRule type="cellIs" dxfId="2729" priority="1836" operator="lessThan">
      <formula>0</formula>
    </cfRule>
    <cfRule type="cellIs" dxfId="2728" priority="1837" operator="greaterThan">
      <formula>100.00001%</formula>
    </cfRule>
    <cfRule type="cellIs" dxfId="2727" priority="1838" operator="between">
      <formula>0.66</formula>
      <formula>1</formula>
    </cfRule>
    <cfRule type="cellIs" dxfId="2726" priority="1839" operator="between">
      <formula>0.401</formula>
      <formula>0.659999999999</formula>
    </cfRule>
    <cfRule type="cellIs" dxfId="2725" priority="1840" operator="between">
      <formula>0</formula>
      <formula>0.4</formula>
    </cfRule>
  </conditionalFormatting>
  <conditionalFormatting sqref="L406:L418">
    <cfRule type="cellIs" dxfId="2724" priority="1831" operator="lessThan">
      <formula>0</formula>
    </cfRule>
    <cfRule type="cellIs" dxfId="2723" priority="1832" operator="greaterThan">
      <formula>100.00001%</formula>
    </cfRule>
    <cfRule type="cellIs" dxfId="2722" priority="1833" operator="between">
      <formula>0.66</formula>
      <formula>1</formula>
    </cfRule>
    <cfRule type="cellIs" dxfId="2721" priority="1834" operator="between">
      <formula>0.401</formula>
      <formula>0.659999999999</formula>
    </cfRule>
    <cfRule type="cellIs" dxfId="2720" priority="1835" operator="between">
      <formula>0</formula>
      <formula>0.4</formula>
    </cfRule>
  </conditionalFormatting>
  <conditionalFormatting sqref="L419:L420">
    <cfRule type="cellIs" dxfId="2719" priority="1826" operator="lessThan">
      <formula>0</formula>
    </cfRule>
    <cfRule type="cellIs" dxfId="2718" priority="1827" operator="greaterThan">
      <formula>100.00001%</formula>
    </cfRule>
    <cfRule type="cellIs" dxfId="2717" priority="1828" operator="between">
      <formula>0.66</formula>
      <formula>1</formula>
    </cfRule>
    <cfRule type="cellIs" dxfId="2716" priority="1829" operator="between">
      <formula>0.401</formula>
      <formula>0.659999999999</formula>
    </cfRule>
    <cfRule type="cellIs" dxfId="2715" priority="1830" operator="between">
      <formula>0</formula>
      <formula>0.4</formula>
    </cfRule>
  </conditionalFormatting>
  <conditionalFormatting sqref="L421">
    <cfRule type="cellIs" dxfId="2714" priority="1821" operator="lessThan">
      <formula>0</formula>
    </cfRule>
    <cfRule type="cellIs" dxfId="2713" priority="1822" operator="greaterThan">
      <formula>100.00001%</formula>
    </cfRule>
    <cfRule type="cellIs" dxfId="2712" priority="1823" operator="between">
      <formula>0.66</formula>
      <formula>1</formula>
    </cfRule>
    <cfRule type="cellIs" dxfId="2711" priority="1824" operator="between">
      <formula>0.401</formula>
      <formula>0.659999999999</formula>
    </cfRule>
    <cfRule type="cellIs" dxfId="2710" priority="1825" operator="between">
      <formula>0</formula>
      <formula>0.4</formula>
    </cfRule>
  </conditionalFormatting>
  <conditionalFormatting sqref="L422:L429">
    <cfRule type="cellIs" dxfId="2709" priority="1816" operator="lessThan">
      <formula>0</formula>
    </cfRule>
    <cfRule type="cellIs" dxfId="2708" priority="1817" operator="greaterThan">
      <formula>100.00001%</formula>
    </cfRule>
    <cfRule type="cellIs" dxfId="2707" priority="1818" operator="between">
      <formula>0.66</formula>
      <formula>1</formula>
    </cfRule>
    <cfRule type="cellIs" dxfId="2706" priority="1819" operator="between">
      <formula>0.401</formula>
      <formula>0.659999999999</formula>
    </cfRule>
    <cfRule type="cellIs" dxfId="2705" priority="1820" operator="between">
      <formula>0</formula>
      <formula>0.4</formula>
    </cfRule>
  </conditionalFormatting>
  <conditionalFormatting sqref="L430">
    <cfRule type="cellIs" dxfId="2704" priority="1811" operator="lessThan">
      <formula>0</formula>
    </cfRule>
    <cfRule type="cellIs" dxfId="2703" priority="1812" operator="greaterThan">
      <formula>100.00001%</formula>
    </cfRule>
    <cfRule type="cellIs" dxfId="2702" priority="1813" operator="between">
      <formula>0.66</formula>
      <formula>1</formula>
    </cfRule>
    <cfRule type="cellIs" dxfId="2701" priority="1814" operator="between">
      <formula>0.401</formula>
      <formula>0.659999999999</formula>
    </cfRule>
    <cfRule type="cellIs" dxfId="2700" priority="1815" operator="between">
      <formula>0</formula>
      <formula>0.4</formula>
    </cfRule>
  </conditionalFormatting>
  <conditionalFormatting sqref="L432">
    <cfRule type="cellIs" dxfId="2699" priority="1806" operator="lessThan">
      <formula>0</formula>
    </cfRule>
    <cfRule type="cellIs" dxfId="2698" priority="1807" operator="greaterThan">
      <formula>100.00001%</formula>
    </cfRule>
    <cfRule type="cellIs" dxfId="2697" priority="1808" operator="between">
      <formula>0.66</formula>
      <formula>1</formula>
    </cfRule>
    <cfRule type="cellIs" dxfId="2696" priority="1809" operator="between">
      <formula>0.401</formula>
      <formula>0.659999999999</formula>
    </cfRule>
    <cfRule type="cellIs" dxfId="2695" priority="1810" operator="between">
      <formula>0</formula>
      <formula>0.4</formula>
    </cfRule>
  </conditionalFormatting>
  <conditionalFormatting sqref="L433:L448">
    <cfRule type="cellIs" dxfId="2694" priority="1801" operator="lessThan">
      <formula>0</formula>
    </cfRule>
    <cfRule type="cellIs" dxfId="2693" priority="1802" operator="greaterThan">
      <formula>100.00001%</formula>
    </cfRule>
    <cfRule type="cellIs" dxfId="2692" priority="1803" operator="between">
      <formula>0.66</formula>
      <formula>1</formula>
    </cfRule>
    <cfRule type="cellIs" dxfId="2691" priority="1804" operator="between">
      <formula>0.401</formula>
      <formula>0.659999999999</formula>
    </cfRule>
    <cfRule type="cellIs" dxfId="2690" priority="1805" operator="between">
      <formula>0</formula>
      <formula>0.4</formula>
    </cfRule>
  </conditionalFormatting>
  <conditionalFormatting sqref="L449:L453">
    <cfRule type="cellIs" dxfId="2689" priority="1796" operator="lessThan">
      <formula>0</formula>
    </cfRule>
    <cfRule type="cellIs" dxfId="2688" priority="1797" operator="greaterThan">
      <formula>100.00001%</formula>
    </cfRule>
    <cfRule type="cellIs" dxfId="2687" priority="1798" operator="between">
      <formula>0.66</formula>
      <formula>1</formula>
    </cfRule>
    <cfRule type="cellIs" dxfId="2686" priority="1799" operator="between">
      <formula>0.401</formula>
      <formula>0.659999999999</formula>
    </cfRule>
    <cfRule type="cellIs" dxfId="2685" priority="1800" operator="between">
      <formula>0</formula>
      <formula>0.4</formula>
    </cfRule>
  </conditionalFormatting>
  <conditionalFormatting sqref="L457:L458">
    <cfRule type="cellIs" dxfId="2684" priority="1791" operator="lessThan">
      <formula>0</formula>
    </cfRule>
    <cfRule type="cellIs" dxfId="2683" priority="1792" operator="greaterThan">
      <formula>100.00001%</formula>
    </cfRule>
    <cfRule type="cellIs" dxfId="2682" priority="1793" operator="between">
      <formula>0.66</formula>
      <formula>1</formula>
    </cfRule>
    <cfRule type="cellIs" dxfId="2681" priority="1794" operator="between">
      <formula>0.401</formula>
      <formula>0.659999999999</formula>
    </cfRule>
    <cfRule type="cellIs" dxfId="2680" priority="1795" operator="between">
      <formula>0</formula>
      <formula>0.4</formula>
    </cfRule>
  </conditionalFormatting>
  <conditionalFormatting sqref="L459">
    <cfRule type="cellIs" dxfId="2679" priority="1786" operator="lessThan">
      <formula>0</formula>
    </cfRule>
    <cfRule type="cellIs" dxfId="2678" priority="1787" operator="greaterThan">
      <formula>100.00001%</formula>
    </cfRule>
    <cfRule type="cellIs" dxfId="2677" priority="1788" operator="between">
      <formula>0.66</formula>
      <formula>1</formula>
    </cfRule>
    <cfRule type="cellIs" dxfId="2676" priority="1789" operator="between">
      <formula>0.401</formula>
      <formula>0.659999999999</formula>
    </cfRule>
    <cfRule type="cellIs" dxfId="2675" priority="1790" operator="between">
      <formula>0</formula>
      <formula>0.4</formula>
    </cfRule>
  </conditionalFormatting>
  <conditionalFormatting sqref="L463">
    <cfRule type="cellIs" dxfId="2674" priority="1781" operator="lessThan">
      <formula>0</formula>
    </cfRule>
    <cfRule type="cellIs" dxfId="2673" priority="1782" operator="greaterThan">
      <formula>100.00001%</formula>
    </cfRule>
    <cfRule type="cellIs" dxfId="2672" priority="1783" operator="between">
      <formula>0.66</formula>
      <formula>1</formula>
    </cfRule>
    <cfRule type="cellIs" dxfId="2671" priority="1784" operator="between">
      <formula>0.401</formula>
      <formula>0.659999999999</formula>
    </cfRule>
    <cfRule type="cellIs" dxfId="2670" priority="1785" operator="between">
      <formula>0</formula>
      <formula>0.4</formula>
    </cfRule>
  </conditionalFormatting>
  <conditionalFormatting sqref="L464">
    <cfRule type="cellIs" dxfId="2669" priority="1776" operator="lessThan">
      <formula>0</formula>
    </cfRule>
    <cfRule type="cellIs" dxfId="2668" priority="1777" operator="greaterThan">
      <formula>100.00001%</formula>
    </cfRule>
    <cfRule type="cellIs" dxfId="2667" priority="1778" operator="between">
      <formula>0.66</formula>
      <formula>1</formula>
    </cfRule>
    <cfRule type="cellIs" dxfId="2666" priority="1779" operator="between">
      <formula>0.401</formula>
      <formula>0.659999999999</formula>
    </cfRule>
    <cfRule type="cellIs" dxfId="2665" priority="1780" operator="between">
      <formula>0</formula>
      <formula>0.4</formula>
    </cfRule>
  </conditionalFormatting>
  <conditionalFormatting sqref="L479:L486">
    <cfRule type="cellIs" dxfId="2664" priority="1771" operator="lessThan">
      <formula>0</formula>
    </cfRule>
    <cfRule type="cellIs" dxfId="2663" priority="1772" operator="greaterThan">
      <formula>100.00001%</formula>
    </cfRule>
    <cfRule type="cellIs" dxfId="2662" priority="1773" operator="between">
      <formula>0.66</formula>
      <formula>1</formula>
    </cfRule>
    <cfRule type="cellIs" dxfId="2661" priority="1774" operator="between">
      <formula>0.401</formula>
      <formula>0.659999999999</formula>
    </cfRule>
    <cfRule type="cellIs" dxfId="2660" priority="1775" operator="between">
      <formula>0</formula>
      <formula>0.4</formula>
    </cfRule>
  </conditionalFormatting>
  <conditionalFormatting sqref="L487">
    <cfRule type="cellIs" dxfId="2659" priority="1766" operator="lessThan">
      <formula>0</formula>
    </cfRule>
    <cfRule type="cellIs" dxfId="2658" priority="1767" operator="greaterThan">
      <formula>100.00001%</formula>
    </cfRule>
    <cfRule type="cellIs" dxfId="2657" priority="1768" operator="between">
      <formula>0.66</formula>
      <formula>1</formula>
    </cfRule>
    <cfRule type="cellIs" dxfId="2656" priority="1769" operator="between">
      <formula>0.401</formula>
      <formula>0.659999999999</formula>
    </cfRule>
    <cfRule type="cellIs" dxfId="2655" priority="1770" operator="between">
      <formula>0</formula>
      <formula>0.4</formula>
    </cfRule>
  </conditionalFormatting>
  <conditionalFormatting sqref="L488:L491">
    <cfRule type="cellIs" dxfId="2654" priority="1761" operator="lessThan">
      <formula>0</formula>
    </cfRule>
    <cfRule type="cellIs" dxfId="2653" priority="1762" operator="greaterThan">
      <formula>100.00001%</formula>
    </cfRule>
    <cfRule type="cellIs" dxfId="2652" priority="1763" operator="between">
      <formula>0.66</formula>
      <formula>1</formula>
    </cfRule>
    <cfRule type="cellIs" dxfId="2651" priority="1764" operator="between">
      <formula>0.401</formula>
      <formula>0.659999999999</formula>
    </cfRule>
    <cfRule type="cellIs" dxfId="2650" priority="1765" operator="between">
      <formula>0</formula>
      <formula>0.4</formula>
    </cfRule>
  </conditionalFormatting>
  <conditionalFormatting sqref="L492:L546">
    <cfRule type="cellIs" dxfId="2649" priority="1756" operator="lessThan">
      <formula>0</formula>
    </cfRule>
    <cfRule type="cellIs" dxfId="2648" priority="1757" operator="greaterThan">
      <formula>100.00001%</formula>
    </cfRule>
    <cfRule type="cellIs" dxfId="2647" priority="1758" operator="between">
      <formula>0.66</formula>
      <formula>1</formula>
    </cfRule>
    <cfRule type="cellIs" dxfId="2646" priority="1759" operator="between">
      <formula>0.401</formula>
      <formula>0.659999999999</formula>
    </cfRule>
    <cfRule type="cellIs" dxfId="2645" priority="1760" operator="between">
      <formula>0</formula>
      <formula>0.4</formula>
    </cfRule>
  </conditionalFormatting>
  <conditionalFormatting sqref="L555">
    <cfRule type="cellIs" dxfId="2644" priority="1751" operator="lessThan">
      <formula>0</formula>
    </cfRule>
    <cfRule type="cellIs" dxfId="2643" priority="1752" operator="greaterThan">
      <formula>100.00001%</formula>
    </cfRule>
    <cfRule type="cellIs" dxfId="2642" priority="1753" operator="between">
      <formula>0.66</formula>
      <formula>1</formula>
    </cfRule>
    <cfRule type="cellIs" dxfId="2641" priority="1754" operator="between">
      <formula>0.401</formula>
      <formula>0.659999999999</formula>
    </cfRule>
    <cfRule type="cellIs" dxfId="2640" priority="1755" operator="between">
      <formula>0</formula>
      <formula>0.4</formula>
    </cfRule>
  </conditionalFormatting>
  <conditionalFormatting sqref="L547">
    <cfRule type="cellIs" dxfId="2639" priority="1746" operator="lessThan">
      <formula>0</formula>
    </cfRule>
    <cfRule type="cellIs" dxfId="2638" priority="1747" operator="greaterThan">
      <formula>100.00001%</formula>
    </cfRule>
    <cfRule type="cellIs" dxfId="2637" priority="1748" operator="between">
      <formula>0.66</formula>
      <formula>1</formula>
    </cfRule>
    <cfRule type="cellIs" dxfId="2636" priority="1749" operator="between">
      <formula>0.401</formula>
      <formula>0.659999999999</formula>
    </cfRule>
    <cfRule type="cellIs" dxfId="2635" priority="1750" operator="between">
      <formula>0</formula>
      <formula>0.4</formula>
    </cfRule>
  </conditionalFormatting>
  <conditionalFormatting sqref="L566:L575">
    <cfRule type="cellIs" dxfId="2634" priority="1741" operator="lessThan">
      <formula>0</formula>
    </cfRule>
    <cfRule type="cellIs" dxfId="2633" priority="1742" operator="greaterThan">
      <formula>100.00001%</formula>
    </cfRule>
    <cfRule type="cellIs" dxfId="2632" priority="1743" operator="between">
      <formula>0.66</formula>
      <formula>1</formula>
    </cfRule>
    <cfRule type="cellIs" dxfId="2631" priority="1744" operator="between">
      <formula>0.401</formula>
      <formula>0.659999999999</formula>
    </cfRule>
    <cfRule type="cellIs" dxfId="2630" priority="1745" operator="between">
      <formula>0</formula>
      <formula>0.4</formula>
    </cfRule>
  </conditionalFormatting>
  <conditionalFormatting sqref="L576:L628">
    <cfRule type="cellIs" dxfId="2629" priority="1736" operator="lessThan">
      <formula>0</formula>
    </cfRule>
    <cfRule type="cellIs" dxfId="2628" priority="1737" operator="greaterThan">
      <formula>100.00001%</formula>
    </cfRule>
    <cfRule type="cellIs" dxfId="2627" priority="1738" operator="between">
      <formula>0.66</formula>
      <formula>1</formula>
    </cfRule>
    <cfRule type="cellIs" dxfId="2626" priority="1739" operator="between">
      <formula>0.401</formula>
      <formula>0.659999999999</formula>
    </cfRule>
    <cfRule type="cellIs" dxfId="2625" priority="1740" operator="between">
      <formula>0</formula>
      <formula>0.4</formula>
    </cfRule>
  </conditionalFormatting>
  <conditionalFormatting sqref="L703">
    <cfRule type="cellIs" dxfId="2624" priority="1716" operator="lessThan">
      <formula>0</formula>
    </cfRule>
    <cfRule type="cellIs" dxfId="2623" priority="1717" operator="greaterThan">
      <formula>100.00001%</formula>
    </cfRule>
    <cfRule type="cellIs" dxfId="2622" priority="1718" operator="between">
      <formula>0.66</formula>
      <formula>1</formula>
    </cfRule>
    <cfRule type="cellIs" dxfId="2621" priority="1719" operator="between">
      <formula>0.401</formula>
      <formula>0.659999999999</formula>
    </cfRule>
    <cfRule type="cellIs" dxfId="2620" priority="1720" operator="between">
      <formula>0</formula>
      <formula>0.4</formula>
    </cfRule>
  </conditionalFormatting>
  <conditionalFormatting sqref="L647:L679">
    <cfRule type="cellIs" dxfId="2619" priority="1731" operator="lessThan">
      <formula>0</formula>
    </cfRule>
    <cfRule type="cellIs" dxfId="2618" priority="1732" operator="greaterThan">
      <formula>100.00001%</formula>
    </cfRule>
    <cfRule type="cellIs" dxfId="2617" priority="1733" operator="between">
      <formula>0.66</formula>
      <formula>1</formula>
    </cfRule>
    <cfRule type="cellIs" dxfId="2616" priority="1734" operator="between">
      <formula>0.401</formula>
      <formula>0.659999999999</formula>
    </cfRule>
    <cfRule type="cellIs" dxfId="2615" priority="1735" operator="between">
      <formula>0</formula>
      <formula>0.4</formula>
    </cfRule>
  </conditionalFormatting>
  <conditionalFormatting sqref="L680:L694">
    <cfRule type="cellIs" dxfId="2614" priority="1726" operator="lessThan">
      <formula>0</formula>
    </cfRule>
    <cfRule type="cellIs" dxfId="2613" priority="1727" operator="greaterThan">
      <formula>100.00001%</formula>
    </cfRule>
    <cfRule type="cellIs" dxfId="2612" priority="1728" operator="between">
      <formula>0.66</formula>
      <formula>1</formula>
    </cfRule>
    <cfRule type="cellIs" dxfId="2611" priority="1729" operator="between">
      <formula>0.401</formula>
      <formula>0.659999999999</formula>
    </cfRule>
    <cfRule type="cellIs" dxfId="2610" priority="1730" operator="between">
      <formula>0</formula>
      <formula>0.4</formula>
    </cfRule>
  </conditionalFormatting>
  <conditionalFormatting sqref="L695:L702">
    <cfRule type="cellIs" dxfId="2609" priority="1721" operator="lessThan">
      <formula>0</formula>
    </cfRule>
    <cfRule type="cellIs" dxfId="2608" priority="1722" operator="greaterThan">
      <formula>100.00001%</formula>
    </cfRule>
    <cfRule type="cellIs" dxfId="2607" priority="1723" operator="between">
      <formula>0.66</formula>
      <formula>1</formula>
    </cfRule>
    <cfRule type="cellIs" dxfId="2606" priority="1724" operator="between">
      <formula>0.401</formula>
      <formula>0.659999999999</formula>
    </cfRule>
    <cfRule type="cellIs" dxfId="2605" priority="1725" operator="between">
      <formula>0</formula>
      <formula>0.4</formula>
    </cfRule>
  </conditionalFormatting>
  <conditionalFormatting sqref="L742:L744">
    <cfRule type="cellIs" dxfId="2604" priority="1671" operator="lessThan">
      <formula>0</formula>
    </cfRule>
    <cfRule type="cellIs" dxfId="2603" priority="1672" operator="greaterThan">
      <formula>100.00001%</formula>
    </cfRule>
    <cfRule type="cellIs" dxfId="2602" priority="1673" operator="between">
      <formula>0.66</formula>
      <formula>1</formula>
    </cfRule>
    <cfRule type="cellIs" dxfId="2601" priority="1674" operator="between">
      <formula>0.401</formula>
      <formula>0.659999999999</formula>
    </cfRule>
    <cfRule type="cellIs" dxfId="2600" priority="1675" operator="between">
      <formula>0</formula>
      <formula>0.4</formula>
    </cfRule>
  </conditionalFormatting>
  <conditionalFormatting sqref="L714">
    <cfRule type="cellIs" dxfId="2599" priority="1711" operator="lessThan">
      <formula>0</formula>
    </cfRule>
    <cfRule type="cellIs" dxfId="2598" priority="1712" operator="greaterThan">
      <formula>100.00001%</formula>
    </cfRule>
    <cfRule type="cellIs" dxfId="2597" priority="1713" operator="between">
      <formula>0.66</formula>
      <formula>1</formula>
    </cfRule>
    <cfRule type="cellIs" dxfId="2596" priority="1714" operator="between">
      <formula>0.401</formula>
      <formula>0.659999999999</formula>
    </cfRule>
    <cfRule type="cellIs" dxfId="2595" priority="1715" operator="between">
      <formula>0</formula>
      <formula>0.4</formula>
    </cfRule>
  </conditionalFormatting>
  <conditionalFormatting sqref="L715:L727">
    <cfRule type="cellIs" dxfId="2594" priority="1706" operator="lessThan">
      <formula>0</formula>
    </cfRule>
    <cfRule type="cellIs" dxfId="2593" priority="1707" operator="greaterThan">
      <formula>100.00001%</formula>
    </cfRule>
    <cfRule type="cellIs" dxfId="2592" priority="1708" operator="between">
      <formula>0.66</formula>
      <formula>1</formula>
    </cfRule>
    <cfRule type="cellIs" dxfId="2591" priority="1709" operator="between">
      <formula>0.401</formula>
      <formula>0.659999999999</formula>
    </cfRule>
    <cfRule type="cellIs" dxfId="2590" priority="1710" operator="between">
      <formula>0</formula>
      <formula>0.4</formula>
    </cfRule>
  </conditionalFormatting>
  <conditionalFormatting sqref="L728:L729">
    <cfRule type="cellIs" dxfId="2589" priority="1701" operator="lessThan">
      <formula>0</formula>
    </cfRule>
    <cfRule type="cellIs" dxfId="2588" priority="1702" operator="greaterThan">
      <formula>100.00001%</formula>
    </cfRule>
    <cfRule type="cellIs" dxfId="2587" priority="1703" operator="between">
      <formula>0.66</formula>
      <formula>1</formula>
    </cfRule>
    <cfRule type="cellIs" dxfId="2586" priority="1704" operator="between">
      <formula>0.401</formula>
      <formula>0.659999999999</formula>
    </cfRule>
    <cfRule type="cellIs" dxfId="2585" priority="1705" operator="between">
      <formula>0</formula>
      <formula>0.4</formula>
    </cfRule>
  </conditionalFormatting>
  <conditionalFormatting sqref="L730:L731">
    <cfRule type="cellIs" dxfId="2584" priority="1696" operator="lessThan">
      <formula>0</formula>
    </cfRule>
    <cfRule type="cellIs" dxfId="2583" priority="1697" operator="greaterThan">
      <formula>100.00001%</formula>
    </cfRule>
    <cfRule type="cellIs" dxfId="2582" priority="1698" operator="between">
      <formula>0.66</formula>
      <formula>1</formula>
    </cfRule>
    <cfRule type="cellIs" dxfId="2581" priority="1699" operator="between">
      <formula>0.401</formula>
      <formula>0.659999999999</formula>
    </cfRule>
    <cfRule type="cellIs" dxfId="2580" priority="1700" operator="between">
      <formula>0</formula>
      <formula>0.4</formula>
    </cfRule>
  </conditionalFormatting>
  <conditionalFormatting sqref="L732:L733">
    <cfRule type="cellIs" dxfId="2579" priority="1691" operator="lessThan">
      <formula>0</formula>
    </cfRule>
    <cfRule type="cellIs" dxfId="2578" priority="1692" operator="greaterThan">
      <formula>100.00001%</formula>
    </cfRule>
    <cfRule type="cellIs" dxfId="2577" priority="1693" operator="between">
      <formula>0.66</formula>
      <formula>1</formula>
    </cfRule>
    <cfRule type="cellIs" dxfId="2576" priority="1694" operator="between">
      <formula>0.401</formula>
      <formula>0.659999999999</formula>
    </cfRule>
    <cfRule type="cellIs" dxfId="2575" priority="1695" operator="between">
      <formula>0</formula>
      <formula>0.4</formula>
    </cfRule>
  </conditionalFormatting>
  <conditionalFormatting sqref="L734:L735">
    <cfRule type="cellIs" dxfId="2574" priority="1686" operator="lessThan">
      <formula>0</formula>
    </cfRule>
    <cfRule type="cellIs" dxfId="2573" priority="1687" operator="greaterThan">
      <formula>100.00001%</formula>
    </cfRule>
    <cfRule type="cellIs" dxfId="2572" priority="1688" operator="between">
      <formula>0.66</formula>
      <formula>1</formula>
    </cfRule>
    <cfRule type="cellIs" dxfId="2571" priority="1689" operator="between">
      <formula>0.401</formula>
      <formula>0.659999999999</formula>
    </cfRule>
    <cfRule type="cellIs" dxfId="2570" priority="1690" operator="between">
      <formula>0</formula>
      <formula>0.4</formula>
    </cfRule>
  </conditionalFormatting>
  <conditionalFormatting sqref="L738:L739">
    <cfRule type="cellIs" dxfId="2569" priority="1681" operator="lessThan">
      <formula>0</formula>
    </cfRule>
    <cfRule type="cellIs" dxfId="2568" priority="1682" operator="greaterThan">
      <formula>100.00001%</formula>
    </cfRule>
    <cfRule type="cellIs" dxfId="2567" priority="1683" operator="between">
      <formula>0.66</formula>
      <formula>1</formula>
    </cfRule>
    <cfRule type="cellIs" dxfId="2566" priority="1684" operator="between">
      <formula>0.401</formula>
      <formula>0.659999999999</formula>
    </cfRule>
    <cfRule type="cellIs" dxfId="2565" priority="1685" operator="between">
      <formula>0</formula>
      <formula>0.4</formula>
    </cfRule>
  </conditionalFormatting>
  <conditionalFormatting sqref="L740:L741">
    <cfRule type="cellIs" dxfId="2564" priority="1676" operator="lessThan">
      <formula>0</formula>
    </cfRule>
    <cfRule type="cellIs" dxfId="2563" priority="1677" operator="greaterThan">
      <formula>100.00001%</formula>
    </cfRule>
    <cfRule type="cellIs" dxfId="2562" priority="1678" operator="between">
      <formula>0.66</formula>
      <formula>1</formula>
    </cfRule>
    <cfRule type="cellIs" dxfId="2561" priority="1679" operator="between">
      <formula>0.401</formula>
      <formula>0.659999999999</formula>
    </cfRule>
    <cfRule type="cellIs" dxfId="2560" priority="1680" operator="between">
      <formula>0</formula>
      <formula>0.4</formula>
    </cfRule>
  </conditionalFormatting>
  <conditionalFormatting sqref="L776:L780">
    <cfRule type="cellIs" dxfId="2559" priority="1651" operator="lessThan">
      <formula>0</formula>
    </cfRule>
    <cfRule type="cellIs" dxfId="2558" priority="1652" operator="greaterThan">
      <formula>100.00001%</formula>
    </cfRule>
    <cfRule type="cellIs" dxfId="2557" priority="1653" operator="between">
      <formula>0.66</formula>
      <formula>1</formula>
    </cfRule>
    <cfRule type="cellIs" dxfId="2556" priority="1654" operator="between">
      <formula>0.401</formula>
      <formula>0.659999999999</formula>
    </cfRule>
    <cfRule type="cellIs" dxfId="2555" priority="1655" operator="between">
      <formula>0</formula>
      <formula>0.4</formula>
    </cfRule>
  </conditionalFormatting>
  <conditionalFormatting sqref="L771">
    <cfRule type="cellIs" dxfId="2554" priority="1666" operator="lessThan">
      <formula>0</formula>
    </cfRule>
    <cfRule type="cellIs" dxfId="2553" priority="1667" operator="greaterThan">
      <formula>100.00001%</formula>
    </cfRule>
    <cfRule type="cellIs" dxfId="2552" priority="1668" operator="between">
      <formula>0.66</formula>
      <formula>1</formula>
    </cfRule>
    <cfRule type="cellIs" dxfId="2551" priority="1669" operator="between">
      <formula>0.401</formula>
      <formula>0.659999999999</formula>
    </cfRule>
    <cfRule type="cellIs" dxfId="2550" priority="1670" operator="between">
      <formula>0</formula>
      <formula>0.4</formula>
    </cfRule>
  </conditionalFormatting>
  <conditionalFormatting sqref="L772">
    <cfRule type="cellIs" dxfId="2549" priority="1661" operator="lessThan">
      <formula>0</formula>
    </cfRule>
    <cfRule type="cellIs" dxfId="2548" priority="1662" operator="greaterThan">
      <formula>100.00001%</formula>
    </cfRule>
    <cfRule type="cellIs" dxfId="2547" priority="1663" operator="between">
      <formula>0.66</formula>
      <formula>1</formula>
    </cfRule>
    <cfRule type="cellIs" dxfId="2546" priority="1664" operator="between">
      <formula>0.401</formula>
      <formula>0.659999999999</formula>
    </cfRule>
    <cfRule type="cellIs" dxfId="2545" priority="1665" operator="between">
      <formula>0</formula>
      <formula>0.4</formula>
    </cfRule>
  </conditionalFormatting>
  <conditionalFormatting sqref="L773:L775">
    <cfRule type="cellIs" dxfId="2544" priority="1656" operator="lessThan">
      <formula>0</formula>
    </cfRule>
    <cfRule type="cellIs" dxfId="2543" priority="1657" operator="greaterThan">
      <formula>100.00001%</formula>
    </cfRule>
    <cfRule type="cellIs" dxfId="2542" priority="1658" operator="between">
      <formula>0.66</formula>
      <formula>1</formula>
    </cfRule>
    <cfRule type="cellIs" dxfId="2541" priority="1659" operator="between">
      <formula>0.401</formula>
      <formula>0.659999999999</formula>
    </cfRule>
    <cfRule type="cellIs" dxfId="2540" priority="1660" operator="between">
      <formula>0</formula>
      <formula>0.4</formula>
    </cfRule>
  </conditionalFormatting>
  <conditionalFormatting sqref="L871:L873">
    <cfRule type="cellIs" dxfId="2539" priority="1646" operator="lessThan">
      <formula>0</formula>
    </cfRule>
    <cfRule type="cellIs" dxfId="2538" priority="1647" operator="greaterThan">
      <formula>100.00001%</formula>
    </cfRule>
    <cfRule type="cellIs" dxfId="2537" priority="1648" operator="between">
      <formula>0.66</formula>
      <formula>1</formula>
    </cfRule>
    <cfRule type="cellIs" dxfId="2536" priority="1649" operator="between">
      <formula>0.401</formula>
      <formula>0.659999999999</formula>
    </cfRule>
    <cfRule type="cellIs" dxfId="2535" priority="1650" operator="between">
      <formula>0</formula>
      <formula>0.4</formula>
    </cfRule>
  </conditionalFormatting>
  <conditionalFormatting sqref="L897:L898">
    <cfRule type="cellIs" dxfId="2534" priority="1641" operator="lessThan">
      <formula>0</formula>
    </cfRule>
    <cfRule type="cellIs" dxfId="2533" priority="1642" operator="greaterThan">
      <formula>100.00001%</formula>
    </cfRule>
    <cfRule type="cellIs" dxfId="2532" priority="1643" operator="between">
      <formula>0.66</formula>
      <formula>1</formula>
    </cfRule>
    <cfRule type="cellIs" dxfId="2531" priority="1644" operator="between">
      <formula>0.401</formula>
      <formula>0.659999999999</formula>
    </cfRule>
    <cfRule type="cellIs" dxfId="2530" priority="1645" operator="between">
      <formula>0</formula>
      <formula>0.4</formula>
    </cfRule>
  </conditionalFormatting>
  <conditionalFormatting sqref="L899:L900">
    <cfRule type="cellIs" dxfId="2529" priority="1636" operator="lessThan">
      <formula>0</formula>
    </cfRule>
    <cfRule type="cellIs" dxfId="2528" priority="1637" operator="greaterThan">
      <formula>100.00001%</formula>
    </cfRule>
    <cfRule type="cellIs" dxfId="2527" priority="1638" operator="between">
      <formula>0.66</formula>
      <formula>1</formula>
    </cfRule>
    <cfRule type="cellIs" dxfId="2526" priority="1639" operator="between">
      <formula>0.401</formula>
      <formula>0.659999999999</formula>
    </cfRule>
    <cfRule type="cellIs" dxfId="2525" priority="1640" operator="between">
      <formula>0</formula>
      <formula>0.4</formula>
    </cfRule>
  </conditionalFormatting>
  <conditionalFormatting sqref="L901:L932">
    <cfRule type="cellIs" dxfId="2524" priority="1631" operator="lessThan">
      <formula>0</formula>
    </cfRule>
    <cfRule type="cellIs" dxfId="2523" priority="1632" operator="greaterThan">
      <formula>100.00001%</formula>
    </cfRule>
    <cfRule type="cellIs" dxfId="2522" priority="1633" operator="between">
      <formula>0.66</formula>
      <formula>1</formula>
    </cfRule>
    <cfRule type="cellIs" dxfId="2521" priority="1634" operator="between">
      <formula>0.401</formula>
      <formula>0.659999999999</formula>
    </cfRule>
    <cfRule type="cellIs" dxfId="2520" priority="1635" operator="between">
      <formula>0</formula>
      <formula>0.4</formula>
    </cfRule>
  </conditionalFormatting>
  <conditionalFormatting sqref="L933:L1011">
    <cfRule type="cellIs" dxfId="2519" priority="1626" operator="lessThan">
      <formula>0</formula>
    </cfRule>
    <cfRule type="cellIs" dxfId="2518" priority="1627" operator="greaterThan">
      <formula>100.00001%</formula>
    </cfRule>
    <cfRule type="cellIs" dxfId="2517" priority="1628" operator="between">
      <formula>0.66</formula>
      <formula>1</formula>
    </cfRule>
    <cfRule type="cellIs" dxfId="2516" priority="1629" operator="between">
      <formula>0.401</formula>
      <formula>0.659999999999</formula>
    </cfRule>
    <cfRule type="cellIs" dxfId="2515" priority="1630" operator="between">
      <formula>0</formula>
      <formula>0.4</formula>
    </cfRule>
  </conditionalFormatting>
  <conditionalFormatting sqref="L334">
    <cfRule type="cellIs" dxfId="2514" priority="1621" operator="lessThan">
      <formula>0</formula>
    </cfRule>
    <cfRule type="cellIs" dxfId="2513" priority="1622" operator="greaterThan">
      <formula>100.00001%</formula>
    </cfRule>
    <cfRule type="cellIs" dxfId="2512" priority="1623" operator="between">
      <formula>0.66</formula>
      <formula>1</formula>
    </cfRule>
    <cfRule type="cellIs" dxfId="2511" priority="1624" operator="between">
      <formula>0.401</formula>
      <formula>0.659999999999</formula>
    </cfRule>
    <cfRule type="cellIs" dxfId="2510" priority="1625" operator="between">
      <formula>0</formula>
      <formula>0.4</formula>
    </cfRule>
  </conditionalFormatting>
  <conditionalFormatting sqref="L745:L749">
    <cfRule type="cellIs" dxfId="2509" priority="1616" operator="lessThan">
      <formula>0</formula>
    </cfRule>
    <cfRule type="cellIs" dxfId="2508" priority="1617" operator="greaterThan">
      <formula>100.00001%</formula>
    </cfRule>
    <cfRule type="cellIs" dxfId="2507" priority="1618" operator="between">
      <formula>0.66</formula>
      <formula>1</formula>
    </cfRule>
    <cfRule type="cellIs" dxfId="2506" priority="1619" operator="between">
      <formula>0.401</formula>
      <formula>0.659999999999</formula>
    </cfRule>
    <cfRule type="cellIs" dxfId="2505" priority="1620" operator="between">
      <formula>0</formula>
      <formula>0.4</formula>
    </cfRule>
  </conditionalFormatting>
  <conditionalFormatting sqref="U231:U248">
    <cfRule type="cellIs" dxfId="2504" priority="1611" operator="lessThan">
      <formula>0</formula>
    </cfRule>
    <cfRule type="cellIs" dxfId="2503" priority="1612" operator="greaterThan">
      <formula>100.00001%</formula>
    </cfRule>
    <cfRule type="cellIs" dxfId="2502" priority="1613" operator="between">
      <formula>0.66</formula>
      <formula>1</formula>
    </cfRule>
    <cfRule type="cellIs" dxfId="2501" priority="1614" operator="between">
      <formula>0.401</formula>
      <formula>0.659999999999</formula>
    </cfRule>
    <cfRule type="cellIs" dxfId="2500" priority="1615" operator="between">
      <formula>0</formula>
      <formula>0.4</formula>
    </cfRule>
  </conditionalFormatting>
  <conditionalFormatting sqref="U34:U37">
    <cfRule type="cellIs" dxfId="2499" priority="1576" operator="lessThan">
      <formula>0</formula>
    </cfRule>
    <cfRule type="cellIs" dxfId="2498" priority="1577" operator="greaterThan">
      <formula>100.00001%</formula>
    </cfRule>
    <cfRule type="cellIs" dxfId="2497" priority="1578" operator="between">
      <formula>0.66</formula>
      <formula>1</formula>
    </cfRule>
    <cfRule type="cellIs" dxfId="2496" priority="1579" operator="between">
      <formula>0.401</formula>
      <formula>0.659999999999</formula>
    </cfRule>
    <cfRule type="cellIs" dxfId="2495" priority="1580" operator="between">
      <formula>0</formula>
      <formula>0.4</formula>
    </cfRule>
  </conditionalFormatting>
  <conditionalFormatting sqref="U13">
    <cfRule type="cellIs" dxfId="2494" priority="1591" operator="lessThan">
      <formula>0</formula>
    </cfRule>
    <cfRule type="cellIs" dxfId="2493" priority="1592" operator="greaterThan">
      <formula>100.00001%</formula>
    </cfRule>
    <cfRule type="cellIs" dxfId="2492" priority="1593" operator="between">
      <formula>0.66</formula>
      <formula>1</formula>
    </cfRule>
    <cfRule type="cellIs" dxfId="2491" priority="1594" operator="between">
      <formula>0.401</formula>
      <formula>0.659999999999</formula>
    </cfRule>
    <cfRule type="cellIs" dxfId="2490" priority="1595" operator="between">
      <formula>0</formula>
      <formula>0.4</formula>
    </cfRule>
  </conditionalFormatting>
  <conditionalFormatting sqref="U21:U22">
    <cfRule type="cellIs" dxfId="2489" priority="1586" operator="lessThan">
      <formula>0</formula>
    </cfRule>
    <cfRule type="cellIs" dxfId="2488" priority="1587" operator="greaterThan">
      <formula>100.00001%</formula>
    </cfRule>
    <cfRule type="cellIs" dxfId="2487" priority="1588" operator="between">
      <formula>0.66</formula>
      <formula>1</formula>
    </cfRule>
    <cfRule type="cellIs" dxfId="2486" priority="1589" operator="between">
      <formula>0.401</formula>
      <formula>0.659999999999</formula>
    </cfRule>
    <cfRule type="cellIs" dxfId="2485" priority="1590" operator="between">
      <formula>0</formula>
      <formula>0.4</formula>
    </cfRule>
  </conditionalFormatting>
  <conditionalFormatting sqref="U14">
    <cfRule type="cellIs" dxfId="2484" priority="1596" operator="lessThan">
      <formula>0</formula>
    </cfRule>
    <cfRule type="cellIs" dxfId="2483" priority="1597" operator="greaterThan">
      <formula>100.00001%</formula>
    </cfRule>
    <cfRule type="cellIs" dxfId="2482" priority="1598" operator="between">
      <formula>0.66</formula>
      <formula>1</formula>
    </cfRule>
    <cfRule type="cellIs" dxfId="2481" priority="1599" operator="between">
      <formula>0.401</formula>
      <formula>0.659999999999</formula>
    </cfRule>
    <cfRule type="cellIs" dxfId="2480" priority="1600" operator="between">
      <formula>0</formula>
      <formula>0.4</formula>
    </cfRule>
  </conditionalFormatting>
  <conditionalFormatting sqref="U84">
    <cfRule type="cellIs" dxfId="2479" priority="1501" operator="lessThan">
      <formula>0</formula>
    </cfRule>
    <cfRule type="cellIs" dxfId="2478" priority="1502" operator="greaterThan">
      <formula>100.00001%</formula>
    </cfRule>
    <cfRule type="cellIs" dxfId="2477" priority="1503" operator="between">
      <formula>0.66</formula>
      <formula>1</formula>
    </cfRule>
    <cfRule type="cellIs" dxfId="2476" priority="1504" operator="between">
      <formula>0.401</formula>
      <formula>0.659999999999</formula>
    </cfRule>
    <cfRule type="cellIs" dxfId="2475" priority="1505" operator="between">
      <formula>0</formula>
      <formula>0.4</formula>
    </cfRule>
  </conditionalFormatting>
  <conditionalFormatting sqref="U6">
    <cfRule type="cellIs" dxfId="2474" priority="1606" operator="lessThan">
      <formula>0</formula>
    </cfRule>
    <cfRule type="cellIs" dxfId="2473" priority="1607" operator="greaterThan">
      <formula>100.00001%</formula>
    </cfRule>
    <cfRule type="cellIs" dxfId="2472" priority="1608" operator="between">
      <formula>0.66</formula>
      <formula>1</formula>
    </cfRule>
    <cfRule type="cellIs" dxfId="2471" priority="1609" operator="between">
      <formula>0.401</formula>
      <formula>0.659999999999</formula>
    </cfRule>
    <cfRule type="cellIs" dxfId="2470" priority="1610" operator="between">
      <formula>0</formula>
      <formula>0.4</formula>
    </cfRule>
  </conditionalFormatting>
  <conditionalFormatting sqref="U9:U10">
    <cfRule type="cellIs" dxfId="2469" priority="1601" operator="lessThan">
      <formula>0</formula>
    </cfRule>
    <cfRule type="cellIs" dxfId="2468" priority="1602" operator="greaterThan">
      <formula>100.00001%</formula>
    </cfRule>
    <cfRule type="cellIs" dxfId="2467" priority="1603" operator="between">
      <formula>0.66</formula>
      <formula>1</formula>
    </cfRule>
    <cfRule type="cellIs" dxfId="2466" priority="1604" operator="between">
      <formula>0.401</formula>
      <formula>0.659999999999</formula>
    </cfRule>
    <cfRule type="cellIs" dxfId="2465" priority="1605" operator="between">
      <formula>0</formula>
      <formula>0.4</formula>
    </cfRule>
  </conditionalFormatting>
  <conditionalFormatting sqref="U97">
    <cfRule type="cellIs" dxfId="2464" priority="1476" operator="lessThan">
      <formula>0</formula>
    </cfRule>
    <cfRule type="cellIs" dxfId="2463" priority="1477" operator="greaterThan">
      <formula>100.00001%</formula>
    </cfRule>
    <cfRule type="cellIs" dxfId="2462" priority="1478" operator="between">
      <formula>0.66</formula>
      <formula>1</formula>
    </cfRule>
    <cfRule type="cellIs" dxfId="2461" priority="1479" operator="between">
      <formula>0.401</formula>
      <formula>0.659999999999</formula>
    </cfRule>
    <cfRule type="cellIs" dxfId="2460" priority="1480" operator="between">
      <formula>0</formula>
      <formula>0.4</formula>
    </cfRule>
  </conditionalFormatting>
  <conditionalFormatting sqref="U39:U51">
    <cfRule type="cellIs" dxfId="2459" priority="1571" operator="lessThan">
      <formula>0</formula>
    </cfRule>
    <cfRule type="cellIs" dxfId="2458" priority="1572" operator="greaterThan">
      <formula>100.00001%</formula>
    </cfRule>
    <cfRule type="cellIs" dxfId="2457" priority="1573" operator="between">
      <formula>0.66</formula>
      <formula>1</formula>
    </cfRule>
    <cfRule type="cellIs" dxfId="2456" priority="1574" operator="between">
      <formula>0.401</formula>
      <formula>0.659999999999</formula>
    </cfRule>
    <cfRule type="cellIs" dxfId="2455" priority="1575" operator="between">
      <formula>0</formula>
      <formula>0.4</formula>
    </cfRule>
  </conditionalFormatting>
  <conditionalFormatting sqref="U85">
    <cfRule type="cellIs" dxfId="2454" priority="1496" operator="lessThan">
      <formula>0</formula>
    </cfRule>
    <cfRule type="cellIs" dxfId="2453" priority="1497" operator="greaterThan">
      <formula>100.00001%</formula>
    </cfRule>
    <cfRule type="cellIs" dxfId="2452" priority="1498" operator="between">
      <formula>0.66</formula>
      <formula>1</formula>
    </cfRule>
    <cfRule type="cellIs" dxfId="2451" priority="1499" operator="between">
      <formula>0.401</formula>
      <formula>0.659999999999</formula>
    </cfRule>
    <cfRule type="cellIs" dxfId="2450" priority="1500" operator="between">
      <formula>0</formula>
      <formula>0.4</formula>
    </cfRule>
  </conditionalFormatting>
  <conditionalFormatting sqref="U82">
    <cfRule type="cellIs" dxfId="2449" priority="1506" operator="lessThan">
      <formula>0</formula>
    </cfRule>
    <cfRule type="cellIs" dxfId="2448" priority="1507" operator="greaterThan">
      <formula>100.00001%</formula>
    </cfRule>
    <cfRule type="cellIs" dxfId="2447" priority="1508" operator="between">
      <formula>0.66</formula>
      <formula>1</formula>
    </cfRule>
    <cfRule type="cellIs" dxfId="2446" priority="1509" operator="between">
      <formula>0.401</formula>
      <formula>0.659999999999</formula>
    </cfRule>
    <cfRule type="cellIs" dxfId="2445" priority="1510" operator="between">
      <formula>0</formula>
      <formula>0.4</formula>
    </cfRule>
  </conditionalFormatting>
  <conditionalFormatting sqref="U65">
    <cfRule type="cellIs" dxfId="2444" priority="1551" operator="lessThan">
      <formula>0</formula>
    </cfRule>
    <cfRule type="cellIs" dxfId="2443" priority="1552" operator="greaterThan">
      <formula>100.00001%</formula>
    </cfRule>
    <cfRule type="cellIs" dxfId="2442" priority="1553" operator="between">
      <formula>0.66</formula>
      <formula>1</formula>
    </cfRule>
    <cfRule type="cellIs" dxfId="2441" priority="1554" operator="between">
      <formula>0.401</formula>
      <formula>0.659999999999</formula>
    </cfRule>
    <cfRule type="cellIs" dxfId="2440" priority="1555" operator="between">
      <formula>0</formula>
      <formula>0.4</formula>
    </cfRule>
  </conditionalFormatting>
  <conditionalFormatting sqref="U103:U104">
    <cfRule type="cellIs" dxfId="2439" priority="1456" operator="lessThan">
      <formula>0</formula>
    </cfRule>
    <cfRule type="cellIs" dxfId="2438" priority="1457" operator="greaterThan">
      <formula>100.00001%</formula>
    </cfRule>
    <cfRule type="cellIs" dxfId="2437" priority="1458" operator="between">
      <formula>0.66</formula>
      <formula>1</formula>
    </cfRule>
    <cfRule type="cellIs" dxfId="2436" priority="1459" operator="between">
      <formula>0.401</formula>
      <formula>0.659999999999</formula>
    </cfRule>
    <cfRule type="cellIs" dxfId="2435" priority="1460" operator="between">
      <formula>0</formula>
      <formula>0.4</formula>
    </cfRule>
  </conditionalFormatting>
  <conditionalFormatting sqref="U105:U112">
    <cfRule type="cellIs" dxfId="2434" priority="1451" operator="lessThan">
      <formula>0</formula>
    </cfRule>
    <cfRule type="cellIs" dxfId="2433" priority="1452" operator="greaterThan">
      <formula>100.00001%</formula>
    </cfRule>
    <cfRule type="cellIs" dxfId="2432" priority="1453" operator="between">
      <formula>0.66</formula>
      <formula>1</formula>
    </cfRule>
    <cfRule type="cellIs" dxfId="2431" priority="1454" operator="between">
      <formula>0.401</formula>
      <formula>0.659999999999</formula>
    </cfRule>
    <cfRule type="cellIs" dxfId="2430" priority="1455" operator="between">
      <formula>0</formula>
      <formula>0.4</formula>
    </cfRule>
  </conditionalFormatting>
  <conditionalFormatting sqref="U23:U33">
    <cfRule type="cellIs" dxfId="2429" priority="1581" operator="lessThan">
      <formula>0</formula>
    </cfRule>
    <cfRule type="cellIs" dxfId="2428" priority="1582" operator="greaterThan">
      <formula>100.00001%</formula>
    </cfRule>
    <cfRule type="cellIs" dxfId="2427" priority="1583" operator="between">
      <formula>0.66</formula>
      <formula>1</formula>
    </cfRule>
    <cfRule type="cellIs" dxfId="2426" priority="1584" operator="between">
      <formula>0.401</formula>
      <formula>0.659999999999</formula>
    </cfRule>
    <cfRule type="cellIs" dxfId="2425" priority="1585" operator="between">
      <formula>0</formula>
      <formula>0.4</formula>
    </cfRule>
  </conditionalFormatting>
  <conditionalFormatting sqref="U77">
    <cfRule type="cellIs" dxfId="2424" priority="1481" operator="lessThan">
      <formula>0</formula>
    </cfRule>
    <cfRule type="cellIs" dxfId="2423" priority="1482" operator="greaterThan">
      <formula>100.00001%</formula>
    </cfRule>
    <cfRule type="cellIs" dxfId="2422" priority="1483" operator="between">
      <formula>0.66</formula>
      <formula>1</formula>
    </cfRule>
    <cfRule type="cellIs" dxfId="2421" priority="1484" operator="between">
      <formula>0.401</formula>
      <formula>0.659999999999</formula>
    </cfRule>
    <cfRule type="cellIs" dxfId="2420" priority="1485" operator="between">
      <formula>0</formula>
      <formula>0.4</formula>
    </cfRule>
  </conditionalFormatting>
  <conditionalFormatting sqref="U119:U128">
    <cfRule type="cellIs" dxfId="2419" priority="1431" operator="lessThan">
      <formula>0</formula>
    </cfRule>
    <cfRule type="cellIs" dxfId="2418" priority="1432" operator="greaterThan">
      <formula>100.00001%</formula>
    </cfRule>
    <cfRule type="cellIs" dxfId="2417" priority="1433" operator="between">
      <formula>0.66</formula>
      <formula>1</formula>
    </cfRule>
    <cfRule type="cellIs" dxfId="2416" priority="1434" operator="between">
      <formula>0.401</formula>
      <formula>0.659999999999</formula>
    </cfRule>
    <cfRule type="cellIs" dxfId="2415" priority="1435" operator="between">
      <formula>0</formula>
      <formula>0.4</formula>
    </cfRule>
  </conditionalFormatting>
  <conditionalFormatting sqref="U54:U62">
    <cfRule type="cellIs" dxfId="2414" priority="1566" operator="lessThan">
      <formula>0</formula>
    </cfRule>
    <cfRule type="cellIs" dxfId="2413" priority="1567" operator="greaterThan">
      <formula>100.00001%</formula>
    </cfRule>
    <cfRule type="cellIs" dxfId="2412" priority="1568" operator="between">
      <formula>0.66</formula>
      <formula>1</formula>
    </cfRule>
    <cfRule type="cellIs" dxfId="2411" priority="1569" operator="between">
      <formula>0.401</formula>
      <formula>0.659999999999</formula>
    </cfRule>
    <cfRule type="cellIs" dxfId="2410" priority="1570" operator="between">
      <formula>0</formula>
      <formula>0.4</formula>
    </cfRule>
  </conditionalFormatting>
  <conditionalFormatting sqref="U64">
    <cfRule type="cellIs" dxfId="2409" priority="1561" operator="lessThan">
      <formula>0</formula>
    </cfRule>
    <cfRule type="cellIs" dxfId="2408" priority="1562" operator="greaterThan">
      <formula>100.00001%</formula>
    </cfRule>
    <cfRule type="cellIs" dxfId="2407" priority="1563" operator="between">
      <formula>0.66</formula>
      <formula>1</formula>
    </cfRule>
    <cfRule type="cellIs" dxfId="2406" priority="1564" operator="between">
      <formula>0.401</formula>
      <formula>0.659999999999</formula>
    </cfRule>
    <cfRule type="cellIs" dxfId="2405" priority="1565" operator="between">
      <formula>0</formula>
      <formula>0.4</formula>
    </cfRule>
  </conditionalFormatting>
  <conditionalFormatting sqref="U63">
    <cfRule type="cellIs" dxfId="2404" priority="1556" operator="lessThan">
      <formula>0</formula>
    </cfRule>
    <cfRule type="cellIs" dxfId="2403" priority="1557" operator="greaterThan">
      <formula>100.00001%</formula>
    </cfRule>
    <cfRule type="cellIs" dxfId="2402" priority="1558" operator="between">
      <formula>0.66</formula>
      <formula>1</formula>
    </cfRule>
    <cfRule type="cellIs" dxfId="2401" priority="1559" operator="between">
      <formula>0.401</formula>
      <formula>0.659999999999</formula>
    </cfRule>
    <cfRule type="cellIs" dxfId="2400" priority="1560" operator="between">
      <formula>0</formula>
      <formula>0.4</formula>
    </cfRule>
  </conditionalFormatting>
  <conditionalFormatting sqref="U68:U69">
    <cfRule type="cellIs" dxfId="2399" priority="1536" operator="lessThan">
      <formula>0</formula>
    </cfRule>
    <cfRule type="cellIs" dxfId="2398" priority="1537" operator="greaterThan">
      <formula>100.00001%</formula>
    </cfRule>
    <cfRule type="cellIs" dxfId="2397" priority="1538" operator="between">
      <formula>0.66</formula>
      <formula>1</formula>
    </cfRule>
    <cfRule type="cellIs" dxfId="2396" priority="1539" operator="between">
      <formula>0.401</formula>
      <formula>0.659999999999</formula>
    </cfRule>
    <cfRule type="cellIs" dxfId="2395" priority="1540" operator="between">
      <formula>0</formula>
      <formula>0.4</formula>
    </cfRule>
  </conditionalFormatting>
  <conditionalFormatting sqref="U66:U67">
    <cfRule type="cellIs" dxfId="2394" priority="1546" operator="lessThan">
      <formula>0</formula>
    </cfRule>
    <cfRule type="cellIs" dxfId="2393" priority="1547" operator="greaterThan">
      <formula>100.00001%</formula>
    </cfRule>
    <cfRule type="cellIs" dxfId="2392" priority="1548" operator="between">
      <formula>0.66</formula>
      <formula>1</formula>
    </cfRule>
    <cfRule type="cellIs" dxfId="2391" priority="1549" operator="between">
      <formula>0.401</formula>
      <formula>0.659999999999</formula>
    </cfRule>
    <cfRule type="cellIs" dxfId="2390" priority="1550" operator="between">
      <formula>0</formula>
      <formula>0.4</formula>
    </cfRule>
  </conditionalFormatting>
  <conditionalFormatting sqref="U72">
    <cfRule type="cellIs" dxfId="2389" priority="1541" operator="lessThan">
      <formula>0</formula>
    </cfRule>
    <cfRule type="cellIs" dxfId="2388" priority="1542" operator="greaterThan">
      <formula>100.00001%</formula>
    </cfRule>
    <cfRule type="cellIs" dxfId="2387" priority="1543" operator="between">
      <formula>0.66</formula>
      <formula>1</formula>
    </cfRule>
    <cfRule type="cellIs" dxfId="2386" priority="1544" operator="between">
      <formula>0.401</formula>
      <formula>0.659999999999</formula>
    </cfRule>
    <cfRule type="cellIs" dxfId="2385" priority="1545" operator="between">
      <formula>0</formula>
      <formula>0.4</formula>
    </cfRule>
  </conditionalFormatting>
  <conditionalFormatting sqref="U74">
    <cfRule type="cellIs" dxfId="2384" priority="1531" operator="lessThan">
      <formula>0</formula>
    </cfRule>
    <cfRule type="cellIs" dxfId="2383" priority="1532" operator="greaterThan">
      <formula>100.00001%</formula>
    </cfRule>
    <cfRule type="cellIs" dxfId="2382" priority="1533" operator="between">
      <formula>0.66</formula>
      <formula>1</formula>
    </cfRule>
    <cfRule type="cellIs" dxfId="2381" priority="1534" operator="between">
      <formula>0.401</formula>
      <formula>0.659999999999</formula>
    </cfRule>
    <cfRule type="cellIs" dxfId="2380" priority="1535" operator="between">
      <formula>0</formula>
      <formula>0.4</formula>
    </cfRule>
  </conditionalFormatting>
  <conditionalFormatting sqref="U71">
    <cfRule type="cellIs" dxfId="2379" priority="1526" operator="lessThan">
      <formula>0</formula>
    </cfRule>
    <cfRule type="cellIs" dxfId="2378" priority="1527" operator="greaterThan">
      <formula>100.00001%</formula>
    </cfRule>
    <cfRule type="cellIs" dxfId="2377" priority="1528" operator="between">
      <formula>0.66</formula>
      <formula>1</formula>
    </cfRule>
    <cfRule type="cellIs" dxfId="2376" priority="1529" operator="between">
      <formula>0.401</formula>
      <formula>0.659999999999</formula>
    </cfRule>
    <cfRule type="cellIs" dxfId="2375" priority="1530" operator="between">
      <formula>0</formula>
      <formula>0.4</formula>
    </cfRule>
  </conditionalFormatting>
  <conditionalFormatting sqref="U76">
    <cfRule type="cellIs" dxfId="2374" priority="1521" operator="lessThan">
      <formula>0</formula>
    </cfRule>
    <cfRule type="cellIs" dxfId="2373" priority="1522" operator="greaterThan">
      <formula>100.00001%</formula>
    </cfRule>
    <cfRule type="cellIs" dxfId="2372" priority="1523" operator="between">
      <formula>0.66</formula>
      <formula>1</formula>
    </cfRule>
    <cfRule type="cellIs" dxfId="2371" priority="1524" operator="between">
      <formula>0.401</formula>
      <formula>0.659999999999</formula>
    </cfRule>
    <cfRule type="cellIs" dxfId="2370" priority="1525" operator="between">
      <formula>0</formula>
      <formula>0.4</formula>
    </cfRule>
  </conditionalFormatting>
  <conditionalFormatting sqref="U79">
    <cfRule type="cellIs" dxfId="2369" priority="1516" operator="lessThan">
      <formula>0</formula>
    </cfRule>
    <cfRule type="cellIs" dxfId="2368" priority="1517" operator="greaterThan">
      <formula>100.00001%</formula>
    </cfRule>
    <cfRule type="cellIs" dxfId="2367" priority="1518" operator="between">
      <formula>0.66</formula>
      <formula>1</formula>
    </cfRule>
    <cfRule type="cellIs" dxfId="2366" priority="1519" operator="between">
      <formula>0.401</formula>
      <formula>0.659999999999</formula>
    </cfRule>
    <cfRule type="cellIs" dxfId="2365" priority="1520" operator="between">
      <formula>0</formula>
      <formula>0.4</formula>
    </cfRule>
  </conditionalFormatting>
  <conditionalFormatting sqref="U83">
    <cfRule type="cellIs" dxfId="2364" priority="1511" operator="lessThan">
      <formula>0</formula>
    </cfRule>
    <cfRule type="cellIs" dxfId="2363" priority="1512" operator="greaterThan">
      <formula>100.00001%</formula>
    </cfRule>
    <cfRule type="cellIs" dxfId="2362" priority="1513" operator="between">
      <formula>0.66</formula>
      <formula>1</formula>
    </cfRule>
    <cfRule type="cellIs" dxfId="2361" priority="1514" operator="between">
      <formula>0.401</formula>
      <formula>0.659999999999</formula>
    </cfRule>
    <cfRule type="cellIs" dxfId="2360" priority="1515" operator="between">
      <formula>0</formula>
      <formula>0.4</formula>
    </cfRule>
  </conditionalFormatting>
  <conditionalFormatting sqref="U102">
    <cfRule type="cellIs" dxfId="2359" priority="1461" operator="lessThan">
      <formula>0</formula>
    </cfRule>
    <cfRule type="cellIs" dxfId="2358" priority="1462" operator="greaterThan">
      <formula>100.00001%</formula>
    </cfRule>
    <cfRule type="cellIs" dxfId="2357" priority="1463" operator="between">
      <formula>0.66</formula>
      <formula>1</formula>
    </cfRule>
    <cfRule type="cellIs" dxfId="2356" priority="1464" operator="between">
      <formula>0.401</formula>
      <formula>0.659999999999</formula>
    </cfRule>
    <cfRule type="cellIs" dxfId="2355" priority="1465" operator="between">
      <formula>0</formula>
      <formula>0.4</formula>
    </cfRule>
  </conditionalFormatting>
  <conditionalFormatting sqref="U129:U132">
    <cfRule type="cellIs" dxfId="2354" priority="1426" operator="lessThan">
      <formula>0</formula>
    </cfRule>
    <cfRule type="cellIs" dxfId="2353" priority="1427" operator="greaterThan">
      <formula>100.00001%</formula>
    </cfRule>
    <cfRule type="cellIs" dxfId="2352" priority="1428" operator="between">
      <formula>0.66</formula>
      <formula>1</formula>
    </cfRule>
    <cfRule type="cellIs" dxfId="2351" priority="1429" operator="between">
      <formula>0.401</formula>
      <formula>0.659999999999</formula>
    </cfRule>
    <cfRule type="cellIs" dxfId="2350" priority="1430" operator="between">
      <formula>0</formula>
      <formula>0.4</formula>
    </cfRule>
  </conditionalFormatting>
  <conditionalFormatting sqref="U98:U100">
    <cfRule type="cellIs" dxfId="2349" priority="1471" operator="lessThan">
      <formula>0</formula>
    </cfRule>
    <cfRule type="cellIs" dxfId="2348" priority="1472" operator="greaterThan">
      <formula>100.00001%</formula>
    </cfRule>
    <cfRule type="cellIs" dxfId="2347" priority="1473" operator="between">
      <formula>0.66</formula>
      <formula>1</formula>
    </cfRule>
    <cfRule type="cellIs" dxfId="2346" priority="1474" operator="between">
      <formula>0.401</formula>
      <formula>0.659999999999</formula>
    </cfRule>
    <cfRule type="cellIs" dxfId="2345" priority="1475" operator="between">
      <formula>0</formula>
      <formula>0.4</formula>
    </cfRule>
  </conditionalFormatting>
  <conditionalFormatting sqref="U87">
    <cfRule type="cellIs" dxfId="2344" priority="1491" operator="lessThan">
      <formula>0</formula>
    </cfRule>
    <cfRule type="cellIs" dxfId="2343" priority="1492" operator="greaterThan">
      <formula>100.00001%</formula>
    </cfRule>
    <cfRule type="cellIs" dxfId="2342" priority="1493" operator="between">
      <formula>0.66</formula>
      <formula>1</formula>
    </cfRule>
    <cfRule type="cellIs" dxfId="2341" priority="1494" operator="between">
      <formula>0.401</formula>
      <formula>0.659999999999</formula>
    </cfRule>
    <cfRule type="cellIs" dxfId="2340" priority="1495" operator="between">
      <formula>0</formula>
      <formula>0.4</formula>
    </cfRule>
  </conditionalFormatting>
  <conditionalFormatting sqref="U78">
    <cfRule type="cellIs" dxfId="2339" priority="1486" operator="lessThan">
      <formula>0</formula>
    </cfRule>
    <cfRule type="cellIs" dxfId="2338" priority="1487" operator="greaterThan">
      <formula>100.00001%</formula>
    </cfRule>
    <cfRule type="cellIs" dxfId="2337" priority="1488" operator="between">
      <formula>0.66</formula>
      <formula>1</formula>
    </cfRule>
    <cfRule type="cellIs" dxfId="2336" priority="1489" operator="between">
      <formula>0.401</formula>
      <formula>0.659999999999</formula>
    </cfRule>
    <cfRule type="cellIs" dxfId="2335" priority="1490" operator="between">
      <formula>0</formula>
      <formula>0.4</formula>
    </cfRule>
  </conditionalFormatting>
  <conditionalFormatting sqref="U142">
    <cfRule type="cellIs" dxfId="2334" priority="1401" operator="lessThan">
      <formula>0</formula>
    </cfRule>
    <cfRule type="cellIs" dxfId="2333" priority="1402" operator="greaterThan">
      <formula>100.00001%</formula>
    </cfRule>
    <cfRule type="cellIs" dxfId="2332" priority="1403" operator="between">
      <formula>0.66</formula>
      <formula>1</formula>
    </cfRule>
    <cfRule type="cellIs" dxfId="2331" priority="1404" operator="between">
      <formula>0.401</formula>
      <formula>0.659999999999</formula>
    </cfRule>
    <cfRule type="cellIs" dxfId="2330" priority="1405" operator="between">
      <formula>0</formula>
      <formula>0.4</formula>
    </cfRule>
  </conditionalFormatting>
  <conditionalFormatting sqref="U200:U203">
    <cfRule type="cellIs" dxfId="2329" priority="1351" operator="lessThan">
      <formula>0</formula>
    </cfRule>
    <cfRule type="cellIs" dxfId="2328" priority="1352" operator="greaterThan">
      <formula>100.00001%</formula>
    </cfRule>
    <cfRule type="cellIs" dxfId="2327" priority="1353" operator="between">
      <formula>0.66</formula>
      <formula>1</formula>
    </cfRule>
    <cfRule type="cellIs" dxfId="2326" priority="1354" operator="between">
      <formula>0.401</formula>
      <formula>0.659999999999</formula>
    </cfRule>
    <cfRule type="cellIs" dxfId="2325" priority="1355" operator="between">
      <formula>0</formula>
      <formula>0.4</formula>
    </cfRule>
  </conditionalFormatting>
  <conditionalFormatting sqref="U145:U149">
    <cfRule type="cellIs" dxfId="2324" priority="1421" operator="lessThan">
      <formula>0</formula>
    </cfRule>
    <cfRule type="cellIs" dxfId="2323" priority="1422" operator="greaterThan">
      <formula>100.00001%</formula>
    </cfRule>
    <cfRule type="cellIs" dxfId="2322" priority="1423" operator="between">
      <formula>0.66</formula>
      <formula>1</formula>
    </cfRule>
    <cfRule type="cellIs" dxfId="2321" priority="1424" operator="between">
      <formula>0.401</formula>
      <formula>0.659999999999</formula>
    </cfRule>
    <cfRule type="cellIs" dxfId="2320" priority="1425" operator="between">
      <formula>0</formula>
      <formula>0.4</formula>
    </cfRule>
  </conditionalFormatting>
  <conditionalFormatting sqref="U101">
    <cfRule type="cellIs" dxfId="2319" priority="1466" operator="lessThan">
      <formula>0</formula>
    </cfRule>
    <cfRule type="cellIs" dxfId="2318" priority="1467" operator="greaterThan">
      <formula>100.00001%</formula>
    </cfRule>
    <cfRule type="cellIs" dxfId="2317" priority="1468" operator="between">
      <formula>0.66</formula>
      <formula>1</formula>
    </cfRule>
    <cfRule type="cellIs" dxfId="2316" priority="1469" operator="between">
      <formula>0.401</formula>
      <formula>0.659999999999</formula>
    </cfRule>
    <cfRule type="cellIs" dxfId="2315" priority="1470" operator="between">
      <formula>0</formula>
      <formula>0.4</formula>
    </cfRule>
  </conditionalFormatting>
  <conditionalFormatting sqref="U141">
    <cfRule type="cellIs" dxfId="2314" priority="1406" operator="lessThan">
      <formula>0</formula>
    </cfRule>
    <cfRule type="cellIs" dxfId="2313" priority="1407" operator="greaterThan">
      <formula>100.00001%</formula>
    </cfRule>
    <cfRule type="cellIs" dxfId="2312" priority="1408" operator="between">
      <formula>0.66</formula>
      <formula>1</formula>
    </cfRule>
    <cfRule type="cellIs" dxfId="2311" priority="1409" operator="between">
      <formula>0.401</formula>
      <formula>0.659999999999</formula>
    </cfRule>
    <cfRule type="cellIs" dxfId="2310" priority="1410" operator="between">
      <formula>0</formula>
      <formula>0.4</formula>
    </cfRule>
  </conditionalFormatting>
  <conditionalFormatting sqref="U117:U118">
    <cfRule type="cellIs" dxfId="2309" priority="1436" operator="lessThan">
      <formula>0</formula>
    </cfRule>
    <cfRule type="cellIs" dxfId="2308" priority="1437" operator="greaterThan">
      <formula>100.00001%</formula>
    </cfRule>
    <cfRule type="cellIs" dxfId="2307" priority="1438" operator="between">
      <formula>0.66</formula>
      <formula>1</formula>
    </cfRule>
    <cfRule type="cellIs" dxfId="2306" priority="1439" operator="between">
      <formula>0.401</formula>
      <formula>0.659999999999</formula>
    </cfRule>
    <cfRule type="cellIs" dxfId="2305" priority="1440" operator="between">
      <formula>0</formula>
      <formula>0.4</formula>
    </cfRule>
  </conditionalFormatting>
  <conditionalFormatting sqref="U159:U165">
    <cfRule type="cellIs" dxfId="2304" priority="1381" operator="lessThan">
      <formula>0</formula>
    </cfRule>
    <cfRule type="cellIs" dxfId="2303" priority="1382" operator="greaterThan">
      <formula>100.00001%</formula>
    </cfRule>
    <cfRule type="cellIs" dxfId="2302" priority="1383" operator="between">
      <formula>0.66</formula>
      <formula>1</formula>
    </cfRule>
    <cfRule type="cellIs" dxfId="2301" priority="1384" operator="between">
      <formula>0.401</formula>
      <formula>0.659999999999</formula>
    </cfRule>
    <cfRule type="cellIs" dxfId="2300" priority="1385" operator="between">
      <formula>0</formula>
      <formula>0.4</formula>
    </cfRule>
  </conditionalFormatting>
  <conditionalFormatting sqref="U113:U115">
    <cfRule type="cellIs" dxfId="2299" priority="1446" operator="lessThan">
      <formula>0</formula>
    </cfRule>
    <cfRule type="cellIs" dxfId="2298" priority="1447" operator="greaterThan">
      <formula>100.00001%</formula>
    </cfRule>
    <cfRule type="cellIs" dxfId="2297" priority="1448" operator="between">
      <formula>0.66</formula>
      <formula>1</formula>
    </cfRule>
    <cfRule type="cellIs" dxfId="2296" priority="1449" operator="between">
      <formula>0.401</formula>
      <formula>0.659999999999</formula>
    </cfRule>
    <cfRule type="cellIs" dxfId="2295" priority="1450" operator="between">
      <formula>0</formula>
      <formula>0.4</formula>
    </cfRule>
  </conditionalFormatting>
  <conditionalFormatting sqref="U116">
    <cfRule type="cellIs" dxfId="2294" priority="1441" operator="lessThan">
      <formula>0</formula>
    </cfRule>
    <cfRule type="cellIs" dxfId="2293" priority="1442" operator="greaterThan">
      <formula>100.00001%</formula>
    </cfRule>
    <cfRule type="cellIs" dxfId="2292" priority="1443" operator="between">
      <formula>0.66</formula>
      <formula>1</formula>
    </cfRule>
    <cfRule type="cellIs" dxfId="2291" priority="1444" operator="between">
      <formula>0.401</formula>
      <formula>0.659999999999</formula>
    </cfRule>
    <cfRule type="cellIs" dxfId="2290" priority="1445" operator="between">
      <formula>0</formula>
      <formula>0.4</formula>
    </cfRule>
  </conditionalFormatting>
  <conditionalFormatting sqref="U188:U197">
    <cfRule type="cellIs" dxfId="2289" priority="1356" operator="lessThan">
      <formula>0</formula>
    </cfRule>
    <cfRule type="cellIs" dxfId="2288" priority="1357" operator="greaterThan">
      <formula>100.00001%</formula>
    </cfRule>
    <cfRule type="cellIs" dxfId="2287" priority="1358" operator="between">
      <formula>0.66</formula>
      <formula>1</formula>
    </cfRule>
    <cfRule type="cellIs" dxfId="2286" priority="1359" operator="between">
      <formula>0.401</formula>
      <formula>0.659999999999</formula>
    </cfRule>
    <cfRule type="cellIs" dxfId="2285" priority="1360" operator="between">
      <formula>0</formula>
      <formula>0.4</formula>
    </cfRule>
  </conditionalFormatting>
  <conditionalFormatting sqref="U224:U226">
    <cfRule type="cellIs" dxfId="2284" priority="1331" operator="lessThan">
      <formula>0</formula>
    </cfRule>
    <cfRule type="cellIs" dxfId="2283" priority="1332" operator="greaterThan">
      <formula>100.00001%</formula>
    </cfRule>
    <cfRule type="cellIs" dxfId="2282" priority="1333" operator="between">
      <formula>0.66</formula>
      <formula>1</formula>
    </cfRule>
    <cfRule type="cellIs" dxfId="2281" priority="1334" operator="between">
      <formula>0.401</formula>
      <formula>0.659999999999</formula>
    </cfRule>
    <cfRule type="cellIs" dxfId="2280" priority="1335" operator="between">
      <formula>0</formula>
      <formula>0.4</formula>
    </cfRule>
  </conditionalFormatting>
  <conditionalFormatting sqref="U227">
    <cfRule type="cellIs" dxfId="2279" priority="1341" operator="lessThan">
      <formula>0</formula>
    </cfRule>
    <cfRule type="cellIs" dxfId="2278" priority="1342" operator="greaterThan">
      <formula>100.00001%</formula>
    </cfRule>
    <cfRule type="cellIs" dxfId="2277" priority="1343" operator="between">
      <formula>0.66</formula>
      <formula>1</formula>
    </cfRule>
    <cfRule type="cellIs" dxfId="2276" priority="1344" operator="between">
      <formula>0.401</formula>
      <formula>0.659999999999</formula>
    </cfRule>
    <cfRule type="cellIs" dxfId="2275" priority="1345" operator="between">
      <formula>0</formula>
      <formula>0.4</formula>
    </cfRule>
  </conditionalFormatting>
  <conditionalFormatting sqref="U155">
    <cfRule type="cellIs" dxfId="2274" priority="1396" operator="lessThan">
      <formula>0</formula>
    </cfRule>
    <cfRule type="cellIs" dxfId="2273" priority="1397" operator="greaterThan">
      <formula>100.00001%</formula>
    </cfRule>
    <cfRule type="cellIs" dxfId="2272" priority="1398" operator="between">
      <formula>0.66</formula>
      <formula>1</formula>
    </cfRule>
    <cfRule type="cellIs" dxfId="2271" priority="1399" operator="between">
      <formula>0.401</formula>
      <formula>0.659999999999</formula>
    </cfRule>
    <cfRule type="cellIs" dxfId="2270" priority="1400" operator="between">
      <formula>0</formula>
      <formula>0.4</formula>
    </cfRule>
  </conditionalFormatting>
  <conditionalFormatting sqref="U138:U139">
    <cfRule type="cellIs" dxfId="2269" priority="1416" operator="lessThan">
      <formula>0</formula>
    </cfRule>
    <cfRule type="cellIs" dxfId="2268" priority="1417" operator="greaterThan">
      <formula>100.00001%</formula>
    </cfRule>
    <cfRule type="cellIs" dxfId="2267" priority="1418" operator="between">
      <formula>0.66</formula>
      <formula>1</formula>
    </cfRule>
    <cfRule type="cellIs" dxfId="2266" priority="1419" operator="between">
      <formula>0.401</formula>
      <formula>0.659999999999</formula>
    </cfRule>
    <cfRule type="cellIs" dxfId="2265" priority="1420" operator="between">
      <formula>0</formula>
      <formula>0.4</formula>
    </cfRule>
  </conditionalFormatting>
  <conditionalFormatting sqref="U140">
    <cfRule type="cellIs" dxfId="2264" priority="1411" operator="lessThan">
      <formula>0</formula>
    </cfRule>
    <cfRule type="cellIs" dxfId="2263" priority="1412" operator="greaterThan">
      <formula>100.00001%</formula>
    </cfRule>
    <cfRule type="cellIs" dxfId="2262" priority="1413" operator="between">
      <formula>0.66</formula>
      <formula>1</formula>
    </cfRule>
    <cfRule type="cellIs" dxfId="2261" priority="1414" operator="between">
      <formula>0.401</formula>
      <formula>0.659999999999</formula>
    </cfRule>
    <cfRule type="cellIs" dxfId="2260" priority="1415" operator="between">
      <formula>0</formula>
      <formula>0.4</formula>
    </cfRule>
  </conditionalFormatting>
  <conditionalFormatting sqref="U219">
    <cfRule type="cellIs" dxfId="2259" priority="1346" operator="lessThan">
      <formula>0</formula>
    </cfRule>
    <cfRule type="cellIs" dxfId="2258" priority="1347" operator="greaterThan">
      <formula>100.00001%</formula>
    </cfRule>
    <cfRule type="cellIs" dxfId="2257" priority="1348" operator="between">
      <formula>0.66</formula>
      <formula>1</formula>
    </cfRule>
    <cfRule type="cellIs" dxfId="2256" priority="1349" operator="between">
      <formula>0.401</formula>
      <formula>0.659999999999</formula>
    </cfRule>
    <cfRule type="cellIs" dxfId="2255" priority="1350" operator="between">
      <formula>0</formula>
      <formula>0.4</formula>
    </cfRule>
  </conditionalFormatting>
  <conditionalFormatting sqref="U156">
    <cfRule type="cellIs" dxfId="2254" priority="1391" operator="lessThan">
      <formula>0</formula>
    </cfRule>
    <cfRule type="cellIs" dxfId="2253" priority="1392" operator="greaterThan">
      <formula>100.00001%</formula>
    </cfRule>
    <cfRule type="cellIs" dxfId="2252" priority="1393" operator="between">
      <formula>0.66</formula>
      <formula>1</formula>
    </cfRule>
    <cfRule type="cellIs" dxfId="2251" priority="1394" operator="between">
      <formula>0.401</formula>
      <formula>0.659999999999</formula>
    </cfRule>
    <cfRule type="cellIs" dxfId="2250" priority="1395" operator="between">
      <formula>0</formula>
      <formula>0.4</formula>
    </cfRule>
  </conditionalFormatting>
  <conditionalFormatting sqref="U157:U158">
    <cfRule type="cellIs" dxfId="2249" priority="1386" operator="lessThan">
      <formula>0</formula>
    </cfRule>
    <cfRule type="cellIs" dxfId="2248" priority="1387" operator="greaterThan">
      <formula>100.00001%</formula>
    </cfRule>
    <cfRule type="cellIs" dxfId="2247" priority="1388" operator="between">
      <formula>0.66</formula>
      <formula>1</formula>
    </cfRule>
    <cfRule type="cellIs" dxfId="2246" priority="1389" operator="between">
      <formula>0.401</formula>
      <formula>0.659999999999</formula>
    </cfRule>
    <cfRule type="cellIs" dxfId="2245" priority="1390" operator="between">
      <formula>0</formula>
      <formula>0.4</formula>
    </cfRule>
  </conditionalFormatting>
  <conditionalFormatting sqref="U223">
    <cfRule type="cellIs" dxfId="2244" priority="1336" operator="lessThan">
      <formula>0</formula>
    </cfRule>
    <cfRule type="cellIs" dxfId="2243" priority="1337" operator="greaterThan">
      <formula>100.00001%</formula>
    </cfRule>
    <cfRule type="cellIs" dxfId="2242" priority="1338" operator="between">
      <formula>0.66</formula>
      <formula>1</formula>
    </cfRule>
    <cfRule type="cellIs" dxfId="2241" priority="1339" operator="between">
      <formula>0.401</formula>
      <formula>0.659999999999</formula>
    </cfRule>
    <cfRule type="cellIs" dxfId="2240" priority="1340" operator="between">
      <formula>0</formula>
      <formula>0.4</formula>
    </cfRule>
  </conditionalFormatting>
  <conditionalFormatting sqref="U198:U199">
    <cfRule type="cellIs" dxfId="2239" priority="1321" operator="lessThan">
      <formula>0</formula>
    </cfRule>
    <cfRule type="cellIs" dxfId="2238" priority="1322" operator="greaterThan">
      <formula>100.00001%</formula>
    </cfRule>
    <cfRule type="cellIs" dxfId="2237" priority="1323" operator="between">
      <formula>0.66</formula>
      <formula>1</formula>
    </cfRule>
    <cfRule type="cellIs" dxfId="2236" priority="1324" operator="between">
      <formula>0.401</formula>
      <formula>0.659999999999</formula>
    </cfRule>
    <cfRule type="cellIs" dxfId="2235" priority="1325" operator="between">
      <formula>0</formula>
      <formula>0.4</formula>
    </cfRule>
  </conditionalFormatting>
  <conditionalFormatting sqref="U168:U178">
    <cfRule type="cellIs" dxfId="2234" priority="1376" operator="lessThan">
      <formula>0</formula>
    </cfRule>
    <cfRule type="cellIs" dxfId="2233" priority="1377" operator="greaterThan">
      <formula>100.00001%</formula>
    </cfRule>
    <cfRule type="cellIs" dxfId="2232" priority="1378" operator="between">
      <formula>0.66</formula>
      <formula>1</formula>
    </cfRule>
    <cfRule type="cellIs" dxfId="2231" priority="1379" operator="between">
      <formula>0.401</formula>
      <formula>0.659999999999</formula>
    </cfRule>
    <cfRule type="cellIs" dxfId="2230" priority="1380" operator="between">
      <formula>0</formula>
      <formula>0.4</formula>
    </cfRule>
  </conditionalFormatting>
  <conditionalFormatting sqref="U166">
    <cfRule type="cellIs" dxfId="2229" priority="1371" operator="lessThan">
      <formula>0</formula>
    </cfRule>
    <cfRule type="cellIs" dxfId="2228" priority="1372" operator="greaterThan">
      <formula>100.00001%</formula>
    </cfRule>
    <cfRule type="cellIs" dxfId="2227" priority="1373" operator="between">
      <formula>0.66</formula>
      <formula>1</formula>
    </cfRule>
    <cfRule type="cellIs" dxfId="2226" priority="1374" operator="between">
      <formula>0.401</formula>
      <formula>0.659999999999</formula>
    </cfRule>
    <cfRule type="cellIs" dxfId="2225" priority="1375" operator="between">
      <formula>0</formula>
      <formula>0.4</formula>
    </cfRule>
  </conditionalFormatting>
  <conditionalFormatting sqref="U179:U180">
    <cfRule type="cellIs" dxfId="2224" priority="1366" operator="lessThan">
      <formula>0</formula>
    </cfRule>
    <cfRule type="cellIs" dxfId="2223" priority="1367" operator="greaterThan">
      <formula>100.00001%</formula>
    </cfRule>
    <cfRule type="cellIs" dxfId="2222" priority="1368" operator="between">
      <formula>0.66</formula>
      <formula>1</formula>
    </cfRule>
    <cfRule type="cellIs" dxfId="2221" priority="1369" operator="between">
      <formula>0.401</formula>
      <formula>0.659999999999</formula>
    </cfRule>
    <cfRule type="cellIs" dxfId="2220" priority="1370" operator="between">
      <formula>0</formula>
      <formula>0.4</formula>
    </cfRule>
  </conditionalFormatting>
  <conditionalFormatting sqref="U181:U186">
    <cfRule type="cellIs" dxfId="2219" priority="1361" operator="lessThan">
      <formula>0</formula>
    </cfRule>
    <cfRule type="cellIs" dxfId="2218" priority="1362" operator="greaterThan">
      <formula>100.00001%</formula>
    </cfRule>
    <cfRule type="cellIs" dxfId="2217" priority="1363" operator="between">
      <formula>0.66</formula>
      <formula>1</formula>
    </cfRule>
    <cfRule type="cellIs" dxfId="2216" priority="1364" operator="between">
      <formula>0.401</formula>
      <formula>0.659999999999</formula>
    </cfRule>
    <cfRule type="cellIs" dxfId="2215" priority="1365" operator="between">
      <formula>0</formula>
      <formula>0.4</formula>
    </cfRule>
  </conditionalFormatting>
  <conditionalFormatting sqref="U249:U252">
    <cfRule type="cellIs" dxfId="2214" priority="1326" operator="lessThan">
      <formula>0</formula>
    </cfRule>
    <cfRule type="cellIs" dxfId="2213" priority="1327" operator="greaterThan">
      <formula>100.00001%</formula>
    </cfRule>
    <cfRule type="cellIs" dxfId="2212" priority="1328" operator="between">
      <formula>0.66</formula>
      <formula>1</formula>
    </cfRule>
    <cfRule type="cellIs" dxfId="2211" priority="1329" operator="between">
      <formula>0.401</formula>
      <formula>0.659999999999</formula>
    </cfRule>
    <cfRule type="cellIs" dxfId="2210" priority="1330" operator="between">
      <formula>0</formula>
      <formula>0.4</formula>
    </cfRule>
  </conditionalFormatting>
  <conditionalFormatting sqref="U253:U257">
    <cfRule type="cellIs" dxfId="2209" priority="1316" operator="lessThan">
      <formula>0</formula>
    </cfRule>
    <cfRule type="cellIs" dxfId="2208" priority="1317" operator="greaterThan">
      <formula>100.00001%</formula>
    </cfRule>
    <cfRule type="cellIs" dxfId="2207" priority="1318" operator="between">
      <formula>0.66</formula>
      <formula>1</formula>
    </cfRule>
    <cfRule type="cellIs" dxfId="2206" priority="1319" operator="between">
      <formula>0.401</formula>
      <formula>0.659999999999</formula>
    </cfRule>
    <cfRule type="cellIs" dxfId="2205" priority="1320" operator="between">
      <formula>0</formula>
      <formula>0.4</formula>
    </cfRule>
  </conditionalFormatting>
  <conditionalFormatting sqref="U258:U260">
    <cfRule type="cellIs" dxfId="2204" priority="1311" operator="lessThan">
      <formula>0</formula>
    </cfRule>
    <cfRule type="cellIs" dxfId="2203" priority="1312" operator="greaterThan">
      <formula>100.00001%</formula>
    </cfRule>
    <cfRule type="cellIs" dxfId="2202" priority="1313" operator="between">
      <formula>0.66</formula>
      <formula>1</formula>
    </cfRule>
    <cfRule type="cellIs" dxfId="2201" priority="1314" operator="between">
      <formula>0.401</formula>
      <formula>0.659999999999</formula>
    </cfRule>
    <cfRule type="cellIs" dxfId="2200" priority="1315" operator="between">
      <formula>0</formula>
      <formula>0.4</formula>
    </cfRule>
  </conditionalFormatting>
  <conditionalFormatting sqref="U261">
    <cfRule type="cellIs" dxfId="2199" priority="1306" operator="lessThan">
      <formula>0</formula>
    </cfRule>
    <cfRule type="cellIs" dxfId="2198" priority="1307" operator="greaterThan">
      <formula>100.00001%</formula>
    </cfRule>
    <cfRule type="cellIs" dxfId="2197" priority="1308" operator="between">
      <formula>0.66</formula>
      <formula>1</formula>
    </cfRule>
    <cfRule type="cellIs" dxfId="2196" priority="1309" operator="between">
      <formula>0.401</formula>
      <formula>0.659999999999</formula>
    </cfRule>
    <cfRule type="cellIs" dxfId="2195" priority="1310" operator="between">
      <formula>0</formula>
      <formula>0.4</formula>
    </cfRule>
  </conditionalFormatting>
  <conditionalFormatting sqref="U278">
    <cfRule type="cellIs" dxfId="2194" priority="1301" operator="lessThan">
      <formula>0</formula>
    </cfRule>
    <cfRule type="cellIs" dxfId="2193" priority="1302" operator="greaterThan">
      <formula>100.00001%</formula>
    </cfRule>
    <cfRule type="cellIs" dxfId="2192" priority="1303" operator="between">
      <formula>0.66</formula>
      <formula>1</formula>
    </cfRule>
    <cfRule type="cellIs" dxfId="2191" priority="1304" operator="between">
      <formula>0.401</formula>
      <formula>0.659999999999</formula>
    </cfRule>
    <cfRule type="cellIs" dxfId="2190" priority="1305" operator="between">
      <formula>0</formula>
      <formula>0.4</formula>
    </cfRule>
  </conditionalFormatting>
  <conditionalFormatting sqref="U281:U282">
    <cfRule type="cellIs" dxfId="2189" priority="1296" operator="lessThan">
      <formula>0</formula>
    </cfRule>
    <cfRule type="cellIs" dxfId="2188" priority="1297" operator="greaterThan">
      <formula>100.00001%</formula>
    </cfRule>
    <cfRule type="cellIs" dxfId="2187" priority="1298" operator="between">
      <formula>0.66</formula>
      <formula>1</formula>
    </cfRule>
    <cfRule type="cellIs" dxfId="2186" priority="1299" operator="between">
      <formula>0.401</formula>
      <formula>0.659999999999</formula>
    </cfRule>
    <cfRule type="cellIs" dxfId="2185" priority="1300" operator="between">
      <formula>0</formula>
      <formula>0.4</formula>
    </cfRule>
  </conditionalFormatting>
  <conditionalFormatting sqref="U264">
    <cfRule type="cellIs" dxfId="2184" priority="1291" operator="lessThan">
      <formula>0</formula>
    </cfRule>
    <cfRule type="cellIs" dxfId="2183" priority="1292" operator="greaterThan">
      <formula>100.00001%</formula>
    </cfRule>
    <cfRule type="cellIs" dxfId="2182" priority="1293" operator="between">
      <formula>0.66</formula>
      <formula>1</formula>
    </cfRule>
    <cfRule type="cellIs" dxfId="2181" priority="1294" operator="between">
      <formula>0.401</formula>
      <formula>0.659999999999</formula>
    </cfRule>
    <cfRule type="cellIs" dxfId="2180" priority="1295" operator="between">
      <formula>0</formula>
      <formula>0.4</formula>
    </cfRule>
  </conditionalFormatting>
  <conditionalFormatting sqref="U283:U286">
    <cfRule type="cellIs" dxfId="2179" priority="1286" operator="lessThan">
      <formula>0</formula>
    </cfRule>
    <cfRule type="cellIs" dxfId="2178" priority="1287" operator="greaterThan">
      <formula>100.00001%</formula>
    </cfRule>
    <cfRule type="cellIs" dxfId="2177" priority="1288" operator="between">
      <formula>0.66</formula>
      <formula>1</formula>
    </cfRule>
    <cfRule type="cellIs" dxfId="2176" priority="1289" operator="between">
      <formula>0.401</formula>
      <formula>0.659999999999</formula>
    </cfRule>
    <cfRule type="cellIs" dxfId="2175" priority="1290" operator="between">
      <formula>0</formula>
      <formula>0.4</formula>
    </cfRule>
  </conditionalFormatting>
  <conditionalFormatting sqref="U287">
    <cfRule type="cellIs" dxfId="2174" priority="1281" operator="lessThan">
      <formula>0</formula>
    </cfRule>
    <cfRule type="cellIs" dxfId="2173" priority="1282" operator="greaterThan">
      <formula>100.00001%</formula>
    </cfRule>
    <cfRule type="cellIs" dxfId="2172" priority="1283" operator="between">
      <formula>0.66</formula>
      <formula>1</formula>
    </cfRule>
    <cfRule type="cellIs" dxfId="2171" priority="1284" operator="between">
      <formula>0.401</formula>
      <formula>0.659999999999</formula>
    </cfRule>
    <cfRule type="cellIs" dxfId="2170" priority="1285" operator="between">
      <formula>0</formula>
      <formula>0.4</formula>
    </cfRule>
  </conditionalFormatting>
  <conditionalFormatting sqref="U265:U266">
    <cfRule type="cellIs" dxfId="2169" priority="1276" operator="lessThan">
      <formula>0</formula>
    </cfRule>
    <cfRule type="cellIs" dxfId="2168" priority="1277" operator="greaterThan">
      <formula>100.00001%</formula>
    </cfRule>
    <cfRule type="cellIs" dxfId="2167" priority="1278" operator="between">
      <formula>0.66</formula>
      <formula>1</formula>
    </cfRule>
    <cfRule type="cellIs" dxfId="2166" priority="1279" operator="between">
      <formula>0.401</formula>
      <formula>0.659999999999</formula>
    </cfRule>
    <cfRule type="cellIs" dxfId="2165" priority="1280" operator="between">
      <formula>0</formula>
      <formula>0.4</formula>
    </cfRule>
  </conditionalFormatting>
  <conditionalFormatting sqref="U288:U290">
    <cfRule type="cellIs" dxfId="2164" priority="1271" operator="lessThan">
      <formula>0</formula>
    </cfRule>
    <cfRule type="cellIs" dxfId="2163" priority="1272" operator="greaterThan">
      <formula>100.00001%</formula>
    </cfRule>
    <cfRule type="cellIs" dxfId="2162" priority="1273" operator="between">
      <formula>0.66</formula>
      <formula>1</formula>
    </cfRule>
    <cfRule type="cellIs" dxfId="2161" priority="1274" operator="between">
      <formula>0.401</formula>
      <formula>0.659999999999</formula>
    </cfRule>
    <cfRule type="cellIs" dxfId="2160" priority="1275" operator="between">
      <formula>0</formula>
      <formula>0.4</formula>
    </cfRule>
  </conditionalFormatting>
  <conditionalFormatting sqref="U267">
    <cfRule type="cellIs" dxfId="2159" priority="1266" operator="lessThan">
      <formula>0</formula>
    </cfRule>
    <cfRule type="cellIs" dxfId="2158" priority="1267" operator="greaterThan">
      <formula>100.00001%</formula>
    </cfRule>
    <cfRule type="cellIs" dxfId="2157" priority="1268" operator="between">
      <formula>0.66</formula>
      <formula>1</formula>
    </cfRule>
    <cfRule type="cellIs" dxfId="2156" priority="1269" operator="between">
      <formula>0.401</formula>
      <formula>0.659999999999</formula>
    </cfRule>
    <cfRule type="cellIs" dxfId="2155" priority="1270" operator="between">
      <formula>0</formula>
      <formula>0.4</formula>
    </cfRule>
  </conditionalFormatting>
  <conditionalFormatting sqref="U291:U293">
    <cfRule type="cellIs" dxfId="2154" priority="1261" operator="lessThan">
      <formula>0</formula>
    </cfRule>
    <cfRule type="cellIs" dxfId="2153" priority="1262" operator="greaterThan">
      <formula>100.00001%</formula>
    </cfRule>
    <cfRule type="cellIs" dxfId="2152" priority="1263" operator="between">
      <formula>0.66</formula>
      <formula>1</formula>
    </cfRule>
    <cfRule type="cellIs" dxfId="2151" priority="1264" operator="between">
      <formula>0.401</formula>
      <formula>0.659999999999</formula>
    </cfRule>
    <cfRule type="cellIs" dxfId="2150" priority="1265" operator="between">
      <formula>0</formula>
      <formula>0.4</formula>
    </cfRule>
  </conditionalFormatting>
  <conditionalFormatting sqref="U308">
    <cfRule type="cellIs" dxfId="2149" priority="1256" operator="lessThan">
      <formula>0</formula>
    </cfRule>
    <cfRule type="cellIs" dxfId="2148" priority="1257" operator="greaterThan">
      <formula>100.00001%</formula>
    </cfRule>
    <cfRule type="cellIs" dxfId="2147" priority="1258" operator="between">
      <formula>0.66</formula>
      <formula>1</formula>
    </cfRule>
    <cfRule type="cellIs" dxfId="2146" priority="1259" operator="between">
      <formula>0.401</formula>
      <formula>0.659999999999</formula>
    </cfRule>
    <cfRule type="cellIs" dxfId="2145" priority="1260" operator="between">
      <formula>0</formula>
      <formula>0.4</formula>
    </cfRule>
  </conditionalFormatting>
  <conditionalFormatting sqref="U309:U310">
    <cfRule type="cellIs" dxfId="2144" priority="1251" operator="lessThan">
      <formula>0</formula>
    </cfRule>
    <cfRule type="cellIs" dxfId="2143" priority="1252" operator="greaterThan">
      <formula>100.00001%</formula>
    </cfRule>
    <cfRule type="cellIs" dxfId="2142" priority="1253" operator="between">
      <formula>0.66</formula>
      <formula>1</formula>
    </cfRule>
    <cfRule type="cellIs" dxfId="2141" priority="1254" operator="between">
      <formula>0.401</formula>
      <formula>0.659999999999</formula>
    </cfRule>
    <cfRule type="cellIs" dxfId="2140" priority="1255" operator="between">
      <formula>0</formula>
      <formula>0.4</formula>
    </cfRule>
  </conditionalFormatting>
  <conditionalFormatting sqref="U263">
    <cfRule type="cellIs" dxfId="2139" priority="1246" operator="lessThan">
      <formula>0</formula>
    </cfRule>
    <cfRule type="cellIs" dxfId="2138" priority="1247" operator="greaterThan">
      <formula>100.00001%</formula>
    </cfRule>
    <cfRule type="cellIs" dxfId="2137" priority="1248" operator="between">
      <formula>0.66</formula>
      <formula>1</formula>
    </cfRule>
    <cfRule type="cellIs" dxfId="2136" priority="1249" operator="between">
      <formula>0.401</formula>
      <formula>0.659999999999</formula>
    </cfRule>
    <cfRule type="cellIs" dxfId="2135" priority="1250" operator="between">
      <formula>0</formula>
      <formula>0.4</formula>
    </cfRule>
  </conditionalFormatting>
  <conditionalFormatting sqref="U262">
    <cfRule type="cellIs" dxfId="2134" priority="1241" operator="lessThan">
      <formula>0</formula>
    </cfRule>
    <cfRule type="cellIs" dxfId="2133" priority="1242" operator="greaterThan">
      <formula>100.00001%</formula>
    </cfRule>
    <cfRule type="cellIs" dxfId="2132" priority="1243" operator="between">
      <formula>0.66</formula>
      <formula>1</formula>
    </cfRule>
    <cfRule type="cellIs" dxfId="2131" priority="1244" operator="between">
      <formula>0.401</formula>
      <formula>0.659999999999</formula>
    </cfRule>
    <cfRule type="cellIs" dxfId="2130" priority="1245" operator="between">
      <formula>0</formula>
      <formula>0.4</formula>
    </cfRule>
  </conditionalFormatting>
  <conditionalFormatting sqref="U268:U272">
    <cfRule type="cellIs" dxfId="2129" priority="1236" operator="lessThan">
      <formula>0</formula>
    </cfRule>
    <cfRule type="cellIs" dxfId="2128" priority="1237" operator="greaterThan">
      <formula>100.00001%</formula>
    </cfRule>
    <cfRule type="cellIs" dxfId="2127" priority="1238" operator="between">
      <formula>0.66</formula>
      <formula>1</formula>
    </cfRule>
    <cfRule type="cellIs" dxfId="2126" priority="1239" operator="between">
      <formula>0.401</formula>
      <formula>0.659999999999</formula>
    </cfRule>
    <cfRule type="cellIs" dxfId="2125" priority="1240" operator="between">
      <formula>0</formula>
      <formula>0.4</formula>
    </cfRule>
  </conditionalFormatting>
  <conditionalFormatting sqref="U349:U354">
    <cfRule type="cellIs" dxfId="2124" priority="1211" operator="lessThan">
      <formula>0</formula>
    </cfRule>
    <cfRule type="cellIs" dxfId="2123" priority="1212" operator="greaterThan">
      <formula>100.00001%</formula>
    </cfRule>
    <cfRule type="cellIs" dxfId="2122" priority="1213" operator="between">
      <formula>0.66</formula>
      <formula>1</formula>
    </cfRule>
    <cfRule type="cellIs" dxfId="2121" priority="1214" operator="between">
      <formula>0.401</formula>
      <formula>0.659999999999</formula>
    </cfRule>
    <cfRule type="cellIs" dxfId="2120" priority="1215" operator="between">
      <formula>0</formula>
      <formula>0.4</formula>
    </cfRule>
  </conditionalFormatting>
  <conditionalFormatting sqref="U343:U344">
    <cfRule type="cellIs" dxfId="2119" priority="1231" operator="lessThan">
      <formula>0</formula>
    </cfRule>
    <cfRule type="cellIs" dxfId="2118" priority="1232" operator="greaterThan">
      <formula>100.00001%</formula>
    </cfRule>
    <cfRule type="cellIs" dxfId="2117" priority="1233" operator="between">
      <formula>0.66</formula>
      <formula>1</formula>
    </cfRule>
    <cfRule type="cellIs" dxfId="2116" priority="1234" operator="between">
      <formula>0.401</formula>
      <formula>0.659999999999</formula>
    </cfRule>
    <cfRule type="cellIs" dxfId="2115" priority="1235" operator="between">
      <formula>0</formula>
      <formula>0.4</formula>
    </cfRule>
  </conditionalFormatting>
  <conditionalFormatting sqref="U334">
    <cfRule type="cellIs" dxfId="2114" priority="1226" operator="lessThan">
      <formula>0</formula>
    </cfRule>
    <cfRule type="cellIs" dxfId="2113" priority="1227" operator="greaterThan">
      <formula>100.00001%</formula>
    </cfRule>
    <cfRule type="cellIs" dxfId="2112" priority="1228" operator="between">
      <formula>0.66</formula>
      <formula>1</formula>
    </cfRule>
    <cfRule type="cellIs" dxfId="2111" priority="1229" operator="between">
      <formula>0.401</formula>
      <formula>0.659999999999</formula>
    </cfRule>
    <cfRule type="cellIs" dxfId="2110" priority="1230" operator="between">
      <formula>0</formula>
      <formula>0.4</formula>
    </cfRule>
  </conditionalFormatting>
  <conditionalFormatting sqref="U359:U360">
    <cfRule type="cellIs" dxfId="2109" priority="1201" operator="lessThan">
      <formula>0</formula>
    </cfRule>
    <cfRule type="cellIs" dxfId="2108" priority="1202" operator="greaterThan">
      <formula>100.00001%</formula>
    </cfRule>
    <cfRule type="cellIs" dxfId="2107" priority="1203" operator="between">
      <formula>0.66</formula>
      <formula>1</formula>
    </cfRule>
    <cfRule type="cellIs" dxfId="2106" priority="1204" operator="between">
      <formula>0.401</formula>
      <formula>0.659999999999</formula>
    </cfRule>
    <cfRule type="cellIs" dxfId="2105" priority="1205" operator="between">
      <formula>0</formula>
      <formula>0.4</formula>
    </cfRule>
  </conditionalFormatting>
  <conditionalFormatting sqref="U311:U333">
    <cfRule type="cellIs" dxfId="2104" priority="1221" operator="lessThan">
      <formula>0</formula>
    </cfRule>
    <cfRule type="cellIs" dxfId="2103" priority="1222" operator="greaterThan">
      <formula>100.00001%</formula>
    </cfRule>
    <cfRule type="cellIs" dxfId="2102" priority="1223" operator="between">
      <formula>0.66</formula>
      <formula>1</formula>
    </cfRule>
    <cfRule type="cellIs" dxfId="2101" priority="1224" operator="between">
      <formula>0.401</formula>
      <formula>0.659999999999</formula>
    </cfRule>
    <cfRule type="cellIs" dxfId="2100" priority="1225" operator="between">
      <formula>0</formula>
      <formula>0.4</formula>
    </cfRule>
  </conditionalFormatting>
  <conditionalFormatting sqref="U346">
    <cfRule type="cellIs" dxfId="2099" priority="1216" operator="lessThan">
      <formula>0</formula>
    </cfRule>
    <cfRule type="cellIs" dxfId="2098" priority="1217" operator="greaterThan">
      <formula>100.00001%</formula>
    </cfRule>
    <cfRule type="cellIs" dxfId="2097" priority="1218" operator="between">
      <formula>0.66</formula>
      <formula>1</formula>
    </cfRule>
    <cfRule type="cellIs" dxfId="2096" priority="1219" operator="between">
      <formula>0.401</formula>
      <formula>0.659999999999</formula>
    </cfRule>
    <cfRule type="cellIs" dxfId="2095" priority="1220" operator="between">
      <formula>0</formula>
      <formula>0.4</formula>
    </cfRule>
  </conditionalFormatting>
  <conditionalFormatting sqref="U373">
    <cfRule type="cellIs" dxfId="2094" priority="1191" operator="lessThan">
      <formula>0</formula>
    </cfRule>
    <cfRule type="cellIs" dxfId="2093" priority="1192" operator="greaterThan">
      <formula>100.00001%</formula>
    </cfRule>
    <cfRule type="cellIs" dxfId="2092" priority="1193" operator="between">
      <formula>0.66</formula>
      <formula>1</formula>
    </cfRule>
    <cfRule type="cellIs" dxfId="2091" priority="1194" operator="between">
      <formula>0.401</formula>
      <formula>0.659999999999</formula>
    </cfRule>
    <cfRule type="cellIs" dxfId="2090" priority="1195" operator="between">
      <formula>0</formula>
      <formula>0.4</formula>
    </cfRule>
  </conditionalFormatting>
  <conditionalFormatting sqref="U355">
    <cfRule type="cellIs" dxfId="2089" priority="1206" operator="lessThan">
      <formula>0</formula>
    </cfRule>
    <cfRule type="cellIs" dxfId="2088" priority="1207" operator="greaterThan">
      <formula>100.00001%</formula>
    </cfRule>
    <cfRule type="cellIs" dxfId="2087" priority="1208" operator="between">
      <formula>0.66</formula>
      <formula>1</formula>
    </cfRule>
    <cfRule type="cellIs" dxfId="2086" priority="1209" operator="between">
      <formula>0.401</formula>
      <formula>0.659999999999</formula>
    </cfRule>
    <cfRule type="cellIs" dxfId="2085" priority="1210" operator="between">
      <formula>0</formula>
      <formula>0.4</formula>
    </cfRule>
  </conditionalFormatting>
  <conditionalFormatting sqref="U376:U378">
    <cfRule type="cellIs" dxfId="2084" priority="1181" operator="lessThan">
      <formula>0</formula>
    </cfRule>
    <cfRule type="cellIs" dxfId="2083" priority="1182" operator="greaterThan">
      <formula>100.00001%</formula>
    </cfRule>
    <cfRule type="cellIs" dxfId="2082" priority="1183" operator="between">
      <formula>0.66</formula>
      <formula>1</formula>
    </cfRule>
    <cfRule type="cellIs" dxfId="2081" priority="1184" operator="between">
      <formula>0.401</formula>
      <formula>0.659999999999</formula>
    </cfRule>
    <cfRule type="cellIs" dxfId="2080" priority="1185" operator="between">
      <formula>0</formula>
      <formula>0.4</formula>
    </cfRule>
  </conditionalFormatting>
  <conditionalFormatting sqref="U366:U372">
    <cfRule type="cellIs" dxfId="2079" priority="1196" operator="lessThan">
      <formula>0</formula>
    </cfRule>
    <cfRule type="cellIs" dxfId="2078" priority="1197" operator="greaterThan">
      <formula>100.00001%</formula>
    </cfRule>
    <cfRule type="cellIs" dxfId="2077" priority="1198" operator="between">
      <formula>0.66</formula>
      <formula>1</formula>
    </cfRule>
    <cfRule type="cellIs" dxfId="2076" priority="1199" operator="between">
      <formula>0.401</formula>
      <formula>0.659999999999</formula>
    </cfRule>
    <cfRule type="cellIs" dxfId="2075" priority="1200" operator="between">
      <formula>0</formula>
      <formula>0.4</formula>
    </cfRule>
  </conditionalFormatting>
  <conditionalFormatting sqref="U406:U411">
    <cfRule type="cellIs" dxfId="2074" priority="1161" operator="lessThan">
      <formula>0</formula>
    </cfRule>
    <cfRule type="cellIs" dxfId="2073" priority="1162" operator="greaterThan">
      <formula>100.00001%</formula>
    </cfRule>
    <cfRule type="cellIs" dxfId="2072" priority="1163" operator="between">
      <formula>0.66</formula>
      <formula>1</formula>
    </cfRule>
    <cfRule type="cellIs" dxfId="2071" priority="1164" operator="between">
      <formula>0.401</formula>
      <formula>0.659999999999</formula>
    </cfRule>
    <cfRule type="cellIs" dxfId="2070" priority="1165" operator="between">
      <formula>0</formula>
      <formula>0.4</formula>
    </cfRule>
  </conditionalFormatting>
  <conditionalFormatting sqref="U374:U375">
    <cfRule type="cellIs" dxfId="2069" priority="1186" operator="lessThan">
      <formula>0</formula>
    </cfRule>
    <cfRule type="cellIs" dxfId="2068" priority="1187" operator="greaterThan">
      <formula>100.00001%</formula>
    </cfRule>
    <cfRule type="cellIs" dxfId="2067" priority="1188" operator="between">
      <formula>0.66</formula>
      <formula>1</formula>
    </cfRule>
    <cfRule type="cellIs" dxfId="2066" priority="1189" operator="between">
      <formula>0.401</formula>
      <formula>0.659999999999</formula>
    </cfRule>
    <cfRule type="cellIs" dxfId="2065" priority="1190" operator="between">
      <formula>0</formula>
      <formula>0.4</formula>
    </cfRule>
  </conditionalFormatting>
  <conditionalFormatting sqref="U415:U418">
    <cfRule type="cellIs" dxfId="2064" priority="1151" operator="lessThan">
      <formula>0</formula>
    </cfRule>
    <cfRule type="cellIs" dxfId="2063" priority="1152" operator="greaterThan">
      <formula>100.00001%</formula>
    </cfRule>
    <cfRule type="cellIs" dxfId="2062" priority="1153" operator="between">
      <formula>0.66</formula>
      <formula>1</formula>
    </cfRule>
    <cfRule type="cellIs" dxfId="2061" priority="1154" operator="between">
      <formula>0.401</formula>
      <formula>0.659999999999</formula>
    </cfRule>
    <cfRule type="cellIs" dxfId="2060" priority="1155" operator="between">
      <formula>0</formula>
      <formula>0.4</formula>
    </cfRule>
  </conditionalFormatting>
  <conditionalFormatting sqref="U379:U395">
    <cfRule type="cellIs" dxfId="2059" priority="1176" operator="lessThan">
      <formula>0</formula>
    </cfRule>
    <cfRule type="cellIs" dxfId="2058" priority="1177" operator="greaterThan">
      <formula>100.00001%</formula>
    </cfRule>
    <cfRule type="cellIs" dxfId="2057" priority="1178" operator="between">
      <formula>0.66</formula>
      <formula>1</formula>
    </cfRule>
    <cfRule type="cellIs" dxfId="2056" priority="1179" operator="between">
      <formula>0.401</formula>
      <formula>0.659999999999</formula>
    </cfRule>
    <cfRule type="cellIs" dxfId="2055" priority="1180" operator="between">
      <formula>0</formula>
      <formula>0.4</formula>
    </cfRule>
  </conditionalFormatting>
  <conditionalFormatting sqref="U401:U405">
    <cfRule type="cellIs" dxfId="2054" priority="1171" operator="lessThan">
      <formula>0</formula>
    </cfRule>
    <cfRule type="cellIs" dxfId="2053" priority="1172" operator="greaterThan">
      <formula>100.00001%</formula>
    </cfRule>
    <cfRule type="cellIs" dxfId="2052" priority="1173" operator="between">
      <formula>0.66</formula>
      <formula>1</formula>
    </cfRule>
    <cfRule type="cellIs" dxfId="2051" priority="1174" operator="between">
      <formula>0.401</formula>
      <formula>0.659999999999</formula>
    </cfRule>
    <cfRule type="cellIs" dxfId="2050" priority="1175" operator="between">
      <formula>0</formula>
      <formula>0.4</formula>
    </cfRule>
  </conditionalFormatting>
  <conditionalFormatting sqref="U396">
    <cfRule type="cellIs" dxfId="2049" priority="1166" operator="lessThan">
      <formula>0</formula>
    </cfRule>
    <cfRule type="cellIs" dxfId="2048" priority="1167" operator="greaterThan">
      <formula>100.00001%</formula>
    </cfRule>
    <cfRule type="cellIs" dxfId="2047" priority="1168" operator="between">
      <formula>0.66</formula>
      <formula>1</formula>
    </cfRule>
    <cfRule type="cellIs" dxfId="2046" priority="1169" operator="between">
      <formula>0.401</formula>
      <formula>0.659999999999</formula>
    </cfRule>
    <cfRule type="cellIs" dxfId="2045" priority="1170" operator="between">
      <formula>0</formula>
      <formula>0.4</formula>
    </cfRule>
  </conditionalFormatting>
  <conditionalFormatting sqref="U449:U452">
    <cfRule type="cellIs" dxfId="2044" priority="1116" operator="lessThan">
      <formula>0</formula>
    </cfRule>
    <cfRule type="cellIs" dxfId="2043" priority="1117" operator="greaterThan">
      <formula>100.00001%</formula>
    </cfRule>
    <cfRule type="cellIs" dxfId="2042" priority="1118" operator="between">
      <formula>0.66</formula>
      <formula>1</formula>
    </cfRule>
    <cfRule type="cellIs" dxfId="2041" priority="1119" operator="between">
      <formula>0.401</formula>
      <formula>0.659999999999</formula>
    </cfRule>
    <cfRule type="cellIs" dxfId="2040" priority="1120" operator="between">
      <formula>0</formula>
      <formula>0.4</formula>
    </cfRule>
  </conditionalFormatting>
  <conditionalFormatting sqref="U413:U414">
    <cfRule type="cellIs" dxfId="2039" priority="1156" operator="lessThan">
      <formula>0</formula>
    </cfRule>
    <cfRule type="cellIs" dxfId="2038" priority="1157" operator="greaterThan">
      <formula>100.00001%</formula>
    </cfRule>
    <cfRule type="cellIs" dxfId="2037" priority="1158" operator="between">
      <formula>0.66</formula>
      <formula>1</formula>
    </cfRule>
    <cfRule type="cellIs" dxfId="2036" priority="1159" operator="between">
      <formula>0.401</formula>
      <formula>0.659999999999</formula>
    </cfRule>
    <cfRule type="cellIs" dxfId="2035" priority="1160" operator="between">
      <formula>0</formula>
      <formula>0.4</formula>
    </cfRule>
  </conditionalFormatting>
  <conditionalFormatting sqref="U432">
    <cfRule type="cellIs" dxfId="2034" priority="1131" operator="lessThan">
      <formula>0</formula>
    </cfRule>
    <cfRule type="cellIs" dxfId="2033" priority="1132" operator="greaterThan">
      <formula>100.00001%</formula>
    </cfRule>
    <cfRule type="cellIs" dxfId="2032" priority="1133" operator="between">
      <formula>0.66</formula>
      <formula>1</formula>
    </cfRule>
    <cfRule type="cellIs" dxfId="2031" priority="1134" operator="between">
      <formula>0.401</formula>
      <formula>0.659999999999</formula>
    </cfRule>
    <cfRule type="cellIs" dxfId="2030" priority="1135" operator="between">
      <formula>0</formula>
      <formula>0.4</formula>
    </cfRule>
  </conditionalFormatting>
  <conditionalFormatting sqref="U419:U420">
    <cfRule type="cellIs" dxfId="2029" priority="1146" operator="lessThan">
      <formula>0</formula>
    </cfRule>
    <cfRule type="cellIs" dxfId="2028" priority="1147" operator="greaterThan">
      <formula>100.00001%</formula>
    </cfRule>
    <cfRule type="cellIs" dxfId="2027" priority="1148" operator="between">
      <formula>0.66</formula>
      <formula>1</formula>
    </cfRule>
    <cfRule type="cellIs" dxfId="2026" priority="1149" operator="between">
      <formula>0.401</formula>
      <formula>0.659999999999</formula>
    </cfRule>
    <cfRule type="cellIs" dxfId="2025" priority="1150" operator="between">
      <formula>0</formula>
      <formula>0.4</formula>
    </cfRule>
  </conditionalFormatting>
  <conditionalFormatting sqref="U421">
    <cfRule type="cellIs" dxfId="2024" priority="1141" operator="lessThan">
      <formula>0</formula>
    </cfRule>
    <cfRule type="cellIs" dxfId="2023" priority="1142" operator="greaterThan">
      <formula>100.00001%</formula>
    </cfRule>
    <cfRule type="cellIs" dxfId="2022" priority="1143" operator="between">
      <formula>0.66</formula>
      <formula>1</formula>
    </cfRule>
    <cfRule type="cellIs" dxfId="2021" priority="1144" operator="between">
      <formula>0.401</formula>
      <formula>0.659999999999</formula>
    </cfRule>
    <cfRule type="cellIs" dxfId="2020" priority="1145" operator="between">
      <formula>0</formula>
      <formula>0.4</formula>
    </cfRule>
  </conditionalFormatting>
  <conditionalFormatting sqref="U423">
    <cfRule type="cellIs" dxfId="2019" priority="1136" operator="lessThan">
      <formula>0</formula>
    </cfRule>
    <cfRule type="cellIs" dxfId="2018" priority="1137" operator="greaterThan">
      <formula>100.00001%</formula>
    </cfRule>
    <cfRule type="cellIs" dxfId="2017" priority="1138" operator="between">
      <formula>0.66</formula>
      <formula>1</formula>
    </cfRule>
    <cfRule type="cellIs" dxfId="2016" priority="1139" operator="between">
      <formula>0.401</formula>
      <formula>0.659999999999</formula>
    </cfRule>
    <cfRule type="cellIs" dxfId="2015" priority="1140" operator="between">
      <formula>0</formula>
      <formula>0.4</formula>
    </cfRule>
  </conditionalFormatting>
  <conditionalFormatting sqref="U440:U448">
    <cfRule type="cellIs" dxfId="2014" priority="1121" operator="lessThan">
      <formula>0</formula>
    </cfRule>
    <cfRule type="cellIs" dxfId="2013" priority="1122" operator="greaterThan">
      <formula>100.00001%</formula>
    </cfRule>
    <cfRule type="cellIs" dxfId="2012" priority="1123" operator="between">
      <formula>0.66</formula>
      <formula>1</formula>
    </cfRule>
    <cfRule type="cellIs" dxfId="2011" priority="1124" operator="between">
      <formula>0.401</formula>
      <formula>0.659999999999</formula>
    </cfRule>
    <cfRule type="cellIs" dxfId="2010" priority="1125" operator="between">
      <formula>0</formula>
      <formula>0.4</formula>
    </cfRule>
  </conditionalFormatting>
  <conditionalFormatting sqref="U439">
    <cfRule type="cellIs" dxfId="2009" priority="1126" operator="lessThan">
      <formula>0</formula>
    </cfRule>
    <cfRule type="cellIs" dxfId="2008" priority="1127" operator="greaterThan">
      <formula>100.00001%</formula>
    </cfRule>
    <cfRule type="cellIs" dxfId="2007" priority="1128" operator="between">
      <formula>0.66</formula>
      <formula>1</formula>
    </cfRule>
    <cfRule type="cellIs" dxfId="2006" priority="1129" operator="between">
      <formula>0.401</formula>
      <formula>0.659999999999</formula>
    </cfRule>
    <cfRule type="cellIs" dxfId="2005" priority="1130" operator="between">
      <formula>0</formula>
      <formula>0.4</formula>
    </cfRule>
  </conditionalFormatting>
  <conditionalFormatting sqref="U488:U489">
    <cfRule type="cellIs" dxfId="2004" priority="1086" operator="lessThan">
      <formula>0</formula>
    </cfRule>
    <cfRule type="cellIs" dxfId="2003" priority="1087" operator="greaterThan">
      <formula>100.00001%</formula>
    </cfRule>
    <cfRule type="cellIs" dxfId="2002" priority="1088" operator="between">
      <formula>0.66</formula>
      <formula>1</formula>
    </cfRule>
    <cfRule type="cellIs" dxfId="2001" priority="1089" operator="between">
      <formula>0.401</formula>
      <formula>0.659999999999</formula>
    </cfRule>
    <cfRule type="cellIs" dxfId="2000" priority="1090" operator="between">
      <formula>0</formula>
      <formula>0.4</formula>
    </cfRule>
  </conditionalFormatting>
  <conditionalFormatting sqref="U459">
    <cfRule type="cellIs" dxfId="1999" priority="1106" operator="lessThan">
      <formula>0</formula>
    </cfRule>
    <cfRule type="cellIs" dxfId="1998" priority="1107" operator="greaterThan">
      <formula>100.00001%</formula>
    </cfRule>
    <cfRule type="cellIs" dxfId="1997" priority="1108" operator="between">
      <formula>0.66</formula>
      <formula>1</formula>
    </cfRule>
    <cfRule type="cellIs" dxfId="1996" priority="1109" operator="between">
      <formula>0.401</formula>
      <formula>0.659999999999</formula>
    </cfRule>
    <cfRule type="cellIs" dxfId="1995" priority="1110" operator="between">
      <formula>0</formula>
      <formula>0.4</formula>
    </cfRule>
  </conditionalFormatting>
  <conditionalFormatting sqref="U457:U458">
    <cfRule type="cellIs" dxfId="1994" priority="1111" operator="lessThan">
      <formula>0</formula>
    </cfRule>
    <cfRule type="cellIs" dxfId="1993" priority="1112" operator="greaterThan">
      <formula>100.00001%</formula>
    </cfRule>
    <cfRule type="cellIs" dxfId="1992" priority="1113" operator="between">
      <formula>0.66</formula>
      <formula>1</formula>
    </cfRule>
    <cfRule type="cellIs" dxfId="1991" priority="1114" operator="between">
      <formula>0.401</formula>
      <formula>0.659999999999</formula>
    </cfRule>
    <cfRule type="cellIs" dxfId="1990" priority="1115" operator="between">
      <formula>0</formula>
      <formula>0.4</formula>
    </cfRule>
  </conditionalFormatting>
  <conditionalFormatting sqref="U527:U546">
    <cfRule type="cellIs" dxfId="1989" priority="1071" operator="lessThan">
      <formula>0</formula>
    </cfRule>
    <cfRule type="cellIs" dxfId="1988" priority="1072" operator="greaterThan">
      <formula>100.00001%</formula>
    </cfRule>
    <cfRule type="cellIs" dxfId="1987" priority="1073" operator="between">
      <formula>0.66</formula>
      <formula>1</formula>
    </cfRule>
    <cfRule type="cellIs" dxfId="1986" priority="1074" operator="between">
      <formula>0.401</formula>
      <formula>0.659999999999</formula>
    </cfRule>
    <cfRule type="cellIs" dxfId="1985" priority="1075" operator="between">
      <formula>0</formula>
      <formula>0.4</formula>
    </cfRule>
  </conditionalFormatting>
  <conditionalFormatting sqref="U463:U464">
    <cfRule type="cellIs" dxfId="1984" priority="1101" operator="lessThan">
      <formula>0</formula>
    </cfRule>
    <cfRule type="cellIs" dxfId="1983" priority="1102" operator="greaterThan">
      <formula>100.00001%</formula>
    </cfRule>
    <cfRule type="cellIs" dxfId="1982" priority="1103" operator="between">
      <formula>0.66</formula>
      <formula>1</formula>
    </cfRule>
    <cfRule type="cellIs" dxfId="1981" priority="1104" operator="between">
      <formula>0.401</formula>
      <formula>0.659999999999</formula>
    </cfRule>
    <cfRule type="cellIs" dxfId="1980" priority="1105" operator="between">
      <formula>0</formula>
      <formula>0.4</formula>
    </cfRule>
  </conditionalFormatting>
  <conditionalFormatting sqref="U479:U486">
    <cfRule type="cellIs" dxfId="1979" priority="1096" operator="lessThan">
      <formula>0</formula>
    </cfRule>
    <cfRule type="cellIs" dxfId="1978" priority="1097" operator="greaterThan">
      <formula>100.00001%</formula>
    </cfRule>
    <cfRule type="cellIs" dxfId="1977" priority="1098" operator="between">
      <formula>0.66</formula>
      <formula>1</formula>
    </cfRule>
    <cfRule type="cellIs" dxfId="1976" priority="1099" operator="between">
      <formula>0.401</formula>
      <formula>0.659999999999</formula>
    </cfRule>
    <cfRule type="cellIs" dxfId="1975" priority="1100" operator="between">
      <formula>0</formula>
      <formula>0.4</formula>
    </cfRule>
  </conditionalFormatting>
  <conditionalFormatting sqref="U487">
    <cfRule type="cellIs" dxfId="1974" priority="1091" operator="lessThan">
      <formula>0</formula>
    </cfRule>
    <cfRule type="cellIs" dxfId="1973" priority="1092" operator="greaterThan">
      <formula>100.00001%</formula>
    </cfRule>
    <cfRule type="cellIs" dxfId="1972" priority="1093" operator="between">
      <formula>0.66</formula>
      <formula>1</formula>
    </cfRule>
    <cfRule type="cellIs" dxfId="1971" priority="1094" operator="between">
      <formula>0.401</formula>
      <formula>0.659999999999</formula>
    </cfRule>
    <cfRule type="cellIs" dxfId="1970" priority="1095" operator="between">
      <formula>0</formula>
      <formula>0.4</formula>
    </cfRule>
  </conditionalFormatting>
  <conditionalFormatting sqref="U526">
    <cfRule type="cellIs" dxfId="1969" priority="1076" operator="lessThan">
      <formula>0</formula>
    </cfRule>
    <cfRule type="cellIs" dxfId="1968" priority="1077" operator="greaterThan">
      <formula>100.00001%</formula>
    </cfRule>
    <cfRule type="cellIs" dxfId="1967" priority="1078" operator="between">
      <formula>0.66</formula>
      <formula>1</formula>
    </cfRule>
    <cfRule type="cellIs" dxfId="1966" priority="1079" operator="between">
      <formula>0.401</formula>
      <formula>0.659999999999</formula>
    </cfRule>
    <cfRule type="cellIs" dxfId="1965" priority="1080" operator="between">
      <formula>0</formula>
      <formula>0.4</formula>
    </cfRule>
  </conditionalFormatting>
  <conditionalFormatting sqref="U525">
    <cfRule type="cellIs" dxfId="1964" priority="1081" operator="lessThan">
      <formula>0</formula>
    </cfRule>
    <cfRule type="cellIs" dxfId="1963" priority="1082" operator="greaterThan">
      <formula>100.00001%</formula>
    </cfRule>
    <cfRule type="cellIs" dxfId="1962" priority="1083" operator="between">
      <formula>0.66</formula>
      <formula>1</formula>
    </cfRule>
    <cfRule type="cellIs" dxfId="1961" priority="1084" operator="between">
      <formula>0.401</formula>
      <formula>0.659999999999</formula>
    </cfRule>
    <cfRule type="cellIs" dxfId="1960" priority="1085" operator="between">
      <formula>0</formula>
      <formula>0.4</formula>
    </cfRule>
  </conditionalFormatting>
  <conditionalFormatting sqref="U559">
    <cfRule type="cellIs" dxfId="1959" priority="1041" operator="lessThan">
      <formula>0</formula>
    </cfRule>
    <cfRule type="cellIs" dxfId="1958" priority="1042" operator="greaterThan">
      <formula>100.00001%</formula>
    </cfRule>
    <cfRule type="cellIs" dxfId="1957" priority="1043" operator="between">
      <formula>0.66</formula>
      <formula>1</formula>
    </cfRule>
    <cfRule type="cellIs" dxfId="1956" priority="1044" operator="between">
      <formula>0.401</formula>
      <formula>0.659999999999</formula>
    </cfRule>
    <cfRule type="cellIs" dxfId="1955" priority="1045" operator="between">
      <formula>0</formula>
      <formula>0.4</formula>
    </cfRule>
  </conditionalFormatting>
  <conditionalFormatting sqref="U557">
    <cfRule type="cellIs" dxfId="1954" priority="1046" operator="lessThan">
      <formula>0</formula>
    </cfRule>
    <cfRule type="cellIs" dxfId="1953" priority="1047" operator="greaterThan">
      <formula>100.00001%</formula>
    </cfRule>
    <cfRule type="cellIs" dxfId="1952" priority="1048" operator="between">
      <formula>0.66</formula>
      <formula>1</formula>
    </cfRule>
    <cfRule type="cellIs" dxfId="1951" priority="1049" operator="between">
      <formula>0.401</formula>
      <formula>0.659999999999</formula>
    </cfRule>
    <cfRule type="cellIs" dxfId="1950" priority="1050" operator="between">
      <formula>0</formula>
      <formula>0.4</formula>
    </cfRule>
  </conditionalFormatting>
  <conditionalFormatting sqref="U547:U548">
    <cfRule type="cellIs" dxfId="1949" priority="1066" operator="lessThan">
      <formula>0</formula>
    </cfRule>
    <cfRule type="cellIs" dxfId="1948" priority="1067" operator="greaterThan">
      <formula>100.00001%</formula>
    </cfRule>
    <cfRule type="cellIs" dxfId="1947" priority="1068" operator="between">
      <formula>0.66</formula>
      <formula>1</formula>
    </cfRule>
    <cfRule type="cellIs" dxfId="1946" priority="1069" operator="between">
      <formula>0.401</formula>
      <formula>0.659999999999</formula>
    </cfRule>
    <cfRule type="cellIs" dxfId="1945" priority="1070" operator="between">
      <formula>0</formula>
      <formula>0.4</formula>
    </cfRule>
  </conditionalFormatting>
  <conditionalFormatting sqref="U549:U550">
    <cfRule type="cellIs" dxfId="1944" priority="1061" operator="lessThan">
      <formula>0</formula>
    </cfRule>
    <cfRule type="cellIs" dxfId="1943" priority="1062" operator="greaterThan">
      <formula>100.00001%</formula>
    </cfRule>
    <cfRule type="cellIs" dxfId="1942" priority="1063" operator="between">
      <formula>0.66</formula>
      <formula>1</formula>
    </cfRule>
    <cfRule type="cellIs" dxfId="1941" priority="1064" operator="between">
      <formula>0.401</formula>
      <formula>0.659999999999</formula>
    </cfRule>
    <cfRule type="cellIs" dxfId="1940" priority="1065" operator="between">
      <formula>0</formula>
      <formula>0.4</formula>
    </cfRule>
  </conditionalFormatting>
  <conditionalFormatting sqref="U552:U553">
    <cfRule type="cellIs" dxfId="1939" priority="1056" operator="lessThan">
      <formula>0</formula>
    </cfRule>
    <cfRule type="cellIs" dxfId="1938" priority="1057" operator="greaterThan">
      <formula>100.00001%</formula>
    </cfRule>
    <cfRule type="cellIs" dxfId="1937" priority="1058" operator="between">
      <formula>0.66</formula>
      <formula>1</formula>
    </cfRule>
    <cfRule type="cellIs" dxfId="1936" priority="1059" operator="between">
      <formula>0.401</formula>
      <formula>0.659999999999</formula>
    </cfRule>
    <cfRule type="cellIs" dxfId="1935" priority="1060" operator="between">
      <formula>0</formula>
      <formula>0.4</formula>
    </cfRule>
  </conditionalFormatting>
  <conditionalFormatting sqref="U555:U556">
    <cfRule type="cellIs" dxfId="1934" priority="1051" operator="lessThan">
      <formula>0</formula>
    </cfRule>
    <cfRule type="cellIs" dxfId="1933" priority="1052" operator="greaterThan">
      <formula>100.00001%</formula>
    </cfRule>
    <cfRule type="cellIs" dxfId="1932" priority="1053" operator="between">
      <formula>0.66</formula>
      <formula>1</formula>
    </cfRule>
    <cfRule type="cellIs" dxfId="1931" priority="1054" operator="between">
      <formula>0.401</formula>
      <formula>0.659999999999</formula>
    </cfRule>
    <cfRule type="cellIs" dxfId="1930" priority="1055" operator="between">
      <formula>0</formula>
      <formula>0.4</formula>
    </cfRule>
  </conditionalFormatting>
  <conditionalFormatting sqref="U629:U630">
    <cfRule type="cellIs" dxfId="1929" priority="1006" operator="lessThan">
      <formula>0</formula>
    </cfRule>
    <cfRule type="cellIs" dxfId="1928" priority="1007" operator="greaterThan">
      <formula>100.00001%</formula>
    </cfRule>
    <cfRule type="cellIs" dxfId="1927" priority="1008" operator="between">
      <formula>0.66</formula>
      <formula>1</formula>
    </cfRule>
    <cfRule type="cellIs" dxfId="1926" priority="1009" operator="between">
      <formula>0.401</formula>
      <formula>0.659999999999</formula>
    </cfRule>
    <cfRule type="cellIs" dxfId="1925" priority="1010" operator="between">
      <formula>0</formula>
      <formula>0.4</formula>
    </cfRule>
  </conditionalFormatting>
  <conditionalFormatting sqref="U597:U598">
    <cfRule type="cellIs" dxfId="1924" priority="1016" operator="lessThan">
      <formula>0</formula>
    </cfRule>
    <cfRule type="cellIs" dxfId="1923" priority="1017" operator="greaterThan">
      <formula>100.00001%</formula>
    </cfRule>
    <cfRule type="cellIs" dxfId="1922" priority="1018" operator="between">
      <formula>0.66</formula>
      <formula>1</formula>
    </cfRule>
    <cfRule type="cellIs" dxfId="1921" priority="1019" operator="between">
      <formula>0.401</formula>
      <formula>0.659999999999</formula>
    </cfRule>
    <cfRule type="cellIs" dxfId="1920" priority="1020" operator="between">
      <formula>0</formula>
      <formula>0.4</formula>
    </cfRule>
  </conditionalFormatting>
  <conditionalFormatting sqref="U590:U591">
    <cfRule type="cellIs" dxfId="1919" priority="1036" operator="lessThan">
      <formula>0</formula>
    </cfRule>
    <cfRule type="cellIs" dxfId="1918" priority="1037" operator="greaterThan">
      <formula>100.00001%</formula>
    </cfRule>
    <cfRule type="cellIs" dxfId="1917" priority="1038" operator="between">
      <formula>0.66</formula>
      <formula>1</formula>
    </cfRule>
    <cfRule type="cellIs" dxfId="1916" priority="1039" operator="between">
      <formula>0.401</formula>
      <formula>0.659999999999</formula>
    </cfRule>
    <cfRule type="cellIs" dxfId="1915" priority="1040" operator="between">
      <formula>0</formula>
      <formula>0.4</formula>
    </cfRule>
  </conditionalFormatting>
  <conditionalFormatting sqref="U592:U593">
    <cfRule type="cellIs" dxfId="1914" priority="1031" operator="lessThan">
      <formula>0</formula>
    </cfRule>
    <cfRule type="cellIs" dxfId="1913" priority="1032" operator="greaterThan">
      <formula>100.00001%</formula>
    </cfRule>
    <cfRule type="cellIs" dxfId="1912" priority="1033" operator="between">
      <formula>0.66</formula>
      <formula>1</formula>
    </cfRule>
    <cfRule type="cellIs" dxfId="1911" priority="1034" operator="between">
      <formula>0.401</formula>
      <formula>0.659999999999</formula>
    </cfRule>
    <cfRule type="cellIs" dxfId="1910" priority="1035" operator="between">
      <formula>0</formula>
      <formula>0.4</formula>
    </cfRule>
  </conditionalFormatting>
  <conditionalFormatting sqref="U594">
    <cfRule type="cellIs" dxfId="1909" priority="1026" operator="lessThan">
      <formula>0</formula>
    </cfRule>
    <cfRule type="cellIs" dxfId="1908" priority="1027" operator="greaterThan">
      <formula>100.00001%</formula>
    </cfRule>
    <cfRule type="cellIs" dxfId="1907" priority="1028" operator="between">
      <formula>0.66</formula>
      <formula>1</formula>
    </cfRule>
    <cfRule type="cellIs" dxfId="1906" priority="1029" operator="between">
      <formula>0.401</formula>
      <formula>0.659999999999</formula>
    </cfRule>
    <cfRule type="cellIs" dxfId="1905" priority="1030" operator="between">
      <formula>0</formula>
      <formula>0.4</formula>
    </cfRule>
  </conditionalFormatting>
  <conditionalFormatting sqref="U595:U596">
    <cfRule type="cellIs" dxfId="1904" priority="1021" operator="lessThan">
      <formula>0</formula>
    </cfRule>
    <cfRule type="cellIs" dxfId="1903" priority="1022" operator="greaterThan">
      <formula>100.00001%</formula>
    </cfRule>
    <cfRule type="cellIs" dxfId="1902" priority="1023" operator="between">
      <formula>0.66</formula>
      <formula>1</formula>
    </cfRule>
    <cfRule type="cellIs" dxfId="1901" priority="1024" operator="between">
      <formula>0.401</formula>
      <formula>0.659999999999</formula>
    </cfRule>
    <cfRule type="cellIs" dxfId="1900" priority="1025" operator="between">
      <formula>0</formula>
      <formula>0.4</formula>
    </cfRule>
  </conditionalFormatting>
  <conditionalFormatting sqref="U645:U646">
    <cfRule type="cellIs" dxfId="1899" priority="976" operator="lessThan">
      <formula>0</formula>
    </cfRule>
    <cfRule type="cellIs" dxfId="1898" priority="977" operator="greaterThan">
      <formula>100.00001%</formula>
    </cfRule>
    <cfRule type="cellIs" dxfId="1897" priority="978" operator="between">
      <formula>0.66</formula>
      <formula>1</formula>
    </cfRule>
    <cfRule type="cellIs" dxfId="1896" priority="979" operator="between">
      <formula>0.401</formula>
      <formula>0.659999999999</formula>
    </cfRule>
    <cfRule type="cellIs" dxfId="1895" priority="980" operator="between">
      <formula>0</formula>
      <formula>0.4</formula>
    </cfRule>
  </conditionalFormatting>
  <conditionalFormatting sqref="U599:U628">
    <cfRule type="cellIs" dxfId="1894" priority="1011" operator="lessThan">
      <formula>0</formula>
    </cfRule>
    <cfRule type="cellIs" dxfId="1893" priority="1012" operator="greaterThan">
      <formula>100.00001%</formula>
    </cfRule>
    <cfRule type="cellIs" dxfId="1892" priority="1013" operator="between">
      <formula>0.66</formula>
      <formula>1</formula>
    </cfRule>
    <cfRule type="cellIs" dxfId="1891" priority="1014" operator="between">
      <formula>0.401</formula>
      <formula>0.659999999999</formula>
    </cfRule>
    <cfRule type="cellIs" dxfId="1890" priority="1015" operator="between">
      <formula>0</formula>
      <formula>0.4</formula>
    </cfRule>
  </conditionalFormatting>
  <conditionalFormatting sqref="U635:U643">
    <cfRule type="cellIs" dxfId="1889" priority="986" operator="lessThan">
      <formula>0</formula>
    </cfRule>
    <cfRule type="cellIs" dxfId="1888" priority="987" operator="greaterThan">
      <formula>100.00001%</formula>
    </cfRule>
    <cfRule type="cellIs" dxfId="1887" priority="988" operator="between">
      <formula>0.66</formula>
      <formula>1</formula>
    </cfRule>
    <cfRule type="cellIs" dxfId="1886" priority="989" operator="between">
      <formula>0.401</formula>
      <formula>0.659999999999</formula>
    </cfRule>
    <cfRule type="cellIs" dxfId="1885" priority="990" operator="between">
      <formula>0</formula>
      <formula>0.4</formula>
    </cfRule>
  </conditionalFormatting>
  <conditionalFormatting sqref="U631">
    <cfRule type="cellIs" dxfId="1884" priority="1001" operator="lessThan">
      <formula>0</formula>
    </cfRule>
    <cfRule type="cellIs" dxfId="1883" priority="1002" operator="greaterThan">
      <formula>100.00001%</formula>
    </cfRule>
    <cfRule type="cellIs" dxfId="1882" priority="1003" operator="between">
      <formula>0.66</formula>
      <formula>1</formula>
    </cfRule>
    <cfRule type="cellIs" dxfId="1881" priority="1004" operator="between">
      <formula>0.401</formula>
      <formula>0.659999999999</formula>
    </cfRule>
    <cfRule type="cellIs" dxfId="1880" priority="1005" operator="between">
      <formula>0</formula>
      <formula>0.4</formula>
    </cfRule>
  </conditionalFormatting>
  <conditionalFormatting sqref="U632">
    <cfRule type="cellIs" dxfId="1879" priority="996" operator="lessThan">
      <formula>0</formula>
    </cfRule>
    <cfRule type="cellIs" dxfId="1878" priority="997" operator="greaterThan">
      <formula>100.00001%</formula>
    </cfRule>
    <cfRule type="cellIs" dxfId="1877" priority="998" operator="between">
      <formula>0.66</formula>
      <formula>1</formula>
    </cfRule>
    <cfRule type="cellIs" dxfId="1876" priority="999" operator="between">
      <formula>0.401</formula>
      <formula>0.659999999999</formula>
    </cfRule>
    <cfRule type="cellIs" dxfId="1875" priority="1000" operator="between">
      <formula>0</formula>
      <formula>0.4</formula>
    </cfRule>
  </conditionalFormatting>
  <conditionalFormatting sqref="U633">
    <cfRule type="cellIs" dxfId="1874" priority="991" operator="lessThan">
      <formula>0</formula>
    </cfRule>
    <cfRule type="cellIs" dxfId="1873" priority="992" operator="greaterThan">
      <formula>100.00001%</formula>
    </cfRule>
    <cfRule type="cellIs" dxfId="1872" priority="993" operator="between">
      <formula>0.66</formula>
      <formula>1</formula>
    </cfRule>
    <cfRule type="cellIs" dxfId="1871" priority="994" operator="between">
      <formula>0.401</formula>
      <formula>0.659999999999</formula>
    </cfRule>
    <cfRule type="cellIs" dxfId="1870" priority="995" operator="between">
      <formula>0</formula>
      <formula>0.4</formula>
    </cfRule>
  </conditionalFormatting>
  <conditionalFormatting sqref="U672:U679">
    <cfRule type="cellIs" dxfId="1869" priority="951" operator="lessThan">
      <formula>0</formula>
    </cfRule>
    <cfRule type="cellIs" dxfId="1868" priority="952" operator="greaterThan">
      <formula>100.00001%</formula>
    </cfRule>
    <cfRule type="cellIs" dxfId="1867" priority="953" operator="between">
      <formula>0.66</formula>
      <formula>1</formula>
    </cfRule>
    <cfRule type="cellIs" dxfId="1866" priority="954" operator="between">
      <formula>0.401</formula>
      <formula>0.659999999999</formula>
    </cfRule>
    <cfRule type="cellIs" dxfId="1865" priority="955" operator="between">
      <formula>0</formula>
      <formula>0.4</formula>
    </cfRule>
  </conditionalFormatting>
  <conditionalFormatting sqref="U644">
    <cfRule type="cellIs" dxfId="1864" priority="981" operator="lessThan">
      <formula>0</formula>
    </cfRule>
    <cfRule type="cellIs" dxfId="1863" priority="982" operator="greaterThan">
      <formula>100.00001%</formula>
    </cfRule>
    <cfRule type="cellIs" dxfId="1862" priority="983" operator="between">
      <formula>0.66</formula>
      <formula>1</formula>
    </cfRule>
    <cfRule type="cellIs" dxfId="1861" priority="984" operator="between">
      <formula>0.401</formula>
      <formula>0.659999999999</formula>
    </cfRule>
    <cfRule type="cellIs" dxfId="1860" priority="985" operator="between">
      <formula>0</formula>
      <formula>0.4</formula>
    </cfRule>
  </conditionalFormatting>
  <conditionalFormatting sqref="U671">
    <cfRule type="cellIs" dxfId="1859" priority="956" operator="lessThan">
      <formula>0</formula>
    </cfRule>
    <cfRule type="cellIs" dxfId="1858" priority="957" operator="greaterThan">
      <formula>100.00001%</formula>
    </cfRule>
    <cfRule type="cellIs" dxfId="1857" priority="958" operator="between">
      <formula>0.66</formula>
      <formula>1</formula>
    </cfRule>
    <cfRule type="cellIs" dxfId="1856" priority="959" operator="between">
      <formula>0.401</formula>
      <formula>0.659999999999</formula>
    </cfRule>
    <cfRule type="cellIs" dxfId="1855" priority="960" operator="between">
      <formula>0</formula>
      <formula>0.4</formula>
    </cfRule>
  </conditionalFormatting>
  <conditionalFormatting sqref="U668">
    <cfRule type="cellIs" dxfId="1854" priority="971" operator="lessThan">
      <formula>0</formula>
    </cfRule>
    <cfRule type="cellIs" dxfId="1853" priority="972" operator="greaterThan">
      <formula>100.00001%</formula>
    </cfRule>
    <cfRule type="cellIs" dxfId="1852" priority="973" operator="between">
      <formula>0.66</formula>
      <formula>1</formula>
    </cfRule>
    <cfRule type="cellIs" dxfId="1851" priority="974" operator="between">
      <formula>0.401</formula>
      <formula>0.659999999999</formula>
    </cfRule>
    <cfRule type="cellIs" dxfId="1850" priority="975" operator="between">
      <formula>0</formula>
      <formula>0.4</formula>
    </cfRule>
  </conditionalFormatting>
  <conditionalFormatting sqref="U669">
    <cfRule type="cellIs" dxfId="1849" priority="966" operator="lessThan">
      <formula>0</formula>
    </cfRule>
    <cfRule type="cellIs" dxfId="1848" priority="967" operator="greaterThan">
      <formula>100.00001%</formula>
    </cfRule>
    <cfRule type="cellIs" dxfId="1847" priority="968" operator="between">
      <formula>0.66</formula>
      <formula>1</formula>
    </cfRule>
    <cfRule type="cellIs" dxfId="1846" priority="969" operator="between">
      <formula>0.401</formula>
      <formula>0.659999999999</formula>
    </cfRule>
    <cfRule type="cellIs" dxfId="1845" priority="970" operator="between">
      <formula>0</formula>
      <formula>0.4</formula>
    </cfRule>
  </conditionalFormatting>
  <conditionalFormatting sqref="U670">
    <cfRule type="cellIs" dxfId="1844" priority="961" operator="lessThan">
      <formula>0</formula>
    </cfRule>
    <cfRule type="cellIs" dxfId="1843" priority="962" operator="greaterThan">
      <formula>100.00001%</formula>
    </cfRule>
    <cfRule type="cellIs" dxfId="1842" priority="963" operator="between">
      <formula>0.66</formula>
      <formula>1</formula>
    </cfRule>
    <cfRule type="cellIs" dxfId="1841" priority="964" operator="between">
      <formula>0.401</formula>
      <formula>0.659999999999</formula>
    </cfRule>
    <cfRule type="cellIs" dxfId="1840" priority="965" operator="between">
      <formula>0</formula>
      <formula>0.4</formula>
    </cfRule>
  </conditionalFormatting>
  <conditionalFormatting sqref="U714">
    <cfRule type="cellIs" dxfId="1839" priority="931" operator="lessThan">
      <formula>0</formula>
    </cfRule>
    <cfRule type="cellIs" dxfId="1838" priority="932" operator="greaterThan">
      <formula>100.00001%</formula>
    </cfRule>
    <cfRule type="cellIs" dxfId="1837" priority="933" operator="between">
      <formula>0.66</formula>
      <formula>1</formula>
    </cfRule>
    <cfRule type="cellIs" dxfId="1836" priority="934" operator="between">
      <formula>0.401</formula>
      <formula>0.659999999999</formula>
    </cfRule>
    <cfRule type="cellIs" dxfId="1835" priority="935" operator="between">
      <formula>0</formula>
      <formula>0.4</formula>
    </cfRule>
  </conditionalFormatting>
  <conditionalFormatting sqref="U730:U732">
    <cfRule type="cellIs" dxfId="1834" priority="916" operator="lessThan">
      <formula>0</formula>
    </cfRule>
    <cfRule type="cellIs" dxfId="1833" priority="917" operator="greaterThan">
      <formula>100.00001%</formula>
    </cfRule>
    <cfRule type="cellIs" dxfId="1832" priority="918" operator="between">
      <formula>0.66</formula>
      <formula>1</formula>
    </cfRule>
    <cfRule type="cellIs" dxfId="1831" priority="919" operator="between">
      <formula>0.401</formula>
      <formula>0.659999999999</formula>
    </cfRule>
    <cfRule type="cellIs" dxfId="1830" priority="920" operator="between">
      <formula>0</formula>
      <formula>0.4</formula>
    </cfRule>
  </conditionalFormatting>
  <conditionalFormatting sqref="U680:U692">
    <cfRule type="cellIs" dxfId="1829" priority="946" operator="lessThan">
      <formula>0</formula>
    </cfRule>
    <cfRule type="cellIs" dxfId="1828" priority="947" operator="greaterThan">
      <formula>100.00001%</formula>
    </cfRule>
    <cfRule type="cellIs" dxfId="1827" priority="948" operator="between">
      <formula>0.66</formula>
      <formula>1</formula>
    </cfRule>
    <cfRule type="cellIs" dxfId="1826" priority="949" operator="between">
      <formula>0.401</formula>
      <formula>0.659999999999</formula>
    </cfRule>
    <cfRule type="cellIs" dxfId="1825" priority="950" operator="between">
      <formula>0</formula>
      <formula>0.4</formula>
    </cfRule>
  </conditionalFormatting>
  <conditionalFormatting sqref="U693:U701">
    <cfRule type="cellIs" dxfId="1824" priority="941" operator="lessThan">
      <formula>0</formula>
    </cfRule>
    <cfRule type="cellIs" dxfId="1823" priority="942" operator="greaterThan">
      <formula>100.00001%</formula>
    </cfRule>
    <cfRule type="cellIs" dxfId="1822" priority="943" operator="between">
      <formula>0.66</formula>
      <formula>1</formula>
    </cfRule>
    <cfRule type="cellIs" dxfId="1821" priority="944" operator="between">
      <formula>0.401</formula>
      <formula>0.659999999999</formula>
    </cfRule>
    <cfRule type="cellIs" dxfId="1820" priority="945" operator="between">
      <formula>0</formula>
      <formula>0.4</formula>
    </cfRule>
  </conditionalFormatting>
  <conditionalFormatting sqref="U745:U749">
    <cfRule type="cellIs" dxfId="1819" priority="896" operator="lessThan">
      <formula>0</formula>
    </cfRule>
    <cfRule type="cellIs" dxfId="1818" priority="897" operator="greaterThan">
      <formula>100.00001%</formula>
    </cfRule>
    <cfRule type="cellIs" dxfId="1817" priority="898" operator="between">
      <formula>0.66</formula>
      <formula>1</formula>
    </cfRule>
    <cfRule type="cellIs" dxfId="1816" priority="899" operator="between">
      <formula>0.401</formula>
      <formula>0.659999999999</formula>
    </cfRule>
    <cfRule type="cellIs" dxfId="1815" priority="900" operator="between">
      <formula>0</formula>
      <formula>0.4</formula>
    </cfRule>
  </conditionalFormatting>
  <conditionalFormatting sqref="U702">
    <cfRule type="cellIs" dxfId="1814" priority="936" operator="lessThan">
      <formula>0</formula>
    </cfRule>
    <cfRule type="cellIs" dxfId="1813" priority="937" operator="greaterThan">
      <formula>100.00001%</formula>
    </cfRule>
    <cfRule type="cellIs" dxfId="1812" priority="938" operator="between">
      <formula>0.66</formula>
      <formula>1</formula>
    </cfRule>
    <cfRule type="cellIs" dxfId="1811" priority="939" operator="between">
      <formula>0.401</formula>
      <formula>0.659999999999</formula>
    </cfRule>
    <cfRule type="cellIs" dxfId="1810" priority="940" operator="between">
      <formula>0</formula>
      <formula>0.4</formula>
    </cfRule>
  </conditionalFormatting>
  <conditionalFormatting sqref="U717:U727">
    <cfRule type="cellIs" dxfId="1809" priority="926" operator="lessThan">
      <formula>0</formula>
    </cfRule>
    <cfRule type="cellIs" dxfId="1808" priority="927" operator="greaterThan">
      <formula>100.00001%</formula>
    </cfRule>
    <cfRule type="cellIs" dxfId="1807" priority="928" operator="between">
      <formula>0.66</formula>
      <formula>1</formula>
    </cfRule>
    <cfRule type="cellIs" dxfId="1806" priority="929" operator="between">
      <formula>0.401</formula>
      <formula>0.659999999999</formula>
    </cfRule>
    <cfRule type="cellIs" dxfId="1805" priority="930" operator="between">
      <formula>0</formula>
      <formula>0.4</formula>
    </cfRule>
  </conditionalFormatting>
  <conditionalFormatting sqref="U728:U729">
    <cfRule type="cellIs" dxfId="1804" priority="921" operator="lessThan">
      <formula>0</formula>
    </cfRule>
    <cfRule type="cellIs" dxfId="1803" priority="922" operator="greaterThan">
      <formula>100.00001%</formula>
    </cfRule>
    <cfRule type="cellIs" dxfId="1802" priority="923" operator="between">
      <formula>0.66</formula>
      <formula>1</formula>
    </cfRule>
    <cfRule type="cellIs" dxfId="1801" priority="924" operator="between">
      <formula>0.401</formula>
      <formula>0.659999999999</formula>
    </cfRule>
    <cfRule type="cellIs" dxfId="1800" priority="925" operator="between">
      <formula>0</formula>
      <formula>0.4</formula>
    </cfRule>
  </conditionalFormatting>
  <conditionalFormatting sqref="U734:U735">
    <cfRule type="cellIs" dxfId="1799" priority="911" operator="lessThan">
      <formula>0</formula>
    </cfRule>
    <cfRule type="cellIs" dxfId="1798" priority="912" operator="greaterThan">
      <formula>100.00001%</formula>
    </cfRule>
    <cfRule type="cellIs" dxfId="1797" priority="913" operator="between">
      <formula>0.66</formula>
      <formula>1</formula>
    </cfRule>
    <cfRule type="cellIs" dxfId="1796" priority="914" operator="between">
      <formula>0.401</formula>
      <formula>0.659999999999</formula>
    </cfRule>
    <cfRule type="cellIs" dxfId="1795" priority="915" operator="between">
      <formula>0</formula>
      <formula>0.4</formula>
    </cfRule>
  </conditionalFormatting>
  <conditionalFormatting sqref="U738:U739">
    <cfRule type="cellIs" dxfId="1794" priority="906" operator="lessThan">
      <formula>0</formula>
    </cfRule>
    <cfRule type="cellIs" dxfId="1793" priority="907" operator="greaterThan">
      <formula>100.00001%</formula>
    </cfRule>
    <cfRule type="cellIs" dxfId="1792" priority="908" operator="between">
      <formula>0.66</formula>
      <formula>1</formula>
    </cfRule>
    <cfRule type="cellIs" dxfId="1791" priority="909" operator="between">
      <formula>0.401</formula>
      <formula>0.659999999999</formula>
    </cfRule>
    <cfRule type="cellIs" dxfId="1790" priority="910" operator="between">
      <formula>0</formula>
      <formula>0.4</formula>
    </cfRule>
  </conditionalFormatting>
  <conditionalFormatting sqref="U781">
    <cfRule type="cellIs" dxfId="1789" priority="901" operator="lessThan">
      <formula>0</formula>
    </cfRule>
    <cfRule type="cellIs" dxfId="1788" priority="902" operator="greaterThan">
      <formula>100.00001%</formula>
    </cfRule>
    <cfRule type="cellIs" dxfId="1787" priority="903" operator="between">
      <formula>0.66</formula>
      <formula>1</formula>
    </cfRule>
    <cfRule type="cellIs" dxfId="1786" priority="904" operator="between">
      <formula>0.401</formula>
      <formula>0.659999999999</formula>
    </cfRule>
    <cfRule type="cellIs" dxfId="1785" priority="905" operator="between">
      <formula>0</formula>
      <formula>0.4</formula>
    </cfRule>
  </conditionalFormatting>
  <conditionalFormatting sqref="U788:U793">
    <cfRule type="cellIs" dxfId="1784" priority="866" operator="lessThan">
      <formula>0</formula>
    </cfRule>
    <cfRule type="cellIs" dxfId="1783" priority="867" operator="greaterThan">
      <formula>100.00001%</formula>
    </cfRule>
    <cfRule type="cellIs" dxfId="1782" priority="868" operator="between">
      <formula>0.66</formula>
      <formula>1</formula>
    </cfRule>
    <cfRule type="cellIs" dxfId="1781" priority="869" operator="between">
      <formula>0.401</formula>
      <formula>0.659999999999</formula>
    </cfRule>
    <cfRule type="cellIs" dxfId="1780" priority="870" operator="between">
      <formula>0</formula>
      <formula>0.4</formula>
    </cfRule>
  </conditionalFormatting>
  <conditionalFormatting sqref="U784">
    <cfRule type="cellIs" dxfId="1779" priority="891" operator="lessThan">
      <formula>0</formula>
    </cfRule>
    <cfRule type="cellIs" dxfId="1778" priority="892" operator="greaterThan">
      <formula>100.00001%</formula>
    </cfRule>
    <cfRule type="cellIs" dxfId="1777" priority="893" operator="between">
      <formula>0.66</formula>
      <formula>1</formula>
    </cfRule>
    <cfRule type="cellIs" dxfId="1776" priority="894" operator="between">
      <formula>0.401</formula>
      <formula>0.659999999999</formula>
    </cfRule>
    <cfRule type="cellIs" dxfId="1775" priority="895" operator="between">
      <formula>0</formula>
      <formula>0.4</formula>
    </cfRule>
  </conditionalFormatting>
  <conditionalFormatting sqref="U785:U786">
    <cfRule type="cellIs" dxfId="1774" priority="886" operator="lessThan">
      <formula>0</formula>
    </cfRule>
    <cfRule type="cellIs" dxfId="1773" priority="887" operator="greaterThan">
      <formula>100.00001%</formula>
    </cfRule>
    <cfRule type="cellIs" dxfId="1772" priority="888" operator="between">
      <formula>0.66</formula>
      <formula>1</formula>
    </cfRule>
    <cfRule type="cellIs" dxfId="1771" priority="889" operator="between">
      <formula>0.401</formula>
      <formula>0.659999999999</formula>
    </cfRule>
    <cfRule type="cellIs" dxfId="1770" priority="890" operator="between">
      <formula>0</formula>
      <formula>0.4</formula>
    </cfRule>
  </conditionalFormatting>
  <conditionalFormatting sqref="U773:U775">
    <cfRule type="cellIs" dxfId="1769" priority="881" operator="lessThan">
      <formula>0</formula>
    </cfRule>
    <cfRule type="cellIs" dxfId="1768" priority="882" operator="greaterThan">
      <formula>100.00001%</formula>
    </cfRule>
    <cfRule type="cellIs" dxfId="1767" priority="883" operator="between">
      <formula>0.66</formula>
      <formula>1</formula>
    </cfRule>
    <cfRule type="cellIs" dxfId="1766" priority="884" operator="between">
      <formula>0.401</formula>
      <formula>0.659999999999</formula>
    </cfRule>
    <cfRule type="cellIs" dxfId="1765" priority="885" operator="between">
      <formula>0</formula>
      <formula>0.4</formula>
    </cfRule>
  </conditionalFormatting>
  <conditionalFormatting sqref="U777:U779">
    <cfRule type="cellIs" dxfId="1764" priority="876" operator="lessThan">
      <formula>0</formula>
    </cfRule>
    <cfRule type="cellIs" dxfId="1763" priority="877" operator="greaterThan">
      <formula>100.00001%</formula>
    </cfRule>
    <cfRule type="cellIs" dxfId="1762" priority="878" operator="between">
      <formula>0.66</formula>
      <formula>1</formula>
    </cfRule>
    <cfRule type="cellIs" dxfId="1761" priority="879" operator="between">
      <formula>0.401</formula>
      <formula>0.659999999999</formula>
    </cfRule>
    <cfRule type="cellIs" dxfId="1760" priority="880" operator="between">
      <formula>0</formula>
      <formula>0.4</formula>
    </cfRule>
  </conditionalFormatting>
  <conditionalFormatting sqref="U787">
    <cfRule type="cellIs" dxfId="1759" priority="871" operator="lessThan">
      <formula>0</formula>
    </cfRule>
    <cfRule type="cellIs" dxfId="1758" priority="872" operator="greaterThan">
      <formula>100.00001%</formula>
    </cfRule>
    <cfRule type="cellIs" dxfId="1757" priority="873" operator="between">
      <formula>0.66</formula>
      <formula>1</formula>
    </cfRule>
    <cfRule type="cellIs" dxfId="1756" priority="874" operator="between">
      <formula>0.401</formula>
      <formula>0.659999999999</formula>
    </cfRule>
    <cfRule type="cellIs" dxfId="1755" priority="875" operator="between">
      <formula>0</formula>
      <formula>0.4</formula>
    </cfRule>
  </conditionalFormatting>
  <conditionalFormatting sqref="U871:U873">
    <cfRule type="cellIs" dxfId="1754" priority="836" operator="lessThan">
      <formula>0</formula>
    </cfRule>
    <cfRule type="cellIs" dxfId="1753" priority="837" operator="greaterThan">
      <formula>100.00001%</formula>
    </cfRule>
    <cfRule type="cellIs" dxfId="1752" priority="838" operator="between">
      <formula>0.66</formula>
      <formula>1</formula>
    </cfRule>
    <cfRule type="cellIs" dxfId="1751" priority="839" operator="between">
      <formula>0.401</formula>
      <formula>0.659999999999</formula>
    </cfRule>
    <cfRule type="cellIs" dxfId="1750" priority="840" operator="between">
      <formula>0</formula>
      <formula>0.4</formula>
    </cfRule>
  </conditionalFormatting>
  <conditionalFormatting sqref="U794:U867">
    <cfRule type="cellIs" dxfId="1749" priority="861" operator="lessThan">
      <formula>0</formula>
    </cfRule>
    <cfRule type="cellIs" dxfId="1748" priority="862" operator="greaterThan">
      <formula>100.00001%</formula>
    </cfRule>
    <cfRule type="cellIs" dxfId="1747" priority="863" operator="between">
      <formula>0.66</formula>
      <formula>1</formula>
    </cfRule>
    <cfRule type="cellIs" dxfId="1746" priority="864" operator="between">
      <formula>0.401</formula>
      <formula>0.659999999999</formula>
    </cfRule>
    <cfRule type="cellIs" dxfId="1745" priority="865" operator="between">
      <formula>0</formula>
      <formula>0.4</formula>
    </cfRule>
  </conditionalFormatting>
  <conditionalFormatting sqref="U1012:U1031">
    <cfRule type="cellIs" dxfId="1744" priority="856" operator="lessThan">
      <formula>0</formula>
    </cfRule>
    <cfRule type="cellIs" dxfId="1743" priority="857" operator="greaterThan">
      <formula>100.00001%</formula>
    </cfRule>
    <cfRule type="cellIs" dxfId="1742" priority="858" operator="between">
      <formula>0.66</formula>
      <formula>1</formula>
    </cfRule>
    <cfRule type="cellIs" dxfId="1741" priority="859" operator="between">
      <formula>0.401</formula>
      <formula>0.659999999999</formula>
    </cfRule>
    <cfRule type="cellIs" dxfId="1740" priority="860" operator="between">
      <formula>0</formula>
      <formula>0.4</formula>
    </cfRule>
  </conditionalFormatting>
  <conditionalFormatting sqref="U913:U914">
    <cfRule type="cellIs" dxfId="1739" priority="831" operator="lessThan">
      <formula>0</formula>
    </cfRule>
    <cfRule type="cellIs" dxfId="1738" priority="832" operator="greaterThan">
      <formula>100.00001%</formula>
    </cfRule>
    <cfRule type="cellIs" dxfId="1737" priority="833" operator="between">
      <formula>0.66</formula>
      <formula>1</formula>
    </cfRule>
    <cfRule type="cellIs" dxfId="1736" priority="834" operator="between">
      <formula>0.401</formula>
      <formula>0.659999999999</formula>
    </cfRule>
    <cfRule type="cellIs" dxfId="1735" priority="835" operator="between">
      <formula>0</formula>
      <formula>0.4</formula>
    </cfRule>
  </conditionalFormatting>
  <conditionalFormatting sqref="U1032:U1036">
    <cfRule type="cellIs" dxfId="1734" priority="851" operator="lessThan">
      <formula>0</formula>
    </cfRule>
    <cfRule type="cellIs" dxfId="1733" priority="852" operator="greaterThan">
      <formula>100.00001%</formula>
    </cfRule>
    <cfRule type="cellIs" dxfId="1732" priority="853" operator="between">
      <formula>0.66</formula>
      <formula>1</formula>
    </cfRule>
    <cfRule type="cellIs" dxfId="1731" priority="854" operator="between">
      <formula>0.401</formula>
      <formula>0.659999999999</formula>
    </cfRule>
    <cfRule type="cellIs" dxfId="1730" priority="855" operator="between">
      <formula>0</formula>
      <formula>0.4</formula>
    </cfRule>
  </conditionalFormatting>
  <conditionalFormatting sqref="U1038:U1059">
    <cfRule type="cellIs" dxfId="1729" priority="846" operator="lessThan">
      <formula>0</formula>
    </cfRule>
    <cfRule type="cellIs" dxfId="1728" priority="847" operator="greaterThan">
      <formula>100.00001%</formula>
    </cfRule>
    <cfRule type="cellIs" dxfId="1727" priority="848" operator="between">
      <formula>0.66</formula>
      <formula>1</formula>
    </cfRule>
    <cfRule type="cellIs" dxfId="1726" priority="849" operator="between">
      <formula>0.401</formula>
      <formula>0.659999999999</formula>
    </cfRule>
    <cfRule type="cellIs" dxfId="1725" priority="850" operator="between">
      <formula>0</formula>
      <formula>0.4</formula>
    </cfRule>
  </conditionalFormatting>
  <conditionalFormatting sqref="U1037">
    <cfRule type="cellIs" dxfId="1724" priority="841" operator="lessThan">
      <formula>0</formula>
    </cfRule>
    <cfRule type="cellIs" dxfId="1723" priority="842" operator="greaterThan">
      <formula>100.00001%</formula>
    </cfRule>
    <cfRule type="cellIs" dxfId="1722" priority="843" operator="between">
      <formula>0.66</formula>
      <formula>1</formula>
    </cfRule>
    <cfRule type="cellIs" dxfId="1721" priority="844" operator="between">
      <formula>0.401</formula>
      <formula>0.659999999999</formula>
    </cfRule>
    <cfRule type="cellIs" dxfId="1720" priority="845" operator="between">
      <formula>0</formula>
      <formula>0.4</formula>
    </cfRule>
  </conditionalFormatting>
  <conditionalFormatting sqref="U915:U932">
    <cfRule type="cellIs" dxfId="1719" priority="826" operator="lessThan">
      <formula>0</formula>
    </cfRule>
    <cfRule type="cellIs" dxfId="1718" priority="827" operator="greaterThan">
      <formula>100.00001%</formula>
    </cfRule>
    <cfRule type="cellIs" dxfId="1717" priority="828" operator="between">
      <formula>0.66</formula>
      <formula>1</formula>
    </cfRule>
    <cfRule type="cellIs" dxfId="1716" priority="829" operator="between">
      <formula>0.401</formula>
      <formula>0.659999999999</formula>
    </cfRule>
    <cfRule type="cellIs" dxfId="1715" priority="830" operator="between">
      <formula>0</formula>
      <formula>0.4</formula>
    </cfRule>
  </conditionalFormatting>
  <conditionalFormatting sqref="U1060:U1071">
    <cfRule type="cellIs" dxfId="1714" priority="821" operator="lessThan">
      <formula>0</formula>
    </cfRule>
    <cfRule type="cellIs" dxfId="1713" priority="822" operator="greaterThan">
      <formula>100.00001%</formula>
    </cfRule>
    <cfRule type="cellIs" dxfId="1712" priority="823" operator="between">
      <formula>0.66</formula>
      <formula>1</formula>
    </cfRule>
    <cfRule type="cellIs" dxfId="1711" priority="824" operator="between">
      <formula>0.401</formula>
      <formula>0.659999999999</formula>
    </cfRule>
    <cfRule type="cellIs" dxfId="1710" priority="825" operator="between">
      <formula>0</formula>
      <formula>0.4</formula>
    </cfRule>
  </conditionalFormatting>
  <conditionalFormatting sqref="AC6:AC33 AC64:AC80 AC35:AC62 AC869:AC898 AC681:AC727 AC630:AC679 AC548:AC628 AC450:AC546 AC420:AC448 AC397:AC418 AC335:AC395 AC254:AC333 AC167:AC252 AC729:AC867 AC907:AC941 AC130:AC165">
    <cfRule type="cellIs" dxfId="1709" priority="816" operator="lessThan">
      <formula>0</formula>
    </cfRule>
    <cfRule type="cellIs" dxfId="1708" priority="817" operator="greaterThan">
      <formula>100.00001%</formula>
    </cfRule>
    <cfRule type="cellIs" dxfId="1707" priority="818" operator="between">
      <formula>0.66</formula>
      <formula>1</formula>
    </cfRule>
    <cfRule type="cellIs" dxfId="1706" priority="819" operator="between">
      <formula>0.401</formula>
      <formula>0.659999999999</formula>
    </cfRule>
    <cfRule type="cellIs" dxfId="1705" priority="820" operator="between">
      <formula>0</formula>
      <formula>0.4</formula>
    </cfRule>
  </conditionalFormatting>
  <conditionalFormatting sqref="AC81:AC128">
    <cfRule type="cellIs" dxfId="1704" priority="811" operator="lessThan">
      <formula>0</formula>
    </cfRule>
    <cfRule type="cellIs" dxfId="1703" priority="812" operator="greaterThan">
      <formula>100.00001%</formula>
    </cfRule>
    <cfRule type="cellIs" dxfId="1702" priority="813" operator="between">
      <formula>0.66</formula>
      <formula>1</formula>
    </cfRule>
    <cfRule type="cellIs" dxfId="1701" priority="814" operator="between">
      <formula>0.401</formula>
      <formula>0.659999999999</formula>
    </cfRule>
    <cfRule type="cellIs" dxfId="1700" priority="815" operator="between">
      <formula>0</formula>
      <formula>0.4</formula>
    </cfRule>
  </conditionalFormatting>
  <conditionalFormatting sqref="AC899:AC906">
    <cfRule type="cellIs" dxfId="1699" priority="806" operator="lessThan">
      <formula>0</formula>
    </cfRule>
    <cfRule type="cellIs" dxfId="1698" priority="807" operator="greaterThan">
      <formula>100.00001%</formula>
    </cfRule>
    <cfRule type="cellIs" dxfId="1697" priority="808" operator="between">
      <formula>0.66</formula>
      <formula>1</formula>
    </cfRule>
    <cfRule type="cellIs" dxfId="1696" priority="809" operator="between">
      <formula>0.401</formula>
      <formula>0.659999999999</formula>
    </cfRule>
    <cfRule type="cellIs" dxfId="1695" priority="810" operator="between">
      <formula>0</formula>
      <formula>0.4</formula>
    </cfRule>
  </conditionalFormatting>
  <conditionalFormatting sqref="AL5">
    <cfRule type="cellIs" dxfId="1694" priority="801" operator="lessThan">
      <formula>0</formula>
    </cfRule>
    <cfRule type="cellIs" dxfId="1693" priority="802" operator="greaterThan">
      <formula>100.00001%</formula>
    </cfRule>
    <cfRule type="cellIs" dxfId="1692" priority="803" operator="between">
      <formula>0.66</formula>
      <formula>1</formula>
    </cfRule>
    <cfRule type="cellIs" dxfId="1691" priority="804" operator="between">
      <formula>0.401</formula>
      <formula>0.659999999999</formula>
    </cfRule>
    <cfRule type="cellIs" dxfId="1690" priority="805" operator="between">
      <formula>0</formula>
      <formula>0.4</formula>
    </cfRule>
  </conditionalFormatting>
  <conditionalFormatting sqref="AL6">
    <cfRule type="cellIs" dxfId="1689" priority="796" operator="lessThan">
      <formula>0</formula>
    </cfRule>
    <cfRule type="cellIs" dxfId="1688" priority="797" operator="greaterThan">
      <formula>100.00001%</formula>
    </cfRule>
    <cfRule type="cellIs" dxfId="1687" priority="798" operator="between">
      <formula>0.66</formula>
      <formula>1</formula>
    </cfRule>
    <cfRule type="cellIs" dxfId="1686" priority="799" operator="between">
      <formula>0.401</formula>
      <formula>0.659999999999</formula>
    </cfRule>
    <cfRule type="cellIs" dxfId="1685" priority="800" operator="between">
      <formula>0</formula>
      <formula>0.4</formula>
    </cfRule>
  </conditionalFormatting>
  <conditionalFormatting sqref="AL8:AL11">
    <cfRule type="cellIs" dxfId="1684" priority="791" operator="lessThan">
      <formula>0</formula>
    </cfRule>
    <cfRule type="cellIs" dxfId="1683" priority="792" operator="greaterThan">
      <formula>100.00001%</formula>
    </cfRule>
    <cfRule type="cellIs" dxfId="1682" priority="793" operator="between">
      <formula>0.66</formula>
      <formula>1</formula>
    </cfRule>
    <cfRule type="cellIs" dxfId="1681" priority="794" operator="between">
      <formula>0.401</formula>
      <formula>0.659999999999</formula>
    </cfRule>
    <cfRule type="cellIs" dxfId="1680" priority="795" operator="between">
      <formula>0</formula>
      <formula>0.4</formula>
    </cfRule>
  </conditionalFormatting>
  <conditionalFormatting sqref="AL14">
    <cfRule type="cellIs" dxfId="1679" priority="786" operator="lessThan">
      <formula>0</formula>
    </cfRule>
    <cfRule type="cellIs" dxfId="1678" priority="787" operator="greaterThan">
      <formula>100.00001%</formula>
    </cfRule>
    <cfRule type="cellIs" dxfId="1677" priority="788" operator="between">
      <formula>0.66</formula>
      <formula>1</formula>
    </cfRule>
    <cfRule type="cellIs" dxfId="1676" priority="789" operator="between">
      <formula>0.401</formula>
      <formula>0.659999999999</formula>
    </cfRule>
    <cfRule type="cellIs" dxfId="1675" priority="790" operator="between">
      <formula>0</formula>
      <formula>0.4</formula>
    </cfRule>
  </conditionalFormatting>
  <conditionalFormatting sqref="AL34:AL37">
    <cfRule type="cellIs" dxfId="1674" priority="781" operator="lessThan">
      <formula>0</formula>
    </cfRule>
    <cfRule type="cellIs" dxfId="1673" priority="782" operator="greaterThan">
      <formula>100.00001%</formula>
    </cfRule>
    <cfRule type="cellIs" dxfId="1672" priority="783" operator="between">
      <formula>0.66</formula>
      <formula>1</formula>
    </cfRule>
    <cfRule type="cellIs" dxfId="1671" priority="784" operator="between">
      <formula>0.401</formula>
      <formula>0.659999999999</formula>
    </cfRule>
    <cfRule type="cellIs" dxfId="1670" priority="785" operator="between">
      <formula>0</formula>
      <formula>0.4</formula>
    </cfRule>
  </conditionalFormatting>
  <conditionalFormatting sqref="AL39:AL42">
    <cfRule type="cellIs" dxfId="1669" priority="776" operator="lessThan">
      <formula>0</formula>
    </cfRule>
    <cfRule type="cellIs" dxfId="1668" priority="777" operator="greaterThan">
      <formula>100.00001%</formula>
    </cfRule>
    <cfRule type="cellIs" dxfId="1667" priority="778" operator="between">
      <formula>0.66</formula>
      <formula>1</formula>
    </cfRule>
    <cfRule type="cellIs" dxfId="1666" priority="779" operator="between">
      <formula>0.401</formula>
      <formula>0.659999999999</formula>
    </cfRule>
    <cfRule type="cellIs" dxfId="1665" priority="780" operator="between">
      <formula>0</formula>
      <formula>0.4</formula>
    </cfRule>
  </conditionalFormatting>
  <conditionalFormatting sqref="AL43:AL48">
    <cfRule type="cellIs" dxfId="1664" priority="771" operator="lessThan">
      <formula>0</formula>
    </cfRule>
    <cfRule type="cellIs" dxfId="1663" priority="772" operator="greaterThan">
      <formula>100.00001%</formula>
    </cfRule>
    <cfRule type="cellIs" dxfId="1662" priority="773" operator="between">
      <formula>0.66</formula>
      <formula>1</formula>
    </cfRule>
    <cfRule type="cellIs" dxfId="1661" priority="774" operator="between">
      <formula>0.401</formula>
      <formula>0.659999999999</formula>
    </cfRule>
    <cfRule type="cellIs" dxfId="1660" priority="775" operator="between">
      <formula>0</formula>
      <formula>0.4</formula>
    </cfRule>
  </conditionalFormatting>
  <conditionalFormatting sqref="AL49:AL51">
    <cfRule type="cellIs" dxfId="1659" priority="766" operator="lessThan">
      <formula>0</formula>
    </cfRule>
    <cfRule type="cellIs" dxfId="1658" priority="767" operator="greaterThan">
      <formula>100.00001%</formula>
    </cfRule>
    <cfRule type="cellIs" dxfId="1657" priority="768" operator="between">
      <formula>0.66</formula>
      <formula>1</formula>
    </cfRule>
    <cfRule type="cellIs" dxfId="1656" priority="769" operator="between">
      <formula>0.401</formula>
      <formula>0.659999999999</formula>
    </cfRule>
    <cfRule type="cellIs" dxfId="1655" priority="770" operator="between">
      <formula>0</formula>
      <formula>0.4</formula>
    </cfRule>
  </conditionalFormatting>
  <conditionalFormatting sqref="AL62">
    <cfRule type="cellIs" dxfId="1654" priority="761" operator="lessThan">
      <formula>0</formula>
    </cfRule>
    <cfRule type="cellIs" dxfId="1653" priority="762" operator="greaterThan">
      <formula>100.00001%</formula>
    </cfRule>
    <cfRule type="cellIs" dxfId="1652" priority="763" operator="between">
      <formula>0.66</formula>
      <formula>1</formula>
    </cfRule>
    <cfRule type="cellIs" dxfId="1651" priority="764" operator="between">
      <formula>0.401</formula>
      <formula>0.659999999999</formula>
    </cfRule>
    <cfRule type="cellIs" dxfId="1650" priority="765" operator="between">
      <formula>0</formula>
      <formula>0.4</formula>
    </cfRule>
  </conditionalFormatting>
  <conditionalFormatting sqref="AL63:AL69">
    <cfRule type="cellIs" dxfId="1649" priority="756" operator="lessThan">
      <formula>0</formula>
    </cfRule>
    <cfRule type="cellIs" dxfId="1648" priority="757" operator="greaterThan">
      <formula>100.00001%</formula>
    </cfRule>
    <cfRule type="cellIs" dxfId="1647" priority="758" operator="between">
      <formula>0.66</formula>
      <formula>1</formula>
    </cfRule>
    <cfRule type="cellIs" dxfId="1646" priority="759" operator="between">
      <formula>0.401</formula>
      <formula>0.659999999999</formula>
    </cfRule>
    <cfRule type="cellIs" dxfId="1645" priority="760" operator="between">
      <formula>0</formula>
      <formula>0.4</formula>
    </cfRule>
  </conditionalFormatting>
  <conditionalFormatting sqref="AL72:AL76">
    <cfRule type="cellIs" dxfId="1644" priority="751" operator="lessThan">
      <formula>0</formula>
    </cfRule>
    <cfRule type="cellIs" dxfId="1643" priority="752" operator="greaterThan">
      <formula>100.00001%</formula>
    </cfRule>
    <cfRule type="cellIs" dxfId="1642" priority="753" operator="between">
      <formula>0.66</formula>
      <formula>1</formula>
    </cfRule>
    <cfRule type="cellIs" dxfId="1641" priority="754" operator="between">
      <formula>0.401</formula>
      <formula>0.659999999999</formula>
    </cfRule>
    <cfRule type="cellIs" dxfId="1640" priority="755" operator="between">
      <formula>0</formula>
      <formula>0.4</formula>
    </cfRule>
  </conditionalFormatting>
  <conditionalFormatting sqref="AL77:AL87">
    <cfRule type="cellIs" dxfId="1639" priority="746" operator="lessThan">
      <formula>0</formula>
    </cfRule>
    <cfRule type="cellIs" dxfId="1638" priority="747" operator="greaterThan">
      <formula>100.00001%</formula>
    </cfRule>
    <cfRule type="cellIs" dxfId="1637" priority="748" operator="between">
      <formula>0.66</formula>
      <formula>1</formula>
    </cfRule>
    <cfRule type="cellIs" dxfId="1636" priority="749" operator="between">
      <formula>0.401</formula>
      <formula>0.659999999999</formula>
    </cfRule>
    <cfRule type="cellIs" dxfId="1635" priority="750" operator="between">
      <formula>0</formula>
      <formula>0.4</formula>
    </cfRule>
  </conditionalFormatting>
  <conditionalFormatting sqref="AL89">
    <cfRule type="cellIs" dxfId="1634" priority="741" operator="lessThan">
      <formula>0</formula>
    </cfRule>
    <cfRule type="cellIs" dxfId="1633" priority="742" operator="greaterThan">
      <formula>100.00001%</formula>
    </cfRule>
    <cfRule type="cellIs" dxfId="1632" priority="743" operator="between">
      <formula>0.66</formula>
      <formula>1</formula>
    </cfRule>
    <cfRule type="cellIs" dxfId="1631" priority="744" operator="between">
      <formula>0.401</formula>
      <formula>0.659999999999</formula>
    </cfRule>
    <cfRule type="cellIs" dxfId="1630" priority="745" operator="between">
      <formula>0</formula>
      <formula>0.4</formula>
    </cfRule>
  </conditionalFormatting>
  <conditionalFormatting sqref="AL123:AL124">
    <cfRule type="cellIs" dxfId="1629" priority="736" operator="lessThan">
      <formula>0</formula>
    </cfRule>
    <cfRule type="cellIs" dxfId="1628" priority="737" operator="greaterThan">
      <formula>100.00001%</formula>
    </cfRule>
    <cfRule type="cellIs" dxfId="1627" priority="738" operator="between">
      <formula>0.66</formula>
      <formula>1</formula>
    </cfRule>
    <cfRule type="cellIs" dxfId="1626" priority="739" operator="between">
      <formula>0.401</formula>
      <formula>0.659999999999</formula>
    </cfRule>
    <cfRule type="cellIs" dxfId="1625" priority="740" operator="between">
      <formula>0</formula>
      <formula>0.4</formula>
    </cfRule>
  </conditionalFormatting>
  <conditionalFormatting sqref="AL125">
    <cfRule type="cellIs" dxfId="1624" priority="731" operator="lessThan">
      <formula>0</formula>
    </cfRule>
    <cfRule type="cellIs" dxfId="1623" priority="732" operator="greaterThan">
      <formula>100.00001%</formula>
    </cfRule>
    <cfRule type="cellIs" dxfId="1622" priority="733" operator="between">
      <formula>0.66</formula>
      <formula>1</formula>
    </cfRule>
    <cfRule type="cellIs" dxfId="1621" priority="734" operator="between">
      <formula>0.401</formula>
      <formula>0.659999999999</formula>
    </cfRule>
    <cfRule type="cellIs" dxfId="1620" priority="735" operator="between">
      <formula>0</formula>
      <formula>0.4</formula>
    </cfRule>
  </conditionalFormatting>
  <conditionalFormatting sqref="AL126">
    <cfRule type="cellIs" dxfId="1619" priority="726" operator="lessThan">
      <formula>0</formula>
    </cfRule>
    <cfRule type="cellIs" dxfId="1618" priority="727" operator="greaterThan">
      <formula>100.00001%</formula>
    </cfRule>
    <cfRule type="cellIs" dxfId="1617" priority="728" operator="between">
      <formula>0.66</formula>
      <formula>1</formula>
    </cfRule>
    <cfRule type="cellIs" dxfId="1616" priority="729" operator="between">
      <formula>0.401</formula>
      <formula>0.659999999999</formula>
    </cfRule>
    <cfRule type="cellIs" dxfId="1615" priority="730" operator="between">
      <formula>0</formula>
      <formula>0.4</formula>
    </cfRule>
  </conditionalFormatting>
  <conditionalFormatting sqref="AL127:AL128">
    <cfRule type="cellIs" dxfId="1614" priority="721" operator="lessThan">
      <formula>0</formula>
    </cfRule>
    <cfRule type="cellIs" dxfId="1613" priority="722" operator="greaterThan">
      <formula>100.00001%</formula>
    </cfRule>
    <cfRule type="cellIs" dxfId="1612" priority="723" operator="between">
      <formula>0.66</formula>
      <formula>1</formula>
    </cfRule>
    <cfRule type="cellIs" dxfId="1611" priority="724" operator="between">
      <formula>0.401</formula>
      <formula>0.659999999999</formula>
    </cfRule>
    <cfRule type="cellIs" dxfId="1610" priority="725" operator="between">
      <formula>0</formula>
      <formula>0.4</formula>
    </cfRule>
  </conditionalFormatting>
  <conditionalFormatting sqref="AL129:AL132">
    <cfRule type="cellIs" dxfId="1609" priority="716" operator="lessThan">
      <formula>0</formula>
    </cfRule>
    <cfRule type="cellIs" dxfId="1608" priority="717" operator="greaterThan">
      <formula>100.00001%</formula>
    </cfRule>
    <cfRule type="cellIs" dxfId="1607" priority="718" operator="between">
      <formula>0.66</formula>
      <formula>1</formula>
    </cfRule>
    <cfRule type="cellIs" dxfId="1606" priority="719" operator="between">
      <formula>0.401</formula>
      <formula>0.659999999999</formula>
    </cfRule>
    <cfRule type="cellIs" dxfId="1605" priority="720" operator="between">
      <formula>0</formula>
      <formula>0.4</formula>
    </cfRule>
  </conditionalFormatting>
  <conditionalFormatting sqref="AL144:AL147">
    <cfRule type="cellIs" dxfId="1604" priority="711" operator="lessThan">
      <formula>0</formula>
    </cfRule>
    <cfRule type="cellIs" dxfId="1603" priority="712" operator="greaterThan">
      <formula>100.00001%</formula>
    </cfRule>
    <cfRule type="cellIs" dxfId="1602" priority="713" operator="between">
      <formula>0.66</formula>
      <formula>1</formula>
    </cfRule>
    <cfRule type="cellIs" dxfId="1601" priority="714" operator="between">
      <formula>0.401</formula>
      <formula>0.659999999999</formula>
    </cfRule>
    <cfRule type="cellIs" dxfId="1600" priority="715" operator="between">
      <formula>0</formula>
      <formula>0.4</formula>
    </cfRule>
  </conditionalFormatting>
  <conditionalFormatting sqref="AL148:AL149">
    <cfRule type="cellIs" dxfId="1599" priority="706" operator="lessThan">
      <formula>0</formula>
    </cfRule>
    <cfRule type="cellIs" dxfId="1598" priority="707" operator="greaterThan">
      <formula>100.00001%</formula>
    </cfRule>
    <cfRule type="cellIs" dxfId="1597" priority="708" operator="between">
      <formula>0.66</formula>
      <formula>1</formula>
    </cfRule>
    <cfRule type="cellIs" dxfId="1596" priority="709" operator="between">
      <formula>0.401</formula>
      <formula>0.659999999999</formula>
    </cfRule>
    <cfRule type="cellIs" dxfId="1595" priority="710" operator="between">
      <formula>0</formula>
      <formula>0.4</formula>
    </cfRule>
  </conditionalFormatting>
  <conditionalFormatting sqref="AL137:AL140">
    <cfRule type="cellIs" dxfId="1594" priority="701" operator="lessThan">
      <formula>0</formula>
    </cfRule>
    <cfRule type="cellIs" dxfId="1593" priority="702" operator="greaterThan">
      <formula>100.00001%</formula>
    </cfRule>
    <cfRule type="cellIs" dxfId="1592" priority="703" operator="between">
      <formula>0.66</formula>
      <formula>1</formula>
    </cfRule>
    <cfRule type="cellIs" dxfId="1591" priority="704" operator="between">
      <formula>0.401</formula>
      <formula>0.659999999999</formula>
    </cfRule>
    <cfRule type="cellIs" dxfId="1590" priority="705" operator="between">
      <formula>0</formula>
      <formula>0.4</formula>
    </cfRule>
  </conditionalFormatting>
  <conditionalFormatting sqref="AL150:AL151">
    <cfRule type="cellIs" dxfId="1589" priority="696" operator="lessThan">
      <formula>0</formula>
    </cfRule>
    <cfRule type="cellIs" dxfId="1588" priority="697" operator="greaterThan">
      <formula>100.00001%</formula>
    </cfRule>
    <cfRule type="cellIs" dxfId="1587" priority="698" operator="between">
      <formula>0.66</formula>
      <formula>1</formula>
    </cfRule>
    <cfRule type="cellIs" dxfId="1586" priority="699" operator="between">
      <formula>0.401</formula>
      <formula>0.659999999999</formula>
    </cfRule>
    <cfRule type="cellIs" dxfId="1585" priority="700" operator="between">
      <formula>0</formula>
      <formula>0.4</formula>
    </cfRule>
  </conditionalFormatting>
  <conditionalFormatting sqref="AL141">
    <cfRule type="cellIs" dxfId="1584" priority="691" operator="lessThan">
      <formula>0</formula>
    </cfRule>
    <cfRule type="cellIs" dxfId="1583" priority="692" operator="greaterThan">
      <formula>100.00001%</formula>
    </cfRule>
    <cfRule type="cellIs" dxfId="1582" priority="693" operator="between">
      <formula>0.66</formula>
      <formula>1</formula>
    </cfRule>
    <cfRule type="cellIs" dxfId="1581" priority="694" operator="between">
      <formula>0.401</formula>
      <formula>0.659999999999</formula>
    </cfRule>
    <cfRule type="cellIs" dxfId="1580" priority="695" operator="between">
      <formula>0</formula>
      <formula>0.4</formula>
    </cfRule>
  </conditionalFormatting>
  <conditionalFormatting sqref="AL142">
    <cfRule type="cellIs" dxfId="1579" priority="686" operator="lessThan">
      <formula>0</formula>
    </cfRule>
    <cfRule type="cellIs" dxfId="1578" priority="687" operator="greaterThan">
      <formula>100.00001%</formula>
    </cfRule>
    <cfRule type="cellIs" dxfId="1577" priority="688" operator="between">
      <formula>0.66</formula>
      <formula>1</formula>
    </cfRule>
    <cfRule type="cellIs" dxfId="1576" priority="689" operator="between">
      <formula>0.401</formula>
      <formula>0.659999999999</formula>
    </cfRule>
    <cfRule type="cellIs" dxfId="1575" priority="690" operator="between">
      <formula>0</formula>
      <formula>0.4</formula>
    </cfRule>
  </conditionalFormatting>
  <conditionalFormatting sqref="AL165">
    <cfRule type="cellIs" dxfId="1574" priority="681" operator="lessThan">
      <formula>0</formula>
    </cfRule>
    <cfRule type="cellIs" dxfId="1573" priority="682" operator="greaterThan">
      <formula>100.00001%</formula>
    </cfRule>
    <cfRule type="cellIs" dxfId="1572" priority="683" operator="between">
      <formula>0.66</formula>
      <formula>1</formula>
    </cfRule>
    <cfRule type="cellIs" dxfId="1571" priority="684" operator="between">
      <formula>0.401</formula>
      <formula>0.659999999999</formula>
    </cfRule>
    <cfRule type="cellIs" dxfId="1570" priority="685" operator="between">
      <formula>0</formula>
      <formula>0.4</formula>
    </cfRule>
  </conditionalFormatting>
  <conditionalFormatting sqref="AL166">
    <cfRule type="cellIs" dxfId="1569" priority="676" operator="lessThan">
      <formula>0</formula>
    </cfRule>
    <cfRule type="cellIs" dxfId="1568" priority="677" operator="greaterThan">
      <formula>100.00001%</formula>
    </cfRule>
    <cfRule type="cellIs" dxfId="1567" priority="678" operator="between">
      <formula>0.66</formula>
      <formula>1</formula>
    </cfRule>
    <cfRule type="cellIs" dxfId="1566" priority="679" operator="between">
      <formula>0.401</formula>
      <formula>0.659999999999</formula>
    </cfRule>
    <cfRule type="cellIs" dxfId="1565" priority="680" operator="between">
      <formula>0</formula>
      <formula>0.4</formula>
    </cfRule>
  </conditionalFormatting>
  <conditionalFormatting sqref="AL168:AL180">
    <cfRule type="cellIs" dxfId="1564" priority="671" operator="lessThan">
      <formula>0</formula>
    </cfRule>
    <cfRule type="cellIs" dxfId="1563" priority="672" operator="greaterThan">
      <formula>100.00001%</formula>
    </cfRule>
    <cfRule type="cellIs" dxfId="1562" priority="673" operator="between">
      <formula>0.66</formula>
      <formula>1</formula>
    </cfRule>
    <cfRule type="cellIs" dxfId="1561" priority="674" operator="between">
      <formula>0.401</formula>
      <formula>0.659999999999</formula>
    </cfRule>
    <cfRule type="cellIs" dxfId="1560" priority="675" operator="between">
      <formula>0</formula>
      <formula>0.4</formula>
    </cfRule>
  </conditionalFormatting>
  <conditionalFormatting sqref="AL223:AL226">
    <cfRule type="cellIs" dxfId="1559" priority="666" operator="lessThan">
      <formula>0</formula>
    </cfRule>
    <cfRule type="cellIs" dxfId="1558" priority="667" operator="greaterThan">
      <formula>100.00001%</formula>
    </cfRule>
    <cfRule type="cellIs" dxfId="1557" priority="668" operator="between">
      <formula>0.66</formula>
      <formula>1</formula>
    </cfRule>
    <cfRule type="cellIs" dxfId="1556" priority="669" operator="between">
      <formula>0.401</formula>
      <formula>0.659999999999</formula>
    </cfRule>
    <cfRule type="cellIs" dxfId="1555" priority="670" operator="between">
      <formula>0</formula>
      <formula>0.4</formula>
    </cfRule>
  </conditionalFormatting>
  <conditionalFormatting sqref="AL181:AL190">
    <cfRule type="cellIs" dxfId="1554" priority="661" operator="lessThan">
      <formula>0</formula>
    </cfRule>
    <cfRule type="cellIs" dxfId="1553" priority="662" operator="greaterThan">
      <formula>100.00001%</formula>
    </cfRule>
    <cfRule type="cellIs" dxfId="1552" priority="663" operator="between">
      <formula>0.66</formula>
      <formula>1</formula>
    </cfRule>
    <cfRule type="cellIs" dxfId="1551" priority="664" operator="between">
      <formula>0.401</formula>
      <formula>0.659999999999</formula>
    </cfRule>
    <cfRule type="cellIs" dxfId="1550" priority="665" operator="between">
      <formula>0</formula>
      <formula>0.4</formula>
    </cfRule>
  </conditionalFormatting>
  <conditionalFormatting sqref="AL191:AL203">
    <cfRule type="cellIs" dxfId="1549" priority="656" operator="lessThan">
      <formula>0</formula>
    </cfRule>
    <cfRule type="cellIs" dxfId="1548" priority="657" operator="greaterThan">
      <formula>100.00001%</formula>
    </cfRule>
    <cfRule type="cellIs" dxfId="1547" priority="658" operator="between">
      <formula>0.66</formula>
      <formula>1</formula>
    </cfRule>
    <cfRule type="cellIs" dxfId="1546" priority="659" operator="between">
      <formula>0.401</formula>
      <formula>0.659999999999</formula>
    </cfRule>
    <cfRule type="cellIs" dxfId="1545" priority="660" operator="between">
      <formula>0</formula>
      <formula>0.4</formula>
    </cfRule>
  </conditionalFormatting>
  <conditionalFormatting sqref="AL204:AL213">
    <cfRule type="cellIs" dxfId="1544" priority="651" operator="lessThan">
      <formula>0</formula>
    </cfRule>
    <cfRule type="cellIs" dxfId="1543" priority="652" operator="greaterThan">
      <formula>100.00001%</formula>
    </cfRule>
    <cfRule type="cellIs" dxfId="1542" priority="653" operator="between">
      <formula>0.66</formula>
      <formula>1</formula>
    </cfRule>
    <cfRule type="cellIs" dxfId="1541" priority="654" operator="between">
      <formula>0.401</formula>
      <formula>0.659999999999</formula>
    </cfRule>
    <cfRule type="cellIs" dxfId="1540" priority="655" operator="between">
      <formula>0</formula>
      <formula>0.4</formula>
    </cfRule>
  </conditionalFormatting>
  <conditionalFormatting sqref="AL253:AL256">
    <cfRule type="cellIs" dxfId="1539" priority="646" operator="lessThan">
      <formula>0</formula>
    </cfRule>
    <cfRule type="cellIs" dxfId="1538" priority="647" operator="greaterThan">
      <formula>100.00001%</formula>
    </cfRule>
    <cfRule type="cellIs" dxfId="1537" priority="648" operator="between">
      <formula>0.66</formula>
      <formula>1</formula>
    </cfRule>
    <cfRule type="cellIs" dxfId="1536" priority="649" operator="between">
      <formula>0.401</formula>
      <formula>0.659999999999</formula>
    </cfRule>
    <cfRule type="cellIs" dxfId="1535" priority="650" operator="between">
      <formula>0</formula>
      <formula>0.4</formula>
    </cfRule>
  </conditionalFormatting>
  <conditionalFormatting sqref="AL257">
    <cfRule type="cellIs" dxfId="1534" priority="641" operator="lessThan">
      <formula>0</formula>
    </cfRule>
    <cfRule type="cellIs" dxfId="1533" priority="642" operator="greaterThan">
      <formula>100.00001%</formula>
    </cfRule>
    <cfRule type="cellIs" dxfId="1532" priority="643" operator="between">
      <formula>0.66</formula>
      <formula>1</formula>
    </cfRule>
    <cfRule type="cellIs" dxfId="1531" priority="644" operator="between">
      <formula>0.401</formula>
      <formula>0.659999999999</formula>
    </cfRule>
    <cfRule type="cellIs" dxfId="1530" priority="645" operator="between">
      <formula>0</formula>
      <formula>0.4</formula>
    </cfRule>
  </conditionalFormatting>
  <conditionalFormatting sqref="AL258:AL260">
    <cfRule type="cellIs" dxfId="1529" priority="636" operator="lessThan">
      <formula>0</formula>
    </cfRule>
    <cfRule type="cellIs" dxfId="1528" priority="637" operator="greaterThan">
      <formula>100.00001%</formula>
    </cfRule>
    <cfRule type="cellIs" dxfId="1527" priority="638" operator="between">
      <formula>0.66</formula>
      <formula>1</formula>
    </cfRule>
    <cfRule type="cellIs" dxfId="1526" priority="639" operator="between">
      <formula>0.401</formula>
      <formula>0.659999999999</formula>
    </cfRule>
    <cfRule type="cellIs" dxfId="1525" priority="640" operator="between">
      <formula>0</formula>
      <formula>0.4</formula>
    </cfRule>
  </conditionalFormatting>
  <conditionalFormatting sqref="AL261">
    <cfRule type="cellIs" dxfId="1524" priority="631" operator="lessThan">
      <formula>0</formula>
    </cfRule>
    <cfRule type="cellIs" dxfId="1523" priority="632" operator="greaterThan">
      <formula>100.00001%</formula>
    </cfRule>
    <cfRule type="cellIs" dxfId="1522" priority="633" operator="between">
      <formula>0.66</formula>
      <formula>1</formula>
    </cfRule>
    <cfRule type="cellIs" dxfId="1521" priority="634" operator="between">
      <formula>0.401</formula>
      <formula>0.659999999999</formula>
    </cfRule>
    <cfRule type="cellIs" dxfId="1520" priority="635" operator="between">
      <formula>0</formula>
      <formula>0.4</formula>
    </cfRule>
  </conditionalFormatting>
  <conditionalFormatting sqref="AL262">
    <cfRule type="cellIs" dxfId="1519" priority="626" operator="lessThan">
      <formula>0</formula>
    </cfRule>
    <cfRule type="cellIs" dxfId="1518" priority="627" operator="greaterThan">
      <formula>100.00001%</formula>
    </cfRule>
    <cfRule type="cellIs" dxfId="1517" priority="628" operator="between">
      <formula>0.66</formula>
      <formula>1</formula>
    </cfRule>
    <cfRule type="cellIs" dxfId="1516" priority="629" operator="between">
      <formula>0.401</formula>
      <formula>0.659999999999</formula>
    </cfRule>
    <cfRule type="cellIs" dxfId="1515" priority="630" operator="between">
      <formula>0</formula>
      <formula>0.4</formula>
    </cfRule>
  </conditionalFormatting>
  <conditionalFormatting sqref="AL263:AL264">
    <cfRule type="cellIs" dxfId="1514" priority="621" operator="lessThan">
      <formula>0</formula>
    </cfRule>
    <cfRule type="cellIs" dxfId="1513" priority="622" operator="greaterThan">
      <formula>100.00001%</formula>
    </cfRule>
    <cfRule type="cellIs" dxfId="1512" priority="623" operator="between">
      <formula>0.66</formula>
      <formula>1</formula>
    </cfRule>
    <cfRule type="cellIs" dxfId="1511" priority="624" operator="between">
      <formula>0.401</formula>
      <formula>0.659999999999</formula>
    </cfRule>
    <cfRule type="cellIs" dxfId="1510" priority="625" operator="between">
      <formula>0</formula>
      <formula>0.4</formula>
    </cfRule>
  </conditionalFormatting>
  <conditionalFormatting sqref="AL265:AL266">
    <cfRule type="cellIs" dxfId="1509" priority="616" operator="lessThan">
      <formula>0</formula>
    </cfRule>
    <cfRule type="cellIs" dxfId="1508" priority="617" operator="greaterThan">
      <formula>100.00001%</formula>
    </cfRule>
    <cfRule type="cellIs" dxfId="1507" priority="618" operator="between">
      <formula>0.66</formula>
      <formula>1</formula>
    </cfRule>
    <cfRule type="cellIs" dxfId="1506" priority="619" operator="between">
      <formula>0.401</formula>
      <formula>0.659999999999</formula>
    </cfRule>
    <cfRule type="cellIs" dxfId="1505" priority="620" operator="between">
      <formula>0</formula>
      <formula>0.4</formula>
    </cfRule>
  </conditionalFormatting>
  <conditionalFormatting sqref="AL267">
    <cfRule type="cellIs" dxfId="1504" priority="611" operator="lessThan">
      <formula>0</formula>
    </cfRule>
    <cfRule type="cellIs" dxfId="1503" priority="612" operator="greaterThan">
      <formula>100.00001%</formula>
    </cfRule>
    <cfRule type="cellIs" dxfId="1502" priority="613" operator="between">
      <formula>0.66</formula>
      <formula>1</formula>
    </cfRule>
    <cfRule type="cellIs" dxfId="1501" priority="614" operator="between">
      <formula>0.401</formula>
      <formula>0.659999999999</formula>
    </cfRule>
    <cfRule type="cellIs" dxfId="1500" priority="615" operator="between">
      <formula>0</formula>
      <formula>0.4</formula>
    </cfRule>
  </conditionalFormatting>
  <conditionalFormatting sqref="AL268:AL272">
    <cfRule type="cellIs" dxfId="1499" priority="606" operator="lessThan">
      <formula>0</formula>
    </cfRule>
    <cfRule type="cellIs" dxfId="1498" priority="607" operator="greaterThan">
      <formula>100.00001%</formula>
    </cfRule>
    <cfRule type="cellIs" dxfId="1497" priority="608" operator="between">
      <formula>0.66</formula>
      <formula>1</formula>
    </cfRule>
    <cfRule type="cellIs" dxfId="1496" priority="609" operator="between">
      <formula>0.401</formula>
      <formula>0.659999999999</formula>
    </cfRule>
    <cfRule type="cellIs" dxfId="1495" priority="610" operator="between">
      <formula>0</formula>
      <formula>0.4</formula>
    </cfRule>
  </conditionalFormatting>
  <conditionalFormatting sqref="AL308">
    <cfRule type="cellIs" dxfId="1494" priority="601" operator="lessThan">
      <formula>0</formula>
    </cfRule>
    <cfRule type="cellIs" dxfId="1493" priority="602" operator="greaterThan">
      <formula>100.00001%</formula>
    </cfRule>
    <cfRule type="cellIs" dxfId="1492" priority="603" operator="between">
      <formula>0.66</formula>
      <formula>1</formula>
    </cfRule>
    <cfRule type="cellIs" dxfId="1491" priority="604" operator="between">
      <formula>0.401</formula>
      <formula>0.659999999999</formula>
    </cfRule>
    <cfRule type="cellIs" dxfId="1490" priority="605" operator="between">
      <formula>0</formula>
      <formula>0.4</formula>
    </cfRule>
  </conditionalFormatting>
  <conditionalFormatting sqref="AL276">
    <cfRule type="cellIs" dxfId="1489" priority="596" operator="lessThan">
      <formula>0</formula>
    </cfRule>
    <cfRule type="cellIs" dxfId="1488" priority="597" operator="greaterThan">
      <formula>100.00001%</formula>
    </cfRule>
    <cfRule type="cellIs" dxfId="1487" priority="598" operator="between">
      <formula>0.66</formula>
      <formula>1</formula>
    </cfRule>
    <cfRule type="cellIs" dxfId="1486" priority="599" operator="between">
      <formula>0.401</formula>
      <formula>0.659999999999</formula>
    </cfRule>
    <cfRule type="cellIs" dxfId="1485" priority="600" operator="between">
      <formula>0</formula>
      <formula>0.4</formula>
    </cfRule>
  </conditionalFormatting>
  <conditionalFormatting sqref="AL278">
    <cfRule type="cellIs" dxfId="1484" priority="591" operator="lessThan">
      <formula>0</formula>
    </cfRule>
    <cfRule type="cellIs" dxfId="1483" priority="592" operator="greaterThan">
      <formula>100.00001%</formula>
    </cfRule>
    <cfRule type="cellIs" dxfId="1482" priority="593" operator="between">
      <formula>0.66</formula>
      <formula>1</formula>
    </cfRule>
    <cfRule type="cellIs" dxfId="1481" priority="594" operator="between">
      <formula>0.401</formula>
      <formula>0.659999999999</formula>
    </cfRule>
    <cfRule type="cellIs" dxfId="1480" priority="595" operator="between">
      <formula>0</formula>
      <formula>0.4</formula>
    </cfRule>
  </conditionalFormatting>
  <conditionalFormatting sqref="AL279:AL280">
    <cfRule type="cellIs" dxfId="1479" priority="586" operator="lessThan">
      <formula>0</formula>
    </cfRule>
    <cfRule type="cellIs" dxfId="1478" priority="587" operator="greaterThan">
      <formula>100.00001%</formula>
    </cfRule>
    <cfRule type="cellIs" dxfId="1477" priority="588" operator="between">
      <formula>0.66</formula>
      <formula>1</formula>
    </cfRule>
    <cfRule type="cellIs" dxfId="1476" priority="589" operator="between">
      <formula>0.401</formula>
      <formula>0.659999999999</formula>
    </cfRule>
    <cfRule type="cellIs" dxfId="1475" priority="590" operator="between">
      <formula>0</formula>
      <formula>0.4</formula>
    </cfRule>
  </conditionalFormatting>
  <conditionalFormatting sqref="AL281:AL282">
    <cfRule type="cellIs" dxfId="1474" priority="581" operator="lessThan">
      <formula>0</formula>
    </cfRule>
    <cfRule type="cellIs" dxfId="1473" priority="582" operator="greaterThan">
      <formula>100.00001%</formula>
    </cfRule>
    <cfRule type="cellIs" dxfId="1472" priority="583" operator="between">
      <formula>0.66</formula>
      <formula>1</formula>
    </cfRule>
    <cfRule type="cellIs" dxfId="1471" priority="584" operator="between">
      <formula>0.401</formula>
      <formula>0.659999999999</formula>
    </cfRule>
    <cfRule type="cellIs" dxfId="1470" priority="585" operator="between">
      <formula>0</formula>
      <formula>0.4</formula>
    </cfRule>
  </conditionalFormatting>
  <conditionalFormatting sqref="AL283:AL287">
    <cfRule type="cellIs" dxfId="1469" priority="576" operator="lessThan">
      <formula>0</formula>
    </cfRule>
    <cfRule type="cellIs" dxfId="1468" priority="577" operator="greaterThan">
      <formula>100.00001%</formula>
    </cfRule>
    <cfRule type="cellIs" dxfId="1467" priority="578" operator="between">
      <formula>0.66</formula>
      <formula>1</formula>
    </cfRule>
    <cfRule type="cellIs" dxfId="1466" priority="579" operator="between">
      <formula>0.401</formula>
      <formula>0.659999999999</formula>
    </cfRule>
    <cfRule type="cellIs" dxfId="1465" priority="580" operator="between">
      <formula>0</formula>
      <formula>0.4</formula>
    </cfRule>
  </conditionalFormatting>
  <conditionalFormatting sqref="AL288:AL290">
    <cfRule type="cellIs" dxfId="1464" priority="571" operator="lessThan">
      <formula>0</formula>
    </cfRule>
    <cfRule type="cellIs" dxfId="1463" priority="572" operator="greaterThan">
      <formula>100.00001%</formula>
    </cfRule>
    <cfRule type="cellIs" dxfId="1462" priority="573" operator="between">
      <formula>0.66</formula>
      <formula>1</formula>
    </cfRule>
    <cfRule type="cellIs" dxfId="1461" priority="574" operator="between">
      <formula>0.401</formula>
      <formula>0.659999999999</formula>
    </cfRule>
    <cfRule type="cellIs" dxfId="1460" priority="575" operator="between">
      <formula>0</formula>
      <formula>0.4</formula>
    </cfRule>
  </conditionalFormatting>
  <conditionalFormatting sqref="AL291:AL293">
    <cfRule type="cellIs" dxfId="1459" priority="566" operator="lessThan">
      <formula>0</formula>
    </cfRule>
    <cfRule type="cellIs" dxfId="1458" priority="567" operator="greaterThan">
      <formula>100.00001%</formula>
    </cfRule>
    <cfRule type="cellIs" dxfId="1457" priority="568" operator="between">
      <formula>0.66</formula>
      <formula>1</formula>
    </cfRule>
    <cfRule type="cellIs" dxfId="1456" priority="569" operator="between">
      <formula>0.401</formula>
      <formula>0.659999999999</formula>
    </cfRule>
    <cfRule type="cellIs" dxfId="1455" priority="570" operator="between">
      <formula>0</formula>
      <formula>0.4</formula>
    </cfRule>
  </conditionalFormatting>
  <conditionalFormatting sqref="AL334:AL345">
    <cfRule type="cellIs" dxfId="1454" priority="561" operator="lessThan">
      <formula>0</formula>
    </cfRule>
    <cfRule type="cellIs" dxfId="1453" priority="562" operator="greaterThan">
      <formula>100.00001%</formula>
    </cfRule>
    <cfRule type="cellIs" dxfId="1452" priority="563" operator="between">
      <formula>0.66</formula>
      <formula>1</formula>
    </cfRule>
    <cfRule type="cellIs" dxfId="1451" priority="564" operator="between">
      <formula>0.401</formula>
      <formula>0.659999999999</formula>
    </cfRule>
    <cfRule type="cellIs" dxfId="1450" priority="565" operator="between">
      <formula>0</formula>
      <formula>0.4</formula>
    </cfRule>
  </conditionalFormatting>
  <conditionalFormatting sqref="AL346:AL357">
    <cfRule type="cellIs" dxfId="1449" priority="556" operator="lessThan">
      <formula>0</formula>
    </cfRule>
    <cfRule type="cellIs" dxfId="1448" priority="557" operator="greaterThan">
      <formula>100.00001%</formula>
    </cfRule>
    <cfRule type="cellIs" dxfId="1447" priority="558" operator="between">
      <formula>0.66</formula>
      <formula>1</formula>
    </cfRule>
    <cfRule type="cellIs" dxfId="1446" priority="559" operator="between">
      <formula>0.401</formula>
      <formula>0.659999999999</formula>
    </cfRule>
    <cfRule type="cellIs" dxfId="1445" priority="560" operator="between">
      <formula>0</formula>
      <formula>0.4</formula>
    </cfRule>
  </conditionalFormatting>
  <conditionalFormatting sqref="AL358:AL360">
    <cfRule type="cellIs" dxfId="1444" priority="551" operator="lessThan">
      <formula>0</formula>
    </cfRule>
    <cfRule type="cellIs" dxfId="1443" priority="552" operator="greaterThan">
      <formula>100.00001%</formula>
    </cfRule>
    <cfRule type="cellIs" dxfId="1442" priority="553" operator="between">
      <formula>0.66</formula>
      <formula>1</formula>
    </cfRule>
    <cfRule type="cellIs" dxfId="1441" priority="554" operator="between">
      <formula>0.401</formula>
      <formula>0.659999999999</formula>
    </cfRule>
    <cfRule type="cellIs" dxfId="1440" priority="555" operator="between">
      <formula>0</formula>
      <formula>0.4</formula>
    </cfRule>
  </conditionalFormatting>
  <conditionalFormatting sqref="AL401:AL405">
    <cfRule type="cellIs" dxfId="1439" priority="546" operator="lessThan">
      <formula>0</formula>
    </cfRule>
    <cfRule type="cellIs" dxfId="1438" priority="547" operator="greaterThan">
      <formula>100.00001%</formula>
    </cfRule>
    <cfRule type="cellIs" dxfId="1437" priority="548" operator="between">
      <formula>0.66</formula>
      <formula>1</formula>
    </cfRule>
    <cfRule type="cellIs" dxfId="1436" priority="549" operator="between">
      <formula>0.401</formula>
      <formula>0.659999999999</formula>
    </cfRule>
    <cfRule type="cellIs" dxfId="1435" priority="550" operator="between">
      <formula>0</formula>
      <formula>0.4</formula>
    </cfRule>
  </conditionalFormatting>
  <conditionalFormatting sqref="AL397:AL398">
    <cfRule type="cellIs" dxfId="1434" priority="541" operator="lessThan">
      <formula>0</formula>
    </cfRule>
    <cfRule type="cellIs" dxfId="1433" priority="542" operator="greaterThan">
      <formula>100.00001%</formula>
    </cfRule>
    <cfRule type="cellIs" dxfId="1432" priority="543" operator="between">
      <formula>0.66</formula>
      <formula>1</formula>
    </cfRule>
    <cfRule type="cellIs" dxfId="1431" priority="544" operator="between">
      <formula>0.401</formula>
      <formula>0.659999999999</formula>
    </cfRule>
    <cfRule type="cellIs" dxfId="1430" priority="545" operator="between">
      <formula>0</formula>
      <formula>0.4</formula>
    </cfRule>
  </conditionalFormatting>
  <conditionalFormatting sqref="AL396">
    <cfRule type="cellIs" dxfId="1429" priority="536" operator="lessThan">
      <formula>0</formula>
    </cfRule>
    <cfRule type="cellIs" dxfId="1428" priority="537" operator="greaterThan">
      <formula>100.00001%</formula>
    </cfRule>
    <cfRule type="cellIs" dxfId="1427" priority="538" operator="between">
      <formula>0.66</formula>
      <formula>1</formula>
    </cfRule>
    <cfRule type="cellIs" dxfId="1426" priority="539" operator="between">
      <formula>0.401</formula>
      <formula>0.659999999999</formula>
    </cfRule>
    <cfRule type="cellIs" dxfId="1425" priority="540" operator="between">
      <formula>0</formula>
      <formula>0.4</formula>
    </cfRule>
  </conditionalFormatting>
  <conditionalFormatting sqref="AL399">
    <cfRule type="cellIs" dxfId="1424" priority="531" operator="lessThan">
      <formula>0</formula>
    </cfRule>
    <cfRule type="cellIs" dxfId="1423" priority="532" operator="greaterThan">
      <formula>100.00001%</formula>
    </cfRule>
    <cfRule type="cellIs" dxfId="1422" priority="533" operator="between">
      <formula>0.66</formula>
      <formula>1</formula>
    </cfRule>
    <cfRule type="cellIs" dxfId="1421" priority="534" operator="between">
      <formula>0.401</formula>
      <formula>0.659999999999</formula>
    </cfRule>
    <cfRule type="cellIs" dxfId="1420" priority="535" operator="between">
      <formula>0</formula>
      <formula>0.4</formula>
    </cfRule>
  </conditionalFormatting>
  <conditionalFormatting sqref="AL406:AL411">
    <cfRule type="cellIs" dxfId="1419" priority="526" operator="lessThan">
      <formula>0</formula>
    </cfRule>
    <cfRule type="cellIs" dxfId="1418" priority="527" operator="greaterThan">
      <formula>100.00001%</formula>
    </cfRule>
    <cfRule type="cellIs" dxfId="1417" priority="528" operator="between">
      <formula>0.66</formula>
      <formula>1</formula>
    </cfRule>
    <cfRule type="cellIs" dxfId="1416" priority="529" operator="between">
      <formula>0.401</formula>
      <formula>0.659999999999</formula>
    </cfRule>
    <cfRule type="cellIs" dxfId="1415" priority="530" operator="between">
      <formula>0</formula>
      <formula>0.4</formula>
    </cfRule>
  </conditionalFormatting>
  <conditionalFormatting sqref="AL419:AL420">
    <cfRule type="cellIs" dxfId="1414" priority="521" operator="lessThan">
      <formula>0</formula>
    </cfRule>
    <cfRule type="cellIs" dxfId="1413" priority="522" operator="greaterThan">
      <formula>100.00001%</formula>
    </cfRule>
    <cfRule type="cellIs" dxfId="1412" priority="523" operator="between">
      <formula>0.66</formula>
      <formula>1</formula>
    </cfRule>
    <cfRule type="cellIs" dxfId="1411" priority="524" operator="between">
      <formula>0.401</formula>
      <formula>0.659999999999</formula>
    </cfRule>
    <cfRule type="cellIs" dxfId="1410" priority="525" operator="between">
      <formula>0</formula>
      <formula>0.4</formula>
    </cfRule>
  </conditionalFormatting>
  <conditionalFormatting sqref="AL421">
    <cfRule type="cellIs" dxfId="1409" priority="516" operator="lessThan">
      <formula>0</formula>
    </cfRule>
    <cfRule type="cellIs" dxfId="1408" priority="517" operator="greaterThan">
      <formula>100.00001%</formula>
    </cfRule>
    <cfRule type="cellIs" dxfId="1407" priority="518" operator="between">
      <formula>0.66</formula>
      <formula>1</formula>
    </cfRule>
    <cfRule type="cellIs" dxfId="1406" priority="519" operator="between">
      <formula>0.401</formula>
      <formula>0.659999999999</formula>
    </cfRule>
    <cfRule type="cellIs" dxfId="1405" priority="520" operator="between">
      <formula>0</formula>
      <formula>0.4</formula>
    </cfRule>
  </conditionalFormatting>
  <conditionalFormatting sqref="AL422:AL427">
    <cfRule type="cellIs" dxfId="1404" priority="511" operator="lessThan">
      <formula>0</formula>
    </cfRule>
    <cfRule type="cellIs" dxfId="1403" priority="512" operator="greaterThan">
      <formula>100.00001%</formula>
    </cfRule>
    <cfRule type="cellIs" dxfId="1402" priority="513" operator="between">
      <formula>0.66</formula>
      <formula>1</formula>
    </cfRule>
    <cfRule type="cellIs" dxfId="1401" priority="514" operator="between">
      <formula>0.401</formula>
      <formula>0.659999999999</formula>
    </cfRule>
    <cfRule type="cellIs" dxfId="1400" priority="515" operator="between">
      <formula>0</formula>
      <formula>0.4</formula>
    </cfRule>
  </conditionalFormatting>
  <conditionalFormatting sqref="AL428:AL430">
    <cfRule type="cellIs" dxfId="1399" priority="506" operator="lessThan">
      <formula>0</formula>
    </cfRule>
    <cfRule type="cellIs" dxfId="1398" priority="507" operator="greaterThan">
      <formula>100.00001%</formula>
    </cfRule>
    <cfRule type="cellIs" dxfId="1397" priority="508" operator="between">
      <formula>0.66</formula>
      <formula>1</formula>
    </cfRule>
    <cfRule type="cellIs" dxfId="1396" priority="509" operator="between">
      <formula>0.401</formula>
      <formula>0.659999999999</formula>
    </cfRule>
    <cfRule type="cellIs" dxfId="1395" priority="510" operator="between">
      <formula>0</formula>
      <formula>0.4</formula>
    </cfRule>
  </conditionalFormatting>
  <conditionalFormatting sqref="AL432">
    <cfRule type="cellIs" dxfId="1394" priority="501" operator="lessThan">
      <formula>0</formula>
    </cfRule>
    <cfRule type="cellIs" dxfId="1393" priority="502" operator="greaterThan">
      <formula>100.00001%</formula>
    </cfRule>
    <cfRule type="cellIs" dxfId="1392" priority="503" operator="between">
      <formula>0.66</formula>
      <formula>1</formula>
    </cfRule>
    <cfRule type="cellIs" dxfId="1391" priority="504" operator="between">
      <formula>0.401</formula>
      <formula>0.659999999999</formula>
    </cfRule>
    <cfRule type="cellIs" dxfId="1390" priority="505" operator="between">
      <formula>0</formula>
      <formula>0.4</formula>
    </cfRule>
  </conditionalFormatting>
  <conditionalFormatting sqref="AL449:AL453">
    <cfRule type="cellIs" dxfId="1389" priority="496" operator="lessThan">
      <formula>0</formula>
    </cfRule>
    <cfRule type="cellIs" dxfId="1388" priority="497" operator="greaterThan">
      <formula>100.00001%</formula>
    </cfRule>
    <cfRule type="cellIs" dxfId="1387" priority="498" operator="between">
      <formula>0.66</formula>
      <formula>1</formula>
    </cfRule>
    <cfRule type="cellIs" dxfId="1386" priority="499" operator="between">
      <formula>0.401</formula>
      <formula>0.659999999999</formula>
    </cfRule>
    <cfRule type="cellIs" dxfId="1385" priority="500" operator="between">
      <formula>0</formula>
      <formula>0.4</formula>
    </cfRule>
  </conditionalFormatting>
  <conditionalFormatting sqref="AL457:AL458">
    <cfRule type="cellIs" dxfId="1384" priority="491" operator="lessThan">
      <formula>0</formula>
    </cfRule>
    <cfRule type="cellIs" dxfId="1383" priority="492" operator="greaterThan">
      <formula>100.00001%</formula>
    </cfRule>
    <cfRule type="cellIs" dxfId="1382" priority="493" operator="between">
      <formula>0.66</formula>
      <formula>1</formula>
    </cfRule>
    <cfRule type="cellIs" dxfId="1381" priority="494" operator="between">
      <formula>0.401</formula>
      <formula>0.659999999999</formula>
    </cfRule>
    <cfRule type="cellIs" dxfId="1380" priority="495" operator="between">
      <formula>0</formula>
      <formula>0.4</formula>
    </cfRule>
  </conditionalFormatting>
  <conditionalFormatting sqref="AL459">
    <cfRule type="cellIs" dxfId="1379" priority="486" operator="lessThan">
      <formula>0</formula>
    </cfRule>
    <cfRule type="cellIs" dxfId="1378" priority="487" operator="greaterThan">
      <formula>100.00001%</formula>
    </cfRule>
    <cfRule type="cellIs" dxfId="1377" priority="488" operator="between">
      <formula>0.66</formula>
      <formula>1</formula>
    </cfRule>
    <cfRule type="cellIs" dxfId="1376" priority="489" operator="between">
      <formula>0.401</formula>
      <formula>0.659999999999</formula>
    </cfRule>
    <cfRule type="cellIs" dxfId="1375" priority="490" operator="between">
      <formula>0</formula>
      <formula>0.4</formula>
    </cfRule>
  </conditionalFormatting>
  <conditionalFormatting sqref="AL479:AL485">
    <cfRule type="cellIs" dxfId="1374" priority="481" operator="lessThan">
      <formula>0</formula>
    </cfRule>
    <cfRule type="cellIs" dxfId="1373" priority="482" operator="greaterThan">
      <formula>100.00001%</formula>
    </cfRule>
    <cfRule type="cellIs" dxfId="1372" priority="483" operator="between">
      <formula>0.66</formula>
      <formula>1</formula>
    </cfRule>
    <cfRule type="cellIs" dxfId="1371" priority="484" operator="between">
      <formula>0.401</formula>
      <formula>0.659999999999</formula>
    </cfRule>
    <cfRule type="cellIs" dxfId="1370" priority="485" operator="between">
      <formula>0</formula>
      <formula>0.4</formula>
    </cfRule>
  </conditionalFormatting>
  <conditionalFormatting sqref="AL486">
    <cfRule type="cellIs" dxfId="1369" priority="476" operator="lessThan">
      <formula>0</formula>
    </cfRule>
    <cfRule type="cellIs" dxfId="1368" priority="477" operator="greaterThan">
      <formula>100.00001%</formula>
    </cfRule>
    <cfRule type="cellIs" dxfId="1367" priority="478" operator="between">
      <formula>0.66</formula>
      <formula>1</formula>
    </cfRule>
    <cfRule type="cellIs" dxfId="1366" priority="479" operator="between">
      <formula>0.401</formula>
      <formula>0.659999999999</formula>
    </cfRule>
    <cfRule type="cellIs" dxfId="1365" priority="480" operator="between">
      <formula>0</formula>
      <formula>0.4</formula>
    </cfRule>
  </conditionalFormatting>
  <conditionalFormatting sqref="AL487">
    <cfRule type="cellIs" dxfId="1364" priority="471" operator="lessThan">
      <formula>0</formula>
    </cfRule>
    <cfRule type="cellIs" dxfId="1363" priority="472" operator="greaterThan">
      <formula>100.00001%</formula>
    </cfRule>
    <cfRule type="cellIs" dxfId="1362" priority="473" operator="between">
      <formula>0.66</formula>
      <formula>1</formula>
    </cfRule>
    <cfRule type="cellIs" dxfId="1361" priority="474" operator="between">
      <formula>0.401</formula>
      <formula>0.659999999999</formula>
    </cfRule>
    <cfRule type="cellIs" dxfId="1360" priority="475" operator="between">
      <formula>0</formula>
      <formula>0.4</formula>
    </cfRule>
  </conditionalFormatting>
  <conditionalFormatting sqref="AL488:AL491">
    <cfRule type="cellIs" dxfId="1359" priority="466" operator="lessThan">
      <formula>0</formula>
    </cfRule>
    <cfRule type="cellIs" dxfId="1358" priority="467" operator="greaterThan">
      <formula>100.00001%</formula>
    </cfRule>
    <cfRule type="cellIs" dxfId="1357" priority="468" operator="between">
      <formula>0.66</formula>
      <formula>1</formula>
    </cfRule>
    <cfRule type="cellIs" dxfId="1356" priority="469" operator="between">
      <formula>0.401</formula>
      <formula>0.659999999999</formula>
    </cfRule>
    <cfRule type="cellIs" dxfId="1355" priority="470" operator="between">
      <formula>0</formula>
      <formula>0.4</formula>
    </cfRule>
  </conditionalFormatting>
  <conditionalFormatting sqref="AL463:AL464">
    <cfRule type="cellIs" dxfId="1354" priority="461" operator="lessThan">
      <formula>0</formula>
    </cfRule>
    <cfRule type="cellIs" dxfId="1353" priority="462" operator="greaterThan">
      <formula>100.00001%</formula>
    </cfRule>
    <cfRule type="cellIs" dxfId="1352" priority="463" operator="between">
      <formula>0.66</formula>
      <formula>1</formula>
    </cfRule>
    <cfRule type="cellIs" dxfId="1351" priority="464" operator="between">
      <formula>0.401</formula>
      <formula>0.659999999999</formula>
    </cfRule>
    <cfRule type="cellIs" dxfId="1350" priority="465" operator="between">
      <formula>0</formula>
      <formula>0.4</formula>
    </cfRule>
  </conditionalFormatting>
  <conditionalFormatting sqref="AL525">
    <cfRule type="cellIs" dxfId="1349" priority="456" operator="lessThan">
      <formula>0</formula>
    </cfRule>
    <cfRule type="cellIs" dxfId="1348" priority="457" operator="greaterThan">
      <formula>100.00001%</formula>
    </cfRule>
    <cfRule type="cellIs" dxfId="1347" priority="458" operator="between">
      <formula>0.66</formula>
      <formula>1</formula>
    </cfRule>
    <cfRule type="cellIs" dxfId="1346" priority="459" operator="between">
      <formula>0.401</formula>
      <formula>0.659999999999</formula>
    </cfRule>
    <cfRule type="cellIs" dxfId="1345" priority="460" operator="between">
      <formula>0</formula>
      <formula>0.4</formula>
    </cfRule>
  </conditionalFormatting>
  <conditionalFormatting sqref="AL542:AL546">
    <cfRule type="cellIs" dxfId="1344" priority="451" operator="lessThan">
      <formula>0</formula>
    </cfRule>
    <cfRule type="cellIs" dxfId="1343" priority="452" operator="greaterThan">
      <formula>100.00001%</formula>
    </cfRule>
    <cfRule type="cellIs" dxfId="1342" priority="453" operator="between">
      <formula>0.66</formula>
      <formula>1</formula>
    </cfRule>
    <cfRule type="cellIs" dxfId="1341" priority="454" operator="between">
      <formula>0.401</formula>
      <formula>0.659999999999</formula>
    </cfRule>
    <cfRule type="cellIs" dxfId="1340" priority="455" operator="between">
      <formula>0</formula>
      <formula>0.4</formula>
    </cfRule>
  </conditionalFormatting>
  <conditionalFormatting sqref="AL547:AL548">
    <cfRule type="cellIs" dxfId="1339" priority="446" operator="lessThan">
      <formula>0</formula>
    </cfRule>
    <cfRule type="cellIs" dxfId="1338" priority="447" operator="greaterThan">
      <formula>100.00001%</formula>
    </cfRule>
    <cfRule type="cellIs" dxfId="1337" priority="448" operator="between">
      <formula>0.66</formula>
      <formula>1</formula>
    </cfRule>
    <cfRule type="cellIs" dxfId="1336" priority="449" operator="between">
      <formula>0.401</formula>
      <formula>0.659999999999</formula>
    </cfRule>
    <cfRule type="cellIs" dxfId="1335" priority="450" operator="between">
      <formula>0</formula>
      <formula>0.4</formula>
    </cfRule>
  </conditionalFormatting>
  <conditionalFormatting sqref="AL549:AL550">
    <cfRule type="cellIs" dxfId="1334" priority="441" operator="lessThan">
      <formula>0</formula>
    </cfRule>
    <cfRule type="cellIs" dxfId="1333" priority="442" operator="greaterThan">
      <formula>100.00001%</formula>
    </cfRule>
    <cfRule type="cellIs" dxfId="1332" priority="443" operator="between">
      <formula>0.66</formula>
      <formula>1</formula>
    </cfRule>
    <cfRule type="cellIs" dxfId="1331" priority="444" operator="between">
      <formula>0.401</formula>
      <formula>0.659999999999</formula>
    </cfRule>
    <cfRule type="cellIs" dxfId="1330" priority="445" operator="between">
      <formula>0</formula>
      <formula>0.4</formula>
    </cfRule>
  </conditionalFormatting>
  <conditionalFormatting sqref="AL551:AL556">
    <cfRule type="cellIs" dxfId="1329" priority="436" operator="lessThan">
      <formula>0</formula>
    </cfRule>
    <cfRule type="cellIs" dxfId="1328" priority="437" operator="greaterThan">
      <formula>100.00001%</formula>
    </cfRule>
    <cfRule type="cellIs" dxfId="1327" priority="438" operator="between">
      <formula>0.66</formula>
      <formula>1</formula>
    </cfRule>
    <cfRule type="cellIs" dxfId="1326" priority="439" operator="between">
      <formula>0.401</formula>
      <formula>0.659999999999</formula>
    </cfRule>
    <cfRule type="cellIs" dxfId="1325" priority="440" operator="between">
      <formula>0</formula>
      <formula>0.4</formula>
    </cfRule>
  </conditionalFormatting>
  <conditionalFormatting sqref="AL590:AL591">
    <cfRule type="cellIs" dxfId="1324" priority="431" operator="lessThan">
      <formula>0</formula>
    </cfRule>
    <cfRule type="cellIs" dxfId="1323" priority="432" operator="greaterThan">
      <formula>100.00001%</formula>
    </cfRule>
    <cfRule type="cellIs" dxfId="1322" priority="433" operator="between">
      <formula>0.66</formula>
      <formula>1</formula>
    </cfRule>
    <cfRule type="cellIs" dxfId="1321" priority="434" operator="between">
      <formula>0.401</formula>
      <formula>0.659999999999</formula>
    </cfRule>
    <cfRule type="cellIs" dxfId="1320" priority="435" operator="between">
      <formula>0</formula>
      <formula>0.4</formula>
    </cfRule>
  </conditionalFormatting>
  <conditionalFormatting sqref="AL592">
    <cfRule type="cellIs" dxfId="1319" priority="426" operator="lessThan">
      <formula>0</formula>
    </cfRule>
    <cfRule type="cellIs" dxfId="1318" priority="427" operator="greaterThan">
      <formula>100.00001%</formula>
    </cfRule>
    <cfRule type="cellIs" dxfId="1317" priority="428" operator="between">
      <formula>0.66</formula>
      <formula>1</formula>
    </cfRule>
    <cfRule type="cellIs" dxfId="1316" priority="429" operator="between">
      <formula>0.401</formula>
      <formula>0.659999999999</formula>
    </cfRule>
    <cfRule type="cellIs" dxfId="1315" priority="430" operator="between">
      <formula>0</formula>
      <formula>0.4</formula>
    </cfRule>
  </conditionalFormatting>
  <conditionalFormatting sqref="AL595:AL596">
    <cfRule type="cellIs" dxfId="1314" priority="421" operator="lessThan">
      <formula>0</formula>
    </cfRule>
    <cfRule type="cellIs" dxfId="1313" priority="422" operator="greaterThan">
      <formula>100.00001%</formula>
    </cfRule>
    <cfRule type="cellIs" dxfId="1312" priority="423" operator="between">
      <formula>0.66</formula>
      <formula>1</formula>
    </cfRule>
    <cfRule type="cellIs" dxfId="1311" priority="424" operator="between">
      <formula>0.401</formula>
      <formula>0.659999999999</formula>
    </cfRule>
    <cfRule type="cellIs" dxfId="1310" priority="425" operator="between">
      <formula>0</formula>
      <formula>0.4</formula>
    </cfRule>
  </conditionalFormatting>
  <conditionalFormatting sqref="AL597:AL598">
    <cfRule type="cellIs" dxfId="1309" priority="416" operator="lessThan">
      <formula>0</formula>
    </cfRule>
    <cfRule type="cellIs" dxfId="1308" priority="417" operator="greaterThan">
      <formula>100.00001%</formula>
    </cfRule>
    <cfRule type="cellIs" dxfId="1307" priority="418" operator="between">
      <formula>0.66</formula>
      <formula>1</formula>
    </cfRule>
    <cfRule type="cellIs" dxfId="1306" priority="419" operator="between">
      <formula>0.401</formula>
      <formula>0.659999999999</formula>
    </cfRule>
    <cfRule type="cellIs" dxfId="1305" priority="420" operator="between">
      <formula>0</formula>
      <formula>0.4</formula>
    </cfRule>
  </conditionalFormatting>
  <conditionalFormatting sqref="AL599:AL600">
    <cfRule type="cellIs" dxfId="1304" priority="411" operator="lessThan">
      <formula>0</formula>
    </cfRule>
    <cfRule type="cellIs" dxfId="1303" priority="412" operator="greaterThan">
      <formula>100.00001%</formula>
    </cfRule>
    <cfRule type="cellIs" dxfId="1302" priority="413" operator="between">
      <formula>0.66</formula>
      <formula>1</formula>
    </cfRule>
    <cfRule type="cellIs" dxfId="1301" priority="414" operator="between">
      <formula>0.401</formula>
      <formula>0.659999999999</formula>
    </cfRule>
    <cfRule type="cellIs" dxfId="1300" priority="415" operator="between">
      <formula>0</formula>
      <formula>0.4</formula>
    </cfRule>
  </conditionalFormatting>
  <conditionalFormatting sqref="AL609">
    <cfRule type="cellIs" dxfId="1299" priority="406" operator="lessThan">
      <formula>0</formula>
    </cfRule>
    <cfRule type="cellIs" dxfId="1298" priority="407" operator="greaterThan">
      <formula>100.00001%</formula>
    </cfRule>
    <cfRule type="cellIs" dxfId="1297" priority="408" operator="between">
      <formula>0.66</formula>
      <formula>1</formula>
    </cfRule>
    <cfRule type="cellIs" dxfId="1296" priority="409" operator="between">
      <formula>0.401</formula>
      <formula>0.659999999999</formula>
    </cfRule>
    <cfRule type="cellIs" dxfId="1295" priority="410" operator="between">
      <formula>0</formula>
      <formula>0.4</formula>
    </cfRule>
  </conditionalFormatting>
  <conditionalFormatting sqref="AL623">
    <cfRule type="cellIs" dxfId="1294" priority="401" operator="lessThan">
      <formula>0</formula>
    </cfRule>
    <cfRule type="cellIs" dxfId="1293" priority="402" operator="greaterThan">
      <formula>100.00001%</formula>
    </cfRule>
    <cfRule type="cellIs" dxfId="1292" priority="403" operator="between">
      <formula>0.66</formula>
      <formula>1</formula>
    </cfRule>
    <cfRule type="cellIs" dxfId="1291" priority="404" operator="between">
      <formula>0.401</formula>
      <formula>0.659999999999</formula>
    </cfRule>
    <cfRule type="cellIs" dxfId="1290" priority="405" operator="between">
      <formula>0</formula>
      <formula>0.4</formula>
    </cfRule>
  </conditionalFormatting>
  <conditionalFormatting sqref="AL624">
    <cfRule type="cellIs" dxfId="1289" priority="396" operator="lessThan">
      <formula>0</formula>
    </cfRule>
    <cfRule type="cellIs" dxfId="1288" priority="397" operator="greaterThan">
      <formula>100.00001%</formula>
    </cfRule>
    <cfRule type="cellIs" dxfId="1287" priority="398" operator="between">
      <formula>0.66</formula>
      <formula>1</formula>
    </cfRule>
    <cfRule type="cellIs" dxfId="1286" priority="399" operator="between">
      <formula>0.401</formula>
      <formula>0.659999999999</formula>
    </cfRule>
    <cfRule type="cellIs" dxfId="1285" priority="400" operator="between">
      <formula>0</formula>
      <formula>0.4</formula>
    </cfRule>
  </conditionalFormatting>
  <conditionalFormatting sqref="AL625:AL627">
    <cfRule type="cellIs" dxfId="1284" priority="391" operator="lessThan">
      <formula>0</formula>
    </cfRule>
    <cfRule type="cellIs" dxfId="1283" priority="392" operator="greaterThan">
      <formula>100.00001%</formula>
    </cfRule>
    <cfRule type="cellIs" dxfId="1282" priority="393" operator="between">
      <formula>0.66</formula>
      <formula>1</formula>
    </cfRule>
    <cfRule type="cellIs" dxfId="1281" priority="394" operator="between">
      <formula>0.401</formula>
      <formula>0.659999999999</formula>
    </cfRule>
    <cfRule type="cellIs" dxfId="1280" priority="395" operator="between">
      <formula>0</formula>
      <formula>0.4</formula>
    </cfRule>
  </conditionalFormatting>
  <conditionalFormatting sqref="AL628">
    <cfRule type="cellIs" dxfId="1279" priority="386" operator="lessThan">
      <formula>0</formula>
    </cfRule>
    <cfRule type="cellIs" dxfId="1278" priority="387" operator="greaterThan">
      <formula>100.00001%</formula>
    </cfRule>
    <cfRule type="cellIs" dxfId="1277" priority="388" operator="between">
      <formula>0.66</formula>
      <formula>1</formula>
    </cfRule>
    <cfRule type="cellIs" dxfId="1276" priority="389" operator="between">
      <formula>0.401</formula>
      <formula>0.659999999999</formula>
    </cfRule>
    <cfRule type="cellIs" dxfId="1275" priority="390" operator="between">
      <formula>0</formula>
      <formula>0.4</formula>
    </cfRule>
  </conditionalFormatting>
  <conditionalFormatting sqref="AL629:AL630">
    <cfRule type="cellIs" dxfId="1274" priority="381" operator="lessThan">
      <formula>0</formula>
    </cfRule>
    <cfRule type="cellIs" dxfId="1273" priority="382" operator="greaterThan">
      <formula>100.00001%</formula>
    </cfRule>
    <cfRule type="cellIs" dxfId="1272" priority="383" operator="between">
      <formula>0.66</formula>
      <formula>1</formula>
    </cfRule>
    <cfRule type="cellIs" dxfId="1271" priority="384" operator="between">
      <formula>0.401</formula>
      <formula>0.659999999999</formula>
    </cfRule>
    <cfRule type="cellIs" dxfId="1270" priority="385" operator="between">
      <formula>0</formula>
      <formula>0.4</formula>
    </cfRule>
  </conditionalFormatting>
  <conditionalFormatting sqref="AL631">
    <cfRule type="cellIs" dxfId="1269" priority="376" operator="lessThan">
      <formula>0</formula>
    </cfRule>
    <cfRule type="cellIs" dxfId="1268" priority="377" operator="greaterThan">
      <formula>100.00001%</formula>
    </cfRule>
    <cfRule type="cellIs" dxfId="1267" priority="378" operator="between">
      <formula>0.66</formula>
      <formula>1</formula>
    </cfRule>
    <cfRule type="cellIs" dxfId="1266" priority="379" operator="between">
      <formula>0.401</formula>
      <formula>0.659999999999</formula>
    </cfRule>
    <cfRule type="cellIs" dxfId="1265" priority="380" operator="between">
      <formula>0</formula>
      <formula>0.4</formula>
    </cfRule>
  </conditionalFormatting>
  <conditionalFormatting sqref="AL632:AL644">
    <cfRule type="cellIs" dxfId="1264" priority="371" operator="lessThan">
      <formula>0</formula>
    </cfRule>
    <cfRule type="cellIs" dxfId="1263" priority="372" operator="greaterThan">
      <formula>100.00001%</formula>
    </cfRule>
    <cfRule type="cellIs" dxfId="1262" priority="373" operator="between">
      <formula>0.66</formula>
      <formula>1</formula>
    </cfRule>
    <cfRule type="cellIs" dxfId="1261" priority="374" operator="between">
      <formula>0.401</formula>
      <formula>0.659999999999</formula>
    </cfRule>
    <cfRule type="cellIs" dxfId="1260" priority="375" operator="between">
      <formula>0</formula>
      <formula>0.4</formula>
    </cfRule>
  </conditionalFormatting>
  <conditionalFormatting sqref="AL645:AL646">
    <cfRule type="cellIs" dxfId="1259" priority="366" operator="lessThan">
      <formula>0</formula>
    </cfRule>
    <cfRule type="cellIs" dxfId="1258" priority="367" operator="greaterThan">
      <formula>100.00001%</formula>
    </cfRule>
    <cfRule type="cellIs" dxfId="1257" priority="368" operator="between">
      <formula>0.66</formula>
      <formula>1</formula>
    </cfRule>
    <cfRule type="cellIs" dxfId="1256" priority="369" operator="between">
      <formula>0.401</formula>
      <formula>0.659999999999</formula>
    </cfRule>
    <cfRule type="cellIs" dxfId="1255" priority="370" operator="between">
      <formula>0</formula>
      <formula>0.4</formula>
    </cfRule>
  </conditionalFormatting>
  <conditionalFormatting sqref="AL668">
    <cfRule type="cellIs" dxfId="1254" priority="361" operator="lessThan">
      <formula>0</formula>
    </cfRule>
    <cfRule type="cellIs" dxfId="1253" priority="362" operator="greaterThan">
      <formula>100.00001%</formula>
    </cfRule>
    <cfRule type="cellIs" dxfId="1252" priority="363" operator="between">
      <formula>0.66</formula>
      <formula>1</formula>
    </cfRule>
    <cfRule type="cellIs" dxfId="1251" priority="364" operator="between">
      <formula>0.401</formula>
      <formula>0.659999999999</formula>
    </cfRule>
    <cfRule type="cellIs" dxfId="1250" priority="365" operator="between">
      <formula>0</formula>
      <formula>0.4</formula>
    </cfRule>
  </conditionalFormatting>
  <conditionalFormatting sqref="AL671">
    <cfRule type="cellIs" dxfId="1249" priority="356" operator="lessThan">
      <formula>0</formula>
    </cfRule>
    <cfRule type="cellIs" dxfId="1248" priority="357" operator="greaterThan">
      <formula>100.00001%</formula>
    </cfRule>
    <cfRule type="cellIs" dxfId="1247" priority="358" operator="between">
      <formula>0.66</formula>
      <formula>1</formula>
    </cfRule>
    <cfRule type="cellIs" dxfId="1246" priority="359" operator="between">
      <formula>0.401</formula>
      <formula>0.659999999999</formula>
    </cfRule>
    <cfRule type="cellIs" dxfId="1245" priority="360" operator="between">
      <formula>0</formula>
      <formula>0.4</formula>
    </cfRule>
  </conditionalFormatting>
  <conditionalFormatting sqref="AL680:AL693">
    <cfRule type="cellIs" dxfId="1244" priority="351" operator="lessThan">
      <formula>0</formula>
    </cfRule>
    <cfRule type="cellIs" dxfId="1243" priority="352" operator="greaterThan">
      <formula>100.00001%</formula>
    </cfRule>
    <cfRule type="cellIs" dxfId="1242" priority="353" operator="between">
      <formula>0.66</formula>
      <formula>1</formula>
    </cfRule>
    <cfRule type="cellIs" dxfId="1241" priority="354" operator="between">
      <formula>0.401</formula>
      <formula>0.659999999999</formula>
    </cfRule>
    <cfRule type="cellIs" dxfId="1240" priority="355" operator="between">
      <formula>0</formula>
      <formula>0.4</formula>
    </cfRule>
  </conditionalFormatting>
  <conditionalFormatting sqref="AL694:AL701">
    <cfRule type="cellIs" dxfId="1239" priority="346" operator="lessThan">
      <formula>0</formula>
    </cfRule>
    <cfRule type="cellIs" dxfId="1238" priority="347" operator="greaterThan">
      <formula>100.00001%</formula>
    </cfRule>
    <cfRule type="cellIs" dxfId="1237" priority="348" operator="between">
      <formula>0.66</formula>
      <formula>1</formula>
    </cfRule>
    <cfRule type="cellIs" dxfId="1236" priority="349" operator="between">
      <formula>0.401</formula>
      <formula>0.659999999999</formula>
    </cfRule>
    <cfRule type="cellIs" dxfId="1235" priority="350" operator="between">
      <formula>0</formula>
      <formula>0.4</formula>
    </cfRule>
  </conditionalFormatting>
  <conditionalFormatting sqref="AL702">
    <cfRule type="cellIs" dxfId="1234" priority="341" operator="lessThan">
      <formula>0</formula>
    </cfRule>
    <cfRule type="cellIs" dxfId="1233" priority="342" operator="greaterThan">
      <formula>100.00001%</formula>
    </cfRule>
    <cfRule type="cellIs" dxfId="1232" priority="343" operator="between">
      <formula>0.66</formula>
      <formula>1</formula>
    </cfRule>
    <cfRule type="cellIs" dxfId="1231" priority="344" operator="between">
      <formula>0.401</formula>
      <formula>0.659999999999</formula>
    </cfRule>
    <cfRule type="cellIs" dxfId="1230" priority="345" operator="between">
      <formula>0</formula>
      <formula>0.4</formula>
    </cfRule>
  </conditionalFormatting>
  <conditionalFormatting sqref="AL714">
    <cfRule type="cellIs" dxfId="1229" priority="336" operator="lessThan">
      <formula>0</formula>
    </cfRule>
    <cfRule type="cellIs" dxfId="1228" priority="337" operator="greaterThan">
      <formula>100.00001%</formula>
    </cfRule>
    <cfRule type="cellIs" dxfId="1227" priority="338" operator="between">
      <formula>0.66</formula>
      <formula>1</formula>
    </cfRule>
    <cfRule type="cellIs" dxfId="1226" priority="339" operator="between">
      <formula>0.401</formula>
      <formula>0.659999999999</formula>
    </cfRule>
    <cfRule type="cellIs" dxfId="1225" priority="340" operator="between">
      <formula>0</formula>
      <formula>0.4</formula>
    </cfRule>
  </conditionalFormatting>
  <conditionalFormatting sqref="AL728:AL729">
    <cfRule type="cellIs" dxfId="1224" priority="331" operator="lessThan">
      <formula>0</formula>
    </cfRule>
    <cfRule type="cellIs" dxfId="1223" priority="332" operator="greaterThan">
      <formula>100.00001%</formula>
    </cfRule>
    <cfRule type="cellIs" dxfId="1222" priority="333" operator="between">
      <formula>0.66</formula>
      <formula>1</formula>
    </cfRule>
    <cfRule type="cellIs" dxfId="1221" priority="334" operator="between">
      <formula>0.401</formula>
      <formula>0.659999999999</formula>
    </cfRule>
    <cfRule type="cellIs" dxfId="1220" priority="335" operator="between">
      <formula>0</formula>
      <formula>0.4</formula>
    </cfRule>
  </conditionalFormatting>
  <conditionalFormatting sqref="AL730:AL732">
    <cfRule type="cellIs" dxfId="1219" priority="326" operator="lessThan">
      <formula>0</formula>
    </cfRule>
    <cfRule type="cellIs" dxfId="1218" priority="327" operator="greaterThan">
      <formula>100.00001%</formula>
    </cfRule>
    <cfRule type="cellIs" dxfId="1217" priority="328" operator="between">
      <formula>0.66</formula>
      <formula>1</formula>
    </cfRule>
    <cfRule type="cellIs" dxfId="1216" priority="329" operator="between">
      <formula>0.401</formula>
      <formula>0.659999999999</formula>
    </cfRule>
    <cfRule type="cellIs" dxfId="1215" priority="330" operator="between">
      <formula>0</formula>
      <formula>0.4</formula>
    </cfRule>
  </conditionalFormatting>
  <conditionalFormatting sqref="AL733">
    <cfRule type="cellIs" dxfId="1214" priority="321" operator="lessThan">
      <formula>0</formula>
    </cfRule>
    <cfRule type="cellIs" dxfId="1213" priority="322" operator="greaterThan">
      <formula>100.00001%</formula>
    </cfRule>
    <cfRule type="cellIs" dxfId="1212" priority="323" operator="between">
      <formula>0.66</formula>
      <formula>1</formula>
    </cfRule>
    <cfRule type="cellIs" dxfId="1211" priority="324" operator="between">
      <formula>0.401</formula>
      <formula>0.659999999999</formula>
    </cfRule>
    <cfRule type="cellIs" dxfId="1210" priority="325" operator="between">
      <formula>0</formula>
      <formula>0.4</formula>
    </cfRule>
  </conditionalFormatting>
  <conditionalFormatting sqref="AL734:AL735">
    <cfRule type="cellIs" dxfId="1209" priority="316" operator="lessThan">
      <formula>0</formula>
    </cfRule>
    <cfRule type="cellIs" dxfId="1208" priority="317" operator="greaterThan">
      <formula>100.00001%</formula>
    </cfRule>
    <cfRule type="cellIs" dxfId="1207" priority="318" operator="between">
      <formula>0.66</formula>
      <formula>1</formula>
    </cfRule>
    <cfRule type="cellIs" dxfId="1206" priority="319" operator="between">
      <formula>0.401</formula>
      <formula>0.659999999999</formula>
    </cfRule>
    <cfRule type="cellIs" dxfId="1205" priority="320" operator="between">
      <formula>0</formula>
      <formula>0.4</formula>
    </cfRule>
  </conditionalFormatting>
  <conditionalFormatting sqref="AL738:AL739">
    <cfRule type="cellIs" dxfId="1204" priority="311" operator="lessThan">
      <formula>0</formula>
    </cfRule>
    <cfRule type="cellIs" dxfId="1203" priority="312" operator="greaterThan">
      <formula>100.00001%</formula>
    </cfRule>
    <cfRule type="cellIs" dxfId="1202" priority="313" operator="between">
      <formula>0.66</formula>
      <formula>1</formula>
    </cfRule>
    <cfRule type="cellIs" dxfId="1201" priority="314" operator="between">
      <formula>0.401</formula>
      <formula>0.659999999999</formula>
    </cfRule>
    <cfRule type="cellIs" dxfId="1200" priority="315" operator="between">
      <formula>0</formula>
      <formula>0.4</formula>
    </cfRule>
  </conditionalFormatting>
  <conditionalFormatting sqref="AL771">
    <cfRule type="cellIs" dxfId="1199" priority="306" operator="lessThan">
      <formula>0</formula>
    </cfRule>
    <cfRule type="cellIs" dxfId="1198" priority="307" operator="greaterThan">
      <formula>100.00001%</formula>
    </cfRule>
    <cfRule type="cellIs" dxfId="1197" priority="308" operator="between">
      <formula>0.66</formula>
      <formula>1</formula>
    </cfRule>
    <cfRule type="cellIs" dxfId="1196" priority="309" operator="between">
      <formula>0.401</formula>
      <formula>0.659999999999</formula>
    </cfRule>
    <cfRule type="cellIs" dxfId="1195" priority="310" operator="between">
      <formula>0</formula>
      <formula>0.4</formula>
    </cfRule>
  </conditionalFormatting>
  <conditionalFormatting sqref="AL772">
    <cfRule type="cellIs" dxfId="1194" priority="301" operator="lessThan">
      <formula>0</formula>
    </cfRule>
    <cfRule type="cellIs" dxfId="1193" priority="302" operator="greaterThan">
      <formula>100.00001%</formula>
    </cfRule>
    <cfRule type="cellIs" dxfId="1192" priority="303" operator="between">
      <formula>0.66</formula>
      <formula>1</formula>
    </cfRule>
    <cfRule type="cellIs" dxfId="1191" priority="304" operator="between">
      <formula>0.401</formula>
      <formula>0.659999999999</formula>
    </cfRule>
    <cfRule type="cellIs" dxfId="1190" priority="305" operator="between">
      <formula>0</formula>
      <formula>0.4</formula>
    </cfRule>
  </conditionalFormatting>
  <conditionalFormatting sqref="AL773:AL775">
    <cfRule type="cellIs" dxfId="1189" priority="296" operator="lessThan">
      <formula>0</formula>
    </cfRule>
    <cfRule type="cellIs" dxfId="1188" priority="297" operator="greaterThan">
      <formula>100.00001%</formula>
    </cfRule>
    <cfRule type="cellIs" dxfId="1187" priority="298" operator="between">
      <formula>0.66</formula>
      <formula>1</formula>
    </cfRule>
    <cfRule type="cellIs" dxfId="1186" priority="299" operator="between">
      <formula>0.401</formula>
      <formula>0.659999999999</formula>
    </cfRule>
    <cfRule type="cellIs" dxfId="1185" priority="300" operator="between">
      <formula>0</formula>
      <formula>0.4</formula>
    </cfRule>
  </conditionalFormatting>
  <conditionalFormatting sqref="AL776:AL780">
    <cfRule type="cellIs" dxfId="1184" priority="291" operator="lessThan">
      <formula>0</formula>
    </cfRule>
    <cfRule type="cellIs" dxfId="1183" priority="292" operator="greaterThan">
      <formula>100.00001%</formula>
    </cfRule>
    <cfRule type="cellIs" dxfId="1182" priority="293" operator="between">
      <formula>0.66</formula>
      <formula>1</formula>
    </cfRule>
    <cfRule type="cellIs" dxfId="1181" priority="294" operator="between">
      <formula>0.401</formula>
      <formula>0.659999999999</formula>
    </cfRule>
    <cfRule type="cellIs" dxfId="1180" priority="295" operator="between">
      <formula>0</formula>
      <formula>0.4</formula>
    </cfRule>
  </conditionalFormatting>
  <conditionalFormatting sqref="AL781">
    <cfRule type="cellIs" dxfId="1179" priority="286" operator="lessThan">
      <formula>0</formula>
    </cfRule>
    <cfRule type="cellIs" dxfId="1178" priority="287" operator="greaterThan">
      <formula>100.00001%</formula>
    </cfRule>
    <cfRule type="cellIs" dxfId="1177" priority="288" operator="between">
      <formula>0.66</formula>
      <formula>1</formula>
    </cfRule>
    <cfRule type="cellIs" dxfId="1176" priority="289" operator="between">
      <formula>0.401</formula>
      <formula>0.659999999999</formula>
    </cfRule>
    <cfRule type="cellIs" dxfId="1175" priority="290" operator="between">
      <formula>0</formula>
      <formula>0.4</formula>
    </cfRule>
  </conditionalFormatting>
  <conditionalFormatting sqref="AL740:AL744">
    <cfRule type="cellIs" dxfId="1174" priority="281" operator="lessThan">
      <formula>0</formula>
    </cfRule>
    <cfRule type="cellIs" dxfId="1173" priority="282" operator="greaterThan">
      <formula>100.00001%</formula>
    </cfRule>
    <cfRule type="cellIs" dxfId="1172" priority="283" operator="between">
      <formula>0.66</formula>
      <formula>1</formula>
    </cfRule>
    <cfRule type="cellIs" dxfId="1171" priority="284" operator="between">
      <formula>0.401</formula>
      <formula>0.659999999999</formula>
    </cfRule>
    <cfRule type="cellIs" dxfId="1170" priority="285" operator="between">
      <formula>0</formula>
      <formula>0.4</formula>
    </cfRule>
  </conditionalFormatting>
  <conditionalFormatting sqref="AL745">
    <cfRule type="cellIs" dxfId="1169" priority="276" operator="lessThan">
      <formula>0</formula>
    </cfRule>
    <cfRule type="cellIs" dxfId="1168" priority="277" operator="greaterThan">
      <formula>100.00001%</formula>
    </cfRule>
    <cfRule type="cellIs" dxfId="1167" priority="278" operator="between">
      <formula>0.66</formula>
      <formula>1</formula>
    </cfRule>
    <cfRule type="cellIs" dxfId="1166" priority="279" operator="between">
      <formula>0.401</formula>
      <formula>0.659999999999</formula>
    </cfRule>
    <cfRule type="cellIs" dxfId="1165" priority="280" operator="between">
      <formula>0</formula>
      <formula>0.4</formula>
    </cfRule>
  </conditionalFormatting>
  <conditionalFormatting sqref="AL746:AL748">
    <cfRule type="cellIs" dxfId="1164" priority="271" operator="lessThan">
      <formula>0</formula>
    </cfRule>
    <cfRule type="cellIs" dxfId="1163" priority="272" operator="greaterThan">
      <formula>100.00001%</formula>
    </cfRule>
    <cfRule type="cellIs" dxfId="1162" priority="273" operator="between">
      <formula>0.66</formula>
      <formula>1</formula>
    </cfRule>
    <cfRule type="cellIs" dxfId="1161" priority="274" operator="between">
      <formula>0.401</formula>
      <formula>0.659999999999</formula>
    </cfRule>
    <cfRule type="cellIs" dxfId="1160" priority="275" operator="between">
      <formula>0</formula>
      <formula>0.4</formula>
    </cfRule>
  </conditionalFormatting>
  <conditionalFormatting sqref="AL871:AL873">
    <cfRule type="cellIs" dxfId="1159" priority="266" operator="lessThan">
      <formula>0</formula>
    </cfRule>
    <cfRule type="cellIs" dxfId="1158" priority="267" operator="greaterThan">
      <formula>100.00001%</formula>
    </cfRule>
    <cfRule type="cellIs" dxfId="1157" priority="268" operator="between">
      <formula>0.66</formula>
      <formula>1</formula>
    </cfRule>
    <cfRule type="cellIs" dxfId="1156" priority="269" operator="between">
      <formula>0.401</formula>
      <formula>0.659999999999</formula>
    </cfRule>
    <cfRule type="cellIs" dxfId="1155" priority="270" operator="between">
      <formula>0</formula>
      <formula>0.4</formula>
    </cfRule>
  </conditionalFormatting>
  <conditionalFormatting sqref="AL899:AL900">
    <cfRule type="cellIs" dxfId="1154" priority="261" operator="lessThan">
      <formula>0</formula>
    </cfRule>
    <cfRule type="cellIs" dxfId="1153" priority="262" operator="greaterThan">
      <formula>100.00001%</formula>
    </cfRule>
    <cfRule type="cellIs" dxfId="1152" priority="263" operator="between">
      <formula>0.66</formula>
      <formula>1</formula>
    </cfRule>
    <cfRule type="cellIs" dxfId="1151" priority="264" operator="between">
      <formula>0.401</formula>
      <formula>0.659999999999</formula>
    </cfRule>
    <cfRule type="cellIs" dxfId="1150" priority="265" operator="between">
      <formula>0</formula>
      <formula>0.4</formula>
    </cfRule>
  </conditionalFormatting>
  <conditionalFormatting sqref="AL863:AL867">
    <cfRule type="cellIs" dxfId="1149" priority="256" operator="lessThan">
      <formula>0</formula>
    </cfRule>
    <cfRule type="cellIs" dxfId="1148" priority="257" operator="greaterThan">
      <formula>100.00001%</formula>
    </cfRule>
    <cfRule type="cellIs" dxfId="1147" priority="258" operator="between">
      <formula>0.66</formula>
      <formula>1</formula>
    </cfRule>
    <cfRule type="cellIs" dxfId="1146" priority="259" operator="between">
      <formula>0.401</formula>
      <formula>0.659999999999</formula>
    </cfRule>
    <cfRule type="cellIs" dxfId="1145" priority="260" operator="between">
      <formula>0</formula>
      <formula>0.4</formula>
    </cfRule>
  </conditionalFormatting>
  <conditionalFormatting sqref="BK275:BK333 BK200:BK252 BK770:BK867 BK137:BK165">
    <cfRule type="cellIs" dxfId="1144" priority="251" operator="lessThan">
      <formula>0</formula>
    </cfRule>
    <cfRule type="cellIs" dxfId="1143" priority="252" operator="greaterThan">
      <formula>100.00001%</formula>
    </cfRule>
    <cfRule type="cellIs" dxfId="1142" priority="253" operator="between">
      <formula>0.66</formula>
      <formula>1</formula>
    </cfRule>
    <cfRule type="cellIs" dxfId="1141" priority="254" operator="between">
      <formula>0.401</formula>
      <formula>0.659999999999</formula>
    </cfRule>
    <cfRule type="cellIs" dxfId="1140" priority="255" operator="between">
      <formula>0</formula>
      <formula>0.4</formula>
    </cfRule>
  </conditionalFormatting>
  <conditionalFormatting sqref="BK6:BK33 BK136 BK197 BK199 BK751 BK758 BK769 BK871:BK872 BK875 BK64:BK80 BK35:BK62">
    <cfRule type="cellIs" dxfId="1139" priority="246" operator="lessThan">
      <formula>0</formula>
    </cfRule>
    <cfRule type="cellIs" dxfId="1138" priority="247" operator="greaterThan">
      <formula>100.00001%</formula>
    </cfRule>
    <cfRule type="cellIs" dxfId="1137" priority="248" operator="between">
      <formula>0.66</formula>
      <formula>1</formula>
    </cfRule>
    <cfRule type="cellIs" dxfId="1136" priority="249" operator="between">
      <formula>0.401</formula>
      <formula>0.659999999999</formula>
    </cfRule>
    <cfRule type="cellIs" dxfId="1135" priority="250" operator="between">
      <formula>0</formula>
      <formula>0.4</formula>
    </cfRule>
  </conditionalFormatting>
  <conditionalFormatting sqref="BK130:BK135">
    <cfRule type="cellIs" dxfId="1134" priority="241" operator="lessThan">
      <formula>0</formula>
    </cfRule>
    <cfRule type="cellIs" dxfId="1133" priority="242" operator="greaterThan">
      <formula>100.00001%</formula>
    </cfRule>
    <cfRule type="cellIs" dxfId="1132" priority="243" operator="between">
      <formula>0.66</formula>
      <formula>1</formula>
    </cfRule>
    <cfRule type="cellIs" dxfId="1131" priority="244" operator="between">
      <formula>0.401</formula>
      <formula>0.659999999999</formula>
    </cfRule>
    <cfRule type="cellIs" dxfId="1130" priority="245" operator="between">
      <formula>0</formula>
      <formula>0.4</formula>
    </cfRule>
  </conditionalFormatting>
  <conditionalFormatting sqref="BK630:BK679">
    <cfRule type="cellIs" dxfId="1129" priority="236" operator="lessThan">
      <formula>0</formula>
    </cfRule>
    <cfRule type="cellIs" dxfId="1128" priority="237" operator="greaterThan">
      <formula>100.00001%</formula>
    </cfRule>
    <cfRule type="cellIs" dxfId="1127" priority="238" operator="between">
      <formula>0.66</formula>
      <formula>1</formula>
    </cfRule>
    <cfRule type="cellIs" dxfId="1126" priority="239" operator="between">
      <formula>0.401</formula>
      <formula>0.659999999999</formula>
    </cfRule>
    <cfRule type="cellIs" dxfId="1125" priority="240" operator="between">
      <formula>0</formula>
      <formula>0.4</formula>
    </cfRule>
  </conditionalFormatting>
  <conditionalFormatting sqref="BK681:BK727">
    <cfRule type="cellIs" dxfId="1124" priority="231" operator="lessThan">
      <formula>0</formula>
    </cfRule>
    <cfRule type="cellIs" dxfId="1123" priority="232" operator="greaterThan">
      <formula>100.00001%</formula>
    </cfRule>
    <cfRule type="cellIs" dxfId="1122" priority="233" operator="between">
      <formula>0.66</formula>
      <formula>1</formula>
    </cfRule>
    <cfRule type="cellIs" dxfId="1121" priority="234" operator="between">
      <formula>0.401</formula>
      <formula>0.659999999999</formula>
    </cfRule>
    <cfRule type="cellIs" dxfId="1120" priority="235" operator="between">
      <formula>0</formula>
      <formula>0.4</formula>
    </cfRule>
  </conditionalFormatting>
  <conditionalFormatting sqref="BK548:BK628">
    <cfRule type="cellIs" dxfId="1119" priority="226" operator="lessThan">
      <formula>0</formula>
    </cfRule>
    <cfRule type="cellIs" dxfId="1118" priority="227" operator="greaterThan">
      <formula>100.00001%</formula>
    </cfRule>
    <cfRule type="cellIs" dxfId="1117" priority="228" operator="between">
      <formula>0.66</formula>
      <formula>1</formula>
    </cfRule>
    <cfRule type="cellIs" dxfId="1116" priority="229" operator="between">
      <formula>0.401</formula>
      <formula>0.659999999999</formula>
    </cfRule>
    <cfRule type="cellIs" dxfId="1115" priority="230" operator="between">
      <formula>0</formula>
      <formula>0.4</formula>
    </cfRule>
  </conditionalFormatting>
  <conditionalFormatting sqref="BK397:BK418">
    <cfRule type="cellIs" dxfId="1114" priority="221" operator="lessThan">
      <formula>0</formula>
    </cfRule>
    <cfRule type="cellIs" dxfId="1113" priority="222" operator="greaterThan">
      <formula>100.00001%</formula>
    </cfRule>
    <cfRule type="cellIs" dxfId="1112" priority="223" operator="between">
      <formula>0.66</formula>
      <formula>1</formula>
    </cfRule>
    <cfRule type="cellIs" dxfId="1111" priority="224" operator="between">
      <formula>0.401</formula>
      <formula>0.659999999999</formula>
    </cfRule>
    <cfRule type="cellIs" dxfId="1110" priority="225" operator="between">
      <formula>0</formula>
      <formula>0.4</formula>
    </cfRule>
  </conditionalFormatting>
  <conditionalFormatting sqref="BK420:BK448">
    <cfRule type="cellIs" dxfId="1109" priority="216" operator="lessThan">
      <formula>0</formula>
    </cfRule>
    <cfRule type="cellIs" dxfId="1108" priority="217" operator="greaterThan">
      <formula>100.00001%</formula>
    </cfRule>
    <cfRule type="cellIs" dxfId="1107" priority="218" operator="between">
      <formula>0.66</formula>
      <formula>1</formula>
    </cfRule>
    <cfRule type="cellIs" dxfId="1106" priority="219" operator="between">
      <formula>0.401</formula>
      <formula>0.659999999999</formula>
    </cfRule>
    <cfRule type="cellIs" dxfId="1105" priority="220" operator="between">
      <formula>0</formula>
      <formula>0.4</formula>
    </cfRule>
  </conditionalFormatting>
  <conditionalFormatting sqref="BK450:BK546">
    <cfRule type="cellIs" dxfId="1104" priority="211" operator="lessThan">
      <formula>0</formula>
    </cfRule>
    <cfRule type="cellIs" dxfId="1103" priority="212" operator="greaterThan">
      <formula>100.00001%</formula>
    </cfRule>
    <cfRule type="cellIs" dxfId="1102" priority="213" operator="between">
      <formula>0.66</formula>
      <formula>1</formula>
    </cfRule>
    <cfRule type="cellIs" dxfId="1101" priority="214" operator="between">
      <formula>0.401</formula>
      <formula>0.659999999999</formula>
    </cfRule>
    <cfRule type="cellIs" dxfId="1100" priority="215" operator="between">
      <formula>0</formula>
      <formula>0.4</formula>
    </cfRule>
  </conditionalFormatting>
  <conditionalFormatting sqref="BK167:BK196">
    <cfRule type="cellIs" dxfId="1099" priority="206" operator="lessThan">
      <formula>0</formula>
    </cfRule>
    <cfRule type="cellIs" dxfId="1098" priority="207" operator="greaterThan">
      <formula>100.00001%</formula>
    </cfRule>
    <cfRule type="cellIs" dxfId="1097" priority="208" operator="between">
      <formula>0.66</formula>
      <formula>1</formula>
    </cfRule>
    <cfRule type="cellIs" dxfId="1096" priority="209" operator="between">
      <formula>0.401</formula>
      <formula>0.659999999999</formula>
    </cfRule>
    <cfRule type="cellIs" dxfId="1095" priority="210" operator="between">
      <formula>0</formula>
      <formula>0.4</formula>
    </cfRule>
  </conditionalFormatting>
  <conditionalFormatting sqref="BK198">
    <cfRule type="cellIs" dxfId="1094" priority="201" operator="lessThan">
      <formula>0</formula>
    </cfRule>
    <cfRule type="cellIs" dxfId="1093" priority="202" operator="greaterThan">
      <formula>100.00001%</formula>
    </cfRule>
    <cfRule type="cellIs" dxfId="1092" priority="203" operator="between">
      <formula>0.66</formula>
      <formula>1</formula>
    </cfRule>
    <cfRule type="cellIs" dxfId="1091" priority="204" operator="between">
      <formula>0.401</formula>
      <formula>0.659999999999</formula>
    </cfRule>
    <cfRule type="cellIs" dxfId="1090" priority="205" operator="between">
      <formula>0</formula>
      <formula>0.4</formula>
    </cfRule>
  </conditionalFormatting>
  <conditionalFormatting sqref="BK254:BK274">
    <cfRule type="cellIs" dxfId="1089" priority="196" operator="lessThan">
      <formula>0</formula>
    </cfRule>
    <cfRule type="cellIs" dxfId="1088" priority="197" operator="greaterThan">
      <formula>100.00001%</formula>
    </cfRule>
    <cfRule type="cellIs" dxfId="1087" priority="198" operator="between">
      <formula>0.66</formula>
      <formula>1</formula>
    </cfRule>
    <cfRule type="cellIs" dxfId="1086" priority="199" operator="between">
      <formula>0.401</formula>
      <formula>0.659999999999</formula>
    </cfRule>
    <cfRule type="cellIs" dxfId="1085" priority="200" operator="between">
      <formula>0</formula>
      <formula>0.4</formula>
    </cfRule>
  </conditionalFormatting>
  <conditionalFormatting sqref="BK729:BK750">
    <cfRule type="cellIs" dxfId="1084" priority="191" operator="lessThan">
      <formula>0</formula>
    </cfRule>
    <cfRule type="cellIs" dxfId="1083" priority="192" operator="greaterThan">
      <formula>100.00001%</formula>
    </cfRule>
    <cfRule type="cellIs" dxfId="1082" priority="193" operator="between">
      <formula>0.66</formula>
      <formula>1</formula>
    </cfRule>
    <cfRule type="cellIs" dxfId="1081" priority="194" operator="between">
      <formula>0.401</formula>
      <formula>0.659999999999</formula>
    </cfRule>
    <cfRule type="cellIs" dxfId="1080" priority="195" operator="between">
      <formula>0</formula>
      <formula>0.4</formula>
    </cfRule>
  </conditionalFormatting>
  <conditionalFormatting sqref="BK752">
    <cfRule type="cellIs" dxfId="1079" priority="186" operator="lessThan">
      <formula>0</formula>
    </cfRule>
    <cfRule type="cellIs" dxfId="1078" priority="187" operator="greaterThan">
      <formula>100.00001%</formula>
    </cfRule>
    <cfRule type="cellIs" dxfId="1077" priority="188" operator="between">
      <formula>0.66</formula>
      <formula>1</formula>
    </cfRule>
    <cfRule type="cellIs" dxfId="1076" priority="189" operator="between">
      <formula>0.401</formula>
      <formula>0.659999999999</formula>
    </cfRule>
    <cfRule type="cellIs" dxfId="1075" priority="190" operator="between">
      <formula>0</formula>
      <formula>0.4</formula>
    </cfRule>
  </conditionalFormatting>
  <conditionalFormatting sqref="BK753:BK757">
    <cfRule type="cellIs" dxfId="1074" priority="181" operator="lessThan">
      <formula>0</formula>
    </cfRule>
    <cfRule type="cellIs" dxfId="1073" priority="182" operator="greaterThan">
      <formula>100.00001%</formula>
    </cfRule>
    <cfRule type="cellIs" dxfId="1072" priority="183" operator="between">
      <formula>0.66</formula>
      <formula>1</formula>
    </cfRule>
    <cfRule type="cellIs" dxfId="1071" priority="184" operator="between">
      <formula>0.401</formula>
      <formula>0.659999999999</formula>
    </cfRule>
    <cfRule type="cellIs" dxfId="1070" priority="185" operator="between">
      <formula>0</formula>
      <formula>0.4</formula>
    </cfRule>
  </conditionalFormatting>
  <conditionalFormatting sqref="BK759:BK768">
    <cfRule type="cellIs" dxfId="1069" priority="176" operator="lessThan">
      <formula>0</formula>
    </cfRule>
    <cfRule type="cellIs" dxfId="1068" priority="177" operator="greaterThan">
      <formula>100.00001%</formula>
    </cfRule>
    <cfRule type="cellIs" dxfId="1067" priority="178" operator="between">
      <formula>0.66</formula>
      <formula>1</formula>
    </cfRule>
    <cfRule type="cellIs" dxfId="1066" priority="179" operator="between">
      <formula>0.401</formula>
      <formula>0.659999999999</formula>
    </cfRule>
    <cfRule type="cellIs" dxfId="1065" priority="180" operator="between">
      <formula>0</formula>
      <formula>0.4</formula>
    </cfRule>
  </conditionalFormatting>
  <conditionalFormatting sqref="BK869:BK870">
    <cfRule type="cellIs" dxfId="1064" priority="171" operator="lessThan">
      <formula>0</formula>
    </cfRule>
    <cfRule type="cellIs" dxfId="1063" priority="172" operator="greaterThan">
      <formula>100.00001%</formula>
    </cfRule>
    <cfRule type="cellIs" dxfId="1062" priority="173" operator="between">
      <formula>0.66</formula>
      <formula>1</formula>
    </cfRule>
    <cfRule type="cellIs" dxfId="1061" priority="174" operator="between">
      <formula>0.401</formula>
      <formula>0.659999999999</formula>
    </cfRule>
    <cfRule type="cellIs" dxfId="1060" priority="175" operator="between">
      <formula>0</formula>
      <formula>0.4</formula>
    </cfRule>
  </conditionalFormatting>
  <conditionalFormatting sqref="BK873:BK874">
    <cfRule type="cellIs" dxfId="1059" priority="166" operator="lessThan">
      <formula>0</formula>
    </cfRule>
    <cfRule type="cellIs" dxfId="1058" priority="167" operator="greaterThan">
      <formula>100.00001%</formula>
    </cfRule>
    <cfRule type="cellIs" dxfId="1057" priority="168" operator="between">
      <formula>0.66</formula>
      <formula>1</formula>
    </cfRule>
    <cfRule type="cellIs" dxfId="1056" priority="169" operator="between">
      <formula>0.401</formula>
      <formula>0.659999999999</formula>
    </cfRule>
    <cfRule type="cellIs" dxfId="1055" priority="170" operator="between">
      <formula>0</formula>
      <formula>0.4</formula>
    </cfRule>
  </conditionalFormatting>
  <conditionalFormatting sqref="BK876:BK881">
    <cfRule type="cellIs" dxfId="1054" priority="161" operator="lessThan">
      <formula>0</formula>
    </cfRule>
    <cfRule type="cellIs" dxfId="1053" priority="162" operator="greaterThan">
      <formula>100.00001%</formula>
    </cfRule>
    <cfRule type="cellIs" dxfId="1052" priority="163" operator="between">
      <formula>0.66</formula>
      <formula>1</formula>
    </cfRule>
    <cfRule type="cellIs" dxfId="1051" priority="164" operator="between">
      <formula>0.401</formula>
      <formula>0.659999999999</formula>
    </cfRule>
    <cfRule type="cellIs" dxfId="1050" priority="165" operator="between">
      <formula>0</formula>
      <formula>0.4</formula>
    </cfRule>
  </conditionalFormatting>
  <conditionalFormatting sqref="BK883:BK886">
    <cfRule type="cellIs" dxfId="1049" priority="156" operator="lessThan">
      <formula>0</formula>
    </cfRule>
    <cfRule type="cellIs" dxfId="1048" priority="157" operator="greaterThan">
      <formula>100.00001%</formula>
    </cfRule>
    <cfRule type="cellIs" dxfId="1047" priority="158" operator="between">
      <formula>0.66</formula>
      <formula>1</formula>
    </cfRule>
    <cfRule type="cellIs" dxfId="1046" priority="159" operator="between">
      <formula>0.401</formula>
      <formula>0.659999999999</formula>
    </cfRule>
    <cfRule type="cellIs" dxfId="1045" priority="160" operator="between">
      <formula>0</formula>
      <formula>0.4</formula>
    </cfRule>
  </conditionalFormatting>
  <conditionalFormatting sqref="BK889">
    <cfRule type="cellIs" dxfId="1044" priority="151" operator="lessThan">
      <formula>0</formula>
    </cfRule>
    <cfRule type="cellIs" dxfId="1043" priority="152" operator="greaterThan">
      <formula>100.00001%</formula>
    </cfRule>
    <cfRule type="cellIs" dxfId="1042" priority="153" operator="between">
      <formula>0.66</formula>
      <formula>1</formula>
    </cfRule>
    <cfRule type="cellIs" dxfId="1041" priority="154" operator="between">
      <formula>0.401</formula>
      <formula>0.659999999999</formula>
    </cfRule>
    <cfRule type="cellIs" dxfId="1040" priority="155" operator="between">
      <formula>0</formula>
      <formula>0.4</formula>
    </cfRule>
  </conditionalFormatting>
  <conditionalFormatting sqref="BK895">
    <cfRule type="cellIs" dxfId="1039" priority="146" operator="lessThan">
      <formula>0</formula>
    </cfRule>
    <cfRule type="cellIs" dxfId="1038" priority="147" operator="greaterThan">
      <formula>100.00001%</formula>
    </cfRule>
    <cfRule type="cellIs" dxfId="1037" priority="148" operator="between">
      <formula>0.66</formula>
      <formula>1</formula>
    </cfRule>
    <cfRule type="cellIs" dxfId="1036" priority="149" operator="between">
      <formula>0.401</formula>
      <formula>0.659999999999</formula>
    </cfRule>
    <cfRule type="cellIs" dxfId="1035" priority="150" operator="between">
      <formula>0</formula>
      <formula>0.4</formula>
    </cfRule>
  </conditionalFormatting>
  <conditionalFormatting sqref="BK896">
    <cfRule type="cellIs" dxfId="1034" priority="141" operator="lessThan">
      <formula>0</formula>
    </cfRule>
    <cfRule type="cellIs" dxfId="1033" priority="142" operator="greaterThan">
      <formula>100.00001%</formula>
    </cfRule>
    <cfRule type="cellIs" dxfId="1032" priority="143" operator="between">
      <formula>0.66</formula>
      <formula>1</formula>
    </cfRule>
    <cfRule type="cellIs" dxfId="1031" priority="144" operator="between">
      <formula>0.401</formula>
      <formula>0.659999999999</formula>
    </cfRule>
    <cfRule type="cellIs" dxfId="1030" priority="145" operator="between">
      <formula>0</formula>
      <formula>0.4</formula>
    </cfRule>
  </conditionalFormatting>
  <conditionalFormatting sqref="BK81:BK128">
    <cfRule type="cellIs" dxfId="1029" priority="136" operator="lessThan">
      <formula>0</formula>
    </cfRule>
    <cfRule type="cellIs" dxfId="1028" priority="137" operator="greaterThan">
      <formula>100.00001%</formula>
    </cfRule>
    <cfRule type="cellIs" dxfId="1027" priority="138" operator="between">
      <formula>0.66</formula>
      <formula>1</formula>
    </cfRule>
    <cfRule type="cellIs" dxfId="1026" priority="139" operator="between">
      <formula>0.401</formula>
      <formula>0.659999999999</formula>
    </cfRule>
    <cfRule type="cellIs" dxfId="1025" priority="140" operator="between">
      <formula>0</formula>
      <formula>0.4</formula>
    </cfRule>
  </conditionalFormatting>
  <conditionalFormatting sqref="BK335:BK395">
    <cfRule type="cellIs" dxfId="1024" priority="131" operator="lessThan">
      <formula>0</formula>
    </cfRule>
    <cfRule type="cellIs" dxfId="1023" priority="132" operator="greaterThan">
      <formula>100.00001%</formula>
    </cfRule>
    <cfRule type="cellIs" dxfId="1022" priority="133" operator="between">
      <formula>0.66</formula>
      <formula>1</formula>
    </cfRule>
    <cfRule type="cellIs" dxfId="1021" priority="134" operator="between">
      <formula>0.401</formula>
      <formula>0.659999999999</formula>
    </cfRule>
    <cfRule type="cellIs" dxfId="1020" priority="135" operator="between">
      <formula>0</formula>
      <formula>0.4</formula>
    </cfRule>
  </conditionalFormatting>
  <conditionalFormatting sqref="AT200:AT252 AT770:AT867 AT137:AT165">
    <cfRule type="cellIs" dxfId="1019" priority="126" operator="lessThan">
      <formula>0</formula>
    </cfRule>
    <cfRule type="cellIs" dxfId="1018" priority="127" operator="greaterThan">
      <formula>100.00001%</formula>
    </cfRule>
    <cfRule type="cellIs" dxfId="1017" priority="128" operator="between">
      <formula>0.66</formula>
      <formula>1</formula>
    </cfRule>
    <cfRule type="cellIs" dxfId="1016" priority="129" operator="between">
      <formula>0.401</formula>
      <formula>0.659999999999</formula>
    </cfRule>
    <cfRule type="cellIs" dxfId="1015" priority="130" operator="between">
      <formula>0</formula>
      <formula>0.4</formula>
    </cfRule>
  </conditionalFormatting>
  <conditionalFormatting sqref="AT6:AT33">
    <cfRule type="cellIs" dxfId="1014" priority="121" operator="lessThan">
      <formula>0</formula>
    </cfRule>
    <cfRule type="cellIs" dxfId="1013" priority="122" operator="greaterThan">
      <formula>100.00001%</formula>
    </cfRule>
    <cfRule type="cellIs" dxfId="1012" priority="123" operator="between">
      <formula>0.66</formula>
      <formula>1</formula>
    </cfRule>
    <cfRule type="cellIs" dxfId="1011" priority="124" operator="between">
      <formula>0.401</formula>
      <formula>0.659999999999</formula>
    </cfRule>
    <cfRule type="cellIs" dxfId="1010" priority="125" operator="between">
      <formula>0</formula>
      <formula>0.4</formula>
    </cfRule>
  </conditionalFormatting>
  <conditionalFormatting sqref="AT35:AT62">
    <cfRule type="cellIs" dxfId="1009" priority="116" operator="lessThan">
      <formula>0</formula>
    </cfRule>
    <cfRule type="cellIs" dxfId="1008" priority="117" operator="greaterThan">
      <formula>100.00001%</formula>
    </cfRule>
    <cfRule type="cellIs" dxfId="1007" priority="118" operator="between">
      <formula>0.66</formula>
      <formula>1</formula>
    </cfRule>
    <cfRule type="cellIs" dxfId="1006" priority="119" operator="between">
      <formula>0.401</formula>
      <formula>0.659999999999</formula>
    </cfRule>
    <cfRule type="cellIs" dxfId="1005" priority="120" operator="between">
      <formula>0</formula>
      <formula>0.4</formula>
    </cfRule>
  </conditionalFormatting>
  <conditionalFormatting sqref="AT64:AT79">
    <cfRule type="cellIs" dxfId="1004" priority="111" operator="lessThan">
      <formula>0</formula>
    </cfRule>
    <cfRule type="cellIs" dxfId="1003" priority="112" operator="greaterThan">
      <formula>100.00001%</formula>
    </cfRule>
    <cfRule type="cellIs" dxfId="1002" priority="113" operator="between">
      <formula>0.66</formula>
      <formula>1</formula>
    </cfRule>
    <cfRule type="cellIs" dxfId="1001" priority="114" operator="between">
      <formula>0.401</formula>
      <formula>0.659999999999</formula>
    </cfRule>
    <cfRule type="cellIs" dxfId="1000" priority="115" operator="between">
      <formula>0</formula>
      <formula>0.4</formula>
    </cfRule>
  </conditionalFormatting>
  <conditionalFormatting sqref="AT81:AT128">
    <cfRule type="cellIs" dxfId="999" priority="106" operator="lessThan">
      <formula>0</formula>
    </cfRule>
    <cfRule type="cellIs" dxfId="998" priority="107" operator="greaterThan">
      <formula>100.00001%</formula>
    </cfRule>
    <cfRule type="cellIs" dxfId="997" priority="108" operator="between">
      <formula>0.66</formula>
      <formula>1</formula>
    </cfRule>
    <cfRule type="cellIs" dxfId="996" priority="109" operator="between">
      <formula>0.401</formula>
      <formula>0.659999999999</formula>
    </cfRule>
    <cfRule type="cellIs" dxfId="995" priority="110" operator="between">
      <formula>0</formula>
      <formula>0.4</formula>
    </cfRule>
  </conditionalFormatting>
  <conditionalFormatting sqref="AT420:AT448">
    <cfRule type="cellIs" dxfId="994" priority="101" operator="lessThan">
      <formula>0</formula>
    </cfRule>
    <cfRule type="cellIs" dxfId="993" priority="102" operator="greaterThan">
      <formula>100.00001%</formula>
    </cfRule>
    <cfRule type="cellIs" dxfId="992" priority="103" operator="between">
      <formula>0.66</formula>
      <formula>1</formula>
    </cfRule>
    <cfRule type="cellIs" dxfId="991" priority="104" operator="between">
      <formula>0.401</formula>
      <formula>0.659999999999</formula>
    </cfRule>
    <cfRule type="cellIs" dxfId="990" priority="105" operator="between">
      <formula>0</formula>
      <formula>0.4</formula>
    </cfRule>
  </conditionalFormatting>
  <conditionalFormatting sqref="AT130:AT135">
    <cfRule type="cellIs" dxfId="989" priority="96" operator="lessThan">
      <formula>0</formula>
    </cfRule>
    <cfRule type="cellIs" dxfId="988" priority="97" operator="greaterThan">
      <formula>100.00001%</formula>
    </cfRule>
    <cfRule type="cellIs" dxfId="987" priority="98" operator="between">
      <formula>0.66</formula>
      <formula>1</formula>
    </cfRule>
    <cfRule type="cellIs" dxfId="986" priority="99" operator="between">
      <formula>0.401</formula>
      <formula>0.659999999999</formula>
    </cfRule>
    <cfRule type="cellIs" dxfId="985" priority="100" operator="between">
      <formula>0</formula>
      <formula>0.4</formula>
    </cfRule>
  </conditionalFormatting>
  <conditionalFormatting sqref="AT630:AT679">
    <cfRule type="cellIs" dxfId="984" priority="91" operator="lessThan">
      <formula>0</formula>
    </cfRule>
    <cfRule type="cellIs" dxfId="983" priority="92" operator="greaterThan">
      <formula>100.00001%</formula>
    </cfRule>
    <cfRule type="cellIs" dxfId="982" priority="93" operator="between">
      <formula>0.66</formula>
      <formula>1</formula>
    </cfRule>
    <cfRule type="cellIs" dxfId="981" priority="94" operator="between">
      <formula>0.401</formula>
      <formula>0.659999999999</formula>
    </cfRule>
    <cfRule type="cellIs" dxfId="980" priority="95" operator="between">
      <formula>0</formula>
      <formula>0.4</formula>
    </cfRule>
  </conditionalFormatting>
  <conditionalFormatting sqref="AT681:AT727">
    <cfRule type="cellIs" dxfId="979" priority="86" operator="lessThan">
      <formula>0</formula>
    </cfRule>
    <cfRule type="cellIs" dxfId="978" priority="87" operator="greaterThan">
      <formula>100.00001%</formula>
    </cfRule>
    <cfRule type="cellIs" dxfId="977" priority="88" operator="between">
      <formula>0.66</formula>
      <formula>1</formula>
    </cfRule>
    <cfRule type="cellIs" dxfId="976" priority="89" operator="between">
      <formula>0.401</formula>
      <formula>0.659999999999</formula>
    </cfRule>
    <cfRule type="cellIs" dxfId="975" priority="90" operator="between">
      <formula>0</formula>
      <formula>0.4</formula>
    </cfRule>
  </conditionalFormatting>
  <conditionalFormatting sqref="AT548:AT628">
    <cfRule type="cellIs" dxfId="974" priority="81" operator="lessThan">
      <formula>0</formula>
    </cfRule>
    <cfRule type="cellIs" dxfId="973" priority="82" operator="greaterThan">
      <formula>100.00001%</formula>
    </cfRule>
    <cfRule type="cellIs" dxfId="972" priority="83" operator="between">
      <formula>0.66</formula>
      <formula>1</formula>
    </cfRule>
    <cfRule type="cellIs" dxfId="971" priority="84" operator="between">
      <formula>0.401</formula>
      <formula>0.659999999999</formula>
    </cfRule>
    <cfRule type="cellIs" dxfId="970" priority="85" operator="between">
      <formula>0</formula>
      <formula>0.4</formula>
    </cfRule>
  </conditionalFormatting>
  <conditionalFormatting sqref="AT335:AT395">
    <cfRule type="cellIs" dxfId="969" priority="76" operator="lessThan">
      <formula>0</formula>
    </cfRule>
    <cfRule type="cellIs" dxfId="968" priority="77" operator="greaterThan">
      <formula>100.00001%</formula>
    </cfRule>
    <cfRule type="cellIs" dxfId="967" priority="78" operator="between">
      <formula>0.66</formula>
      <formula>1</formula>
    </cfRule>
    <cfRule type="cellIs" dxfId="966" priority="79" operator="between">
      <formula>0.401</formula>
      <formula>0.659999999999</formula>
    </cfRule>
    <cfRule type="cellIs" dxfId="965" priority="80" operator="between">
      <formula>0</formula>
      <formula>0.4</formula>
    </cfRule>
  </conditionalFormatting>
  <conditionalFormatting sqref="AT397:AT418">
    <cfRule type="cellIs" dxfId="964" priority="71" operator="lessThan">
      <formula>0</formula>
    </cfRule>
    <cfRule type="cellIs" dxfId="963" priority="72" operator="greaterThan">
      <formula>100.00001%</formula>
    </cfRule>
    <cfRule type="cellIs" dxfId="962" priority="73" operator="between">
      <formula>0.66</formula>
      <formula>1</formula>
    </cfRule>
    <cfRule type="cellIs" dxfId="961" priority="74" operator="between">
      <formula>0.401</formula>
      <formula>0.659999999999</formula>
    </cfRule>
    <cfRule type="cellIs" dxfId="960" priority="75" operator="between">
      <formula>0</formula>
      <formula>0.4</formula>
    </cfRule>
  </conditionalFormatting>
  <conditionalFormatting sqref="AT450:AT546">
    <cfRule type="cellIs" dxfId="959" priority="66" operator="lessThan">
      <formula>0</formula>
    </cfRule>
    <cfRule type="cellIs" dxfId="958" priority="67" operator="greaterThan">
      <formula>100.00001%</formula>
    </cfRule>
    <cfRule type="cellIs" dxfId="957" priority="68" operator="between">
      <formula>0.66</formula>
      <formula>1</formula>
    </cfRule>
    <cfRule type="cellIs" dxfId="956" priority="69" operator="between">
      <formula>0.401</formula>
      <formula>0.659999999999</formula>
    </cfRule>
    <cfRule type="cellIs" dxfId="955" priority="70" operator="between">
      <formula>0</formula>
      <formula>0.4</formula>
    </cfRule>
  </conditionalFormatting>
  <conditionalFormatting sqref="AT167:AT196">
    <cfRule type="cellIs" dxfId="954" priority="61" operator="lessThan">
      <formula>0</formula>
    </cfRule>
    <cfRule type="cellIs" dxfId="953" priority="62" operator="greaterThan">
      <formula>100.00001%</formula>
    </cfRule>
    <cfRule type="cellIs" dxfId="952" priority="63" operator="between">
      <formula>0.66</formula>
      <formula>1</formula>
    </cfRule>
    <cfRule type="cellIs" dxfId="951" priority="64" operator="between">
      <formula>0.401</formula>
      <formula>0.659999999999</formula>
    </cfRule>
    <cfRule type="cellIs" dxfId="950" priority="65" operator="between">
      <formula>0</formula>
      <formula>0.4</formula>
    </cfRule>
  </conditionalFormatting>
  <conditionalFormatting sqref="AT198">
    <cfRule type="cellIs" dxfId="949" priority="56" operator="lessThan">
      <formula>0</formula>
    </cfRule>
    <cfRule type="cellIs" dxfId="948" priority="57" operator="greaterThan">
      <formula>100.00001%</formula>
    </cfRule>
    <cfRule type="cellIs" dxfId="947" priority="58" operator="between">
      <formula>0.66</formula>
      <formula>1</formula>
    </cfRule>
    <cfRule type="cellIs" dxfId="946" priority="59" operator="between">
      <formula>0.401</formula>
      <formula>0.659999999999</formula>
    </cfRule>
    <cfRule type="cellIs" dxfId="945" priority="60" operator="between">
      <formula>0</formula>
      <formula>0.4</formula>
    </cfRule>
  </conditionalFormatting>
  <conditionalFormatting sqref="AT254:AT274">
    <cfRule type="cellIs" dxfId="944" priority="51" operator="lessThan">
      <formula>0</formula>
    </cfRule>
    <cfRule type="cellIs" dxfId="943" priority="52" operator="greaterThan">
      <formula>100.00001%</formula>
    </cfRule>
    <cfRule type="cellIs" dxfId="942" priority="53" operator="between">
      <formula>0.66</formula>
      <formula>1</formula>
    </cfRule>
    <cfRule type="cellIs" dxfId="941" priority="54" operator="between">
      <formula>0.401</formula>
      <formula>0.659999999999</formula>
    </cfRule>
    <cfRule type="cellIs" dxfId="940" priority="55" operator="between">
      <formula>0</formula>
      <formula>0.4</formula>
    </cfRule>
  </conditionalFormatting>
  <conditionalFormatting sqref="AT729:AT750">
    <cfRule type="cellIs" dxfId="939" priority="46" operator="lessThan">
      <formula>0</formula>
    </cfRule>
    <cfRule type="cellIs" dxfId="938" priority="47" operator="greaterThan">
      <formula>100.00001%</formula>
    </cfRule>
    <cfRule type="cellIs" dxfId="937" priority="48" operator="between">
      <formula>0.66</formula>
      <formula>1</formula>
    </cfRule>
    <cfRule type="cellIs" dxfId="936" priority="49" operator="between">
      <formula>0.401</formula>
      <formula>0.659999999999</formula>
    </cfRule>
    <cfRule type="cellIs" dxfId="935" priority="50" operator="between">
      <formula>0</formula>
      <formula>0.4</formula>
    </cfRule>
  </conditionalFormatting>
  <conditionalFormatting sqref="AT752:AT757">
    <cfRule type="cellIs" dxfId="934" priority="41" operator="lessThan">
      <formula>0</formula>
    </cfRule>
    <cfRule type="cellIs" dxfId="933" priority="42" operator="greaterThan">
      <formula>100.00001%</formula>
    </cfRule>
    <cfRule type="cellIs" dxfId="932" priority="43" operator="between">
      <formula>0.66</formula>
      <formula>1</formula>
    </cfRule>
    <cfRule type="cellIs" dxfId="931" priority="44" operator="between">
      <formula>0.401</formula>
      <formula>0.659999999999</formula>
    </cfRule>
    <cfRule type="cellIs" dxfId="930" priority="45" operator="between">
      <formula>0</formula>
      <formula>0.4</formula>
    </cfRule>
  </conditionalFormatting>
  <conditionalFormatting sqref="AT759:AT768">
    <cfRule type="cellIs" dxfId="929" priority="36" operator="lessThan">
      <formula>0</formula>
    </cfRule>
    <cfRule type="cellIs" dxfId="928" priority="37" operator="greaterThan">
      <formula>100.00001%</formula>
    </cfRule>
    <cfRule type="cellIs" dxfId="927" priority="38" operator="between">
      <formula>0.66</formula>
      <formula>1</formula>
    </cfRule>
    <cfRule type="cellIs" dxfId="926" priority="39" operator="between">
      <formula>0.401</formula>
      <formula>0.659999999999</formula>
    </cfRule>
    <cfRule type="cellIs" dxfId="925" priority="40" operator="between">
      <formula>0</formula>
      <formula>0.4</formula>
    </cfRule>
  </conditionalFormatting>
  <conditionalFormatting sqref="AT869:AT870">
    <cfRule type="cellIs" dxfId="924" priority="31" operator="lessThan">
      <formula>0</formula>
    </cfRule>
    <cfRule type="cellIs" dxfId="923" priority="32" operator="greaterThan">
      <formula>100.00001%</formula>
    </cfRule>
    <cfRule type="cellIs" dxfId="922" priority="33" operator="between">
      <formula>0.66</formula>
      <formula>1</formula>
    </cfRule>
    <cfRule type="cellIs" dxfId="921" priority="34" operator="between">
      <formula>0.401</formula>
      <formula>0.659999999999</formula>
    </cfRule>
    <cfRule type="cellIs" dxfId="920" priority="35" operator="between">
      <formula>0</formula>
      <formula>0.4</formula>
    </cfRule>
  </conditionalFormatting>
  <conditionalFormatting sqref="AT873:AT874">
    <cfRule type="cellIs" dxfId="919" priority="26" operator="lessThan">
      <formula>0</formula>
    </cfRule>
    <cfRule type="cellIs" dxfId="918" priority="27" operator="greaterThan">
      <formula>100.00001%</formula>
    </cfRule>
    <cfRule type="cellIs" dxfId="917" priority="28" operator="between">
      <formula>0.66</formula>
      <formula>1</formula>
    </cfRule>
    <cfRule type="cellIs" dxfId="916" priority="29" operator="between">
      <formula>0.401</formula>
      <formula>0.659999999999</formula>
    </cfRule>
    <cfRule type="cellIs" dxfId="915" priority="30" operator="between">
      <formula>0</formula>
      <formula>0.4</formula>
    </cfRule>
  </conditionalFormatting>
  <conditionalFormatting sqref="AT876:AT881">
    <cfRule type="cellIs" dxfId="914" priority="21" operator="lessThan">
      <formula>0</formula>
    </cfRule>
    <cfRule type="cellIs" dxfId="913" priority="22" operator="greaterThan">
      <formula>100.00001%</formula>
    </cfRule>
    <cfRule type="cellIs" dxfId="912" priority="23" operator="between">
      <formula>0.66</formula>
      <formula>1</formula>
    </cfRule>
    <cfRule type="cellIs" dxfId="911" priority="24" operator="between">
      <formula>0.401</formula>
      <formula>0.659999999999</formula>
    </cfRule>
    <cfRule type="cellIs" dxfId="910" priority="25" operator="between">
      <formula>0</formula>
      <formula>0.4</formula>
    </cfRule>
  </conditionalFormatting>
  <conditionalFormatting sqref="AT883:AT886">
    <cfRule type="cellIs" dxfId="909" priority="16" operator="lessThan">
      <formula>0</formula>
    </cfRule>
    <cfRule type="cellIs" dxfId="908" priority="17" operator="greaterThan">
      <formula>100.00001%</formula>
    </cfRule>
    <cfRule type="cellIs" dxfId="907" priority="18" operator="between">
      <formula>0.66</formula>
      <formula>1</formula>
    </cfRule>
    <cfRule type="cellIs" dxfId="906" priority="19" operator="between">
      <formula>0.401</formula>
      <formula>0.659999999999</formula>
    </cfRule>
    <cfRule type="cellIs" dxfId="905" priority="20" operator="between">
      <formula>0</formula>
      <formula>0.4</formula>
    </cfRule>
  </conditionalFormatting>
  <conditionalFormatting sqref="AT889">
    <cfRule type="cellIs" dxfId="904" priority="11" operator="lessThan">
      <formula>0</formula>
    </cfRule>
    <cfRule type="cellIs" dxfId="903" priority="12" operator="greaterThan">
      <formula>100.00001%</formula>
    </cfRule>
    <cfRule type="cellIs" dxfId="902" priority="13" operator="between">
      <formula>0.66</formula>
      <formula>1</formula>
    </cfRule>
    <cfRule type="cellIs" dxfId="901" priority="14" operator="between">
      <formula>0.401</formula>
      <formula>0.659999999999</formula>
    </cfRule>
    <cfRule type="cellIs" dxfId="900" priority="15" operator="between">
      <formula>0</formula>
      <formula>0.4</formula>
    </cfRule>
  </conditionalFormatting>
  <conditionalFormatting sqref="AT895">
    <cfRule type="cellIs" dxfId="899" priority="6" operator="lessThan">
      <formula>0</formula>
    </cfRule>
    <cfRule type="cellIs" dxfId="898" priority="7" operator="greaterThan">
      <formula>100.00001%</formula>
    </cfRule>
    <cfRule type="cellIs" dxfId="897" priority="8" operator="between">
      <formula>0.66</formula>
      <formula>1</formula>
    </cfRule>
    <cfRule type="cellIs" dxfId="896" priority="9" operator="between">
      <formula>0.401</formula>
      <formula>0.659999999999</formula>
    </cfRule>
    <cfRule type="cellIs" dxfId="895" priority="10" operator="between">
      <formula>0</formula>
      <formula>0.4</formula>
    </cfRule>
  </conditionalFormatting>
  <conditionalFormatting sqref="AT896">
    <cfRule type="cellIs" dxfId="894" priority="1" operator="lessThan">
      <formula>0</formula>
    </cfRule>
    <cfRule type="cellIs" dxfId="893" priority="2" operator="greaterThan">
      <formula>100.00001%</formula>
    </cfRule>
    <cfRule type="cellIs" dxfId="892" priority="3" operator="between">
      <formula>0.66</formula>
      <formula>1</formula>
    </cfRule>
    <cfRule type="cellIs" dxfId="891" priority="4" operator="between">
      <formula>0.401</formula>
      <formula>0.659999999999</formula>
    </cfRule>
    <cfRule type="cellIs" dxfId="890" priority="5" operator="between">
      <formula>0</formula>
      <formula>0.4</formula>
    </cfRule>
  </conditionalFormatting>
  <pageMargins left="0.31496099999999999" right="0.31496099999999999" top="0.55118100000000003" bottom="0.55118100000000003" header="0" footer="0"/>
  <pageSetup scale="45" fitToHeight="0" orientation="portrait" r:id="rId1"/>
  <headerFooter>
    <oddFooter>&amp;C000000&amp;P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5CA9-17AF-4B69-980D-076D19AF40A8}">
  <sheetPr>
    <pageSetUpPr fitToPage="1"/>
  </sheetPr>
  <dimension ref="A1:BS246"/>
  <sheetViews>
    <sheetView showGridLines="0" tabSelected="1" zoomScale="60" zoomScaleNormal="60" workbookViewId="0">
      <pane xSplit="5" ySplit="4" topLeftCell="Z5" activePane="bottomRight" state="frozen"/>
      <selection activeCell="B1" sqref="B1"/>
      <selection pane="topRight" activeCell="F1" sqref="F1"/>
      <selection pane="bottomLeft" activeCell="B5" sqref="B5"/>
      <selection pane="bottomRight" activeCell="AH10" sqref="AH10"/>
    </sheetView>
  </sheetViews>
  <sheetFormatPr baseColWidth="10" defaultColWidth="14.42578125" defaultRowHeight="15" customHeight="1"/>
  <cols>
    <col min="1" max="1" width="28.28515625" style="16" hidden="1" customWidth="1"/>
    <col min="2" max="2" width="11.140625" style="16" customWidth="1"/>
    <col min="3" max="3" width="12.7109375" style="9" customWidth="1"/>
    <col min="4" max="4" width="72.28515625" style="332" customWidth="1"/>
    <col min="5" max="5" width="11.28515625" style="4" customWidth="1"/>
    <col min="6" max="10" width="15.7109375" style="1" customWidth="1"/>
    <col min="11" max="13" width="14.42578125" style="1" customWidth="1"/>
    <col min="14" max="14" width="19" style="4" customWidth="1"/>
    <col min="15" max="23" width="14.42578125" style="1" customWidth="1"/>
    <col min="24" max="24" width="16" style="1" customWidth="1"/>
    <col min="25" max="26" width="16.85546875" style="9" customWidth="1"/>
    <col min="27" max="27" width="18.140625" style="6" customWidth="1"/>
    <col min="28" max="28" width="19.28515625" style="9" customWidth="1"/>
    <col min="29" max="29" width="19" style="9" customWidth="1"/>
    <col min="30" max="30" width="13.28515625" style="1" customWidth="1"/>
    <col min="31" max="31" width="13.140625" style="1" customWidth="1"/>
    <col min="32" max="32" width="10.7109375" style="1" customWidth="1"/>
    <col min="33" max="33" width="18" style="16" customWidth="1"/>
    <col min="34" max="34" width="17.42578125" style="16" customWidth="1"/>
    <col min="35" max="43" width="14.42578125" style="1" customWidth="1"/>
    <col min="44" max="45" width="15.85546875" style="9" customWidth="1"/>
    <col min="46" max="52" width="14.42578125" style="1" customWidth="1"/>
    <col min="53" max="53" width="18.28515625" style="1" customWidth="1"/>
    <col min="54" max="55" width="16.85546875" style="9" customWidth="1"/>
    <col min="56" max="56" width="17.5703125" style="9" customWidth="1"/>
    <col min="57" max="58" width="19.28515625" style="9" customWidth="1"/>
    <col min="59" max="59" width="17.42578125" style="9" customWidth="1"/>
    <col min="60" max="60" width="16.85546875" style="9" customWidth="1"/>
    <col min="61" max="61" width="17.28515625" style="9" customWidth="1"/>
    <col min="62" max="66" width="14.42578125" style="1" customWidth="1"/>
    <col min="67" max="67" width="13.28515625" style="54" customWidth="1"/>
    <col min="68" max="68" width="13.140625" style="54" customWidth="1"/>
    <col min="69" max="69" width="10.7109375" style="54" customWidth="1"/>
    <col min="70" max="70" width="18" style="55" customWidth="1"/>
    <col min="71" max="71" width="18" style="104" customWidth="1"/>
    <col min="72" max="16384" width="14.42578125" style="1"/>
  </cols>
  <sheetData>
    <row r="1" spans="1:71" ht="47.25" customHeight="1">
      <c r="C1" s="9" t="s">
        <v>3274</v>
      </c>
      <c r="D1" s="578">
        <v>5.62E-2</v>
      </c>
      <c r="F1" s="673" t="s">
        <v>3270</v>
      </c>
      <c r="G1" s="674"/>
      <c r="H1" s="674"/>
      <c r="I1" s="674"/>
      <c r="J1" s="674"/>
      <c r="K1" s="674"/>
      <c r="L1" s="674"/>
      <c r="M1" s="674"/>
      <c r="N1" s="434"/>
      <c r="O1" s="673" t="s">
        <v>3263</v>
      </c>
      <c r="P1" s="674"/>
      <c r="Q1" s="674"/>
      <c r="R1" s="674"/>
      <c r="S1" s="674"/>
      <c r="T1" s="674"/>
      <c r="U1" s="674"/>
      <c r="V1" s="674"/>
      <c r="W1" s="674"/>
      <c r="X1" s="434"/>
      <c r="Y1" s="675" t="s">
        <v>3264</v>
      </c>
      <c r="Z1" s="676"/>
      <c r="AA1" s="676"/>
      <c r="AB1" s="676"/>
      <c r="AC1" s="676"/>
      <c r="AD1" s="676"/>
      <c r="AE1" s="676"/>
      <c r="AF1" s="676"/>
      <c r="AG1" s="676"/>
      <c r="AH1" s="505"/>
      <c r="AI1" s="675" t="s">
        <v>3265</v>
      </c>
      <c r="AJ1" s="676"/>
      <c r="AK1" s="676"/>
      <c r="AL1" s="676"/>
      <c r="AM1" s="676"/>
      <c r="AN1" s="676"/>
      <c r="AO1" s="676"/>
      <c r="AP1" s="676"/>
      <c r="AQ1" s="505"/>
      <c r="AR1" s="691" t="s">
        <v>3266</v>
      </c>
      <c r="AS1" s="692"/>
      <c r="AT1" s="692"/>
      <c r="AU1" s="692"/>
      <c r="AV1" s="692"/>
      <c r="AW1" s="692"/>
      <c r="AX1" s="692"/>
      <c r="AY1" s="692"/>
      <c r="AZ1" s="692"/>
      <c r="BA1" s="547"/>
      <c r="BB1" s="684" t="s">
        <v>3267</v>
      </c>
      <c r="BC1" s="685"/>
      <c r="BD1" s="685"/>
      <c r="BE1" s="685"/>
      <c r="BF1" s="685"/>
      <c r="BG1" s="685"/>
      <c r="BH1" s="685"/>
      <c r="BI1" s="685"/>
      <c r="BJ1" s="685"/>
      <c r="BK1" s="685"/>
      <c r="BL1" s="685"/>
      <c r="BM1" s="685"/>
      <c r="BN1" s="685"/>
      <c r="BO1" s="685"/>
      <c r="BP1" s="685"/>
      <c r="BQ1" s="685"/>
      <c r="BR1" s="686"/>
      <c r="BS1" s="530"/>
    </row>
    <row r="2" spans="1:71" ht="15.75" customHeight="1">
      <c r="C2" s="52"/>
      <c r="D2" s="330"/>
      <c r="E2" s="22"/>
      <c r="F2" s="679" t="s">
        <v>5</v>
      </c>
      <c r="G2" s="680"/>
      <c r="H2" s="680"/>
      <c r="I2" s="680"/>
      <c r="J2" s="680"/>
      <c r="K2" s="680"/>
      <c r="L2" s="680"/>
      <c r="M2" s="680"/>
      <c r="N2" s="433"/>
      <c r="O2" s="679" t="s">
        <v>5</v>
      </c>
      <c r="P2" s="680"/>
      <c r="Q2" s="680"/>
      <c r="R2" s="680"/>
      <c r="S2" s="680"/>
      <c r="T2" s="680"/>
      <c r="U2" s="680"/>
      <c r="V2" s="680"/>
      <c r="W2" s="680"/>
      <c r="X2" s="447"/>
      <c r="Y2" s="679" t="s">
        <v>5</v>
      </c>
      <c r="Z2" s="680"/>
      <c r="AA2" s="680"/>
      <c r="AB2" s="680"/>
      <c r="AC2" s="680"/>
      <c r="AD2" s="680"/>
      <c r="AE2" s="680"/>
      <c r="AF2" s="680"/>
      <c r="AG2" s="680"/>
      <c r="AH2" s="433"/>
      <c r="AI2" s="687" t="s">
        <v>5</v>
      </c>
      <c r="AJ2" s="688"/>
      <c r="AK2" s="688"/>
      <c r="AL2" s="688"/>
      <c r="AM2" s="688"/>
      <c r="AN2" s="688"/>
      <c r="AO2" s="688"/>
      <c r="AP2" s="688"/>
      <c r="AQ2" s="508"/>
      <c r="AR2" s="687" t="s">
        <v>5</v>
      </c>
      <c r="AS2" s="688"/>
      <c r="AT2" s="688"/>
      <c r="AU2" s="688"/>
      <c r="AV2" s="688"/>
      <c r="AW2" s="688"/>
      <c r="AX2" s="688"/>
      <c r="AY2" s="688"/>
      <c r="AZ2" s="688"/>
      <c r="BA2" s="508"/>
      <c r="BB2" s="687" t="s">
        <v>5</v>
      </c>
      <c r="BC2" s="693"/>
      <c r="BD2" s="688"/>
      <c r="BE2" s="688"/>
      <c r="BF2" s="688"/>
      <c r="BG2" s="688"/>
      <c r="BH2" s="688"/>
      <c r="BI2" s="688"/>
      <c r="BJ2" s="688"/>
      <c r="BK2" s="688"/>
      <c r="BL2" s="688"/>
      <c r="BM2" s="688"/>
      <c r="BN2" s="688"/>
      <c r="BO2" s="688"/>
      <c r="BP2" s="688"/>
      <c r="BQ2" s="688"/>
      <c r="BR2" s="689"/>
      <c r="BS2" s="531"/>
    </row>
    <row r="3" spans="1:71" ht="78.75" customHeight="1">
      <c r="C3" s="386"/>
      <c r="D3" s="387" t="s">
        <v>387</v>
      </c>
      <c r="E3" s="387"/>
      <c r="F3" s="577" t="s">
        <v>42</v>
      </c>
      <c r="G3" s="580" t="s">
        <v>3278</v>
      </c>
      <c r="H3" s="458" t="s">
        <v>6</v>
      </c>
      <c r="I3" s="459" t="s">
        <v>3281</v>
      </c>
      <c r="J3" s="460" t="s">
        <v>43</v>
      </c>
      <c r="K3" s="677" t="s">
        <v>3282</v>
      </c>
      <c r="L3" s="677"/>
      <c r="M3" s="678"/>
      <c r="N3" s="428" t="s">
        <v>825</v>
      </c>
      <c r="O3" s="577" t="s">
        <v>1388</v>
      </c>
      <c r="P3" s="580" t="s">
        <v>3273</v>
      </c>
      <c r="Q3" s="458" t="s">
        <v>1389</v>
      </c>
      <c r="R3" s="459" t="s">
        <v>1390</v>
      </c>
      <c r="S3" s="460" t="s">
        <v>1391</v>
      </c>
      <c r="T3" s="461" t="s">
        <v>1392</v>
      </c>
      <c r="U3" s="677" t="s">
        <v>3268</v>
      </c>
      <c r="V3" s="677"/>
      <c r="W3" s="678"/>
      <c r="X3" s="428" t="s">
        <v>1393</v>
      </c>
      <c r="Y3" s="577" t="s">
        <v>745</v>
      </c>
      <c r="Z3" s="580" t="s">
        <v>3275</v>
      </c>
      <c r="AA3" s="458" t="s">
        <v>746</v>
      </c>
      <c r="AB3" s="459" t="s">
        <v>747</v>
      </c>
      <c r="AC3" s="460" t="s">
        <v>748</v>
      </c>
      <c r="AD3" s="681" t="s">
        <v>799</v>
      </c>
      <c r="AE3" s="682"/>
      <c r="AF3" s="682"/>
      <c r="AG3" s="683"/>
      <c r="AH3" s="485" t="s">
        <v>3271</v>
      </c>
      <c r="AI3" s="577" t="s">
        <v>2142</v>
      </c>
      <c r="AJ3" s="580" t="s">
        <v>3276</v>
      </c>
      <c r="AK3" s="458" t="s">
        <v>2143</v>
      </c>
      <c r="AL3" s="459" t="s">
        <v>2144</v>
      </c>
      <c r="AM3" s="460" t="s">
        <v>2145</v>
      </c>
      <c r="AN3" s="690" t="s">
        <v>2146</v>
      </c>
      <c r="AO3" s="690"/>
      <c r="AP3" s="681"/>
      <c r="AQ3" s="485" t="s">
        <v>2147</v>
      </c>
      <c r="AR3" s="577" t="s">
        <v>800</v>
      </c>
      <c r="AS3" s="580" t="s">
        <v>3277</v>
      </c>
      <c r="AT3" s="521" t="s">
        <v>812</v>
      </c>
      <c r="AU3" s="522" t="s">
        <v>813</v>
      </c>
      <c r="AV3" s="459" t="s">
        <v>814</v>
      </c>
      <c r="AW3" s="681" t="s">
        <v>799</v>
      </c>
      <c r="AX3" s="682"/>
      <c r="AY3" s="682"/>
      <c r="AZ3" s="683"/>
      <c r="BA3" s="485" t="s">
        <v>3272</v>
      </c>
      <c r="BB3" s="577" t="s">
        <v>800</v>
      </c>
      <c r="BC3" s="631" t="s">
        <v>3277</v>
      </c>
      <c r="BD3" s="630" t="s">
        <v>801</v>
      </c>
      <c r="BE3" s="581" t="s">
        <v>802</v>
      </c>
      <c r="BF3" s="582" t="s">
        <v>803</v>
      </c>
      <c r="BG3" s="583" t="s">
        <v>804</v>
      </c>
      <c r="BH3" s="584" t="s">
        <v>805</v>
      </c>
      <c r="BI3" s="583" t="s">
        <v>806</v>
      </c>
      <c r="BJ3" s="582" t="s">
        <v>816</v>
      </c>
      <c r="BK3" s="585" t="s">
        <v>817</v>
      </c>
      <c r="BL3" s="586" t="s">
        <v>818</v>
      </c>
      <c r="BM3" s="587" t="s">
        <v>819</v>
      </c>
      <c r="BN3" s="588" t="s">
        <v>820</v>
      </c>
      <c r="BO3" s="677" t="s">
        <v>799</v>
      </c>
      <c r="BP3" s="677"/>
      <c r="BQ3" s="677"/>
      <c r="BR3" s="550"/>
      <c r="BS3" s="520" t="s">
        <v>808</v>
      </c>
    </row>
    <row r="4" spans="1:71" s="333" customFormat="1" ht="33.75" customHeight="1">
      <c r="A4" s="333" t="s">
        <v>380</v>
      </c>
      <c r="C4" s="591" t="s">
        <v>0</v>
      </c>
      <c r="D4" s="338" t="s">
        <v>4</v>
      </c>
      <c r="E4" s="592" t="s">
        <v>1</v>
      </c>
      <c r="F4" s="594" t="s">
        <v>2</v>
      </c>
      <c r="G4" s="345" t="s">
        <v>2</v>
      </c>
      <c r="H4" s="344" t="s">
        <v>2</v>
      </c>
      <c r="I4" s="345" t="s">
        <v>2</v>
      </c>
      <c r="J4" s="345" t="s">
        <v>2</v>
      </c>
      <c r="K4" s="345" t="s">
        <v>44</v>
      </c>
      <c r="L4" s="345" t="s">
        <v>45</v>
      </c>
      <c r="M4" s="593" t="s">
        <v>46</v>
      </c>
      <c r="N4" s="594" t="s">
        <v>386</v>
      </c>
      <c r="O4" s="441" t="s">
        <v>2</v>
      </c>
      <c r="P4" s="573"/>
      <c r="Q4" s="344" t="s">
        <v>2</v>
      </c>
      <c r="R4" s="345" t="s">
        <v>2</v>
      </c>
      <c r="S4" s="345" t="s">
        <v>2</v>
      </c>
      <c r="T4" s="345" t="s">
        <v>2</v>
      </c>
      <c r="U4" s="345" t="s">
        <v>44</v>
      </c>
      <c r="V4" s="345" t="s">
        <v>45</v>
      </c>
      <c r="W4" s="593" t="s">
        <v>46</v>
      </c>
      <c r="X4" s="594" t="s">
        <v>386</v>
      </c>
      <c r="Y4" s="441" t="s">
        <v>2</v>
      </c>
      <c r="Z4" s="441" t="s">
        <v>2</v>
      </c>
      <c r="AA4" s="344" t="s">
        <v>2</v>
      </c>
      <c r="AB4" s="345" t="s">
        <v>2</v>
      </c>
      <c r="AC4" s="345" t="s">
        <v>2</v>
      </c>
      <c r="AD4" s="345" t="s">
        <v>44</v>
      </c>
      <c r="AE4" s="345" t="s">
        <v>45</v>
      </c>
      <c r="AF4" s="345" t="s">
        <v>46</v>
      </c>
      <c r="AG4" s="593" t="s">
        <v>386</v>
      </c>
      <c r="AH4" s="594" t="s">
        <v>386</v>
      </c>
      <c r="AI4" s="441" t="s">
        <v>2</v>
      </c>
      <c r="AJ4" s="441" t="s">
        <v>2</v>
      </c>
      <c r="AK4" s="344" t="s">
        <v>2</v>
      </c>
      <c r="AL4" s="345" t="s">
        <v>2</v>
      </c>
      <c r="AM4" s="345" t="s">
        <v>2</v>
      </c>
      <c r="AN4" s="345" t="s">
        <v>44</v>
      </c>
      <c r="AO4" s="345" t="s">
        <v>45</v>
      </c>
      <c r="AP4" s="593" t="s">
        <v>46</v>
      </c>
      <c r="AQ4" s="594" t="s">
        <v>386</v>
      </c>
      <c r="AR4" s="590" t="s">
        <v>2</v>
      </c>
      <c r="AS4" s="344" t="s">
        <v>2</v>
      </c>
      <c r="AT4" s="344" t="s">
        <v>2</v>
      </c>
      <c r="AU4" s="344" t="s">
        <v>2</v>
      </c>
      <c r="AV4" s="344" t="s">
        <v>2</v>
      </c>
      <c r="AW4" s="345" t="s">
        <v>44</v>
      </c>
      <c r="AX4" s="345" t="s">
        <v>45</v>
      </c>
      <c r="AY4" s="593" t="s">
        <v>46</v>
      </c>
      <c r="AZ4" s="593" t="s">
        <v>386</v>
      </c>
      <c r="BA4" s="594" t="s">
        <v>386</v>
      </c>
      <c r="BB4" s="441" t="s">
        <v>2</v>
      </c>
      <c r="BC4" s="337" t="s">
        <v>2</v>
      </c>
      <c r="BD4" s="344" t="s">
        <v>2</v>
      </c>
      <c r="BE4" s="345" t="s">
        <v>2</v>
      </c>
      <c r="BF4" s="345" t="s">
        <v>2</v>
      </c>
      <c r="BG4" s="345" t="s">
        <v>2</v>
      </c>
      <c r="BH4" s="345" t="s">
        <v>2</v>
      </c>
      <c r="BI4" s="345" t="s">
        <v>2</v>
      </c>
      <c r="BJ4" s="344" t="s">
        <v>2</v>
      </c>
      <c r="BK4" s="345" t="s">
        <v>2</v>
      </c>
      <c r="BL4" s="345" t="s">
        <v>2</v>
      </c>
      <c r="BM4" s="345" t="s">
        <v>2</v>
      </c>
      <c r="BN4" s="345" t="s">
        <v>2</v>
      </c>
      <c r="BO4" s="345" t="s">
        <v>44</v>
      </c>
      <c r="BP4" s="345" t="s">
        <v>45</v>
      </c>
      <c r="BQ4" s="345" t="s">
        <v>46</v>
      </c>
      <c r="BR4" s="595" t="s">
        <v>386</v>
      </c>
      <c r="BS4" s="596" t="s">
        <v>386</v>
      </c>
    </row>
    <row r="5" spans="1:71" ht="20.45" customHeight="1">
      <c r="A5" s="26" t="s">
        <v>3</v>
      </c>
      <c r="B5" s="358" t="s">
        <v>2210</v>
      </c>
      <c r="C5" s="46">
        <v>1</v>
      </c>
      <c r="D5" s="47" t="s">
        <v>3</v>
      </c>
      <c r="E5" s="91"/>
      <c r="F5" s="406"/>
      <c r="G5" s="574"/>
      <c r="H5" s="307"/>
      <c r="I5" s="307"/>
      <c r="J5" s="307"/>
      <c r="K5" s="307"/>
      <c r="L5" s="307"/>
      <c r="M5" s="419"/>
      <c r="N5" s="430"/>
      <c r="O5" s="406"/>
      <c r="P5" s="574"/>
      <c r="Q5" s="307"/>
      <c r="R5" s="307"/>
      <c r="S5" s="307"/>
      <c r="T5" s="307"/>
      <c r="U5" s="307"/>
      <c r="V5" s="307"/>
      <c r="W5" s="419"/>
      <c r="X5" s="430"/>
      <c r="Y5" s="413"/>
      <c r="Z5" s="576"/>
      <c r="AA5" s="47"/>
      <c r="AB5" s="47"/>
      <c r="AC5" s="47"/>
      <c r="AD5" s="47"/>
      <c r="AE5" s="47"/>
      <c r="AF5" s="47"/>
      <c r="AG5" s="91"/>
      <c r="AH5" s="467"/>
      <c r="AI5" s="406"/>
      <c r="AJ5" s="574"/>
      <c r="AK5" s="307"/>
      <c r="AL5" s="307"/>
      <c r="AM5" s="307"/>
      <c r="AN5" s="307"/>
      <c r="AO5" s="307"/>
      <c r="AP5" s="307"/>
      <c r="AQ5" s="307"/>
      <c r="AR5" s="413"/>
      <c r="AS5" s="576"/>
      <c r="AT5" s="47"/>
      <c r="AU5" s="47"/>
      <c r="AV5" s="47"/>
      <c r="AW5" s="47"/>
      <c r="AX5" s="47"/>
      <c r="AY5" s="47"/>
      <c r="AZ5" s="91"/>
      <c r="BA5" s="467"/>
      <c r="BB5" s="413"/>
      <c r="BC5" s="576"/>
      <c r="BD5" s="47"/>
      <c r="BE5" s="47"/>
      <c r="BF5" s="47"/>
      <c r="BG5" s="47"/>
      <c r="BH5" s="47"/>
      <c r="BI5" s="47"/>
      <c r="BJ5" s="135"/>
      <c r="BK5" s="136"/>
      <c r="BL5" s="137"/>
      <c r="BM5" s="135"/>
      <c r="BN5" s="135"/>
      <c r="BO5" s="47"/>
      <c r="BP5" s="47"/>
      <c r="BQ5" s="47"/>
      <c r="BR5" s="414"/>
      <c r="BS5" s="457"/>
    </row>
    <row r="6" spans="1:71" ht="38.1" customHeight="1">
      <c r="A6" s="26" t="s">
        <v>3</v>
      </c>
      <c r="B6" s="358" t="s">
        <v>749</v>
      </c>
      <c r="C6" s="15" t="s">
        <v>47</v>
      </c>
      <c r="D6" s="99" t="s">
        <v>388</v>
      </c>
      <c r="E6" s="391" t="s">
        <v>10</v>
      </c>
      <c r="F6" s="407">
        <v>7879</v>
      </c>
      <c r="G6" s="589">
        <f>ROUND(F6*(100%+$D$1),0)</f>
        <v>8322</v>
      </c>
      <c r="H6" s="10">
        <v>8500</v>
      </c>
      <c r="I6" s="167">
        <v>8500</v>
      </c>
      <c r="J6" s="10">
        <v>8200</v>
      </c>
      <c r="K6" s="76">
        <f>AVERAGE(G6:H6,J6)</f>
        <v>8340.6666666666661</v>
      </c>
      <c r="L6" s="24">
        <f>K6-F6</f>
        <v>461.66666666666606</v>
      </c>
      <c r="M6" s="281">
        <f>+L6/G6</f>
        <v>5.5475446607385973E-2</v>
      </c>
      <c r="N6" s="597">
        <f>+K6</f>
        <v>8340.6666666666661</v>
      </c>
      <c r="O6" s="442">
        <v>6635</v>
      </c>
      <c r="P6" s="575">
        <f>ROUND(O6*(100%+$D$1),0)</f>
        <v>7008</v>
      </c>
      <c r="Q6" s="260">
        <v>12000</v>
      </c>
      <c r="R6" s="260">
        <v>17500</v>
      </c>
      <c r="S6" s="260">
        <v>15500</v>
      </c>
      <c r="T6" s="10">
        <v>15000</v>
      </c>
      <c r="U6" s="76">
        <f>AVERAGE(P6:Q6,R6,S6,T6)</f>
        <v>13401.6</v>
      </c>
      <c r="V6" s="24">
        <f>U6-P6</f>
        <v>6393.6</v>
      </c>
      <c r="W6" s="281">
        <f t="shared" ref="W6:W7" si="0">+V6/O6</f>
        <v>0.96361718161266019</v>
      </c>
      <c r="X6" s="462">
        <f>U6</f>
        <v>13401.6</v>
      </c>
      <c r="Y6" s="410">
        <v>64937</v>
      </c>
      <c r="Z6" s="575">
        <f>ROUND(Y6*(100%+$D$1),0)</f>
        <v>68586</v>
      </c>
      <c r="AA6" s="10">
        <v>84456</v>
      </c>
      <c r="AB6" s="31">
        <v>109793</v>
      </c>
      <c r="AC6" s="470">
        <v>73820</v>
      </c>
      <c r="AD6" s="76">
        <f>AVERAGE(AA6,AC6,Z6)</f>
        <v>75620.666666666672</v>
      </c>
      <c r="AE6" s="24">
        <f>AD6-Z6</f>
        <v>7034.6666666666715</v>
      </c>
      <c r="AF6" s="25">
        <f t="shared" ref="AF6:AF10" si="1">+AE6/Y6</f>
        <v>0.10833063841364202</v>
      </c>
      <c r="AG6" s="602">
        <f t="shared" ref="AG6:AG9" si="2">+IF(AF6&lt;35%,AD6,"REVISAR PRECIO")</f>
        <v>75620.666666666672</v>
      </c>
      <c r="AH6" s="601">
        <f>AD6</f>
        <v>75620.666666666672</v>
      </c>
      <c r="AI6" s="407">
        <v>6788</v>
      </c>
      <c r="AJ6" s="575">
        <f>ROUND(AI6*(100%+$D$1),0)</f>
        <v>7169</v>
      </c>
      <c r="AK6" s="45">
        <v>8000</v>
      </c>
      <c r="AL6" s="45">
        <v>10250</v>
      </c>
      <c r="AM6" s="45">
        <v>11500</v>
      </c>
      <c r="AN6" s="76">
        <f>AVERAGE(AK6,AL6,AM6,AJ6)</f>
        <v>9229.75</v>
      </c>
      <c r="AO6" s="24">
        <f t="shared" ref="AO6" si="3">AN6-AI6</f>
        <v>2441.75</v>
      </c>
      <c r="AP6" s="281">
        <f t="shared" ref="AP6" si="4">+AO6/AI6</f>
        <v>0.3597156747200943</v>
      </c>
      <c r="AQ6" s="601">
        <f>AN6</f>
        <v>9229.75</v>
      </c>
      <c r="AR6" s="512">
        <v>6788</v>
      </c>
      <c r="AS6" s="575">
        <f>ROUND(AR6*(100%+$D$1),0)</f>
        <v>7169</v>
      </c>
      <c r="AT6" s="74">
        <v>10000</v>
      </c>
      <c r="AU6" s="116">
        <v>12000</v>
      </c>
      <c r="AV6" s="74">
        <v>9350</v>
      </c>
      <c r="AW6" s="76">
        <f>AVERAGE(AS6,AT6,AV6)</f>
        <v>8839.6666666666661</v>
      </c>
      <c r="AX6" s="24">
        <f t="shared" ref="AX6:AX9" si="5">AW6-AR6</f>
        <v>2051.6666666666661</v>
      </c>
      <c r="AY6" s="25">
        <f t="shared" ref="AY6" si="6">+AX6/AR6</f>
        <v>0.30224906698094667</v>
      </c>
      <c r="AZ6" s="309">
        <f t="shared" ref="AZ6" si="7">+IF(AY6&lt;35%,AW6,"REVISAR PRECIO")</f>
        <v>8839.6666666666661</v>
      </c>
      <c r="BA6" s="601">
        <f>AW6</f>
        <v>8839.6666666666661</v>
      </c>
      <c r="BB6" s="512">
        <v>6788</v>
      </c>
      <c r="BC6" s="575">
        <f>ROUND(BB6*(100%+$D$1),0)</f>
        <v>7169</v>
      </c>
      <c r="BD6" s="74">
        <v>9775</v>
      </c>
      <c r="BE6" s="74">
        <v>14500</v>
      </c>
      <c r="BF6" s="75">
        <v>11262.5</v>
      </c>
      <c r="BG6" s="61">
        <v>12649.999999999998</v>
      </c>
      <c r="BH6" s="10">
        <v>8100</v>
      </c>
      <c r="BI6" s="74">
        <v>14547.499999999996</v>
      </c>
      <c r="BJ6" s="79">
        <v>11262.5</v>
      </c>
      <c r="BK6" s="79">
        <f>6800*1.25</f>
        <v>8500</v>
      </c>
      <c r="BL6" s="127">
        <v>10200</v>
      </c>
      <c r="BM6" s="142">
        <v>10000</v>
      </c>
      <c r="BN6" s="142">
        <v>9500</v>
      </c>
      <c r="BO6" s="76">
        <f>AVERAGE(BD6,BC6,BF6,BG6,BH6,BJ6:BN6,BE6)</f>
        <v>10265.363636363636</v>
      </c>
      <c r="BP6" s="24">
        <f>BO6-BB6</f>
        <v>3477.363636363636</v>
      </c>
      <c r="BQ6" s="25">
        <f>+BP6/BB6</f>
        <v>0.51228103069588038</v>
      </c>
      <c r="BR6" s="259" t="str">
        <f t="shared" ref="BR6:BR9" si="8">+IF(BQ6&lt;35%,BO6,"REVISAR PRECIO")</f>
        <v>REVISAR PRECIO</v>
      </c>
      <c r="BS6" s="607">
        <f>BO6</f>
        <v>10265.363636363636</v>
      </c>
    </row>
    <row r="7" spans="1:71" ht="39.950000000000003" customHeight="1">
      <c r="A7" s="26" t="s">
        <v>3</v>
      </c>
      <c r="B7" s="358" t="s">
        <v>750</v>
      </c>
      <c r="C7" s="15" t="s">
        <v>48</v>
      </c>
      <c r="D7" s="99" t="s">
        <v>390</v>
      </c>
      <c r="E7" s="391" t="s">
        <v>10</v>
      </c>
      <c r="F7" s="407">
        <v>522814</v>
      </c>
      <c r="G7" s="589">
        <f>ROUND(F7*(100%+$D$1),0)</f>
        <v>552196</v>
      </c>
      <c r="H7" s="10">
        <v>519230</v>
      </c>
      <c r="I7" s="167">
        <v>1557690</v>
      </c>
      <c r="J7" s="10">
        <v>408700</v>
      </c>
      <c r="K7" s="76">
        <f>AVERAGE(G7:H7,J7)</f>
        <v>493375.33333333331</v>
      </c>
      <c r="L7" s="24">
        <f t="shared" ref="L7:L9" si="9">K7-F7</f>
        <v>-29438.666666666686</v>
      </c>
      <c r="M7" s="281">
        <f t="shared" ref="M7:M70" si="10">+L7/G7</f>
        <v>-5.3311988255377959E-2</v>
      </c>
      <c r="N7" s="597">
        <f>+K7</f>
        <v>493375.33333333331</v>
      </c>
      <c r="O7" s="564">
        <v>448174</v>
      </c>
      <c r="P7" s="579">
        <f>ROUND(O7*(100%+$D$1),0)</f>
        <v>473361</v>
      </c>
      <c r="Q7" s="565">
        <f>451504*1.15</f>
        <v>519229.6</v>
      </c>
      <c r="R7" s="565">
        <v>595000</v>
      </c>
      <c r="S7" s="565">
        <v>650000</v>
      </c>
      <c r="T7" s="565">
        <v>610000</v>
      </c>
      <c r="U7" s="560">
        <f>AVERAGE(P7:Q7,R7,S7,T7)</f>
        <v>569518.12</v>
      </c>
      <c r="V7" s="24">
        <f t="shared" ref="V7:V70" si="11">U7-P7</f>
        <v>96157.119999999995</v>
      </c>
      <c r="W7" s="281">
        <f t="shared" si="0"/>
        <v>0.21455309768081146</v>
      </c>
      <c r="X7" s="462">
        <f t="shared" ref="X7:X9" si="12">U7</f>
        <v>569518.12</v>
      </c>
      <c r="Y7" s="410">
        <v>80590</v>
      </c>
      <c r="Z7" s="575">
        <f t="shared" ref="Z7:Z70" si="13">ROUND(Y7*(100%+$D$1),0)</f>
        <v>85119</v>
      </c>
      <c r="AA7" s="10">
        <v>104814</v>
      </c>
      <c r="AB7" s="33">
        <v>36258</v>
      </c>
      <c r="AC7" s="470">
        <v>91615</v>
      </c>
      <c r="AD7" s="76">
        <f>AVERAGE(AA7,AC7,Z7)</f>
        <v>93849.333333333328</v>
      </c>
      <c r="AE7" s="24">
        <f t="shared" ref="AE7:AE70" si="14">AD7-Z7</f>
        <v>8730.3333333333285</v>
      </c>
      <c r="AF7" s="25">
        <f t="shared" si="1"/>
        <v>0.10833023121148193</v>
      </c>
      <c r="AG7" s="602">
        <f t="shared" si="2"/>
        <v>93849.333333333328</v>
      </c>
      <c r="AH7" s="601">
        <f>N7</f>
        <v>493375.33333333331</v>
      </c>
      <c r="AI7" s="407">
        <v>450054</v>
      </c>
      <c r="AJ7" s="575">
        <f t="shared" ref="AJ7:AJ70" si="15">ROUND(AI7*(100%+$D$1),0)</f>
        <v>475347</v>
      </c>
      <c r="AK7" s="45">
        <v>518000</v>
      </c>
      <c r="AL7" s="45">
        <v>519230</v>
      </c>
      <c r="AM7" s="45">
        <v>60000</v>
      </c>
      <c r="AN7" s="76">
        <f>AVERAGE(AK7,AL7,AJ7)</f>
        <v>504192.33333333331</v>
      </c>
      <c r="AO7" s="24">
        <f t="shared" ref="AO7:AO9" si="16">AN7-AI7</f>
        <v>54138.333333333314</v>
      </c>
      <c r="AP7" s="281">
        <f t="shared" ref="AP7:AP9" si="17">+AO7/AI7</f>
        <v>0.12029297225073728</v>
      </c>
      <c r="AQ7" s="606">
        <f>AVERAGE(AK7,AL7,AI7)</f>
        <v>495761.33333333331</v>
      </c>
      <c r="AR7" s="512">
        <v>448174</v>
      </c>
      <c r="AS7" s="575">
        <f>ROUND(AR7*(100%+$D$1),0)</f>
        <v>473361</v>
      </c>
      <c r="AT7" s="74">
        <v>650000</v>
      </c>
      <c r="AU7" s="116">
        <v>66000</v>
      </c>
      <c r="AV7" s="74">
        <v>571152.55999999994</v>
      </c>
      <c r="AW7" s="76">
        <f>AVERAGE(AS7,AT7,AV7)</f>
        <v>564837.85333333339</v>
      </c>
      <c r="AX7" s="24">
        <f t="shared" si="5"/>
        <v>116663.85333333339</v>
      </c>
      <c r="AY7" s="25">
        <f t="shared" ref="AY7:AY9" si="18">+AX7/AR7</f>
        <v>0.26030928463796066</v>
      </c>
      <c r="AZ7" s="309">
        <f t="shared" ref="AZ7:AZ9" si="19">+IF(AY7&lt;35%,AW7,"REVISAR PRECIO")</f>
        <v>564837.85333333339</v>
      </c>
      <c r="BA7" s="601">
        <f t="shared" ref="BA7:BA10" si="20">AW7</f>
        <v>564837.85333333339</v>
      </c>
      <c r="BB7" s="512">
        <v>448174</v>
      </c>
      <c r="BC7" s="575">
        <f t="shared" ref="BC7:BC70" si="21">ROUND(BB7*(100%+$D$1),0)</f>
        <v>473361</v>
      </c>
      <c r="BD7" s="74">
        <v>597114.03999999992</v>
      </c>
      <c r="BE7" s="74">
        <v>700000</v>
      </c>
      <c r="BF7" s="75">
        <v>687979.22</v>
      </c>
      <c r="BG7" s="61">
        <v>75000</v>
      </c>
      <c r="BH7" s="10">
        <v>47000</v>
      </c>
      <c r="BI7" s="74">
        <v>854070.49999999988</v>
      </c>
      <c r="BJ7" s="79">
        <v>687979.22</v>
      </c>
      <c r="BK7" s="79">
        <f>451504*1.15</f>
        <v>519229.6</v>
      </c>
      <c r="BL7" s="127">
        <v>595000</v>
      </c>
      <c r="BM7" s="142">
        <v>650000</v>
      </c>
      <c r="BN7" s="142">
        <v>610000</v>
      </c>
      <c r="BO7" s="76">
        <f>AVERAGE(BC7,BD7,BF7,BJ7,BK7,BL7,BM7,BN7,BE7,BI7)</f>
        <v>637473.35800000001</v>
      </c>
      <c r="BP7" s="24">
        <f>BO7-BB7</f>
        <v>189299.35800000001</v>
      </c>
      <c r="BQ7" s="25">
        <f>+BP7/BB7</f>
        <v>0.42237916077237858</v>
      </c>
      <c r="BR7" s="259" t="str">
        <f t="shared" si="8"/>
        <v>REVISAR PRECIO</v>
      </c>
      <c r="BS7" s="607">
        <f t="shared" ref="BS7:BS70" si="22">BO7</f>
        <v>637473.35800000001</v>
      </c>
    </row>
    <row r="8" spans="1:71" ht="33.950000000000003" customHeight="1">
      <c r="A8" s="26" t="s">
        <v>3</v>
      </c>
      <c r="B8" s="358" t="s">
        <v>751</v>
      </c>
      <c r="C8" s="15" t="s">
        <v>49</v>
      </c>
      <c r="D8" s="99" t="s">
        <v>391</v>
      </c>
      <c r="E8" s="392" t="s">
        <v>11</v>
      </c>
      <c r="F8" s="407">
        <v>50435</v>
      </c>
      <c r="G8" s="589">
        <f t="shared" ref="G8:G70" si="23">ROUND(F8*(100%+$D$1),0)</f>
        <v>53269</v>
      </c>
      <c r="H8" s="10">
        <v>47893</v>
      </c>
      <c r="I8" s="167">
        <v>191572</v>
      </c>
      <c r="J8" s="10">
        <v>46050</v>
      </c>
      <c r="K8" s="76">
        <f>AVERAGE(G8:H8,J8)</f>
        <v>49070.666666666664</v>
      </c>
      <c r="L8" s="24">
        <f t="shared" si="9"/>
        <v>-1364.3333333333358</v>
      </c>
      <c r="M8" s="281">
        <f t="shared" si="10"/>
        <v>-2.5612144649483484E-2</v>
      </c>
      <c r="N8" s="597">
        <f t="shared" ref="N8:N70" si="24">+K8</f>
        <v>49070.666666666664</v>
      </c>
      <c r="O8" s="442">
        <v>39128</v>
      </c>
      <c r="P8" s="575">
        <f t="shared" ref="P8:P71" si="25">ROUND(O8*(100%+$D$1),0)</f>
        <v>41327</v>
      </c>
      <c r="Q8" s="260">
        <v>28000</v>
      </c>
      <c r="R8" s="260">
        <v>34900</v>
      </c>
      <c r="S8" s="261">
        <v>31000</v>
      </c>
      <c r="T8" s="10">
        <v>38000</v>
      </c>
      <c r="U8" s="76">
        <f t="shared" ref="U8" si="26">AVERAGE(Q8,R8,S8,T8)</f>
        <v>32975</v>
      </c>
      <c r="V8" s="24">
        <f t="shared" si="11"/>
        <v>-8352</v>
      </c>
      <c r="W8" s="281">
        <f t="shared" ref="W8:W9" si="27">+V8/O8</f>
        <v>-0.21345328153751789</v>
      </c>
      <c r="X8" s="462">
        <f t="shared" si="12"/>
        <v>32975</v>
      </c>
      <c r="Y8" s="410">
        <v>59010</v>
      </c>
      <c r="Z8" s="575">
        <f t="shared" si="13"/>
        <v>62326</v>
      </c>
      <c r="AA8" s="10">
        <v>76748</v>
      </c>
      <c r="AB8" s="31">
        <v>99772</v>
      </c>
      <c r="AC8" s="470">
        <v>67083</v>
      </c>
      <c r="AD8" s="76">
        <f>AVERAGE(AA8,AC8,Z8)</f>
        <v>68719</v>
      </c>
      <c r="AE8" s="24">
        <f t="shared" si="14"/>
        <v>6393</v>
      </c>
      <c r="AF8" s="25">
        <f t="shared" si="1"/>
        <v>0.10833756990340621</v>
      </c>
      <c r="AG8" s="602">
        <f t="shared" si="2"/>
        <v>68719</v>
      </c>
      <c r="AH8" s="601">
        <f t="shared" ref="AH8:AH9" si="28">AD8</f>
        <v>68719</v>
      </c>
      <c r="AI8" s="407">
        <v>43475</v>
      </c>
      <c r="AJ8" s="575">
        <f t="shared" si="15"/>
        <v>45918</v>
      </c>
      <c r="AK8" s="45">
        <v>52000</v>
      </c>
      <c r="AL8" s="45">
        <v>47893</v>
      </c>
      <c r="AM8" s="45">
        <v>45000</v>
      </c>
      <c r="AN8" s="76">
        <f t="shared" ref="AN8:AN65" si="29">AVERAGE(AK8,AL8,AM8,AJ8)</f>
        <v>47702.75</v>
      </c>
      <c r="AO8" s="24">
        <f t="shared" si="16"/>
        <v>4227.75</v>
      </c>
      <c r="AP8" s="281">
        <f t="shared" si="17"/>
        <v>9.7245543415756183E-2</v>
      </c>
      <c r="AQ8" s="601">
        <f t="shared" ref="AQ8:AQ9" si="30">AN8</f>
        <v>47702.75</v>
      </c>
      <c r="AR8" s="513">
        <v>43475</v>
      </c>
      <c r="AS8" s="575">
        <f t="shared" ref="AS8:AS71" si="31">ROUND(AR8*(100%+$D$1),0)</f>
        <v>45918</v>
      </c>
      <c r="AT8" s="74">
        <v>52000</v>
      </c>
      <c r="AU8" s="116">
        <v>52200</v>
      </c>
      <c r="AV8" s="74">
        <v>52682.52</v>
      </c>
      <c r="AW8" s="76">
        <f t="shared" ref="AW8:AW70" si="32">AVERAGE(AS8,AT8,AU8,AV8)</f>
        <v>50700.13</v>
      </c>
      <c r="AX8" s="24">
        <f t="shared" si="5"/>
        <v>7225.1299999999974</v>
      </c>
      <c r="AY8" s="25">
        <f t="shared" si="18"/>
        <v>0.16619045428407125</v>
      </c>
      <c r="AZ8" s="309">
        <f t="shared" si="19"/>
        <v>50700.13</v>
      </c>
      <c r="BA8" s="601">
        <f t="shared" si="20"/>
        <v>50700.13</v>
      </c>
      <c r="BB8" s="513">
        <v>43475</v>
      </c>
      <c r="BC8" s="575">
        <f t="shared" si="21"/>
        <v>45918</v>
      </c>
      <c r="BD8" s="74">
        <v>55077.179999999993</v>
      </c>
      <c r="BE8" s="74">
        <v>85000</v>
      </c>
      <c r="BF8" s="75">
        <v>63458.489999999991</v>
      </c>
      <c r="BG8" s="61">
        <v>61961.999999999993</v>
      </c>
      <c r="BH8" s="10">
        <v>42000</v>
      </c>
      <c r="BI8" s="74">
        <v>71256.299999999988</v>
      </c>
      <c r="BJ8" s="79">
        <v>63458.489999999991</v>
      </c>
      <c r="BK8" s="79">
        <f>39911*1.2</f>
        <v>47893.2</v>
      </c>
      <c r="BL8" s="127">
        <v>57471.839999999997</v>
      </c>
      <c r="BM8" s="142">
        <v>60000</v>
      </c>
      <c r="BN8" s="142">
        <v>50000</v>
      </c>
      <c r="BO8" s="76">
        <f>AVERAGE(BC8,BD8,BF8,BG8,BH8,BI8,BJ8,BK8,BL8,BM8,BN8,BE8)</f>
        <v>58624.625</v>
      </c>
      <c r="BP8" s="24">
        <f>BO8-BB8</f>
        <v>15149.625</v>
      </c>
      <c r="BQ8" s="25">
        <f>+BP8/BB8</f>
        <v>0.34846751006325477</v>
      </c>
      <c r="BR8" s="259">
        <f t="shared" si="8"/>
        <v>58624.625</v>
      </c>
      <c r="BS8" s="607">
        <f t="shared" si="22"/>
        <v>58624.625</v>
      </c>
    </row>
    <row r="9" spans="1:71" ht="36.950000000000003" customHeight="1">
      <c r="A9" s="26" t="s">
        <v>3</v>
      </c>
      <c r="B9" s="358" t="s">
        <v>752</v>
      </c>
      <c r="C9" s="15" t="s">
        <v>50</v>
      </c>
      <c r="D9" s="99" t="s">
        <v>392</v>
      </c>
      <c r="E9" s="392" t="s">
        <v>12</v>
      </c>
      <c r="F9" s="407">
        <v>11857</v>
      </c>
      <c r="G9" s="589">
        <f t="shared" si="23"/>
        <v>12523</v>
      </c>
      <c r="H9" s="10">
        <v>11760</v>
      </c>
      <c r="I9" s="167">
        <v>58800</v>
      </c>
      <c r="J9" s="10">
        <v>6550</v>
      </c>
      <c r="K9" s="76">
        <f>AVERAGE(G9:H9,J9)</f>
        <v>10277.666666666666</v>
      </c>
      <c r="L9" s="24">
        <f t="shared" si="9"/>
        <v>-1579.3333333333339</v>
      </c>
      <c r="M9" s="281">
        <f t="shared" si="10"/>
        <v>-0.12611461577364322</v>
      </c>
      <c r="N9" s="597">
        <f t="shared" si="24"/>
        <v>10277.666666666666</v>
      </c>
      <c r="O9" s="442">
        <v>9189</v>
      </c>
      <c r="P9" s="575">
        <f t="shared" si="25"/>
        <v>9705</v>
      </c>
      <c r="Q9" s="260">
        <v>23500</v>
      </c>
      <c r="R9" s="260">
        <v>28300</v>
      </c>
      <c r="S9" s="261">
        <v>25000</v>
      </c>
      <c r="T9" s="10">
        <v>25000</v>
      </c>
      <c r="U9" s="76">
        <f>AVERAGE(P9:Q9,R9,S9,T9)</f>
        <v>22301</v>
      </c>
      <c r="V9" s="24">
        <f t="shared" si="11"/>
        <v>12596</v>
      </c>
      <c r="W9" s="281">
        <f t="shared" si="27"/>
        <v>1.3707693981934923</v>
      </c>
      <c r="X9" s="462">
        <f t="shared" si="12"/>
        <v>22301</v>
      </c>
      <c r="Y9" s="410">
        <v>13857</v>
      </c>
      <c r="Z9" s="575">
        <f t="shared" si="13"/>
        <v>14636</v>
      </c>
      <c r="AA9" s="10">
        <v>18023</v>
      </c>
      <c r="AB9" s="31">
        <v>23429</v>
      </c>
      <c r="AC9" s="470">
        <v>15753</v>
      </c>
      <c r="AD9" s="76">
        <f>AVERAGE(AA9,AC9,Z9)</f>
        <v>16137.333333333334</v>
      </c>
      <c r="AE9" s="24">
        <f t="shared" si="14"/>
        <v>1501.3333333333339</v>
      </c>
      <c r="AF9" s="25">
        <f t="shared" si="1"/>
        <v>0.1083447595679681</v>
      </c>
      <c r="AG9" s="602">
        <f t="shared" si="2"/>
        <v>16137.333333333334</v>
      </c>
      <c r="AH9" s="601">
        <f t="shared" si="28"/>
        <v>16137.333333333334</v>
      </c>
      <c r="AI9" s="407">
        <v>10214</v>
      </c>
      <c r="AJ9" s="575">
        <f t="shared" si="15"/>
        <v>10788</v>
      </c>
      <c r="AK9" s="45">
        <v>16900</v>
      </c>
      <c r="AL9" s="45">
        <v>14090</v>
      </c>
      <c r="AM9" s="45">
        <v>11000</v>
      </c>
      <c r="AN9" s="76">
        <f>AVERAGE(AL9,AM9,AJ9)</f>
        <v>11959.333333333334</v>
      </c>
      <c r="AO9" s="24">
        <f t="shared" si="16"/>
        <v>1745.3333333333339</v>
      </c>
      <c r="AP9" s="281">
        <f t="shared" si="17"/>
        <v>0.17087657463612041</v>
      </c>
      <c r="AQ9" s="601">
        <f t="shared" si="30"/>
        <v>11959.333333333334</v>
      </c>
      <c r="AR9" s="513">
        <v>10214</v>
      </c>
      <c r="AS9" s="575">
        <f t="shared" si="31"/>
        <v>10788</v>
      </c>
      <c r="AT9" s="74">
        <v>13000</v>
      </c>
      <c r="AU9" s="116">
        <v>15000</v>
      </c>
      <c r="AV9" s="74">
        <v>12936</v>
      </c>
      <c r="AW9" s="76">
        <f>AVERAGE(AS9,AT9,AV9)</f>
        <v>12241.333333333334</v>
      </c>
      <c r="AX9" s="24">
        <f t="shared" si="5"/>
        <v>2027.3333333333339</v>
      </c>
      <c r="AY9" s="25">
        <f t="shared" si="18"/>
        <v>0.19848573852881671</v>
      </c>
      <c r="AZ9" s="309">
        <f t="shared" si="19"/>
        <v>12241.333333333334</v>
      </c>
      <c r="BA9" s="601">
        <f t="shared" si="20"/>
        <v>12241.333333333334</v>
      </c>
      <c r="BB9" s="513">
        <v>10214</v>
      </c>
      <c r="BC9" s="575">
        <f t="shared" si="21"/>
        <v>10788</v>
      </c>
      <c r="BD9" s="74">
        <v>13524</v>
      </c>
      <c r="BE9" s="74">
        <v>24500</v>
      </c>
      <c r="BF9" s="75">
        <v>15582</v>
      </c>
      <c r="BG9" s="61">
        <v>35000</v>
      </c>
      <c r="BH9" s="10">
        <v>78000</v>
      </c>
      <c r="BI9" s="74">
        <v>24466.249999999996</v>
      </c>
      <c r="BJ9" s="79">
        <v>15582</v>
      </c>
      <c r="BK9" s="79">
        <f>9800*1.2</f>
        <v>11760</v>
      </c>
      <c r="BL9" s="127">
        <v>14112</v>
      </c>
      <c r="BM9" s="142">
        <v>12000</v>
      </c>
      <c r="BN9" s="142">
        <v>13000</v>
      </c>
      <c r="BO9" s="76">
        <f>AVERAGE(BC9,BD9,BF9,BJ9,BK9,BL9,BM9,BN9,BE9,BI9)</f>
        <v>15531.424999999999</v>
      </c>
      <c r="BP9" s="24">
        <f>BO9-BB9</f>
        <v>5317.4249999999993</v>
      </c>
      <c r="BQ9" s="25">
        <f>+BP9/BB9</f>
        <v>0.52060162522028586</v>
      </c>
      <c r="BR9" s="259" t="str">
        <f t="shared" si="8"/>
        <v>REVISAR PRECIO</v>
      </c>
      <c r="BS9" s="607">
        <f t="shared" si="22"/>
        <v>15531.424999999999</v>
      </c>
    </row>
    <row r="10" spans="1:71" ht="20.100000000000001" customHeight="1">
      <c r="A10" s="26"/>
      <c r="B10" s="358" t="s">
        <v>753</v>
      </c>
      <c r="C10" s="15" t="s">
        <v>51</v>
      </c>
      <c r="D10" s="177" t="s">
        <v>828</v>
      </c>
      <c r="E10" s="385" t="s">
        <v>829</v>
      </c>
      <c r="F10" s="407">
        <v>59775</v>
      </c>
      <c r="G10" s="589">
        <f t="shared" si="23"/>
        <v>63134</v>
      </c>
      <c r="H10" s="10">
        <v>19231</v>
      </c>
      <c r="I10" s="167">
        <v>115386</v>
      </c>
      <c r="J10" s="10">
        <v>19185</v>
      </c>
      <c r="K10" s="76">
        <f t="shared" ref="K10" si="33">AVERAGE(H10,J10)</f>
        <v>19208</v>
      </c>
      <c r="L10" s="24">
        <f t="shared" ref="L10" si="34">K10-F10</f>
        <v>-40567</v>
      </c>
      <c r="M10" s="281">
        <f t="shared" si="10"/>
        <v>-0.6425539329046156</v>
      </c>
      <c r="N10" s="597">
        <f>+G10</f>
        <v>63134</v>
      </c>
      <c r="O10" s="442">
        <v>46371</v>
      </c>
      <c r="P10" s="575">
        <f t="shared" si="25"/>
        <v>48977</v>
      </c>
      <c r="Q10" s="260">
        <v>55000</v>
      </c>
      <c r="R10" s="260">
        <v>61000</v>
      </c>
      <c r="S10" s="261">
        <v>59000</v>
      </c>
      <c r="T10" s="10">
        <v>60000</v>
      </c>
      <c r="U10" s="76">
        <f>AVERAGE(P10:Q10,R10,S10,T10)</f>
        <v>56795.4</v>
      </c>
      <c r="V10" s="24">
        <f t="shared" si="11"/>
        <v>7818.4000000000015</v>
      </c>
      <c r="W10" s="281">
        <f t="shared" ref="W10" si="35">+V10/O10</f>
        <v>0.16860537836147596</v>
      </c>
      <c r="X10" s="462">
        <f t="shared" ref="X10" si="36">U10</f>
        <v>56795.4</v>
      </c>
      <c r="Y10" s="407">
        <v>59775</v>
      </c>
      <c r="Z10" s="589">
        <f t="shared" si="13"/>
        <v>63134</v>
      </c>
      <c r="AA10" s="10">
        <v>19231</v>
      </c>
      <c r="AB10" s="167">
        <v>115386</v>
      </c>
      <c r="AC10" s="10">
        <v>19185</v>
      </c>
      <c r="AD10" s="76">
        <f t="shared" ref="AD10:AD52" si="37">AVERAGE(AA10,AB10,AC10,Z10)</f>
        <v>54234</v>
      </c>
      <c r="AE10" s="24">
        <f t="shared" si="14"/>
        <v>-8900</v>
      </c>
      <c r="AF10" s="25">
        <f t="shared" si="1"/>
        <v>-0.14889167712254286</v>
      </c>
      <c r="AG10" s="309">
        <f>+(AD10*50%)+AD10</f>
        <v>81351</v>
      </c>
      <c r="AH10" s="601">
        <f>+AG10</f>
        <v>81351</v>
      </c>
      <c r="AI10" s="407">
        <v>51524</v>
      </c>
      <c r="AJ10" s="575">
        <f t="shared" si="15"/>
        <v>54420</v>
      </c>
      <c r="AK10" s="45">
        <v>52000</v>
      </c>
      <c r="AL10" s="45">
        <v>41229</v>
      </c>
      <c r="AM10" s="45">
        <v>26000</v>
      </c>
      <c r="AN10" s="76">
        <f>AVERAGE(AK10,AL10,AJ10)</f>
        <v>49216.333333333336</v>
      </c>
      <c r="AO10" s="24">
        <f t="shared" ref="AO10" si="38">AN10-AI10</f>
        <v>-2307.6666666666642</v>
      </c>
      <c r="AP10" s="281">
        <f t="shared" ref="AP10" si="39">+AO10/AI10</f>
        <v>-4.4788189322775097E-2</v>
      </c>
      <c r="AQ10" s="601">
        <f t="shared" ref="AQ10" si="40">AN10</f>
        <v>49216.333333333336</v>
      </c>
      <c r="AR10" s="655">
        <v>46371</v>
      </c>
      <c r="AS10" s="656">
        <f t="shared" si="31"/>
        <v>48977</v>
      </c>
      <c r="AT10" s="657">
        <v>55000</v>
      </c>
      <c r="AU10" s="657">
        <v>61000</v>
      </c>
      <c r="AV10" s="658">
        <v>59000</v>
      </c>
      <c r="AW10" s="659">
        <f>AVERAGE(AS10,AT10,AV10)</f>
        <v>54325.666666666664</v>
      </c>
      <c r="AX10" s="660">
        <f t="shared" ref="AX10" si="41">AW10-AR10</f>
        <v>7954.6666666666642</v>
      </c>
      <c r="AY10" s="25">
        <f t="shared" ref="AY10" si="42">+AX10/AR10</f>
        <v>0.17154399660707478</v>
      </c>
      <c r="AZ10" s="309">
        <f t="shared" ref="AZ10" si="43">+IF(AY10&lt;35%,AW10,"REVISAR PRECIO")</f>
        <v>54325.666666666664</v>
      </c>
      <c r="BA10" s="601">
        <f t="shared" si="20"/>
        <v>54325.666666666664</v>
      </c>
      <c r="BB10" s="442">
        <v>46371</v>
      </c>
      <c r="BC10" s="575">
        <f t="shared" si="21"/>
        <v>48977</v>
      </c>
      <c r="BG10" s="61"/>
      <c r="BH10" s="10"/>
      <c r="BI10" s="74"/>
      <c r="BJ10" s="79"/>
      <c r="BK10" s="260">
        <v>55000</v>
      </c>
      <c r="BL10" s="260">
        <v>61000</v>
      </c>
      <c r="BM10" s="261">
        <v>59000</v>
      </c>
      <c r="BN10" s="10">
        <v>60000</v>
      </c>
      <c r="BO10" s="76">
        <f>AVERAGE(BC10,BD10,BF10,BJ10,BK10,BL10,BM10,BN10,BE10,BI10)</f>
        <v>56795.4</v>
      </c>
      <c r="BP10" s="24">
        <f>BO10-BB10</f>
        <v>10424.400000000001</v>
      </c>
      <c r="BQ10" s="25">
        <f>+BP10/BB10</f>
        <v>0.22480429578831601</v>
      </c>
      <c r="BR10" s="259">
        <f t="shared" ref="BR10" si="44">+IF(BQ10&lt;35%,BO10,"REVISAR PRECIO")</f>
        <v>56795.4</v>
      </c>
      <c r="BS10" s="607">
        <f t="shared" ref="BS10" si="45">BO10</f>
        <v>56795.4</v>
      </c>
    </row>
    <row r="11" spans="1:71" ht="22.35" customHeight="1">
      <c r="A11" s="91" t="s">
        <v>7</v>
      </c>
      <c r="B11" s="358" t="s">
        <v>754</v>
      </c>
      <c r="C11" s="252" t="s">
        <v>749</v>
      </c>
      <c r="D11" s="100" t="s">
        <v>7</v>
      </c>
      <c r="E11" s="91"/>
      <c r="F11" s="409"/>
      <c r="G11" s="574"/>
      <c r="H11" s="164"/>
      <c r="I11" s="172"/>
      <c r="J11" s="164"/>
      <c r="K11" s="164"/>
      <c r="L11" s="164"/>
      <c r="M11" s="164"/>
      <c r="N11" s="164"/>
      <c r="O11" s="444"/>
      <c r="P11" s="173"/>
      <c r="Q11" s="173"/>
      <c r="R11" s="173"/>
      <c r="S11" s="267"/>
      <c r="T11" s="266"/>
      <c r="U11" s="266"/>
      <c r="V11" s="266"/>
      <c r="W11" s="266"/>
      <c r="X11" s="266"/>
      <c r="Y11" s="413"/>
      <c r="Z11" s="47"/>
      <c r="AA11" s="47"/>
      <c r="AB11" s="47"/>
      <c r="AC11" s="47"/>
      <c r="AD11" s="47"/>
      <c r="AE11" s="47"/>
      <c r="AF11" s="47"/>
      <c r="AG11" s="91"/>
      <c r="AH11" s="467"/>
      <c r="AI11" s="497"/>
      <c r="AJ11" s="312"/>
      <c r="AK11" s="312"/>
      <c r="AL11" s="312"/>
      <c r="AM11" s="312"/>
      <c r="AN11" s="312"/>
      <c r="AO11" s="311"/>
      <c r="AP11" s="311"/>
      <c r="AQ11" s="311"/>
      <c r="AR11" s="413"/>
      <c r="AS11" s="47"/>
      <c r="AT11" s="47"/>
      <c r="AU11" s="47"/>
      <c r="AV11" s="47"/>
      <c r="AW11" s="47"/>
      <c r="AX11" s="47"/>
      <c r="AY11" s="47"/>
      <c r="AZ11" s="91"/>
      <c r="BA11" s="467"/>
      <c r="BB11" s="413"/>
      <c r="BC11" s="47"/>
      <c r="BD11" s="47"/>
      <c r="BE11" s="47"/>
      <c r="BF11" s="47"/>
      <c r="BG11" s="47"/>
      <c r="BH11" s="47"/>
      <c r="BI11" s="47"/>
      <c r="BJ11" s="148"/>
      <c r="BK11" s="148"/>
      <c r="BL11" s="149"/>
      <c r="BM11" s="148"/>
      <c r="BN11" s="148"/>
      <c r="BO11" s="148"/>
      <c r="BP11" s="47"/>
      <c r="BQ11" s="47"/>
      <c r="BR11" s="414"/>
      <c r="BS11" s="414"/>
    </row>
    <row r="12" spans="1:71" ht="30" customHeight="1">
      <c r="A12" s="91" t="s">
        <v>7</v>
      </c>
      <c r="B12" s="358" t="s">
        <v>755</v>
      </c>
      <c r="C12" s="50" t="s">
        <v>59</v>
      </c>
      <c r="D12" s="99" t="s">
        <v>395</v>
      </c>
      <c r="E12" s="392" t="s">
        <v>12</v>
      </c>
      <c r="F12" s="410">
        <v>8924</v>
      </c>
      <c r="G12" s="589">
        <f t="shared" si="23"/>
        <v>9426</v>
      </c>
      <c r="H12" s="10">
        <v>11500</v>
      </c>
      <c r="I12" s="167">
        <v>23000</v>
      </c>
      <c r="J12" s="10">
        <v>7805</v>
      </c>
      <c r="K12" s="76">
        <f>AVERAGE(G12:H12,J12)</f>
        <v>9577</v>
      </c>
      <c r="L12" s="24">
        <f>K12-F12</f>
        <v>653</v>
      </c>
      <c r="M12" s="281">
        <f t="shared" si="10"/>
        <v>6.9276469340123062E-2</v>
      </c>
      <c r="N12" s="597">
        <f t="shared" si="24"/>
        <v>9577</v>
      </c>
      <c r="O12" s="410">
        <v>8030</v>
      </c>
      <c r="P12" s="575">
        <f t="shared" si="25"/>
        <v>8481</v>
      </c>
      <c r="Q12" s="10">
        <v>6500</v>
      </c>
      <c r="R12" s="10">
        <v>8500</v>
      </c>
      <c r="S12" s="268">
        <v>8000</v>
      </c>
      <c r="T12" s="10">
        <v>9000</v>
      </c>
      <c r="U12" s="76">
        <f t="shared" ref="U12" si="46">AVERAGE(Q12,R12,S12,T12)</f>
        <v>8000</v>
      </c>
      <c r="V12" s="24">
        <f t="shared" si="11"/>
        <v>-481</v>
      </c>
      <c r="W12" s="281">
        <f t="shared" ref="W12:W14" si="47">+V12/O12</f>
        <v>-5.9900373599003735E-2</v>
      </c>
      <c r="X12" s="462">
        <f t="shared" ref="X12" si="48">U12</f>
        <v>8000</v>
      </c>
      <c r="Y12" s="410">
        <v>14937</v>
      </c>
      <c r="Z12" s="575">
        <f t="shared" si="13"/>
        <v>15776</v>
      </c>
      <c r="AA12" s="10">
        <v>19427</v>
      </c>
      <c r="AB12" s="31">
        <v>25254</v>
      </c>
      <c r="AC12" s="471">
        <v>16980.2</v>
      </c>
      <c r="AD12" s="76">
        <f t="shared" ref="AD12:AD17" si="49">AVERAGE(AA12,AC12,Z12)</f>
        <v>17394.399999999998</v>
      </c>
      <c r="AE12" s="24">
        <f t="shared" si="14"/>
        <v>1618.3999999999978</v>
      </c>
      <c r="AF12" s="25">
        <f t="shared" ref="AF12:AF30" si="50">+AE12/Y12</f>
        <v>0.1083483965990492</v>
      </c>
      <c r="AG12" s="602">
        <f t="shared" ref="AG12:AG30" si="51">+IF(AF12&lt;35%,AD12,"REVISAR PRECIO")</f>
        <v>17394.399999999998</v>
      </c>
      <c r="AH12" s="601">
        <f t="shared" ref="AH12:AH30" si="52">AD12</f>
        <v>17394.399999999998</v>
      </c>
      <c r="AI12" s="407">
        <v>8922</v>
      </c>
      <c r="AJ12" s="575">
        <f t="shared" si="15"/>
        <v>9423</v>
      </c>
      <c r="AK12" s="45">
        <v>11000</v>
      </c>
      <c r="AL12" s="45">
        <v>10531</v>
      </c>
      <c r="AM12" s="45">
        <v>23500</v>
      </c>
      <c r="AN12" s="76">
        <f>AVERAGE(AK12,AL12,AJ12)</f>
        <v>10318</v>
      </c>
      <c r="AO12" s="24">
        <f t="shared" ref="AO12:AO14" si="53">AN12-AI12</f>
        <v>1396</v>
      </c>
      <c r="AP12" s="281">
        <f t="shared" ref="AP12:AP14" si="54">+AO12/AI12</f>
        <v>0.15646715982963461</v>
      </c>
      <c r="AQ12" s="601">
        <f t="shared" ref="AQ12:AQ14" si="55">AN12</f>
        <v>10318</v>
      </c>
      <c r="AR12" s="513">
        <v>8922</v>
      </c>
      <c r="AS12" s="575">
        <f t="shared" si="31"/>
        <v>9423</v>
      </c>
      <c r="AT12" s="88">
        <v>12000</v>
      </c>
      <c r="AU12" s="116">
        <v>14500</v>
      </c>
      <c r="AV12" s="74">
        <v>12650</v>
      </c>
      <c r="AW12" s="76">
        <f>AVERAGE(AS12,AT12,AV12)</f>
        <v>11357.666666666666</v>
      </c>
      <c r="AX12" s="24">
        <f t="shared" ref="AX12:AX30" si="56">AW12-AR12</f>
        <v>2435.6666666666661</v>
      </c>
      <c r="AY12" s="25">
        <f t="shared" ref="AY12:AY14" si="57">+AX12/AR12</f>
        <v>0.27299559142195318</v>
      </c>
      <c r="AZ12" s="309">
        <f t="shared" ref="AZ12:AZ14" si="58">+IF(AY12&lt;35%,AW12,"REVISAR PRECIO")</f>
        <v>11357.666666666666</v>
      </c>
      <c r="BA12" s="601">
        <f t="shared" ref="BA12:BA30" si="59">AW12</f>
        <v>11357.666666666666</v>
      </c>
      <c r="BB12" s="513">
        <v>8922</v>
      </c>
      <c r="BC12" s="575">
        <f t="shared" si="21"/>
        <v>9423</v>
      </c>
      <c r="BD12" s="74">
        <v>13225</v>
      </c>
      <c r="BE12" s="74">
        <v>14500</v>
      </c>
      <c r="BF12" s="75">
        <v>15237.5</v>
      </c>
      <c r="BG12" s="61">
        <v>13224.999999999998</v>
      </c>
      <c r="BH12" s="10">
        <v>7000</v>
      </c>
      <c r="BI12" s="74">
        <v>15208.749999999996</v>
      </c>
      <c r="BJ12" s="79">
        <v>15237.5</v>
      </c>
      <c r="BK12" s="79">
        <v>11500</v>
      </c>
      <c r="BL12" s="127">
        <v>13800</v>
      </c>
      <c r="BM12" s="128">
        <v>13000</v>
      </c>
      <c r="BN12" s="128">
        <v>12000</v>
      </c>
      <c r="BO12" s="76">
        <f>AVERAGE(BC12,BD12,BE12,BG12,BH12,BK12,BL12,BM12,BN12,BJ12)</f>
        <v>12291.05</v>
      </c>
      <c r="BP12" s="24">
        <f t="shared" ref="BP12:BP30" si="60">BO12-BB12</f>
        <v>3369.0499999999993</v>
      </c>
      <c r="BQ12" s="25">
        <f>+BP12/BB12</f>
        <v>0.37761152208025101</v>
      </c>
      <c r="BR12" s="259" t="str">
        <f t="shared" ref="BR12:BR30" si="61">+IF(BQ12&lt;35%,BO12,"REVISAR PRECIO")</f>
        <v>REVISAR PRECIO</v>
      </c>
      <c r="BS12" s="607">
        <f t="shared" si="22"/>
        <v>12291.05</v>
      </c>
    </row>
    <row r="13" spans="1:71" ht="30" customHeight="1">
      <c r="A13" s="91" t="s">
        <v>7</v>
      </c>
      <c r="B13" s="358" t="s">
        <v>756</v>
      </c>
      <c r="C13" s="50" t="s">
        <v>60</v>
      </c>
      <c r="D13" s="99" t="s">
        <v>396</v>
      </c>
      <c r="E13" s="392" t="s">
        <v>12</v>
      </c>
      <c r="F13" s="410">
        <v>12616</v>
      </c>
      <c r="G13" s="589">
        <f t="shared" si="23"/>
        <v>13325</v>
      </c>
      <c r="H13" s="10">
        <v>28500</v>
      </c>
      <c r="I13" s="167">
        <v>114000</v>
      </c>
      <c r="J13" s="10">
        <v>16500</v>
      </c>
      <c r="K13" s="76">
        <f>AVERAGE(G13,J13,H13)</f>
        <v>19441.666666666668</v>
      </c>
      <c r="L13" s="24">
        <f t="shared" ref="L13:L30" si="62">K13-F13</f>
        <v>6825.6666666666679</v>
      </c>
      <c r="M13" s="281">
        <f t="shared" si="10"/>
        <v>0.51224515322076303</v>
      </c>
      <c r="N13" s="597">
        <f>K13</f>
        <v>19441.666666666668</v>
      </c>
      <c r="O13" s="410">
        <v>11353</v>
      </c>
      <c r="P13" s="575">
        <f t="shared" si="25"/>
        <v>11991</v>
      </c>
      <c r="Q13" s="10">
        <v>45000</v>
      </c>
      <c r="R13" s="10">
        <v>51000</v>
      </c>
      <c r="S13" s="268">
        <v>48000</v>
      </c>
      <c r="T13" s="10">
        <v>50000</v>
      </c>
      <c r="U13" s="76">
        <f>AVERAGE(P13:Q13,R13,S13,T13)</f>
        <v>41198.199999999997</v>
      </c>
      <c r="V13" s="24">
        <f t="shared" si="11"/>
        <v>29207.199999999997</v>
      </c>
      <c r="W13" s="281">
        <f t="shared" si="47"/>
        <v>2.5726415925306085</v>
      </c>
      <c r="X13" s="462">
        <f>AVERAGE(P13,U13)</f>
        <v>26594.6</v>
      </c>
      <c r="Y13" s="410">
        <v>21113</v>
      </c>
      <c r="Z13" s="575">
        <f t="shared" si="13"/>
        <v>22300</v>
      </c>
      <c r="AA13" s="10">
        <v>27459</v>
      </c>
      <c r="AB13" s="31">
        <v>35697</v>
      </c>
      <c r="AC13" s="471">
        <v>24001.200000000001</v>
      </c>
      <c r="AD13" s="76">
        <f t="shared" si="49"/>
        <v>24586.733333333334</v>
      </c>
      <c r="AE13" s="24">
        <f t="shared" si="14"/>
        <v>2286.7333333333336</v>
      </c>
      <c r="AF13" s="25">
        <f t="shared" si="50"/>
        <v>0.1083092565402043</v>
      </c>
      <c r="AG13" s="602">
        <f t="shared" si="51"/>
        <v>24586.733333333334</v>
      </c>
      <c r="AH13" s="601">
        <f t="shared" si="52"/>
        <v>24586.733333333334</v>
      </c>
      <c r="AI13" s="407">
        <v>12616</v>
      </c>
      <c r="AJ13" s="575">
        <f t="shared" si="15"/>
        <v>13325</v>
      </c>
      <c r="AK13" s="45">
        <v>29500</v>
      </c>
      <c r="AL13" s="45">
        <v>28500</v>
      </c>
      <c r="AM13" s="45">
        <v>23500</v>
      </c>
      <c r="AN13" s="76">
        <f>AVERAGE(AL13,AM13,AJ13)</f>
        <v>21775</v>
      </c>
      <c r="AO13" s="24">
        <f t="shared" si="53"/>
        <v>9159</v>
      </c>
      <c r="AP13" s="281">
        <f t="shared" si="54"/>
        <v>0.72598287888395685</v>
      </c>
      <c r="AQ13" s="601">
        <f t="shared" si="55"/>
        <v>21775</v>
      </c>
      <c r="AR13" s="513">
        <v>12616</v>
      </c>
      <c r="AS13" s="575">
        <f t="shared" si="31"/>
        <v>13325</v>
      </c>
      <c r="AT13" s="88">
        <v>32000</v>
      </c>
      <c r="AU13" s="116">
        <v>35555</v>
      </c>
      <c r="AV13" s="74">
        <v>31350</v>
      </c>
      <c r="AW13" s="76">
        <f t="shared" si="32"/>
        <v>28057.5</v>
      </c>
      <c r="AX13" s="24">
        <f t="shared" si="56"/>
        <v>15441.5</v>
      </c>
      <c r="AY13" s="25">
        <f t="shared" si="57"/>
        <v>1.2239616360177552</v>
      </c>
      <c r="AZ13" s="309" t="str">
        <f t="shared" si="58"/>
        <v>REVISAR PRECIO</v>
      </c>
      <c r="BA13" s="604">
        <f t="shared" si="59"/>
        <v>28057.5</v>
      </c>
      <c r="BB13" s="513">
        <v>12616</v>
      </c>
      <c r="BC13" s="575">
        <f t="shared" si="21"/>
        <v>13325</v>
      </c>
      <c r="BD13" s="74">
        <v>32775</v>
      </c>
      <c r="BE13" s="74">
        <v>35000</v>
      </c>
      <c r="BF13" s="75">
        <v>37762.5</v>
      </c>
      <c r="BG13" s="61">
        <v>45000</v>
      </c>
      <c r="BH13" s="60">
        <v>18000</v>
      </c>
      <c r="BI13" s="74">
        <v>37691.25</v>
      </c>
      <c r="BJ13" s="79">
        <v>37762.5</v>
      </c>
      <c r="BK13" s="79">
        <v>28500</v>
      </c>
      <c r="BL13" s="127">
        <v>34200</v>
      </c>
      <c r="BM13" s="128">
        <v>29000</v>
      </c>
      <c r="BN13" s="128">
        <v>30000</v>
      </c>
      <c r="BO13" s="76">
        <f>AVERAGE(BC13,BD13,BE13,BF13,BI13,BJ13,BK13,BL13,BM13,BN13)</f>
        <v>31601.625</v>
      </c>
      <c r="BP13" s="24">
        <f t="shared" si="60"/>
        <v>18985.625</v>
      </c>
      <c r="BQ13" s="25">
        <f>+BP13/BB13</f>
        <v>1.5048846702599874</v>
      </c>
      <c r="BR13" s="259" t="str">
        <f t="shared" si="61"/>
        <v>REVISAR PRECIO</v>
      </c>
      <c r="BS13" s="607">
        <f t="shared" si="22"/>
        <v>31601.625</v>
      </c>
    </row>
    <row r="14" spans="1:71" ht="30" customHeight="1">
      <c r="A14" s="91" t="s">
        <v>7</v>
      </c>
      <c r="B14" s="358" t="s">
        <v>757</v>
      </c>
      <c r="C14" s="50" t="s">
        <v>61</v>
      </c>
      <c r="D14" s="99" t="s">
        <v>397</v>
      </c>
      <c r="E14" s="392" t="s">
        <v>13</v>
      </c>
      <c r="F14" s="410">
        <v>14125</v>
      </c>
      <c r="G14" s="589">
        <f t="shared" si="23"/>
        <v>14919</v>
      </c>
      <c r="H14" s="10">
        <v>6960</v>
      </c>
      <c r="I14" s="167">
        <v>41760</v>
      </c>
      <c r="J14" s="10">
        <v>15560</v>
      </c>
      <c r="K14" s="76">
        <f>AVERAGE(G14,J14)</f>
        <v>15239.5</v>
      </c>
      <c r="L14" s="24">
        <f t="shared" si="62"/>
        <v>1114.5</v>
      </c>
      <c r="M14" s="281">
        <f t="shared" si="10"/>
        <v>7.470339835109592E-2</v>
      </c>
      <c r="N14" s="597">
        <f t="shared" si="24"/>
        <v>15239.5</v>
      </c>
      <c r="O14" s="410">
        <v>12710</v>
      </c>
      <c r="P14" s="575">
        <f t="shared" si="25"/>
        <v>13424</v>
      </c>
      <c r="Q14" s="10">
        <v>35000</v>
      </c>
      <c r="R14" s="10">
        <v>41000</v>
      </c>
      <c r="S14" s="268">
        <v>38000</v>
      </c>
      <c r="T14" s="10">
        <v>30000</v>
      </c>
      <c r="U14" s="76">
        <f>AVERAGE(P14:Q14,R14,S14,T14)</f>
        <v>31484.799999999999</v>
      </c>
      <c r="V14" s="24">
        <f t="shared" si="11"/>
        <v>18060.8</v>
      </c>
      <c r="W14" s="281">
        <f t="shared" si="47"/>
        <v>1.4209913453973249</v>
      </c>
      <c r="X14" s="601">
        <f>P14</f>
        <v>13424</v>
      </c>
      <c r="Y14" s="410">
        <v>23635</v>
      </c>
      <c r="Z14" s="575">
        <f t="shared" si="13"/>
        <v>24963</v>
      </c>
      <c r="AA14" s="10">
        <v>30740</v>
      </c>
      <c r="AB14" s="31">
        <v>39961</v>
      </c>
      <c r="AC14" s="471">
        <v>26868.6</v>
      </c>
      <c r="AD14" s="76">
        <f t="shared" si="49"/>
        <v>27523.866666666669</v>
      </c>
      <c r="AE14" s="24">
        <f t="shared" si="14"/>
        <v>2560.8666666666686</v>
      </c>
      <c r="AF14" s="25">
        <f t="shared" si="50"/>
        <v>0.10835060997108815</v>
      </c>
      <c r="AG14" s="602">
        <f t="shared" si="51"/>
        <v>27523.866666666669</v>
      </c>
      <c r="AH14" s="601">
        <f t="shared" si="52"/>
        <v>27523.866666666669</v>
      </c>
      <c r="AI14" s="407">
        <v>17826</v>
      </c>
      <c r="AJ14" s="575">
        <f t="shared" si="15"/>
        <v>18828</v>
      </c>
      <c r="AK14" s="45">
        <v>7800</v>
      </c>
      <c r="AL14" s="45">
        <v>16668</v>
      </c>
      <c r="AM14" s="45">
        <v>13000</v>
      </c>
      <c r="AN14" s="76">
        <f>AVERAGE(AL14,AM14,AJ14)</f>
        <v>16165.333333333334</v>
      </c>
      <c r="AO14" s="24">
        <f t="shared" si="53"/>
        <v>-1660.6666666666661</v>
      </c>
      <c r="AP14" s="281">
        <f t="shared" si="54"/>
        <v>-9.3159804031564347E-2</v>
      </c>
      <c r="AQ14" s="601">
        <f t="shared" si="55"/>
        <v>16165.333333333334</v>
      </c>
      <c r="AR14" s="513">
        <v>14125</v>
      </c>
      <c r="AS14" s="575">
        <f t="shared" si="31"/>
        <v>14919</v>
      </c>
      <c r="AT14" s="88">
        <v>7300</v>
      </c>
      <c r="AU14" s="116">
        <v>8950</v>
      </c>
      <c r="AV14" s="74">
        <v>7656</v>
      </c>
      <c r="AW14" s="76">
        <f t="shared" si="32"/>
        <v>9706.25</v>
      </c>
      <c r="AX14" s="24">
        <f t="shared" si="56"/>
        <v>-4418.75</v>
      </c>
      <c r="AY14" s="25">
        <f t="shared" si="57"/>
        <v>-0.31283185840707967</v>
      </c>
      <c r="AZ14" s="309">
        <f t="shared" si="58"/>
        <v>9706.25</v>
      </c>
      <c r="BA14" s="604">
        <f>AS14</f>
        <v>14919</v>
      </c>
      <c r="BB14" s="513">
        <v>14125</v>
      </c>
      <c r="BC14" s="575">
        <f t="shared" si="21"/>
        <v>14919</v>
      </c>
      <c r="BD14" s="74">
        <v>8004</v>
      </c>
      <c r="BE14" s="74">
        <v>8500</v>
      </c>
      <c r="BF14" s="75">
        <v>9222</v>
      </c>
      <c r="BG14" s="61">
        <v>35000</v>
      </c>
      <c r="BH14" s="60">
        <v>8800</v>
      </c>
      <c r="BI14" s="74">
        <v>29690.124999999993</v>
      </c>
      <c r="BJ14" s="79">
        <v>9222</v>
      </c>
      <c r="BK14" s="79">
        <f>5800*1.2</f>
        <v>6960</v>
      </c>
      <c r="BL14" s="127">
        <v>8352</v>
      </c>
      <c r="BM14" s="128">
        <v>8500</v>
      </c>
      <c r="BN14" s="128">
        <v>7000</v>
      </c>
      <c r="BO14" s="76">
        <f>AVERAGE(BC14,BD14,BE14,BF14,BG14,BH14,BI14,BJ14,BL14,BM14)</f>
        <v>14020.9125</v>
      </c>
      <c r="BP14" s="24">
        <f t="shared" si="60"/>
        <v>-104.08749999999964</v>
      </c>
      <c r="BQ14" s="25">
        <f>+BP14/BB14</f>
        <v>-7.3690265486725404E-3</v>
      </c>
      <c r="BR14" s="259">
        <f t="shared" si="61"/>
        <v>14020.9125</v>
      </c>
      <c r="BS14" s="607">
        <f t="shared" si="22"/>
        <v>14020.9125</v>
      </c>
    </row>
    <row r="15" spans="1:71" ht="30" customHeight="1">
      <c r="A15" s="91" t="s">
        <v>7</v>
      </c>
      <c r="B15" s="358" t="s">
        <v>758</v>
      </c>
      <c r="C15" s="50" t="s">
        <v>62</v>
      </c>
      <c r="D15" s="99" t="s">
        <v>398</v>
      </c>
      <c r="E15" s="392" t="s">
        <v>24</v>
      </c>
      <c r="F15" s="410">
        <v>7462</v>
      </c>
      <c r="G15" s="589">
        <f t="shared" si="23"/>
        <v>7881</v>
      </c>
      <c r="H15" s="10">
        <v>17100</v>
      </c>
      <c r="I15" s="167">
        <v>119700</v>
      </c>
      <c r="J15" s="10">
        <v>11500</v>
      </c>
      <c r="K15" s="76">
        <f t="shared" ref="K15:K21" si="63">AVERAGE(H15,J15,G15)</f>
        <v>12160.333333333334</v>
      </c>
      <c r="L15" s="24">
        <f t="shared" si="62"/>
        <v>4698.3333333333339</v>
      </c>
      <c r="M15" s="281">
        <f t="shared" si="10"/>
        <v>0.59615953982151171</v>
      </c>
      <c r="N15" s="597">
        <f>AVERAGE(X15,AQ15,BA15,BS15)</f>
        <v>251667.80827083331</v>
      </c>
      <c r="O15" s="571"/>
      <c r="P15" s="579">
        <f t="shared" si="25"/>
        <v>0</v>
      </c>
      <c r="Q15" s="568">
        <v>326097.07499999995</v>
      </c>
      <c r="R15" s="568">
        <f>315700-69589</f>
        <v>246111</v>
      </c>
      <c r="S15" s="572">
        <v>295333.2</v>
      </c>
      <c r="T15" s="570">
        <v>290000</v>
      </c>
      <c r="U15" s="560">
        <f>AVERAGE(P15:Q15,R15,S15,T15)</f>
        <v>231508.25499999998</v>
      </c>
      <c r="V15" s="561">
        <f t="shared" ref="V15" si="64">U15-P15</f>
        <v>231508.25499999998</v>
      </c>
      <c r="W15" s="281"/>
      <c r="X15" s="462">
        <f t="shared" ref="X15" si="65">U15</f>
        <v>231508.25499999998</v>
      </c>
      <c r="Y15" s="410">
        <v>403782</v>
      </c>
      <c r="Z15" s="575">
        <f t="shared" si="13"/>
        <v>426475</v>
      </c>
      <c r="AA15" s="10">
        <v>525150</v>
      </c>
      <c r="AB15" s="31">
        <v>682695</v>
      </c>
      <c r="AC15" s="471">
        <v>459020</v>
      </c>
      <c r="AD15" s="76">
        <f t="shared" si="49"/>
        <v>470215</v>
      </c>
      <c r="AE15" s="24">
        <f t="shared" si="14"/>
        <v>43740</v>
      </c>
      <c r="AF15" s="25">
        <f t="shared" si="50"/>
        <v>0.10832577975244068</v>
      </c>
      <c r="AG15" s="602">
        <f t="shared" si="51"/>
        <v>470215</v>
      </c>
      <c r="AH15" s="601">
        <f t="shared" si="52"/>
        <v>470215</v>
      </c>
      <c r="AI15" s="562">
        <v>7462</v>
      </c>
      <c r="AJ15" s="612">
        <f t="shared" si="15"/>
        <v>7881</v>
      </c>
      <c r="AK15" s="568">
        <f>315700-69589</f>
        <v>246111</v>
      </c>
      <c r="AL15" s="572">
        <v>295333.2</v>
      </c>
      <c r="AM15" s="570">
        <v>290000</v>
      </c>
      <c r="AN15" s="560">
        <f>AVERAGE(AL15,AM15,AJ15)</f>
        <v>197738.06666666665</v>
      </c>
      <c r="AO15" s="561">
        <f t="shared" ref="AO15" si="66">AN15-AI15</f>
        <v>190276.06666666665</v>
      </c>
      <c r="AP15" s="281">
        <f t="shared" ref="AP15" si="67">+AO15/AI15</f>
        <v>25.4993388725096</v>
      </c>
      <c r="AQ15" s="601">
        <f t="shared" ref="AQ15" si="68">AN15</f>
        <v>197738.06666666665</v>
      </c>
      <c r="AR15" s="513"/>
      <c r="AS15" s="575">
        <f t="shared" si="31"/>
        <v>0</v>
      </c>
      <c r="AT15" s="88">
        <v>272000</v>
      </c>
      <c r="AU15" s="116">
        <v>285000</v>
      </c>
      <c r="AV15" s="74">
        <v>270722.09999999998</v>
      </c>
      <c r="AW15" s="76">
        <f>AVERAGE(AT15,AU15,AV15)</f>
        <v>275907.36666666664</v>
      </c>
      <c r="AX15" s="24">
        <f t="shared" si="56"/>
        <v>275907.36666666664</v>
      </c>
      <c r="AY15" s="25"/>
      <c r="AZ15" s="309"/>
      <c r="BA15" s="601">
        <f t="shared" si="59"/>
        <v>275907.36666666664</v>
      </c>
      <c r="BB15" s="513"/>
      <c r="BC15" s="575">
        <f t="shared" si="21"/>
        <v>0</v>
      </c>
      <c r="BD15" s="74">
        <v>283027.65000000002</v>
      </c>
      <c r="BE15" s="74">
        <v>380000</v>
      </c>
      <c r="BF15" s="75">
        <v>326097.07499999995</v>
      </c>
      <c r="BG15" s="61">
        <v>283027.64999999997</v>
      </c>
      <c r="BH15" s="60"/>
      <c r="BI15" s="74">
        <v>325481.79749999993</v>
      </c>
      <c r="BJ15" s="79">
        <v>326097.07499999995</v>
      </c>
      <c r="BK15" s="79">
        <f>315700-69589</f>
        <v>246111</v>
      </c>
      <c r="BL15" s="127">
        <v>295333.2</v>
      </c>
      <c r="BM15" s="128">
        <v>290000</v>
      </c>
      <c r="BN15" s="128">
        <v>260000</v>
      </c>
      <c r="BO15" s="76">
        <f>AVERAGE(BD15,BF15,BG15,BI15,BJ15,BK15,BL15,BM15,BN15,BE15)</f>
        <v>301517.54475</v>
      </c>
      <c r="BP15" s="24">
        <f t="shared" si="60"/>
        <v>301517.54475</v>
      </c>
      <c r="BQ15" s="25"/>
      <c r="BR15" s="259">
        <f t="shared" si="61"/>
        <v>301517.54475</v>
      </c>
      <c r="BS15" s="607">
        <f t="shared" si="22"/>
        <v>301517.54475</v>
      </c>
    </row>
    <row r="16" spans="1:71" ht="30" customHeight="1">
      <c r="A16" s="91" t="s">
        <v>7</v>
      </c>
      <c r="B16" s="358" t="s">
        <v>759</v>
      </c>
      <c r="C16" s="50" t="s">
        <v>63</v>
      </c>
      <c r="D16" s="99" t="s">
        <v>399</v>
      </c>
      <c r="E16" s="392" t="s">
        <v>12</v>
      </c>
      <c r="F16" s="410">
        <v>22460</v>
      </c>
      <c r="G16" s="589">
        <f t="shared" si="23"/>
        <v>23722</v>
      </c>
      <c r="H16" s="10">
        <v>12125</v>
      </c>
      <c r="I16" s="167">
        <v>48500</v>
      </c>
      <c r="J16" s="10">
        <v>15560</v>
      </c>
      <c r="K16" s="76">
        <f t="shared" si="63"/>
        <v>17135.666666666668</v>
      </c>
      <c r="L16" s="24">
        <f t="shared" si="62"/>
        <v>-5324.3333333333321</v>
      </c>
      <c r="M16" s="281">
        <f t="shared" si="10"/>
        <v>-0.22444706741983525</v>
      </c>
      <c r="N16" s="597">
        <f t="shared" si="24"/>
        <v>17135.666666666668</v>
      </c>
      <c r="O16" s="410">
        <v>6720</v>
      </c>
      <c r="P16" s="575">
        <f t="shared" si="25"/>
        <v>7098</v>
      </c>
      <c r="Q16" s="10">
        <v>45000</v>
      </c>
      <c r="R16" s="10">
        <v>51000</v>
      </c>
      <c r="S16" s="268">
        <v>48000</v>
      </c>
      <c r="T16" s="10">
        <v>50000</v>
      </c>
      <c r="U16" s="76">
        <f>AVERAGE(P16:Q16,R16,S16,T16,)</f>
        <v>33516.333333333336</v>
      </c>
      <c r="V16" s="24">
        <f t="shared" si="11"/>
        <v>26418.333333333336</v>
      </c>
      <c r="W16" s="281">
        <f t="shared" ref="W16:W28" si="69">+V16/O16</f>
        <v>3.9312996031746037</v>
      </c>
      <c r="X16" s="462">
        <f>AVERAGE(U16,P16)</f>
        <v>20307.166666666668</v>
      </c>
      <c r="Y16" s="410">
        <v>12487</v>
      </c>
      <c r="Z16" s="575">
        <f t="shared" si="13"/>
        <v>13189</v>
      </c>
      <c r="AA16" s="10">
        <v>16241</v>
      </c>
      <c r="AB16" s="31">
        <v>21113</v>
      </c>
      <c r="AC16" s="471">
        <v>14195.4</v>
      </c>
      <c r="AD16" s="76">
        <f t="shared" si="49"/>
        <v>14541.800000000001</v>
      </c>
      <c r="AE16" s="24">
        <f t="shared" si="14"/>
        <v>1352.8000000000011</v>
      </c>
      <c r="AF16" s="25">
        <f t="shared" si="50"/>
        <v>0.10833667013694251</v>
      </c>
      <c r="AG16" s="602">
        <f t="shared" si="51"/>
        <v>14541.800000000001</v>
      </c>
      <c r="AH16" s="601">
        <f t="shared" si="52"/>
        <v>14541.800000000001</v>
      </c>
      <c r="AI16" s="407">
        <v>7461</v>
      </c>
      <c r="AJ16" s="575">
        <f t="shared" si="15"/>
        <v>7880</v>
      </c>
      <c r="AK16" s="45">
        <v>16000</v>
      </c>
      <c r="AL16" s="45">
        <v>17100</v>
      </c>
      <c r="AM16" s="45">
        <v>14000</v>
      </c>
      <c r="AN16" s="76">
        <f t="shared" si="29"/>
        <v>13745</v>
      </c>
      <c r="AO16" s="24">
        <f t="shared" ref="AO16:AO28" si="70">AN16-AI16</f>
        <v>6284</v>
      </c>
      <c r="AP16" s="281">
        <f t="shared" ref="AP16:AP28" si="71">+AO16/AI16</f>
        <v>0.8422463476745744</v>
      </c>
      <c r="AQ16" s="601">
        <f t="shared" ref="AQ16:AQ28" si="72">AN16</f>
        <v>13745</v>
      </c>
      <c r="AR16" s="513">
        <v>7461</v>
      </c>
      <c r="AS16" s="575">
        <f t="shared" si="31"/>
        <v>7880</v>
      </c>
      <c r="AT16" s="88">
        <v>20000</v>
      </c>
      <c r="AU16" s="116">
        <v>18950</v>
      </c>
      <c r="AV16" s="74">
        <v>18810</v>
      </c>
      <c r="AW16" s="76">
        <f t="shared" si="32"/>
        <v>16410</v>
      </c>
      <c r="AX16" s="24">
        <f t="shared" si="56"/>
        <v>8949</v>
      </c>
      <c r="AY16" s="25">
        <f t="shared" ref="AY16:AY29" si="73">+AX16/AR16</f>
        <v>1.199437072778448</v>
      </c>
      <c r="AZ16" s="309" t="str">
        <f t="shared" ref="AZ16:AZ29" si="74">+IF(AY16&lt;35%,AW16,"REVISAR PRECIO")</f>
        <v>REVISAR PRECIO</v>
      </c>
      <c r="BA16" s="604">
        <f t="shared" si="59"/>
        <v>16410</v>
      </c>
      <c r="BB16" s="513">
        <v>7461</v>
      </c>
      <c r="BC16" s="575">
        <f t="shared" si="21"/>
        <v>7880</v>
      </c>
      <c r="BD16" s="74">
        <v>19665</v>
      </c>
      <c r="BE16" s="74">
        <v>28000</v>
      </c>
      <c r="BF16" s="75">
        <v>22657.5</v>
      </c>
      <c r="BG16" s="61">
        <v>19665</v>
      </c>
      <c r="BH16" s="60">
        <v>18000</v>
      </c>
      <c r="BI16" s="74">
        <v>22614.75</v>
      </c>
      <c r="BJ16" s="79">
        <v>22657.5</v>
      </c>
      <c r="BK16" s="79">
        <f>+BK13*0.6</f>
        <v>17100</v>
      </c>
      <c r="BL16" s="127">
        <v>20520</v>
      </c>
      <c r="BM16" s="128">
        <v>22000</v>
      </c>
      <c r="BN16" s="128">
        <v>17000</v>
      </c>
      <c r="BO16" s="76">
        <f>AVERAGE(BC16,BD16,BF16,BG16,BH16,BI16,BJ16,BK16,BL16,BM16,BN16,BE16)</f>
        <v>19813.3125</v>
      </c>
      <c r="BP16" s="24">
        <f t="shared" si="60"/>
        <v>12352.3125</v>
      </c>
      <c r="BQ16" s="25">
        <f t="shared" ref="BQ16:BQ29" si="75">+BP16/BB16</f>
        <v>1.6555840369923602</v>
      </c>
      <c r="BR16" s="259" t="str">
        <f t="shared" si="61"/>
        <v>REVISAR PRECIO</v>
      </c>
      <c r="BS16" s="607">
        <f t="shared" si="22"/>
        <v>19813.3125</v>
      </c>
    </row>
    <row r="17" spans="1:71" ht="30" customHeight="1">
      <c r="A17" s="91" t="s">
        <v>7</v>
      </c>
      <c r="B17" s="358" t="s">
        <v>760</v>
      </c>
      <c r="C17" s="50" t="s">
        <v>64</v>
      </c>
      <c r="D17" s="99" t="s">
        <v>400</v>
      </c>
      <c r="E17" s="392" t="s">
        <v>13</v>
      </c>
      <c r="F17" s="410">
        <v>6836</v>
      </c>
      <c r="G17" s="589">
        <f t="shared" si="23"/>
        <v>7220</v>
      </c>
      <c r="H17" s="10">
        <v>6000</v>
      </c>
      <c r="I17" s="167">
        <v>30000</v>
      </c>
      <c r="J17" s="10">
        <v>14500</v>
      </c>
      <c r="K17" s="76">
        <f>AVERAGE(H17,J17,G17,I17)</f>
        <v>14430</v>
      </c>
      <c r="L17" s="24">
        <f t="shared" si="62"/>
        <v>7594</v>
      </c>
      <c r="M17" s="281">
        <f t="shared" si="10"/>
        <v>1.0518005540166204</v>
      </c>
      <c r="N17" s="597">
        <f t="shared" si="24"/>
        <v>14430</v>
      </c>
      <c r="O17" s="410">
        <v>20209</v>
      </c>
      <c r="P17" s="575">
        <f t="shared" si="25"/>
        <v>21345</v>
      </c>
      <c r="Q17" s="10">
        <v>35000</v>
      </c>
      <c r="R17" s="10">
        <v>41000</v>
      </c>
      <c r="S17" s="268">
        <v>40000</v>
      </c>
      <c r="T17" s="10">
        <v>30000</v>
      </c>
      <c r="U17" s="76">
        <f>AVERAGE(P17:Q17,R17,S17,T17)</f>
        <v>33469</v>
      </c>
      <c r="V17" s="24">
        <f t="shared" si="11"/>
        <v>12124</v>
      </c>
      <c r="W17" s="281">
        <f t="shared" si="69"/>
        <v>0.59993072393488045</v>
      </c>
      <c r="X17" s="462">
        <f>P17</f>
        <v>21345</v>
      </c>
      <c r="Y17" s="410">
        <v>37565</v>
      </c>
      <c r="Z17" s="575">
        <f t="shared" si="13"/>
        <v>39676</v>
      </c>
      <c r="AA17" s="10">
        <v>48857</v>
      </c>
      <c r="AB17" s="31">
        <v>63513</v>
      </c>
      <c r="AC17" s="471">
        <v>42704.2</v>
      </c>
      <c r="AD17" s="76">
        <f t="shared" si="49"/>
        <v>43745.733333333337</v>
      </c>
      <c r="AE17" s="24">
        <f t="shared" si="14"/>
        <v>4069.7333333333372</v>
      </c>
      <c r="AF17" s="25">
        <f t="shared" si="50"/>
        <v>0.10833843560051477</v>
      </c>
      <c r="AG17" s="602">
        <f t="shared" si="51"/>
        <v>43745.733333333337</v>
      </c>
      <c r="AH17" s="601">
        <f t="shared" si="52"/>
        <v>43745.733333333337</v>
      </c>
      <c r="AI17" s="50">
        <v>22459</v>
      </c>
      <c r="AJ17" s="575">
        <f t="shared" si="15"/>
        <v>23721</v>
      </c>
      <c r="AK17" s="45">
        <v>12000</v>
      </c>
      <c r="AL17" s="45">
        <v>26494</v>
      </c>
      <c r="AM17" s="45">
        <v>18000</v>
      </c>
      <c r="AN17" s="76">
        <f>AVERAGE(AM17,AL17,AJ17)</f>
        <v>22738.333333333332</v>
      </c>
      <c r="AO17" s="24">
        <f t="shared" si="70"/>
        <v>279.33333333333212</v>
      </c>
      <c r="AP17" s="281">
        <f t="shared" si="71"/>
        <v>1.2437478664826222E-2</v>
      </c>
      <c r="AQ17" s="601">
        <f t="shared" si="72"/>
        <v>22738.333333333332</v>
      </c>
      <c r="AR17" s="513">
        <v>22459</v>
      </c>
      <c r="AS17" s="575">
        <f t="shared" si="31"/>
        <v>23721</v>
      </c>
      <c r="AT17" s="88">
        <v>13000</v>
      </c>
      <c r="AU17" s="116">
        <v>14350</v>
      </c>
      <c r="AV17" s="74">
        <v>13337.5</v>
      </c>
      <c r="AW17" s="76">
        <f t="shared" si="32"/>
        <v>16102.125</v>
      </c>
      <c r="AX17" s="24">
        <f t="shared" si="56"/>
        <v>-6356.875</v>
      </c>
      <c r="AY17" s="25">
        <f t="shared" si="73"/>
        <v>-0.2830435460171869</v>
      </c>
      <c r="AZ17" s="309">
        <f t="shared" si="74"/>
        <v>16102.125</v>
      </c>
      <c r="BA17" s="601">
        <f t="shared" si="59"/>
        <v>16102.125</v>
      </c>
      <c r="BB17" s="513">
        <v>22459</v>
      </c>
      <c r="BC17" s="575">
        <f t="shared" si="21"/>
        <v>23721</v>
      </c>
      <c r="BD17" s="74">
        <v>13943.75</v>
      </c>
      <c r="BE17" s="74">
        <v>18000</v>
      </c>
      <c r="BF17" s="75">
        <v>16065.625</v>
      </c>
      <c r="BG17" s="61">
        <v>37444</v>
      </c>
      <c r="BH17" s="60">
        <v>8800</v>
      </c>
      <c r="BI17" s="74">
        <v>43060.6</v>
      </c>
      <c r="BJ17" s="79">
        <v>16065.625</v>
      </c>
      <c r="BK17" s="79">
        <f>9700*1.25</f>
        <v>12125</v>
      </c>
      <c r="BL17" s="127">
        <v>14550</v>
      </c>
      <c r="BM17" s="128">
        <v>13500</v>
      </c>
      <c r="BN17" s="128">
        <v>14000</v>
      </c>
      <c r="BO17" s="76">
        <f t="shared" ref="BO17:BO68" si="76">AVERAGE(BC17,BD17,BE17,BF17,BG17,BH17,BI17,BJ17,BK17,BL17,BM17,BN17)</f>
        <v>19272.966666666667</v>
      </c>
      <c r="BP17" s="24">
        <f t="shared" si="60"/>
        <v>-3186.0333333333328</v>
      </c>
      <c r="BQ17" s="25">
        <f t="shared" si="75"/>
        <v>-0.14185998189293081</v>
      </c>
      <c r="BR17" s="259">
        <f t="shared" si="61"/>
        <v>19272.966666666667</v>
      </c>
      <c r="BS17" s="607">
        <f>+BO17</f>
        <v>19272.966666666667</v>
      </c>
    </row>
    <row r="18" spans="1:71" ht="30" customHeight="1">
      <c r="A18" s="91" t="s">
        <v>7</v>
      </c>
      <c r="B18" s="358" t="s">
        <v>761</v>
      </c>
      <c r="C18" s="50" t="s">
        <v>65</v>
      </c>
      <c r="D18" s="99" t="s">
        <v>401</v>
      </c>
      <c r="E18" s="392" t="s">
        <v>13</v>
      </c>
      <c r="F18" s="410">
        <v>7083</v>
      </c>
      <c r="G18" s="589">
        <f t="shared" si="23"/>
        <v>7481</v>
      </c>
      <c r="H18" s="10">
        <v>9000</v>
      </c>
      <c r="I18" s="167">
        <v>27000</v>
      </c>
      <c r="J18" s="10">
        <v>6500</v>
      </c>
      <c r="K18" s="76">
        <f t="shared" si="63"/>
        <v>7660.333333333333</v>
      </c>
      <c r="L18" s="24">
        <f t="shared" si="62"/>
        <v>577.33333333333303</v>
      </c>
      <c r="M18" s="281">
        <f t="shared" si="10"/>
        <v>7.7173283429131531E-2</v>
      </c>
      <c r="N18" s="597">
        <f t="shared" si="24"/>
        <v>7660.333333333333</v>
      </c>
      <c r="O18" s="410">
        <v>6151</v>
      </c>
      <c r="P18" s="575">
        <f t="shared" si="25"/>
        <v>6497</v>
      </c>
      <c r="Q18" s="10">
        <v>6000</v>
      </c>
      <c r="R18" s="10">
        <v>9000</v>
      </c>
      <c r="S18" s="268">
        <v>7500</v>
      </c>
      <c r="T18" s="10">
        <v>5000</v>
      </c>
      <c r="U18" s="76">
        <f>AVERAGE(O18:Q18,R18,S18,T18)</f>
        <v>6691.333333333333</v>
      </c>
      <c r="V18" s="24">
        <f t="shared" si="11"/>
        <v>194.33333333333303</v>
      </c>
      <c r="W18" s="281">
        <f t="shared" si="69"/>
        <v>3.1593778789356694E-2</v>
      </c>
      <c r="X18" s="462">
        <f t="shared" ref="X18:X28" si="77">U18</f>
        <v>6691.333333333333</v>
      </c>
      <c r="Y18" s="410">
        <v>11439</v>
      </c>
      <c r="Z18" s="575">
        <f t="shared" si="13"/>
        <v>12082</v>
      </c>
      <c r="AA18" s="10">
        <v>14877</v>
      </c>
      <c r="AB18" s="31">
        <v>19340</v>
      </c>
      <c r="AC18" s="471">
        <v>13003.6</v>
      </c>
      <c r="AD18" s="76">
        <f t="shared" si="37"/>
        <v>14825.65</v>
      </c>
      <c r="AE18" s="24">
        <f t="shared" si="14"/>
        <v>2743.6499999999996</v>
      </c>
      <c r="AF18" s="25">
        <f t="shared" si="50"/>
        <v>0.23985051140833985</v>
      </c>
      <c r="AG18" s="602">
        <f t="shared" si="51"/>
        <v>14825.65</v>
      </c>
      <c r="AH18" s="601">
        <f t="shared" si="52"/>
        <v>14825.65</v>
      </c>
      <c r="AI18" s="410">
        <v>6834</v>
      </c>
      <c r="AJ18" s="575">
        <f t="shared" si="15"/>
        <v>7218</v>
      </c>
      <c r="AK18" s="45">
        <v>8000</v>
      </c>
      <c r="AL18" s="45">
        <v>8066</v>
      </c>
      <c r="AM18" s="45">
        <v>18000</v>
      </c>
      <c r="AN18" s="76">
        <f>AVERAGE(AK18,AL18,AJ18)</f>
        <v>7761.333333333333</v>
      </c>
      <c r="AO18" s="24">
        <f t="shared" si="70"/>
        <v>927.33333333333303</v>
      </c>
      <c r="AP18" s="281">
        <f t="shared" si="71"/>
        <v>0.13569407862647542</v>
      </c>
      <c r="AQ18" s="601">
        <f t="shared" si="72"/>
        <v>7761.333333333333</v>
      </c>
      <c r="AR18" s="513">
        <v>6834</v>
      </c>
      <c r="AS18" s="575">
        <f t="shared" si="31"/>
        <v>7218</v>
      </c>
      <c r="AT18" s="88">
        <v>6300</v>
      </c>
      <c r="AU18" s="116">
        <v>6300</v>
      </c>
      <c r="AV18" s="74">
        <v>6600</v>
      </c>
      <c r="AW18" s="76">
        <f>AVERAGE(AS18,AT18,AU18,AV18)</f>
        <v>6604.5</v>
      </c>
      <c r="AX18" s="24">
        <f t="shared" si="56"/>
        <v>-229.5</v>
      </c>
      <c r="AY18" s="25">
        <f t="shared" si="73"/>
        <v>-3.3582089552238806E-2</v>
      </c>
      <c r="AZ18" s="309">
        <f t="shared" si="74"/>
        <v>6604.5</v>
      </c>
      <c r="BA18" s="601">
        <f t="shared" si="59"/>
        <v>6604.5</v>
      </c>
      <c r="BB18" s="513">
        <v>6834</v>
      </c>
      <c r="BC18" s="575">
        <f t="shared" si="21"/>
        <v>7218</v>
      </c>
      <c r="BD18" s="74">
        <v>6900</v>
      </c>
      <c r="BE18" s="74">
        <v>15000</v>
      </c>
      <c r="BF18" s="75">
        <v>7950</v>
      </c>
      <c r="BG18" s="61">
        <v>6899.9999999999991</v>
      </c>
      <c r="BH18" s="60">
        <v>18000</v>
      </c>
      <c r="BI18" s="74">
        <v>7934.9999999999982</v>
      </c>
      <c r="BJ18" s="79">
        <v>7950</v>
      </c>
      <c r="BK18" s="79">
        <v>6000</v>
      </c>
      <c r="BL18" s="127">
        <v>7200</v>
      </c>
      <c r="BM18" s="128">
        <v>7000</v>
      </c>
      <c r="BN18" s="128">
        <v>7000</v>
      </c>
      <c r="BO18" s="76">
        <f>AVERAGE(BC18,BD18,BF18,BG18,BH18,BI18,BJ18,BK18,BL18,BM18,BN18,BE18)</f>
        <v>8754.4166666666661</v>
      </c>
      <c r="BP18" s="24">
        <f t="shared" si="60"/>
        <v>1920.4166666666661</v>
      </c>
      <c r="BQ18" s="25">
        <f t="shared" si="75"/>
        <v>0.28100916983708896</v>
      </c>
      <c r="BR18" s="259">
        <f t="shared" si="61"/>
        <v>8754.4166666666661</v>
      </c>
      <c r="BS18" s="607">
        <f t="shared" si="22"/>
        <v>8754.4166666666661</v>
      </c>
    </row>
    <row r="19" spans="1:71" ht="30" customHeight="1">
      <c r="A19" s="91" t="s">
        <v>7</v>
      </c>
      <c r="B19" s="358" t="s">
        <v>762</v>
      </c>
      <c r="C19" s="50" t="s">
        <v>66</v>
      </c>
      <c r="D19" s="99" t="s">
        <v>402</v>
      </c>
      <c r="E19" s="392" t="s">
        <v>13</v>
      </c>
      <c r="F19" s="410">
        <v>9408</v>
      </c>
      <c r="G19" s="589">
        <f t="shared" si="23"/>
        <v>9937</v>
      </c>
      <c r="H19" s="10">
        <v>11000</v>
      </c>
      <c r="I19" s="167">
        <v>33000</v>
      </c>
      <c r="J19" s="10">
        <v>7500</v>
      </c>
      <c r="K19" s="76">
        <f t="shared" si="63"/>
        <v>9479</v>
      </c>
      <c r="L19" s="24">
        <f t="shared" si="62"/>
        <v>71</v>
      </c>
      <c r="M19" s="281">
        <f t="shared" si="10"/>
        <v>7.1450135855892121E-3</v>
      </c>
      <c r="N19" s="597">
        <f t="shared" si="24"/>
        <v>9479</v>
      </c>
      <c r="O19" s="410">
        <v>6369</v>
      </c>
      <c r="P19" s="575">
        <f t="shared" si="25"/>
        <v>6727</v>
      </c>
      <c r="Q19" s="10">
        <v>8300</v>
      </c>
      <c r="R19" s="10">
        <v>11200</v>
      </c>
      <c r="S19" s="268">
        <v>9000</v>
      </c>
      <c r="T19" s="10">
        <v>10000</v>
      </c>
      <c r="U19" s="76">
        <f t="shared" ref="U19:U22" si="78">AVERAGE(Q19,R19,S19,T19)</f>
        <v>9625</v>
      </c>
      <c r="V19" s="24">
        <f t="shared" si="11"/>
        <v>2898</v>
      </c>
      <c r="W19" s="281">
        <f t="shared" si="69"/>
        <v>0.45501648610456902</v>
      </c>
      <c r="X19" s="462">
        <f t="shared" si="77"/>
        <v>9625</v>
      </c>
      <c r="Y19" s="410">
        <v>11844</v>
      </c>
      <c r="Z19" s="575">
        <f t="shared" si="13"/>
        <v>12510</v>
      </c>
      <c r="AA19" s="10">
        <v>15404</v>
      </c>
      <c r="AB19" s="31">
        <v>15404</v>
      </c>
      <c r="AC19" s="471">
        <v>13463.8</v>
      </c>
      <c r="AD19" s="76">
        <f t="shared" si="37"/>
        <v>14195.45</v>
      </c>
      <c r="AE19" s="24">
        <f t="shared" si="14"/>
        <v>1685.4500000000007</v>
      </c>
      <c r="AF19" s="25">
        <f t="shared" si="50"/>
        <v>0.14230412022965219</v>
      </c>
      <c r="AG19" s="602">
        <f t="shared" si="51"/>
        <v>14195.45</v>
      </c>
      <c r="AH19" s="601">
        <f t="shared" si="52"/>
        <v>14195.45</v>
      </c>
      <c r="AI19" s="410">
        <v>7081</v>
      </c>
      <c r="AJ19" s="575">
        <f t="shared" si="15"/>
        <v>7479</v>
      </c>
      <c r="AK19" s="45">
        <v>9000</v>
      </c>
      <c r="AL19" s="45">
        <v>8351</v>
      </c>
      <c r="AM19" s="45">
        <v>18000</v>
      </c>
      <c r="AN19" s="76">
        <f>AVERAGE(AK19,AL19,AJ19)</f>
        <v>8276.6666666666661</v>
      </c>
      <c r="AO19" s="24">
        <f t="shared" si="70"/>
        <v>1195.6666666666661</v>
      </c>
      <c r="AP19" s="281">
        <f t="shared" si="71"/>
        <v>0.16885562302876234</v>
      </c>
      <c r="AQ19" s="601">
        <f t="shared" si="72"/>
        <v>8276.6666666666661</v>
      </c>
      <c r="AR19" s="513">
        <v>7081</v>
      </c>
      <c r="AS19" s="575">
        <f t="shared" si="31"/>
        <v>7479</v>
      </c>
      <c r="AT19" s="88">
        <v>10000</v>
      </c>
      <c r="AU19" s="116">
        <v>11000</v>
      </c>
      <c r="AV19" s="74">
        <v>9900</v>
      </c>
      <c r="AW19" s="76">
        <f t="shared" si="32"/>
        <v>9594.75</v>
      </c>
      <c r="AX19" s="24">
        <f t="shared" si="56"/>
        <v>2513.75</v>
      </c>
      <c r="AY19" s="25">
        <f t="shared" si="73"/>
        <v>0.35499929388504448</v>
      </c>
      <c r="AZ19" s="309" t="str">
        <f t="shared" si="74"/>
        <v>REVISAR PRECIO</v>
      </c>
      <c r="BA19" s="601">
        <f t="shared" si="59"/>
        <v>9594.75</v>
      </c>
      <c r="BB19" s="513">
        <v>7081</v>
      </c>
      <c r="BC19" s="575">
        <f t="shared" si="21"/>
        <v>7479</v>
      </c>
      <c r="BD19" s="74">
        <v>10350</v>
      </c>
      <c r="BE19" s="74">
        <v>13000</v>
      </c>
      <c r="BF19" s="75">
        <v>11925</v>
      </c>
      <c r="BG19" s="61">
        <v>14719.999999999998</v>
      </c>
      <c r="BH19" s="60">
        <v>9200</v>
      </c>
      <c r="BI19" s="74">
        <v>16927.999999999996</v>
      </c>
      <c r="BJ19" s="79">
        <v>11925</v>
      </c>
      <c r="BK19" s="79">
        <f>18000*0.5</f>
        <v>9000</v>
      </c>
      <c r="BL19" s="127">
        <v>10800</v>
      </c>
      <c r="BM19" s="128">
        <v>10000</v>
      </c>
      <c r="BN19" s="128">
        <v>10000</v>
      </c>
      <c r="BO19" s="76">
        <f>AVERAGE(BC19,BD19,BE19,BF19,BH19,BJ19,BK19,BL19,BM19,BN19)</f>
        <v>10367.9</v>
      </c>
      <c r="BP19" s="24">
        <f t="shared" si="60"/>
        <v>3286.8999999999996</v>
      </c>
      <c r="BQ19" s="25">
        <f t="shared" si="75"/>
        <v>0.46418584945629143</v>
      </c>
      <c r="BR19" s="259" t="str">
        <f t="shared" si="61"/>
        <v>REVISAR PRECIO</v>
      </c>
      <c r="BS19" s="607">
        <f t="shared" si="22"/>
        <v>10367.9</v>
      </c>
    </row>
    <row r="20" spans="1:71" ht="30" customHeight="1">
      <c r="A20" s="91" t="s">
        <v>7</v>
      </c>
      <c r="B20" s="358" t="s">
        <v>2211</v>
      </c>
      <c r="C20" s="50" t="s">
        <v>67</v>
      </c>
      <c r="D20" s="99" t="s">
        <v>403</v>
      </c>
      <c r="E20" s="392" t="s">
        <v>13</v>
      </c>
      <c r="F20" s="410">
        <v>9408</v>
      </c>
      <c r="G20" s="589">
        <f t="shared" si="23"/>
        <v>9937</v>
      </c>
      <c r="H20" s="10">
        <v>19200</v>
      </c>
      <c r="I20" s="167">
        <v>38400</v>
      </c>
      <c r="J20" s="10">
        <v>14560</v>
      </c>
      <c r="K20" s="76">
        <f t="shared" si="63"/>
        <v>14565.666666666666</v>
      </c>
      <c r="L20" s="24">
        <f t="shared" si="62"/>
        <v>5157.6666666666661</v>
      </c>
      <c r="M20" s="281">
        <f t="shared" si="10"/>
        <v>0.51903659722921058</v>
      </c>
      <c r="N20" s="597">
        <f t="shared" si="24"/>
        <v>14565.666666666666</v>
      </c>
      <c r="O20" s="410">
        <v>8467</v>
      </c>
      <c r="P20" s="575">
        <f t="shared" si="25"/>
        <v>8943</v>
      </c>
      <c r="Q20" s="10">
        <v>9500</v>
      </c>
      <c r="R20" s="10">
        <v>11500</v>
      </c>
      <c r="S20" s="268">
        <v>11000</v>
      </c>
      <c r="T20" s="10">
        <v>10000</v>
      </c>
      <c r="U20" s="76">
        <f>AVERAGE(R20,S20,T20)</f>
        <v>10833.333333333334</v>
      </c>
      <c r="V20" s="24">
        <f t="shared" si="11"/>
        <v>1890.3333333333339</v>
      </c>
      <c r="W20" s="281">
        <f t="shared" si="69"/>
        <v>0.22325892681390502</v>
      </c>
      <c r="X20" s="462">
        <f t="shared" si="77"/>
        <v>10833.333333333334</v>
      </c>
      <c r="Y20" s="410">
        <v>15746</v>
      </c>
      <c r="Z20" s="575">
        <f t="shared" si="13"/>
        <v>16631</v>
      </c>
      <c r="AA20" s="10">
        <v>20480</v>
      </c>
      <c r="AB20" s="31">
        <v>26623</v>
      </c>
      <c r="AC20" s="471">
        <v>17900.599999999999</v>
      </c>
      <c r="AD20" s="76">
        <f t="shared" si="37"/>
        <v>20408.650000000001</v>
      </c>
      <c r="AE20" s="24">
        <f t="shared" si="14"/>
        <v>3777.6500000000015</v>
      </c>
      <c r="AF20" s="25">
        <f t="shared" si="50"/>
        <v>0.23991172361234608</v>
      </c>
      <c r="AG20" s="602">
        <f t="shared" si="51"/>
        <v>20408.650000000001</v>
      </c>
      <c r="AH20" s="601">
        <f t="shared" si="52"/>
        <v>20408.650000000001</v>
      </c>
      <c r="AI20" s="410">
        <v>9407</v>
      </c>
      <c r="AJ20" s="575">
        <f t="shared" si="15"/>
        <v>9936</v>
      </c>
      <c r="AK20" s="45">
        <v>13500</v>
      </c>
      <c r="AL20" s="45">
        <v>11101</v>
      </c>
      <c r="AM20" s="45">
        <v>18000</v>
      </c>
      <c r="AN20" s="76">
        <f>AVERAGE(AK20,AL20,AJ20)</f>
        <v>11512.333333333334</v>
      </c>
      <c r="AO20" s="24">
        <f t="shared" si="70"/>
        <v>2105.3333333333339</v>
      </c>
      <c r="AP20" s="281">
        <f t="shared" si="71"/>
        <v>0.22380496793168214</v>
      </c>
      <c r="AQ20" s="601">
        <f t="shared" si="72"/>
        <v>11512.333333333334</v>
      </c>
      <c r="AR20" s="513">
        <v>9407</v>
      </c>
      <c r="AS20" s="575">
        <f t="shared" si="31"/>
        <v>9936</v>
      </c>
      <c r="AT20" s="88">
        <v>12000</v>
      </c>
      <c r="AU20" s="116">
        <v>12000</v>
      </c>
      <c r="AV20" s="74">
        <v>12100</v>
      </c>
      <c r="AW20" s="76">
        <f t="shared" si="32"/>
        <v>11509</v>
      </c>
      <c r="AX20" s="24">
        <f t="shared" si="56"/>
        <v>2102</v>
      </c>
      <c r="AY20" s="25">
        <f t="shared" si="73"/>
        <v>0.22345062187732539</v>
      </c>
      <c r="AZ20" s="309">
        <f t="shared" si="74"/>
        <v>11509</v>
      </c>
      <c r="BA20" s="601">
        <f t="shared" si="59"/>
        <v>11509</v>
      </c>
      <c r="BB20" s="513">
        <v>9407</v>
      </c>
      <c r="BC20" s="575">
        <f t="shared" si="21"/>
        <v>9936</v>
      </c>
      <c r="BD20" s="74">
        <v>12650</v>
      </c>
      <c r="BE20" s="74">
        <v>20000</v>
      </c>
      <c r="BF20" s="75">
        <v>14575</v>
      </c>
      <c r="BG20" s="61">
        <v>12649.999999999998</v>
      </c>
      <c r="BH20" s="60">
        <v>18000</v>
      </c>
      <c r="BI20" s="74">
        <v>14547.499999999996</v>
      </c>
      <c r="BJ20" s="79">
        <v>14575</v>
      </c>
      <c r="BK20" s="79">
        <f>22000*0.5</f>
        <v>11000</v>
      </c>
      <c r="BL20" s="127">
        <v>13200</v>
      </c>
      <c r="BM20" s="128">
        <v>11500</v>
      </c>
      <c r="BN20" s="128">
        <v>11500</v>
      </c>
      <c r="BO20" s="76">
        <f>AVERAGE(BC20,BD20,BF20,BG20,BI20,BJ20,BK20,BL20,BM20,BN20,BE20)</f>
        <v>13284.863636363636</v>
      </c>
      <c r="BP20" s="24">
        <f t="shared" si="60"/>
        <v>3877.863636363636</v>
      </c>
      <c r="BQ20" s="25">
        <f t="shared" si="75"/>
        <v>0.41223170366361606</v>
      </c>
      <c r="BR20" s="259" t="str">
        <f t="shared" si="61"/>
        <v>REVISAR PRECIO</v>
      </c>
      <c r="BS20" s="607">
        <f t="shared" si="22"/>
        <v>13284.863636363636</v>
      </c>
    </row>
    <row r="21" spans="1:71" ht="30" customHeight="1">
      <c r="A21" s="91" t="s">
        <v>7</v>
      </c>
      <c r="B21" s="358" t="s">
        <v>2212</v>
      </c>
      <c r="C21" s="50" t="s">
        <v>68</v>
      </c>
      <c r="D21" s="99" t="s">
        <v>404</v>
      </c>
      <c r="E21" s="392" t="s">
        <v>13</v>
      </c>
      <c r="F21" s="410">
        <v>20675</v>
      </c>
      <c r="G21" s="589">
        <f t="shared" si="23"/>
        <v>21837</v>
      </c>
      <c r="H21" s="10">
        <v>4000</v>
      </c>
      <c r="I21" s="167">
        <v>8000</v>
      </c>
      <c r="J21" s="10">
        <v>5860</v>
      </c>
      <c r="K21" s="76">
        <f t="shared" si="63"/>
        <v>10565.666666666666</v>
      </c>
      <c r="L21" s="24">
        <f t="shared" si="62"/>
        <v>-10109.333333333334</v>
      </c>
      <c r="M21" s="281">
        <f t="shared" si="10"/>
        <v>-0.46294515424890481</v>
      </c>
      <c r="N21" s="597">
        <f>+K21</f>
        <v>10565.666666666666</v>
      </c>
      <c r="O21" s="410">
        <v>8467</v>
      </c>
      <c r="P21" s="575">
        <f t="shared" si="25"/>
        <v>8943</v>
      </c>
      <c r="Q21" s="10">
        <v>9500</v>
      </c>
      <c r="R21" s="10">
        <v>11500</v>
      </c>
      <c r="S21" s="268">
        <v>10500</v>
      </c>
      <c r="T21" s="10">
        <v>10000</v>
      </c>
      <c r="U21" s="76">
        <f t="shared" si="78"/>
        <v>10375</v>
      </c>
      <c r="V21" s="24">
        <f t="shared" si="11"/>
        <v>1432</v>
      </c>
      <c r="W21" s="281">
        <f t="shared" si="69"/>
        <v>0.16912719971654661</v>
      </c>
      <c r="X21" s="462">
        <f t="shared" si="77"/>
        <v>10375</v>
      </c>
      <c r="Y21" s="410">
        <v>13141</v>
      </c>
      <c r="Z21" s="575">
        <f t="shared" si="13"/>
        <v>13880</v>
      </c>
      <c r="AA21" s="10">
        <v>17091</v>
      </c>
      <c r="AB21" s="33">
        <v>22218</v>
      </c>
      <c r="AC21" s="471">
        <v>14938.8</v>
      </c>
      <c r="AD21" s="76">
        <f t="shared" si="37"/>
        <v>17031.95</v>
      </c>
      <c r="AE21" s="24">
        <f t="shared" si="14"/>
        <v>3151.9500000000007</v>
      </c>
      <c r="AF21" s="25">
        <f t="shared" si="50"/>
        <v>0.23985617532912265</v>
      </c>
      <c r="AG21" s="602">
        <f t="shared" si="51"/>
        <v>17031.95</v>
      </c>
      <c r="AH21" s="601">
        <f t="shared" si="52"/>
        <v>17031.95</v>
      </c>
      <c r="AI21" s="410">
        <v>9407</v>
      </c>
      <c r="AJ21" s="575">
        <f t="shared" si="15"/>
        <v>9936</v>
      </c>
      <c r="AK21" s="45">
        <v>20000</v>
      </c>
      <c r="AL21" s="45">
        <v>11101</v>
      </c>
      <c r="AM21" s="45">
        <v>20000</v>
      </c>
      <c r="AN21" s="76">
        <f t="shared" si="29"/>
        <v>15259.25</v>
      </c>
      <c r="AO21" s="24">
        <f t="shared" si="70"/>
        <v>5852.25</v>
      </c>
      <c r="AP21" s="281">
        <f t="shared" si="71"/>
        <v>0.62211650898267246</v>
      </c>
      <c r="AQ21" s="601">
        <f t="shared" si="72"/>
        <v>15259.25</v>
      </c>
      <c r="AR21" s="513">
        <v>7850</v>
      </c>
      <c r="AS21" s="575">
        <f t="shared" si="31"/>
        <v>8291</v>
      </c>
      <c r="AT21" s="88">
        <v>20000</v>
      </c>
      <c r="AU21" s="116">
        <v>20000</v>
      </c>
      <c r="AV21" s="74">
        <v>21120</v>
      </c>
      <c r="AW21" s="76">
        <f t="shared" si="32"/>
        <v>17352.75</v>
      </c>
      <c r="AX21" s="24">
        <f t="shared" si="56"/>
        <v>9502.75</v>
      </c>
      <c r="AY21" s="25">
        <f t="shared" si="73"/>
        <v>1.2105414012738853</v>
      </c>
      <c r="AZ21" s="309" t="str">
        <f t="shared" si="74"/>
        <v>REVISAR PRECIO</v>
      </c>
      <c r="BA21" s="601">
        <f t="shared" si="59"/>
        <v>17352.75</v>
      </c>
      <c r="BB21" s="513">
        <v>7850</v>
      </c>
      <c r="BC21" s="575">
        <f t="shared" si="21"/>
        <v>8291</v>
      </c>
      <c r="BD21" s="74">
        <v>22080</v>
      </c>
      <c r="BE21" s="74">
        <v>24000</v>
      </c>
      <c r="BF21" s="75">
        <v>25440</v>
      </c>
      <c r="BG21" s="61">
        <v>29094.999999999996</v>
      </c>
      <c r="BH21" s="60">
        <v>18000</v>
      </c>
      <c r="BI21" s="74">
        <v>33459.249999999993</v>
      </c>
      <c r="BJ21" s="79">
        <v>25440</v>
      </c>
      <c r="BK21" s="79">
        <f>32000*0.6</f>
        <v>19200</v>
      </c>
      <c r="BL21" s="127">
        <v>23040</v>
      </c>
      <c r="BM21" s="128">
        <v>21000</v>
      </c>
      <c r="BN21" s="128">
        <v>20000</v>
      </c>
      <c r="BO21" s="76">
        <f>AVERAGE(BC21,BD21,BE21,BF21,BH21,BJ21,BK21,BL21,BM21,BN21)</f>
        <v>20649.099999999999</v>
      </c>
      <c r="BP21" s="24">
        <f t="shared" si="60"/>
        <v>12799.099999999999</v>
      </c>
      <c r="BQ21" s="25">
        <f t="shared" si="75"/>
        <v>1.6304585987261144</v>
      </c>
      <c r="BR21" s="259" t="str">
        <f t="shared" si="61"/>
        <v>REVISAR PRECIO</v>
      </c>
      <c r="BS21" s="607">
        <f t="shared" si="22"/>
        <v>20649.099999999999</v>
      </c>
    </row>
    <row r="22" spans="1:71" ht="30" customHeight="1">
      <c r="A22" s="91" t="s">
        <v>7</v>
      </c>
      <c r="B22" s="358" t="s">
        <v>2213</v>
      </c>
      <c r="C22" s="50" t="s">
        <v>69</v>
      </c>
      <c r="D22" s="99" t="s">
        <v>405</v>
      </c>
      <c r="E22" s="392" t="s">
        <v>13</v>
      </c>
      <c r="F22" s="410">
        <v>28118</v>
      </c>
      <c r="G22" s="589">
        <f t="shared" si="23"/>
        <v>29698</v>
      </c>
      <c r="H22" s="10">
        <v>48500</v>
      </c>
      <c r="I22" s="167">
        <v>97000</v>
      </c>
      <c r="J22" s="10">
        <v>35656</v>
      </c>
      <c r="K22" s="76">
        <f>AVERAGE(J22,G22,)</f>
        <v>21784.666666666668</v>
      </c>
      <c r="L22" s="24">
        <f t="shared" si="62"/>
        <v>-6333.3333333333321</v>
      </c>
      <c r="M22" s="281">
        <f t="shared" si="10"/>
        <v>-0.21325790737872355</v>
      </c>
      <c r="N22" s="597">
        <f>K22</f>
        <v>21784.666666666668</v>
      </c>
      <c r="O22" s="410">
        <v>18605</v>
      </c>
      <c r="P22" s="575">
        <f t="shared" si="25"/>
        <v>19651</v>
      </c>
      <c r="Q22" s="10">
        <v>9500</v>
      </c>
      <c r="R22" s="10">
        <v>11500</v>
      </c>
      <c r="S22" s="268">
        <v>10500</v>
      </c>
      <c r="T22" s="10">
        <v>10000</v>
      </c>
      <c r="U22" s="76">
        <f t="shared" si="78"/>
        <v>10375</v>
      </c>
      <c r="V22" s="24">
        <f t="shared" si="11"/>
        <v>-9276</v>
      </c>
      <c r="W22" s="281">
        <f t="shared" si="69"/>
        <v>-0.49857565170653051</v>
      </c>
      <c r="X22" s="462">
        <f>U22</f>
        <v>10375</v>
      </c>
      <c r="Y22" s="410">
        <v>34586</v>
      </c>
      <c r="Z22" s="575">
        <f t="shared" si="13"/>
        <v>36530</v>
      </c>
      <c r="AA22" s="10">
        <v>44982</v>
      </c>
      <c r="AB22" s="33">
        <v>58477</v>
      </c>
      <c r="AC22" s="471">
        <v>39317.599999999999</v>
      </c>
      <c r="AD22" s="76">
        <f>AVERAGE(AC22,Z22)</f>
        <v>37923.800000000003</v>
      </c>
      <c r="AE22" s="24">
        <f t="shared" si="14"/>
        <v>1393.8000000000029</v>
      </c>
      <c r="AF22" s="25">
        <f t="shared" si="50"/>
        <v>4.0299543167755823E-2</v>
      </c>
      <c r="AG22" s="602">
        <f t="shared" si="51"/>
        <v>37923.800000000003</v>
      </c>
      <c r="AH22" s="601">
        <f t="shared" si="52"/>
        <v>37923.800000000003</v>
      </c>
      <c r="AI22" s="410">
        <v>20675</v>
      </c>
      <c r="AJ22" s="575">
        <f t="shared" si="15"/>
        <v>21837</v>
      </c>
      <c r="AK22" s="45">
        <v>5000</v>
      </c>
      <c r="AL22" s="45">
        <v>4500</v>
      </c>
      <c r="AM22" s="45">
        <v>13000</v>
      </c>
      <c r="AN22" s="76">
        <f>AVERAGE(AK22,AM22,AJ22)</f>
        <v>13279</v>
      </c>
      <c r="AO22" s="24">
        <f t="shared" si="70"/>
        <v>-7396</v>
      </c>
      <c r="AP22" s="281">
        <f t="shared" si="71"/>
        <v>-0.357726723095526</v>
      </c>
      <c r="AQ22" s="601">
        <f>AN22</f>
        <v>13279</v>
      </c>
      <c r="AR22" s="513">
        <v>20675</v>
      </c>
      <c r="AS22" s="575">
        <f t="shared" si="31"/>
        <v>21837</v>
      </c>
      <c r="AT22" s="88">
        <v>5000</v>
      </c>
      <c r="AU22" s="116">
        <v>5000</v>
      </c>
      <c r="AV22" s="74">
        <v>4400</v>
      </c>
      <c r="AW22" s="76">
        <f>AVERAGE(AS22,AT22,AU22)</f>
        <v>10612.333333333334</v>
      </c>
      <c r="AX22" s="24">
        <f t="shared" si="56"/>
        <v>-10062.666666666666</v>
      </c>
      <c r="AY22" s="25">
        <f t="shared" si="73"/>
        <v>-0.48670697299476012</v>
      </c>
      <c r="AZ22" s="309">
        <f t="shared" si="74"/>
        <v>10612.333333333334</v>
      </c>
      <c r="BA22" s="604">
        <f>AW22</f>
        <v>10612.333333333334</v>
      </c>
      <c r="BB22" s="513">
        <v>20675</v>
      </c>
      <c r="BC22" s="575">
        <f t="shared" si="21"/>
        <v>21837</v>
      </c>
      <c r="BD22" s="74">
        <v>4600</v>
      </c>
      <c r="BE22" s="74">
        <v>8000</v>
      </c>
      <c r="BF22" s="75">
        <v>5300</v>
      </c>
      <c r="BG22" s="61">
        <v>9500</v>
      </c>
      <c r="BH22" s="60">
        <v>12000</v>
      </c>
      <c r="BI22" s="74">
        <v>7934.9999999999982</v>
      </c>
      <c r="BJ22" s="79">
        <v>5300</v>
      </c>
      <c r="BK22" s="79">
        <v>4000</v>
      </c>
      <c r="BL22" s="127">
        <v>4800</v>
      </c>
      <c r="BM22" s="128">
        <v>5000</v>
      </c>
      <c r="BN22" s="128">
        <v>5000</v>
      </c>
      <c r="BO22" s="76">
        <f>AVERAGE(BC22,BD22,BE22,BF22,BG22,BH22,BI22,BJ22,BL22,BM22,BN22)</f>
        <v>8115.636363636364</v>
      </c>
      <c r="BP22" s="24">
        <f t="shared" si="60"/>
        <v>-12559.363636363636</v>
      </c>
      <c r="BQ22" s="25">
        <f t="shared" si="75"/>
        <v>-0.60746619764757614</v>
      </c>
      <c r="BR22" s="259">
        <f t="shared" si="61"/>
        <v>8115.636363636364</v>
      </c>
      <c r="BS22" s="607">
        <f t="shared" si="22"/>
        <v>8115.636363636364</v>
      </c>
    </row>
    <row r="23" spans="1:71" ht="30" customHeight="1">
      <c r="A23" s="91" t="s">
        <v>7</v>
      </c>
      <c r="B23" s="358" t="s">
        <v>2214</v>
      </c>
      <c r="C23" s="50" t="s">
        <v>70</v>
      </c>
      <c r="D23" s="99" t="s">
        <v>406</v>
      </c>
      <c r="E23" s="392" t="s">
        <v>13</v>
      </c>
      <c r="F23" s="410">
        <v>19584</v>
      </c>
      <c r="G23" s="589">
        <f t="shared" si="23"/>
        <v>20685</v>
      </c>
      <c r="H23" s="10">
        <v>28340</v>
      </c>
      <c r="I23" s="167">
        <v>56680</v>
      </c>
      <c r="J23" s="10">
        <v>27860</v>
      </c>
      <c r="K23" s="76">
        <f>AVERAGE(H23,J23,G23,I23)</f>
        <v>33391.25</v>
      </c>
      <c r="L23" s="24">
        <f t="shared" si="62"/>
        <v>13807.25</v>
      </c>
      <c r="M23" s="281">
        <f t="shared" si="10"/>
        <v>0.6675006043026348</v>
      </c>
      <c r="N23" s="597">
        <f t="shared" si="24"/>
        <v>33391.25</v>
      </c>
      <c r="O23" s="410">
        <v>25307</v>
      </c>
      <c r="P23" s="575">
        <f t="shared" si="25"/>
        <v>26729</v>
      </c>
      <c r="Q23" s="10">
        <v>55000</v>
      </c>
      <c r="R23" s="10">
        <v>66000</v>
      </c>
      <c r="S23" s="268">
        <v>60000</v>
      </c>
      <c r="T23" s="10">
        <v>50000</v>
      </c>
      <c r="U23" s="76">
        <f>AVERAGE(O23:Q23,R23,S23,T23)</f>
        <v>47172.666666666664</v>
      </c>
      <c r="V23" s="24">
        <f t="shared" si="11"/>
        <v>20443.666666666664</v>
      </c>
      <c r="W23" s="281">
        <f t="shared" si="69"/>
        <v>0.80782655655220548</v>
      </c>
      <c r="X23" s="462">
        <f t="shared" si="77"/>
        <v>47172.666666666664</v>
      </c>
      <c r="Y23" s="410">
        <v>47042</v>
      </c>
      <c r="Z23" s="575">
        <f t="shared" si="13"/>
        <v>49686</v>
      </c>
      <c r="AA23" s="10">
        <v>61182</v>
      </c>
      <c r="AB23" s="31">
        <v>79537</v>
      </c>
      <c r="AC23" s="471">
        <v>53477.599999999999</v>
      </c>
      <c r="AD23" s="76">
        <f t="shared" ref="AD23:AD27" si="79">AVERAGE(AA23,AC23,Z23)</f>
        <v>54781.866666666669</v>
      </c>
      <c r="AE23" s="24">
        <f t="shared" si="14"/>
        <v>5095.8666666666686</v>
      </c>
      <c r="AF23" s="25">
        <f t="shared" si="50"/>
        <v>0.10832589317347623</v>
      </c>
      <c r="AG23" s="602">
        <f t="shared" si="51"/>
        <v>54781.866666666669</v>
      </c>
      <c r="AH23" s="601">
        <f t="shared" si="52"/>
        <v>54781.866666666669</v>
      </c>
      <c r="AI23" s="410">
        <v>28117</v>
      </c>
      <c r="AJ23" s="575">
        <f t="shared" si="15"/>
        <v>29697</v>
      </c>
      <c r="AK23" s="45">
        <v>54000</v>
      </c>
      <c r="AL23" s="45">
        <v>33179</v>
      </c>
      <c r="AM23" s="45">
        <v>30000</v>
      </c>
      <c r="AN23" s="76">
        <f>AVERAGE(AL23,AM23,AJ23)</f>
        <v>30958.666666666668</v>
      </c>
      <c r="AO23" s="24">
        <f t="shared" si="70"/>
        <v>2841.6666666666679</v>
      </c>
      <c r="AP23" s="281">
        <f t="shared" si="71"/>
        <v>0.10106578463800078</v>
      </c>
      <c r="AQ23" s="601">
        <f t="shared" si="72"/>
        <v>30958.666666666668</v>
      </c>
      <c r="AR23" s="513">
        <v>28117</v>
      </c>
      <c r="AS23" s="575">
        <f t="shared" si="31"/>
        <v>29697</v>
      </c>
      <c r="AT23" s="88">
        <v>55000</v>
      </c>
      <c r="AU23" s="116">
        <v>55000</v>
      </c>
      <c r="AV23" s="74">
        <v>53350</v>
      </c>
      <c r="AW23" s="76">
        <f t="shared" si="32"/>
        <v>48261.75</v>
      </c>
      <c r="AX23" s="24">
        <f t="shared" si="56"/>
        <v>20144.75</v>
      </c>
      <c r="AY23" s="25">
        <f t="shared" si="73"/>
        <v>0.71646157129138954</v>
      </c>
      <c r="AZ23" s="309" t="str">
        <f t="shared" si="74"/>
        <v>REVISAR PRECIO</v>
      </c>
      <c r="BA23" s="601">
        <f t="shared" si="59"/>
        <v>48261.75</v>
      </c>
      <c r="BB23" s="513">
        <v>28117</v>
      </c>
      <c r="BC23" s="575">
        <f t="shared" si="21"/>
        <v>29697</v>
      </c>
      <c r="BD23" s="74">
        <v>55775</v>
      </c>
      <c r="BE23" s="74">
        <v>58000</v>
      </c>
      <c r="BF23" s="75">
        <v>64262.5</v>
      </c>
      <c r="BG23" s="61">
        <v>55774.999999999993</v>
      </c>
      <c r="BH23" s="60">
        <v>18000</v>
      </c>
      <c r="BI23" s="74">
        <v>64141.249999999985</v>
      </c>
      <c r="BJ23" s="79">
        <v>64262.5</v>
      </c>
      <c r="BK23" s="79">
        <v>48500</v>
      </c>
      <c r="BL23" s="127">
        <v>58200</v>
      </c>
      <c r="BM23" s="128">
        <v>51600</v>
      </c>
      <c r="BN23" s="128">
        <v>50000</v>
      </c>
      <c r="BO23" s="76">
        <f>AVERAGE(BC23,BD23,BE23,BF23,BG23,BI23,BJ23,BK23,BL23,BM23,BN23)</f>
        <v>54564.840909090912</v>
      </c>
      <c r="BP23" s="24">
        <f t="shared" si="60"/>
        <v>26447.840909090912</v>
      </c>
      <c r="BQ23" s="25">
        <f t="shared" si="75"/>
        <v>0.94063523523458803</v>
      </c>
      <c r="BR23" s="259" t="str">
        <f t="shared" si="61"/>
        <v>REVISAR PRECIO</v>
      </c>
      <c r="BS23" s="607">
        <f t="shared" si="22"/>
        <v>54564.840909090912</v>
      </c>
    </row>
    <row r="24" spans="1:71" ht="30" customHeight="1">
      <c r="A24" s="91" t="s">
        <v>7</v>
      </c>
      <c r="B24" s="358" t="s">
        <v>2215</v>
      </c>
      <c r="C24" s="50" t="s">
        <v>71</v>
      </c>
      <c r="D24" s="99" t="s">
        <v>407</v>
      </c>
      <c r="E24" s="392" t="s">
        <v>13</v>
      </c>
      <c r="F24" s="410">
        <v>36671</v>
      </c>
      <c r="G24" s="589">
        <f t="shared" si="23"/>
        <v>38732</v>
      </c>
      <c r="H24" s="10">
        <v>52300</v>
      </c>
      <c r="I24" s="167">
        <v>209200</v>
      </c>
      <c r="J24" s="10">
        <v>48500</v>
      </c>
      <c r="K24" s="76">
        <f>AVERAGE(G24,J24)</f>
        <v>43616</v>
      </c>
      <c r="L24" s="24">
        <f t="shared" si="62"/>
        <v>6945</v>
      </c>
      <c r="M24" s="281">
        <f t="shared" si="10"/>
        <v>0.17930909841991119</v>
      </c>
      <c r="N24" s="597">
        <f t="shared" si="24"/>
        <v>43616</v>
      </c>
      <c r="O24" s="410">
        <v>17618</v>
      </c>
      <c r="P24" s="575">
        <f t="shared" si="25"/>
        <v>18608</v>
      </c>
      <c r="Q24" s="10">
        <v>42000</v>
      </c>
      <c r="R24" s="10">
        <v>48000</v>
      </c>
      <c r="S24" s="268">
        <v>45000</v>
      </c>
      <c r="T24" s="10">
        <v>50000</v>
      </c>
      <c r="U24" s="76">
        <f>AVERAGE(P24:Q24,R24,S24,T24)</f>
        <v>40721.599999999999</v>
      </c>
      <c r="V24" s="24">
        <f t="shared" si="11"/>
        <v>22113.599999999999</v>
      </c>
      <c r="W24" s="281">
        <f t="shared" si="69"/>
        <v>1.2551708479963672</v>
      </c>
      <c r="X24" s="462">
        <f t="shared" si="77"/>
        <v>40721.599999999999</v>
      </c>
      <c r="Y24" s="410">
        <v>32759</v>
      </c>
      <c r="Z24" s="575">
        <f t="shared" si="13"/>
        <v>34600</v>
      </c>
      <c r="AA24" s="10">
        <v>42606</v>
      </c>
      <c r="AB24" s="33">
        <v>55388</v>
      </c>
      <c r="AC24" s="471">
        <v>37240.800000000003</v>
      </c>
      <c r="AD24" s="76">
        <f t="shared" si="79"/>
        <v>38148.933333333334</v>
      </c>
      <c r="AE24" s="24">
        <f t="shared" si="14"/>
        <v>3548.9333333333343</v>
      </c>
      <c r="AF24" s="25">
        <f t="shared" si="50"/>
        <v>0.10833460524843049</v>
      </c>
      <c r="AG24" s="602">
        <f t="shared" si="51"/>
        <v>38148.933333333334</v>
      </c>
      <c r="AH24" s="601">
        <f t="shared" si="52"/>
        <v>38148.933333333334</v>
      </c>
      <c r="AI24" s="410">
        <v>19583</v>
      </c>
      <c r="AJ24" s="575">
        <f t="shared" si="15"/>
        <v>20684</v>
      </c>
      <c r="AK24" s="45">
        <v>27000</v>
      </c>
      <c r="AL24" s="45">
        <v>23101</v>
      </c>
      <c r="AM24" s="45">
        <v>26000</v>
      </c>
      <c r="AN24" s="76">
        <f>AVERAGE(AK24,AM24)</f>
        <v>26500</v>
      </c>
      <c r="AO24" s="24">
        <f t="shared" si="70"/>
        <v>6917</v>
      </c>
      <c r="AP24" s="281">
        <f t="shared" si="71"/>
        <v>0.35321452280038806</v>
      </c>
      <c r="AQ24" s="601">
        <f t="shared" si="72"/>
        <v>26500</v>
      </c>
      <c r="AR24" s="513">
        <v>19583</v>
      </c>
      <c r="AS24" s="575">
        <f t="shared" si="31"/>
        <v>20684</v>
      </c>
      <c r="AT24" s="88">
        <v>30000</v>
      </c>
      <c r="AU24" s="116">
        <v>30000</v>
      </c>
      <c r="AV24" s="74">
        <v>31174</v>
      </c>
      <c r="AW24" s="76">
        <f t="shared" si="32"/>
        <v>27964.5</v>
      </c>
      <c r="AX24" s="24">
        <f t="shared" si="56"/>
        <v>8381.5</v>
      </c>
      <c r="AY24" s="25">
        <f t="shared" si="73"/>
        <v>0.42799877444722462</v>
      </c>
      <c r="AZ24" s="309" t="str">
        <f t="shared" si="74"/>
        <v>REVISAR PRECIO</v>
      </c>
      <c r="BA24" s="601">
        <f t="shared" si="59"/>
        <v>27964.5</v>
      </c>
      <c r="BB24" s="513">
        <v>19583</v>
      </c>
      <c r="BC24" s="575">
        <f t="shared" si="21"/>
        <v>20684</v>
      </c>
      <c r="BD24" s="74">
        <v>32591</v>
      </c>
      <c r="BE24" s="74">
        <v>45000</v>
      </c>
      <c r="BF24" s="75">
        <v>37550.5</v>
      </c>
      <c r="BG24" s="61">
        <v>53589.999999999993</v>
      </c>
      <c r="BH24" s="60">
        <v>120000</v>
      </c>
      <c r="BI24" s="74">
        <v>61628.499999999985</v>
      </c>
      <c r="BJ24" s="79">
        <v>37550.5</v>
      </c>
      <c r="BK24" s="79">
        <f>21800*1.3</f>
        <v>28340</v>
      </c>
      <c r="BL24" s="127">
        <v>34008</v>
      </c>
      <c r="BM24" s="128">
        <v>30000</v>
      </c>
      <c r="BN24" s="128">
        <v>30000</v>
      </c>
      <c r="BO24" s="76">
        <f>AVERAGE(BC24,BD24,BF24,BJ24,BK24,BL24,BM24,BN24,BE24,BG24,BI24)</f>
        <v>37358.409090909088</v>
      </c>
      <c r="BP24" s="24">
        <f t="shared" si="60"/>
        <v>17775.409090909088</v>
      </c>
      <c r="BQ24" s="25">
        <f t="shared" si="75"/>
        <v>0.90769591435985741</v>
      </c>
      <c r="BR24" s="259" t="str">
        <f t="shared" si="61"/>
        <v>REVISAR PRECIO</v>
      </c>
      <c r="BS24" s="607">
        <f t="shared" si="22"/>
        <v>37358.409090909088</v>
      </c>
    </row>
    <row r="25" spans="1:71" ht="30" customHeight="1">
      <c r="A25" s="91" t="s">
        <v>7</v>
      </c>
      <c r="B25" s="358" t="s">
        <v>2216</v>
      </c>
      <c r="C25" s="50" t="s">
        <v>72</v>
      </c>
      <c r="D25" s="99" t="s">
        <v>408</v>
      </c>
      <c r="E25" s="392" t="s">
        <v>13</v>
      </c>
      <c r="F25" s="410">
        <v>73349</v>
      </c>
      <c r="G25" s="589">
        <f t="shared" si="23"/>
        <v>77471</v>
      </c>
      <c r="H25" s="10">
        <v>92600</v>
      </c>
      <c r="I25" s="167">
        <v>370400</v>
      </c>
      <c r="J25" s="10">
        <v>86952</v>
      </c>
      <c r="K25" s="76">
        <f>AVERAGE(G25,J25)</f>
        <v>82211.5</v>
      </c>
      <c r="L25" s="24">
        <f t="shared" si="62"/>
        <v>8862.5</v>
      </c>
      <c r="M25" s="281">
        <f t="shared" si="10"/>
        <v>0.11439764557060061</v>
      </c>
      <c r="N25" s="597">
        <f>G25</f>
        <v>77471</v>
      </c>
      <c r="O25" s="410">
        <v>33005</v>
      </c>
      <c r="P25" s="575">
        <f t="shared" si="25"/>
        <v>34860</v>
      </c>
      <c r="Q25" s="10">
        <v>35000</v>
      </c>
      <c r="R25" s="10">
        <v>42000</v>
      </c>
      <c r="S25" s="268">
        <v>40000</v>
      </c>
      <c r="T25" s="10">
        <v>40000</v>
      </c>
      <c r="U25" s="76">
        <f>AVERAGE(P25:Q25,R25,S25,T25)</f>
        <v>38372</v>
      </c>
      <c r="V25" s="24">
        <f t="shared" si="11"/>
        <v>3512</v>
      </c>
      <c r="W25" s="281">
        <f t="shared" si="69"/>
        <v>0.10640811998182094</v>
      </c>
      <c r="X25" s="462">
        <f t="shared" si="77"/>
        <v>38372</v>
      </c>
      <c r="Y25" s="410">
        <v>61356</v>
      </c>
      <c r="Z25" s="575">
        <f t="shared" si="13"/>
        <v>64804</v>
      </c>
      <c r="AA25" s="10">
        <v>79799</v>
      </c>
      <c r="AB25" s="31">
        <v>103738</v>
      </c>
      <c r="AC25" s="471">
        <v>69749.8</v>
      </c>
      <c r="AD25" s="76">
        <f t="shared" si="79"/>
        <v>71450.933333333334</v>
      </c>
      <c r="AE25" s="24">
        <f t="shared" si="14"/>
        <v>6646.9333333333343</v>
      </c>
      <c r="AF25" s="25">
        <f t="shared" si="50"/>
        <v>0.10833387661081775</v>
      </c>
      <c r="AG25" s="602">
        <f t="shared" si="51"/>
        <v>71450.933333333334</v>
      </c>
      <c r="AH25" s="601">
        <f t="shared" si="52"/>
        <v>71450.933333333334</v>
      </c>
      <c r="AI25" s="410">
        <v>36669</v>
      </c>
      <c r="AJ25" s="575">
        <f t="shared" si="15"/>
        <v>38730</v>
      </c>
      <c r="AK25" s="45">
        <v>51000</v>
      </c>
      <c r="AL25" s="45">
        <v>32070</v>
      </c>
      <c r="AM25" s="45">
        <v>50000</v>
      </c>
      <c r="AN25" s="76">
        <f t="shared" si="29"/>
        <v>42950</v>
      </c>
      <c r="AO25" s="24">
        <f t="shared" si="70"/>
        <v>6281</v>
      </c>
      <c r="AP25" s="281">
        <f t="shared" si="71"/>
        <v>0.17128909978455917</v>
      </c>
      <c r="AQ25" s="601">
        <f t="shared" si="72"/>
        <v>42950</v>
      </c>
      <c r="AR25" s="513">
        <v>36669</v>
      </c>
      <c r="AS25" s="575">
        <f t="shared" si="31"/>
        <v>38730</v>
      </c>
      <c r="AT25" s="88">
        <v>55000</v>
      </c>
      <c r="AU25" s="116">
        <v>60000</v>
      </c>
      <c r="AV25" s="74">
        <v>58630</v>
      </c>
      <c r="AW25" s="76">
        <f t="shared" si="32"/>
        <v>53090</v>
      </c>
      <c r="AX25" s="24">
        <f t="shared" si="56"/>
        <v>16421</v>
      </c>
      <c r="AY25" s="25">
        <f t="shared" si="73"/>
        <v>0.44781695710272984</v>
      </c>
      <c r="AZ25" s="309" t="str">
        <f t="shared" si="74"/>
        <v>REVISAR PRECIO</v>
      </c>
      <c r="BA25" s="601">
        <f t="shared" si="59"/>
        <v>53090</v>
      </c>
      <c r="BB25" s="513">
        <v>36669</v>
      </c>
      <c r="BC25" s="575">
        <f t="shared" si="21"/>
        <v>38730</v>
      </c>
      <c r="BD25" s="74">
        <v>61295</v>
      </c>
      <c r="BE25" s="74">
        <v>65000</v>
      </c>
      <c r="BF25" s="75">
        <v>70622.5</v>
      </c>
      <c r="BG25" s="61">
        <v>61294.999999999993</v>
      </c>
      <c r="BH25" s="60">
        <v>98000</v>
      </c>
      <c r="BI25" s="74">
        <v>70489.249999999985</v>
      </c>
      <c r="BJ25" s="79">
        <v>70622.5</v>
      </c>
      <c r="BK25" s="79">
        <f>41000*1.3</f>
        <v>53300</v>
      </c>
      <c r="BL25" s="127">
        <v>63960</v>
      </c>
      <c r="BM25" s="128">
        <v>60000</v>
      </c>
      <c r="BN25" s="128">
        <v>59500</v>
      </c>
      <c r="BO25" s="76">
        <f>AVERAGE(BC25,BD25,BE25,BG25,BK25,BL25,BM25,BN25,BI25,BJ25)</f>
        <v>60419.175000000003</v>
      </c>
      <c r="BP25" s="24">
        <f t="shared" si="60"/>
        <v>23750.175000000003</v>
      </c>
      <c r="BQ25" s="25">
        <f t="shared" si="75"/>
        <v>0.64769082876544226</v>
      </c>
      <c r="BR25" s="259" t="str">
        <f t="shared" si="61"/>
        <v>REVISAR PRECIO</v>
      </c>
      <c r="BS25" s="607">
        <f t="shared" si="22"/>
        <v>60419.175000000003</v>
      </c>
    </row>
    <row r="26" spans="1:71" ht="30" customHeight="1">
      <c r="A26" s="91" t="s">
        <v>7</v>
      </c>
      <c r="B26" s="358" t="s">
        <v>2217</v>
      </c>
      <c r="C26" s="50" t="s">
        <v>73</v>
      </c>
      <c r="D26" s="99" t="s">
        <v>409</v>
      </c>
      <c r="E26" s="392" t="s">
        <v>13</v>
      </c>
      <c r="F26" s="410">
        <v>16604</v>
      </c>
      <c r="G26" s="589">
        <f t="shared" si="23"/>
        <v>17537</v>
      </c>
      <c r="H26" s="10">
        <v>10000</v>
      </c>
      <c r="I26" s="167">
        <v>40000</v>
      </c>
      <c r="J26" s="10">
        <v>6500</v>
      </c>
      <c r="K26" s="76">
        <f>AVERAGE(G26,I26)</f>
        <v>28768.5</v>
      </c>
      <c r="L26" s="24">
        <f t="shared" si="62"/>
        <v>12164.5</v>
      </c>
      <c r="M26" s="281">
        <f t="shared" si="10"/>
        <v>0.69364771625705646</v>
      </c>
      <c r="N26" s="597">
        <f>AVERAGE(X26,AQ26,BA26)</f>
        <v>84672.277777777766</v>
      </c>
      <c r="O26" s="410">
        <v>66010</v>
      </c>
      <c r="P26" s="575">
        <f t="shared" si="25"/>
        <v>69720</v>
      </c>
      <c r="Q26" s="10">
        <v>75000</v>
      </c>
      <c r="R26" s="10">
        <v>81000</v>
      </c>
      <c r="S26" s="268">
        <v>78000</v>
      </c>
      <c r="T26" s="10">
        <v>80000</v>
      </c>
      <c r="U26" s="76">
        <f>AVERAGE(O26:Q26,R26,S26,T26)</f>
        <v>74955</v>
      </c>
      <c r="V26" s="24">
        <f t="shared" si="11"/>
        <v>5235</v>
      </c>
      <c r="W26" s="281">
        <f t="shared" si="69"/>
        <v>7.9306165732464781E-2</v>
      </c>
      <c r="X26" s="462">
        <f t="shared" si="77"/>
        <v>74955</v>
      </c>
      <c r="Y26" s="410">
        <v>122712</v>
      </c>
      <c r="Z26" s="575">
        <f t="shared" si="13"/>
        <v>129608</v>
      </c>
      <c r="AA26" s="10">
        <v>159597</v>
      </c>
      <c r="AB26" s="31">
        <v>207476</v>
      </c>
      <c r="AC26" s="471">
        <v>139499.6</v>
      </c>
      <c r="AD26" s="76">
        <f t="shared" si="79"/>
        <v>142901.53333333333</v>
      </c>
      <c r="AE26" s="24">
        <f t="shared" si="14"/>
        <v>13293.533333333326</v>
      </c>
      <c r="AF26" s="25">
        <f t="shared" si="50"/>
        <v>0.10833116022339564</v>
      </c>
      <c r="AG26" s="602">
        <f t="shared" si="51"/>
        <v>142901.53333333333</v>
      </c>
      <c r="AH26" s="601">
        <f t="shared" si="52"/>
        <v>142901.53333333333</v>
      </c>
      <c r="AI26" s="410">
        <v>79708</v>
      </c>
      <c r="AJ26" s="575">
        <f t="shared" si="15"/>
        <v>84188</v>
      </c>
      <c r="AK26" s="45">
        <v>90000</v>
      </c>
      <c r="AL26" s="45">
        <v>103712</v>
      </c>
      <c r="AM26" s="45">
        <v>80000</v>
      </c>
      <c r="AN26" s="76">
        <f>AVERAGE(AK26,AM26,AJ26)</f>
        <v>84729.333333333328</v>
      </c>
      <c r="AO26" s="24">
        <f t="shared" si="70"/>
        <v>5021.3333333333285</v>
      </c>
      <c r="AP26" s="281">
        <f t="shared" si="71"/>
        <v>6.2996604272260351E-2</v>
      </c>
      <c r="AQ26" s="601">
        <f t="shared" si="72"/>
        <v>84729.333333333328</v>
      </c>
      <c r="AR26" s="513">
        <v>73348</v>
      </c>
      <c r="AS26" s="575">
        <f t="shared" si="31"/>
        <v>77470</v>
      </c>
      <c r="AT26" s="88">
        <v>98000</v>
      </c>
      <c r="AU26" s="116">
        <v>100000</v>
      </c>
      <c r="AV26" s="74">
        <v>101860</v>
      </c>
      <c r="AW26" s="76">
        <f t="shared" si="32"/>
        <v>94332.5</v>
      </c>
      <c r="AX26" s="24">
        <f t="shared" si="56"/>
        <v>20984.5</v>
      </c>
      <c r="AY26" s="25">
        <f t="shared" si="73"/>
        <v>0.28609505371652943</v>
      </c>
      <c r="AZ26" s="309">
        <f>AS26</f>
        <v>77470</v>
      </c>
      <c r="BA26" s="601">
        <f t="shared" si="59"/>
        <v>94332.5</v>
      </c>
      <c r="BB26" s="513">
        <v>73348</v>
      </c>
      <c r="BC26" s="575">
        <f t="shared" si="21"/>
        <v>77470</v>
      </c>
      <c r="BD26" s="74">
        <v>106490</v>
      </c>
      <c r="BE26" s="74">
        <v>120000</v>
      </c>
      <c r="BF26" s="75">
        <v>122695</v>
      </c>
      <c r="BG26" s="61">
        <v>106489.99999999999</v>
      </c>
      <c r="BH26" s="60">
        <v>160000</v>
      </c>
      <c r="BI26" s="74">
        <v>122463.49999999997</v>
      </c>
      <c r="BJ26" s="79">
        <v>122695</v>
      </c>
      <c r="BK26" s="79">
        <v>92600</v>
      </c>
      <c r="BL26" s="127">
        <v>111120</v>
      </c>
      <c r="BM26" s="128">
        <v>111000</v>
      </c>
      <c r="BN26" s="128">
        <v>100500</v>
      </c>
      <c r="BO26" s="76">
        <f>AVERAGE(BC26,BD26,BE26,BF26,BG26,BI26,BJ26,BK26,BL26,BM26,BN26)</f>
        <v>108502.13636363637</v>
      </c>
      <c r="BP26" s="24">
        <f t="shared" si="60"/>
        <v>35154.136363636368</v>
      </c>
      <c r="BQ26" s="25">
        <f t="shared" si="75"/>
        <v>0.47927873103065344</v>
      </c>
      <c r="BR26" s="259" t="str">
        <f t="shared" si="61"/>
        <v>REVISAR PRECIO</v>
      </c>
      <c r="BS26" s="607">
        <f t="shared" si="22"/>
        <v>108502.13636363637</v>
      </c>
    </row>
    <row r="27" spans="1:71" ht="30" customHeight="1">
      <c r="A27" s="91" t="s">
        <v>7</v>
      </c>
      <c r="B27" s="358" t="s">
        <v>2218</v>
      </c>
      <c r="C27" s="50" t="s">
        <v>74</v>
      </c>
      <c r="D27" s="99" t="s">
        <v>410</v>
      </c>
      <c r="E27" s="392" t="s">
        <v>14</v>
      </c>
      <c r="F27" s="410">
        <v>16394</v>
      </c>
      <c r="G27" s="589">
        <f t="shared" si="23"/>
        <v>17315</v>
      </c>
      <c r="H27" s="10">
        <v>28000</v>
      </c>
      <c r="I27" s="167">
        <v>112000</v>
      </c>
      <c r="J27" s="10">
        <v>22600</v>
      </c>
      <c r="K27" s="76">
        <f>AVERAGE(H27,J27,G27)</f>
        <v>22638.333333333332</v>
      </c>
      <c r="L27" s="24">
        <f t="shared" si="62"/>
        <v>6244.3333333333321</v>
      </c>
      <c r="M27" s="281">
        <f t="shared" si="10"/>
        <v>0.36063143709692935</v>
      </c>
      <c r="N27" s="597">
        <f t="shared" si="24"/>
        <v>22638.333333333332</v>
      </c>
      <c r="O27" s="410">
        <v>15093</v>
      </c>
      <c r="P27" s="575">
        <f t="shared" si="25"/>
        <v>15941</v>
      </c>
      <c r="Q27" s="10">
        <v>15000</v>
      </c>
      <c r="R27" s="10">
        <v>17000</v>
      </c>
      <c r="S27" s="268">
        <v>17000</v>
      </c>
      <c r="T27" s="10">
        <v>10000</v>
      </c>
      <c r="U27" s="76">
        <f>AVERAGE(Q27,R27,S27)</f>
        <v>16333.333333333334</v>
      </c>
      <c r="V27" s="24">
        <f t="shared" si="11"/>
        <v>392.33333333333394</v>
      </c>
      <c r="W27" s="281">
        <f t="shared" si="69"/>
        <v>2.5994390335475646E-2</v>
      </c>
      <c r="X27" s="462">
        <f t="shared" si="77"/>
        <v>16333.333333333334</v>
      </c>
      <c r="Y27" s="410">
        <v>28337</v>
      </c>
      <c r="Z27" s="575">
        <f t="shared" si="13"/>
        <v>29930</v>
      </c>
      <c r="AA27" s="10">
        <v>36855</v>
      </c>
      <c r="AB27" s="31">
        <v>47912</v>
      </c>
      <c r="AC27" s="471">
        <v>32214</v>
      </c>
      <c r="AD27" s="76">
        <f t="shared" si="79"/>
        <v>32999.666666666664</v>
      </c>
      <c r="AE27" s="24">
        <f t="shared" si="14"/>
        <v>3069.6666666666642</v>
      </c>
      <c r="AF27" s="25">
        <f t="shared" si="50"/>
        <v>0.10832715766194954</v>
      </c>
      <c r="AG27" s="602">
        <f t="shared" si="51"/>
        <v>32999.666666666664</v>
      </c>
      <c r="AH27" s="601">
        <f t="shared" si="52"/>
        <v>32999.666666666664</v>
      </c>
      <c r="AI27" s="410">
        <v>16858</v>
      </c>
      <c r="AJ27" s="575">
        <f t="shared" si="15"/>
        <v>17805</v>
      </c>
      <c r="AK27" s="45">
        <v>10000</v>
      </c>
      <c r="AL27" s="45">
        <v>19593</v>
      </c>
      <c r="AM27" s="45">
        <v>9000</v>
      </c>
      <c r="AN27" s="76">
        <f>AVERAGE(AL27,AJ27)</f>
        <v>18699</v>
      </c>
      <c r="AO27" s="24">
        <f t="shared" si="70"/>
        <v>1841</v>
      </c>
      <c r="AP27" s="281">
        <f t="shared" si="71"/>
        <v>0.10920631154348084</v>
      </c>
      <c r="AQ27" s="601">
        <f t="shared" si="72"/>
        <v>18699</v>
      </c>
      <c r="AR27" s="513">
        <v>16934</v>
      </c>
      <c r="AS27" s="575">
        <f t="shared" si="31"/>
        <v>17886</v>
      </c>
      <c r="AT27" s="88">
        <v>10500</v>
      </c>
      <c r="AU27" s="116">
        <v>10500</v>
      </c>
      <c r="AV27" s="74">
        <v>11000</v>
      </c>
      <c r="AW27" s="76">
        <f t="shared" si="32"/>
        <v>12471.5</v>
      </c>
      <c r="AX27" s="24">
        <f t="shared" si="56"/>
        <v>-4462.5</v>
      </c>
      <c r="AY27" s="25">
        <f t="shared" si="73"/>
        <v>-0.26352308964214005</v>
      </c>
      <c r="AZ27" s="309">
        <f t="shared" si="74"/>
        <v>12471.5</v>
      </c>
      <c r="BA27" s="604">
        <f>AS27</f>
        <v>17886</v>
      </c>
      <c r="BB27" s="513">
        <v>16934</v>
      </c>
      <c r="BC27" s="575">
        <f t="shared" si="21"/>
        <v>17886</v>
      </c>
      <c r="BD27" s="74">
        <v>11500</v>
      </c>
      <c r="BE27" s="74">
        <v>15000</v>
      </c>
      <c r="BF27" s="75">
        <v>13250</v>
      </c>
      <c r="BG27" s="61">
        <v>15000</v>
      </c>
      <c r="BH27" s="60">
        <v>12000</v>
      </c>
      <c r="BI27" s="74">
        <v>16398.999999999996</v>
      </c>
      <c r="BJ27" s="79">
        <v>13250</v>
      </c>
      <c r="BK27" s="79">
        <v>10000</v>
      </c>
      <c r="BL27" s="127">
        <v>12000</v>
      </c>
      <c r="BM27" s="128">
        <v>12000</v>
      </c>
      <c r="BN27" s="128">
        <v>10000</v>
      </c>
      <c r="BO27" s="76">
        <f>AVERAGE(BC27,BD27,BE27,BF27,BG27,BH27,BI27,BJ27,BL27,BM27)</f>
        <v>13828.5</v>
      </c>
      <c r="BP27" s="24">
        <f t="shared" si="60"/>
        <v>-3105.5</v>
      </c>
      <c r="BQ27" s="25">
        <f t="shared" si="75"/>
        <v>-0.18338844927365064</v>
      </c>
      <c r="BR27" s="259">
        <f t="shared" si="61"/>
        <v>13828.5</v>
      </c>
      <c r="BS27" s="607">
        <f t="shared" si="22"/>
        <v>13828.5</v>
      </c>
    </row>
    <row r="28" spans="1:71" ht="30" customHeight="1">
      <c r="A28" s="91" t="s">
        <v>7</v>
      </c>
      <c r="B28" s="358" t="s">
        <v>2219</v>
      </c>
      <c r="C28" s="50" t="s">
        <v>75</v>
      </c>
      <c r="D28" s="99" t="s">
        <v>411</v>
      </c>
      <c r="E28" s="392" t="s">
        <v>14</v>
      </c>
      <c r="F28" s="410">
        <v>8819</v>
      </c>
      <c r="G28" s="589">
        <f t="shared" si="23"/>
        <v>9315</v>
      </c>
      <c r="H28" s="10">
        <v>11061.79</v>
      </c>
      <c r="I28" s="167">
        <v>33185.370000000003</v>
      </c>
      <c r="J28" s="10">
        <v>10000</v>
      </c>
      <c r="K28" s="76">
        <f>AVERAGE(H28,J28,G28,I28)</f>
        <v>15890.54</v>
      </c>
      <c r="L28" s="24">
        <f t="shared" si="62"/>
        <v>7071.5400000000009</v>
      </c>
      <c r="M28" s="281">
        <f t="shared" si="10"/>
        <v>0.7591561996779389</v>
      </c>
      <c r="N28" s="597">
        <f t="shared" si="24"/>
        <v>15890.54</v>
      </c>
      <c r="O28" s="410">
        <v>14894</v>
      </c>
      <c r="P28" s="575">
        <f t="shared" si="25"/>
        <v>15731</v>
      </c>
      <c r="Q28" s="10">
        <v>18000</v>
      </c>
      <c r="R28" s="10">
        <v>21000</v>
      </c>
      <c r="S28" s="269">
        <v>20000</v>
      </c>
      <c r="T28" s="10">
        <v>15000</v>
      </c>
      <c r="U28" s="76">
        <f>AVERAGE(P28:Q28,R28,S28,T28)</f>
        <v>17946.2</v>
      </c>
      <c r="V28" s="24">
        <f t="shared" si="11"/>
        <v>2215.2000000000007</v>
      </c>
      <c r="W28" s="281">
        <f t="shared" si="69"/>
        <v>0.14873103263058954</v>
      </c>
      <c r="X28" s="462">
        <f t="shared" si="77"/>
        <v>17946.2</v>
      </c>
      <c r="Y28" s="410">
        <v>27974</v>
      </c>
      <c r="Z28" s="575">
        <f t="shared" si="13"/>
        <v>29546</v>
      </c>
      <c r="AA28" s="10">
        <v>36383</v>
      </c>
      <c r="AB28" s="33">
        <v>36383</v>
      </c>
      <c r="AC28" s="471">
        <v>31801</v>
      </c>
      <c r="AD28" s="76">
        <f t="shared" si="37"/>
        <v>33528.25</v>
      </c>
      <c r="AE28" s="24">
        <f t="shared" si="14"/>
        <v>3982.25</v>
      </c>
      <c r="AF28" s="25">
        <f t="shared" si="50"/>
        <v>0.14235540144419817</v>
      </c>
      <c r="AG28" s="602">
        <f t="shared" si="51"/>
        <v>33528.25</v>
      </c>
      <c r="AH28" s="601">
        <f t="shared" si="52"/>
        <v>33528.25</v>
      </c>
      <c r="AI28" s="410">
        <v>16631</v>
      </c>
      <c r="AJ28" s="575">
        <f t="shared" si="15"/>
        <v>17566</v>
      </c>
      <c r="AK28" s="45">
        <v>35000</v>
      </c>
      <c r="AL28" s="45">
        <v>19338</v>
      </c>
      <c r="AM28" s="45">
        <v>27000</v>
      </c>
      <c r="AN28" s="76">
        <f>AVERAGE(AL28,AM28,AJ28)</f>
        <v>21301.333333333332</v>
      </c>
      <c r="AO28" s="24">
        <f t="shared" si="70"/>
        <v>4670.3333333333321</v>
      </c>
      <c r="AP28" s="281">
        <f t="shared" si="71"/>
        <v>0.2808209568476539</v>
      </c>
      <c r="AQ28" s="601">
        <f t="shared" si="72"/>
        <v>21301.333333333332</v>
      </c>
      <c r="AR28" s="513">
        <v>16716</v>
      </c>
      <c r="AS28" s="575">
        <f t="shared" si="31"/>
        <v>17655</v>
      </c>
      <c r="AT28" s="88">
        <v>33000</v>
      </c>
      <c r="AU28" s="116">
        <v>33000</v>
      </c>
      <c r="AV28" s="74">
        <v>30800</v>
      </c>
      <c r="AW28" s="76">
        <f t="shared" si="32"/>
        <v>28613.75</v>
      </c>
      <c r="AX28" s="24">
        <f t="shared" si="56"/>
        <v>11897.75</v>
      </c>
      <c r="AY28" s="25">
        <f t="shared" si="73"/>
        <v>0.71175819574060784</v>
      </c>
      <c r="AZ28" s="309" t="str">
        <f t="shared" si="74"/>
        <v>REVISAR PRECIO</v>
      </c>
      <c r="BA28" s="601">
        <f t="shared" si="59"/>
        <v>28613.75</v>
      </c>
      <c r="BB28" s="513">
        <v>16716</v>
      </c>
      <c r="BC28" s="575">
        <f t="shared" si="21"/>
        <v>17655</v>
      </c>
      <c r="BD28" s="74">
        <v>32200</v>
      </c>
      <c r="BE28" s="74">
        <v>34000</v>
      </c>
      <c r="BF28" s="75">
        <v>37100</v>
      </c>
      <c r="BG28" s="61">
        <v>32199.999999999996</v>
      </c>
      <c r="BH28" s="60">
        <v>10000</v>
      </c>
      <c r="BI28" s="74">
        <v>37029.999999999993</v>
      </c>
      <c r="BJ28" s="79">
        <v>37100</v>
      </c>
      <c r="BK28" s="79">
        <f>70000*0.4</f>
        <v>28000</v>
      </c>
      <c r="BL28" s="127">
        <v>33600</v>
      </c>
      <c r="BM28" s="128">
        <v>26000</v>
      </c>
      <c r="BN28" s="128">
        <v>30000</v>
      </c>
      <c r="BO28" s="76">
        <f>AVERAGE(BC28,BD28,BE28,BF28,BG28,BI28,BJ28,BK28,BL28,BM28,BN28)</f>
        <v>31353.18181818182</v>
      </c>
      <c r="BP28" s="24">
        <f t="shared" si="60"/>
        <v>14637.18181818182</v>
      </c>
      <c r="BQ28" s="25">
        <f t="shared" si="75"/>
        <v>0.87563901759881668</v>
      </c>
      <c r="BR28" s="259" t="str">
        <f t="shared" si="61"/>
        <v>REVISAR PRECIO</v>
      </c>
      <c r="BS28" s="607">
        <f t="shared" si="22"/>
        <v>31353.18181818182</v>
      </c>
    </row>
    <row r="29" spans="1:71" ht="30" customHeight="1">
      <c r="A29" s="91" t="s">
        <v>7</v>
      </c>
      <c r="B29" s="358" t="s">
        <v>2220</v>
      </c>
      <c r="C29" s="50" t="s">
        <v>76</v>
      </c>
      <c r="D29" s="99" t="s">
        <v>412</v>
      </c>
      <c r="E29" s="392" t="s">
        <v>12</v>
      </c>
      <c r="F29" s="410">
        <v>2991</v>
      </c>
      <c r="G29" s="589">
        <f t="shared" si="23"/>
        <v>3159</v>
      </c>
      <c r="H29" s="10">
        <v>5400</v>
      </c>
      <c r="I29" s="167">
        <v>16200</v>
      </c>
      <c r="J29" s="10">
        <v>3850</v>
      </c>
      <c r="K29" s="76">
        <f>AVERAGE(H29,J29,G29)</f>
        <v>4136.333333333333</v>
      </c>
      <c r="L29" s="24">
        <f t="shared" si="62"/>
        <v>1145.333333333333</v>
      </c>
      <c r="M29" s="281">
        <f t="shared" si="10"/>
        <v>0.36256199219162172</v>
      </c>
      <c r="N29" s="597">
        <f t="shared" si="24"/>
        <v>4136.333333333333</v>
      </c>
      <c r="O29" s="566">
        <v>7120</v>
      </c>
      <c r="P29" s="579">
        <f t="shared" si="25"/>
        <v>7520</v>
      </c>
      <c r="Q29" s="567">
        <v>6210</v>
      </c>
      <c r="R29" s="567">
        <v>6000</v>
      </c>
      <c r="S29" s="568">
        <f>18000*0.6*0.5</f>
        <v>5400</v>
      </c>
      <c r="T29" s="569">
        <v>6209.9999999999991</v>
      </c>
      <c r="U29" s="560">
        <f>AVERAGE(P29:Q29,R29,S29,T29)</f>
        <v>6268</v>
      </c>
      <c r="V29" s="561">
        <f t="shared" si="11"/>
        <v>-1252</v>
      </c>
      <c r="W29" s="281">
        <f t="shared" ref="W29" si="80">+V29/O29</f>
        <v>-0.17584269662921348</v>
      </c>
      <c r="X29" s="462">
        <f t="shared" ref="X29" si="81">U29</f>
        <v>6268</v>
      </c>
      <c r="Y29" s="410">
        <v>28856</v>
      </c>
      <c r="Z29" s="575">
        <f t="shared" si="13"/>
        <v>30478</v>
      </c>
      <c r="AA29" s="10">
        <v>37530</v>
      </c>
      <c r="AB29" s="31">
        <v>48789</v>
      </c>
      <c r="AC29" s="471">
        <v>32804</v>
      </c>
      <c r="AD29" s="76">
        <f>AVERAGE(AA29,AC29,Z29)</f>
        <v>33604</v>
      </c>
      <c r="AE29" s="24">
        <f t="shared" si="14"/>
        <v>3126</v>
      </c>
      <c r="AF29" s="25">
        <f t="shared" si="50"/>
        <v>0.10833102301081231</v>
      </c>
      <c r="AG29" s="602">
        <f t="shared" si="51"/>
        <v>33604</v>
      </c>
      <c r="AH29" s="601">
        <f t="shared" si="52"/>
        <v>33604</v>
      </c>
      <c r="AI29" s="562">
        <v>2991</v>
      </c>
      <c r="AJ29" s="612">
        <f t="shared" si="15"/>
        <v>3159</v>
      </c>
      <c r="AK29" s="568">
        <f>18000*0.6*0.5</f>
        <v>5400</v>
      </c>
      <c r="AL29" s="572">
        <v>6480</v>
      </c>
      <c r="AM29" s="570">
        <v>6000</v>
      </c>
      <c r="AN29" s="560">
        <f t="shared" ref="AN29:AN30" si="82">AVERAGE(AL29,AM29,AJ29)</f>
        <v>5213</v>
      </c>
      <c r="AO29" s="561">
        <f t="shared" ref="AO29:AO30" si="83">AN29-AI29</f>
        <v>2222</v>
      </c>
      <c r="AP29" s="281">
        <f t="shared" ref="AP29:AP30" si="84">+AO29/AI29</f>
        <v>0.7428953527248412</v>
      </c>
      <c r="AQ29" s="601">
        <f t="shared" ref="AQ29:AQ30" si="85">AN29</f>
        <v>5213</v>
      </c>
      <c r="AR29" s="513">
        <v>7120</v>
      </c>
      <c r="AS29" s="575">
        <f t="shared" si="31"/>
        <v>7520</v>
      </c>
      <c r="AT29" s="88">
        <v>6000</v>
      </c>
      <c r="AU29" s="116">
        <v>6000</v>
      </c>
      <c r="AV29" s="74">
        <v>5940</v>
      </c>
      <c r="AW29" s="76">
        <f t="shared" si="32"/>
        <v>6365</v>
      </c>
      <c r="AX29" s="24">
        <f t="shared" si="56"/>
        <v>-755</v>
      </c>
      <c r="AY29" s="25">
        <f t="shared" si="73"/>
        <v>-0.10603932584269662</v>
      </c>
      <c r="AZ29" s="309">
        <f t="shared" si="74"/>
        <v>6365</v>
      </c>
      <c r="BA29" s="601">
        <f t="shared" si="59"/>
        <v>6365</v>
      </c>
      <c r="BB29" s="513">
        <v>7120</v>
      </c>
      <c r="BC29" s="575">
        <f t="shared" si="21"/>
        <v>7520</v>
      </c>
      <c r="BD29" s="74">
        <v>6210</v>
      </c>
      <c r="BE29" s="74">
        <v>6000</v>
      </c>
      <c r="BF29" s="75">
        <v>7155</v>
      </c>
      <c r="BG29" s="61">
        <v>6209.9999999999991</v>
      </c>
      <c r="BH29" s="60"/>
      <c r="BI29" s="74">
        <v>7141.4999999999982</v>
      </c>
      <c r="BJ29" s="79">
        <v>7155</v>
      </c>
      <c r="BK29" s="79">
        <f>18000*0.6*0.5</f>
        <v>5400</v>
      </c>
      <c r="BL29" s="127">
        <v>6480</v>
      </c>
      <c r="BM29" s="128">
        <v>6000</v>
      </c>
      <c r="BN29" s="128">
        <v>6000</v>
      </c>
      <c r="BO29" s="608">
        <f>AVERAGE(BC29,BD29,BE29,BF29,BG29,BI29,BJ29,BL29,BM29,BN29)</f>
        <v>6587.15</v>
      </c>
      <c r="BP29" s="24">
        <f t="shared" si="60"/>
        <v>-532.85000000000036</v>
      </c>
      <c r="BQ29" s="25">
        <f t="shared" si="75"/>
        <v>-7.4838483146067461E-2</v>
      </c>
      <c r="BR29" s="259">
        <f t="shared" si="61"/>
        <v>6587.15</v>
      </c>
      <c r="BS29" s="607">
        <f t="shared" si="22"/>
        <v>6587.15</v>
      </c>
    </row>
    <row r="30" spans="1:71" ht="27" customHeight="1">
      <c r="A30" s="91" t="s">
        <v>7</v>
      </c>
      <c r="B30" s="358" t="s">
        <v>2221</v>
      </c>
      <c r="C30" s="50" t="s">
        <v>77</v>
      </c>
      <c r="D30" s="99" t="s">
        <v>413</v>
      </c>
      <c r="E30" s="392" t="s">
        <v>11</v>
      </c>
      <c r="F30" s="410">
        <v>13471</v>
      </c>
      <c r="G30" s="589">
        <f t="shared" si="23"/>
        <v>14228</v>
      </c>
      <c r="H30" s="10">
        <v>209599.5</v>
      </c>
      <c r="I30" s="167">
        <v>628798.5</v>
      </c>
      <c r="J30" s="10">
        <v>115600</v>
      </c>
      <c r="K30" s="76">
        <f t="shared" ref="K30" si="86">AVERAGE(H30,J30)</f>
        <v>162599.75</v>
      </c>
      <c r="L30" s="24">
        <f t="shared" si="62"/>
        <v>149128.75</v>
      </c>
      <c r="M30" s="281">
        <f t="shared" si="10"/>
        <v>10.481357183019398</v>
      </c>
      <c r="N30" s="597">
        <f>G30</f>
        <v>14228</v>
      </c>
      <c r="O30" s="566"/>
      <c r="P30" s="579">
        <f t="shared" si="25"/>
        <v>0</v>
      </c>
      <c r="Q30" s="567">
        <v>9200</v>
      </c>
      <c r="R30" s="568">
        <v>10600</v>
      </c>
      <c r="S30" s="568">
        <v>8000</v>
      </c>
      <c r="T30" s="569">
        <v>13224.999999999998</v>
      </c>
      <c r="U30" s="560">
        <f>AVERAGE(P30:Q30,R30,S30,T30)</f>
        <v>8205</v>
      </c>
      <c r="V30" s="561">
        <f t="shared" si="11"/>
        <v>8205</v>
      </c>
      <c r="W30" s="281"/>
      <c r="X30" s="462">
        <f t="shared" ref="X30" si="87">U30</f>
        <v>8205</v>
      </c>
      <c r="Y30" s="410">
        <v>23635</v>
      </c>
      <c r="Z30" s="575">
        <f t="shared" si="13"/>
        <v>24963</v>
      </c>
      <c r="AA30" s="10">
        <v>30740</v>
      </c>
      <c r="AB30" s="31">
        <v>39961</v>
      </c>
      <c r="AC30" s="471">
        <v>26868.6</v>
      </c>
      <c r="AD30" s="76">
        <f>AVERAGE(AA30,AC30,Z30)</f>
        <v>27523.866666666669</v>
      </c>
      <c r="AE30" s="24">
        <f t="shared" si="14"/>
        <v>2560.8666666666686</v>
      </c>
      <c r="AF30" s="25">
        <f t="shared" si="50"/>
        <v>0.10835060997108815</v>
      </c>
      <c r="AG30" s="602">
        <f t="shared" si="51"/>
        <v>27523.866666666669</v>
      </c>
      <c r="AH30" s="601">
        <f t="shared" si="52"/>
        <v>27523.866666666669</v>
      </c>
      <c r="AI30" s="562">
        <v>13471</v>
      </c>
      <c r="AJ30" s="612">
        <f t="shared" si="15"/>
        <v>14228</v>
      </c>
      <c r="AK30" s="568">
        <v>8000</v>
      </c>
      <c r="AL30" s="572">
        <v>9600</v>
      </c>
      <c r="AM30" s="570">
        <v>9000</v>
      </c>
      <c r="AN30" s="560">
        <f t="shared" si="82"/>
        <v>10942.666666666666</v>
      </c>
      <c r="AO30" s="561">
        <f t="shared" si="83"/>
        <v>-2528.3333333333339</v>
      </c>
      <c r="AP30" s="281">
        <f t="shared" si="84"/>
        <v>-0.18768713037883855</v>
      </c>
      <c r="AQ30" s="601">
        <f t="shared" si="85"/>
        <v>10942.666666666666</v>
      </c>
      <c r="AR30" s="513"/>
      <c r="AS30" s="575">
        <f t="shared" si="31"/>
        <v>0</v>
      </c>
      <c r="AT30" s="88">
        <v>8400</v>
      </c>
      <c r="AU30" s="116">
        <v>8400</v>
      </c>
      <c r="AV30" s="74">
        <v>8800</v>
      </c>
      <c r="AW30" s="76">
        <f>AVERAGE(AT30,AU30,AV30)</f>
        <v>8533.3333333333339</v>
      </c>
      <c r="AX30" s="24">
        <f t="shared" si="56"/>
        <v>8533.3333333333339</v>
      </c>
      <c r="AY30" s="25"/>
      <c r="AZ30" s="309"/>
      <c r="BA30" s="601">
        <f t="shared" si="59"/>
        <v>8533.3333333333339</v>
      </c>
      <c r="BB30" s="513"/>
      <c r="BC30" s="575">
        <f t="shared" si="21"/>
        <v>0</v>
      </c>
      <c r="BD30" s="74">
        <v>9200</v>
      </c>
      <c r="BE30" s="74">
        <v>13000</v>
      </c>
      <c r="BF30" s="75">
        <v>10600</v>
      </c>
      <c r="BG30" s="61">
        <v>13224.999999999998</v>
      </c>
      <c r="BH30" s="60"/>
      <c r="BI30" s="74">
        <v>15208.749999999996</v>
      </c>
      <c r="BJ30" s="79">
        <v>10600</v>
      </c>
      <c r="BK30" s="79">
        <v>8000</v>
      </c>
      <c r="BL30" s="127">
        <v>9600</v>
      </c>
      <c r="BM30" s="128">
        <v>9000</v>
      </c>
      <c r="BN30" s="128">
        <v>9000</v>
      </c>
      <c r="BO30" s="76">
        <f>AVERAGE(BD30,BE30,BF30,BG30,BI30,BJ30,BK30,BL30,BM30,BN30)</f>
        <v>10743.375</v>
      </c>
      <c r="BP30" s="24">
        <f t="shared" si="60"/>
        <v>10743.375</v>
      </c>
      <c r="BQ30" s="25"/>
      <c r="BR30" s="259">
        <f t="shared" si="61"/>
        <v>10743.375</v>
      </c>
      <c r="BS30" s="607">
        <f t="shared" si="22"/>
        <v>10743.375</v>
      </c>
    </row>
    <row r="31" spans="1:71" ht="24.6" customHeight="1">
      <c r="A31" s="91" t="s">
        <v>8</v>
      </c>
      <c r="B31" s="358" t="s">
        <v>2222</v>
      </c>
      <c r="C31" s="252" t="s">
        <v>750</v>
      </c>
      <c r="D31" s="100" t="s">
        <v>8</v>
      </c>
      <c r="E31" s="91"/>
      <c r="F31" s="411"/>
      <c r="G31" s="574"/>
      <c r="H31" s="173"/>
      <c r="I31" s="174"/>
      <c r="J31" s="173"/>
      <c r="K31" s="173"/>
      <c r="L31" s="173"/>
      <c r="M31" s="173"/>
      <c r="N31" s="173"/>
      <c r="O31" s="444"/>
      <c r="P31" s="173"/>
      <c r="Q31" s="173"/>
      <c r="R31" s="173"/>
      <c r="S31" s="272"/>
      <c r="T31" s="266"/>
      <c r="U31" s="266"/>
      <c r="V31" s="266"/>
      <c r="W31" s="266"/>
      <c r="X31" s="266"/>
      <c r="Y31" s="413"/>
      <c r="Z31" s="47"/>
      <c r="AA31" s="47"/>
      <c r="AB31" s="47"/>
      <c r="AC31" s="47"/>
      <c r="AD31" s="47"/>
      <c r="AE31" s="47"/>
      <c r="AF31" s="47"/>
      <c r="AG31" s="91"/>
      <c r="AH31" s="603"/>
      <c r="AI31" s="498"/>
      <c r="AJ31" s="315"/>
      <c r="AK31" s="315"/>
      <c r="AL31" s="315"/>
      <c r="AM31" s="315"/>
      <c r="AN31" s="315"/>
      <c r="AO31" s="314"/>
      <c r="AP31" s="314"/>
      <c r="AQ31" s="314"/>
      <c r="AR31" s="413"/>
      <c r="AS31" s="47"/>
      <c r="AT31" s="47"/>
      <c r="AU31" s="47"/>
      <c r="AV31" s="47"/>
      <c r="AW31" s="47"/>
      <c r="AX31" s="47"/>
      <c r="AY31" s="47"/>
      <c r="AZ31" s="91"/>
      <c r="BA31" s="467"/>
      <c r="BB31" s="413"/>
      <c r="BC31" s="47"/>
      <c r="BD31" s="47"/>
      <c r="BE31" s="47"/>
      <c r="BF31" s="47"/>
      <c r="BG31" s="47"/>
      <c r="BH31" s="47"/>
      <c r="BI31" s="47"/>
      <c r="BJ31" s="148"/>
      <c r="BK31" s="148"/>
      <c r="BL31" s="149"/>
      <c r="BM31" s="148"/>
      <c r="BN31" s="148"/>
      <c r="BO31" s="148"/>
      <c r="BP31" s="47"/>
      <c r="BQ31" s="47"/>
      <c r="BR31" s="414"/>
      <c r="BS31" s="414"/>
    </row>
    <row r="32" spans="1:71" ht="34.35" customHeight="1">
      <c r="A32" s="91" t="s">
        <v>8</v>
      </c>
      <c r="B32" s="358" t="s">
        <v>2223</v>
      </c>
      <c r="C32" s="50" t="s">
        <v>78</v>
      </c>
      <c r="D32" s="99" t="s">
        <v>414</v>
      </c>
      <c r="E32" s="392" t="s">
        <v>14</v>
      </c>
      <c r="F32" s="410">
        <v>29778</v>
      </c>
      <c r="G32" s="589">
        <f t="shared" si="23"/>
        <v>31452</v>
      </c>
      <c r="H32" s="10">
        <v>60000</v>
      </c>
      <c r="I32" s="167">
        <v>60000</v>
      </c>
      <c r="J32" s="10">
        <v>60000</v>
      </c>
      <c r="K32" s="76">
        <f>AVERAGE(H32,J32,G32)</f>
        <v>50484</v>
      </c>
      <c r="L32" s="24">
        <f t="shared" ref="L32:L37" si="88">K32-F32</f>
        <v>20706</v>
      </c>
      <c r="M32" s="281">
        <f t="shared" si="10"/>
        <v>0.65833651278138117</v>
      </c>
      <c r="N32" s="597">
        <f t="shared" si="24"/>
        <v>50484</v>
      </c>
      <c r="O32" s="410">
        <v>27072</v>
      </c>
      <c r="P32" s="575">
        <f t="shared" si="25"/>
        <v>28593</v>
      </c>
      <c r="Q32" s="10">
        <v>45000</v>
      </c>
      <c r="R32" s="10">
        <v>51000</v>
      </c>
      <c r="S32" s="268">
        <v>50000</v>
      </c>
      <c r="T32" s="10">
        <v>45000</v>
      </c>
      <c r="U32" s="76">
        <f>AVERAGE(P32:Q32,R32,S32,T32)</f>
        <v>43918.6</v>
      </c>
      <c r="V32" s="24">
        <f t="shared" si="11"/>
        <v>15325.599999999999</v>
      </c>
      <c r="W32" s="281">
        <f t="shared" ref="W32:W37" si="89">+V32/O32</f>
        <v>0.56610520094562644</v>
      </c>
      <c r="X32" s="462">
        <f t="shared" ref="X32:X35" si="90">U32</f>
        <v>43918.6</v>
      </c>
      <c r="Y32" s="410">
        <v>83870</v>
      </c>
      <c r="Z32" s="575">
        <f t="shared" si="13"/>
        <v>88583</v>
      </c>
      <c r="AA32" s="10">
        <v>109080</v>
      </c>
      <c r="AB32" s="31">
        <v>141804</v>
      </c>
      <c r="AC32" s="472">
        <v>95344</v>
      </c>
      <c r="AD32" s="76">
        <f>AVERAGE(AA32,AC32,Z32)</f>
        <v>97669</v>
      </c>
      <c r="AE32" s="24">
        <f t="shared" si="14"/>
        <v>9086</v>
      </c>
      <c r="AF32" s="25">
        <f t="shared" ref="AF32:AF52" si="91">+AE32/Y32</f>
        <v>0.10833432693454155</v>
      </c>
      <c r="AG32" s="602">
        <f t="shared" ref="AG32:AG52" si="92">+IF(AF32&lt;35%,AD32,"REVISAR PRECIO")</f>
        <v>97669</v>
      </c>
      <c r="AH32" s="601">
        <f t="shared" ref="AH32:AH35" si="93">AD32</f>
        <v>97669</v>
      </c>
      <c r="AI32" s="410">
        <v>30224</v>
      </c>
      <c r="AJ32" s="575">
        <f t="shared" si="15"/>
        <v>31923</v>
      </c>
      <c r="AK32" s="45">
        <v>90000</v>
      </c>
      <c r="AL32" s="45">
        <v>50000</v>
      </c>
      <c r="AM32" s="45">
        <v>70000</v>
      </c>
      <c r="AN32" s="76">
        <f>AVERAGE(AL32,AM32,AJ32)</f>
        <v>50641</v>
      </c>
      <c r="AO32" s="24">
        <f t="shared" ref="AO32:AO37" si="94">AN32-AI32</f>
        <v>20417</v>
      </c>
      <c r="AP32" s="281">
        <f t="shared" ref="AP32:AP37" si="95">+AO32/AI32</f>
        <v>0.67552276336686079</v>
      </c>
      <c r="AQ32" s="601">
        <f t="shared" ref="AQ32:AQ37" si="96">AN32</f>
        <v>50641</v>
      </c>
      <c r="AR32" s="513">
        <v>30375</v>
      </c>
      <c r="AS32" s="575">
        <f t="shared" si="31"/>
        <v>32082</v>
      </c>
      <c r="AT32" s="88">
        <v>63000</v>
      </c>
      <c r="AU32" s="116">
        <v>63000</v>
      </c>
      <c r="AV32" s="74">
        <v>66000</v>
      </c>
      <c r="AW32" s="76">
        <f t="shared" si="32"/>
        <v>56020.5</v>
      </c>
      <c r="AX32" s="24">
        <f t="shared" ref="AX32:AX46" si="97">AW32-AR32</f>
        <v>25645.5</v>
      </c>
      <c r="AY32" s="25">
        <f t="shared" ref="AY32:AY41" si="98">+AX32/AR32</f>
        <v>0.84429629629629632</v>
      </c>
      <c r="AZ32" s="309" t="str">
        <f t="shared" ref="AZ32:AZ41" si="99">+IF(AY32&lt;35%,AW32,"REVISAR PRECIO")</f>
        <v>REVISAR PRECIO</v>
      </c>
      <c r="BA32" s="601">
        <f t="shared" ref="BA32:BA45" si="100">AW32</f>
        <v>56020.5</v>
      </c>
      <c r="BB32" s="513">
        <v>30375</v>
      </c>
      <c r="BC32" s="575">
        <f t="shared" si="21"/>
        <v>32082</v>
      </c>
      <c r="BD32" s="74">
        <v>69000</v>
      </c>
      <c r="BE32" s="74">
        <v>100000</v>
      </c>
      <c r="BF32" s="75">
        <v>79500</v>
      </c>
      <c r="BG32" s="61">
        <v>90390</v>
      </c>
      <c r="BH32" s="60">
        <v>40000</v>
      </c>
      <c r="BI32" s="74">
        <v>103948.49999999999</v>
      </c>
      <c r="BJ32" s="79">
        <v>79500</v>
      </c>
      <c r="BK32" s="79">
        <v>60000</v>
      </c>
      <c r="BL32" s="127">
        <v>72000</v>
      </c>
      <c r="BM32" s="128">
        <v>65000</v>
      </c>
      <c r="BN32" s="128">
        <v>62000</v>
      </c>
      <c r="BO32" s="76">
        <f>AVERAGE(BC32,BD32,BF32,BJ32,BK32,BL32,BM32,BN32,BE32,BI32)</f>
        <v>72303.05</v>
      </c>
      <c r="BP32" s="24">
        <f t="shared" ref="BP32:BP52" si="101">BO32-BB32</f>
        <v>41928.050000000003</v>
      </c>
      <c r="BQ32" s="25">
        <f t="shared" ref="BQ32:BQ41" si="102">+BP32/BB32</f>
        <v>1.3803473251028808</v>
      </c>
      <c r="BR32" s="259" t="str">
        <f t="shared" ref="BR32:BR46" si="103">+IF(BQ32&lt;35%,BO32,"REVISAR PRECIO")</f>
        <v>REVISAR PRECIO</v>
      </c>
      <c r="BS32" s="607">
        <f t="shared" si="22"/>
        <v>72303.05</v>
      </c>
    </row>
    <row r="33" spans="1:71" ht="34.35" customHeight="1">
      <c r="A33" s="91" t="s">
        <v>8</v>
      </c>
      <c r="B33" s="358" t="s">
        <v>2224</v>
      </c>
      <c r="C33" s="50" t="s">
        <v>79</v>
      </c>
      <c r="D33" s="99" t="s">
        <v>415</v>
      </c>
      <c r="E33" s="391" t="s">
        <v>13</v>
      </c>
      <c r="F33" s="410">
        <v>10557</v>
      </c>
      <c r="G33" s="589">
        <f t="shared" si="23"/>
        <v>11150</v>
      </c>
      <c r="H33" s="10">
        <v>4000</v>
      </c>
      <c r="I33" s="167">
        <v>8000</v>
      </c>
      <c r="J33" s="10">
        <v>3568</v>
      </c>
      <c r="K33" s="76">
        <f>AVERAGE(I33,G33)</f>
        <v>9575</v>
      </c>
      <c r="L33" s="24">
        <f t="shared" si="88"/>
        <v>-982</v>
      </c>
      <c r="M33" s="281">
        <f t="shared" si="10"/>
        <v>-8.8071748878923772E-2</v>
      </c>
      <c r="N33" s="597">
        <f>+K33</f>
        <v>9575</v>
      </c>
      <c r="O33" s="410">
        <v>9597</v>
      </c>
      <c r="P33" s="575">
        <f t="shared" si="25"/>
        <v>10136</v>
      </c>
      <c r="Q33" s="10">
        <v>23000</v>
      </c>
      <c r="R33" s="10">
        <v>25000</v>
      </c>
      <c r="S33" s="268">
        <v>25000</v>
      </c>
      <c r="T33" s="10">
        <v>25000</v>
      </c>
      <c r="U33" s="76">
        <f>P33</f>
        <v>10136</v>
      </c>
      <c r="V33" s="24">
        <f t="shared" si="11"/>
        <v>0</v>
      </c>
      <c r="W33" s="281">
        <f t="shared" si="89"/>
        <v>0</v>
      </c>
      <c r="X33" s="462">
        <f t="shared" si="90"/>
        <v>10136</v>
      </c>
      <c r="Y33" s="410">
        <v>16961</v>
      </c>
      <c r="Z33" s="575">
        <f t="shared" si="13"/>
        <v>17914</v>
      </c>
      <c r="AA33" s="10">
        <v>22059</v>
      </c>
      <c r="AB33" s="31">
        <v>28677</v>
      </c>
      <c r="AC33" s="472">
        <v>19281.2</v>
      </c>
      <c r="AD33" s="76">
        <f>AVERAGE(AA33,AC33,Z33)</f>
        <v>19751.399999999998</v>
      </c>
      <c r="AE33" s="24">
        <f t="shared" si="14"/>
        <v>1837.3999999999978</v>
      </c>
      <c r="AF33" s="25">
        <f t="shared" si="91"/>
        <v>0.10833087671717456</v>
      </c>
      <c r="AG33" s="602">
        <f t="shared" si="92"/>
        <v>19751.399999999998</v>
      </c>
      <c r="AH33" s="601">
        <f t="shared" si="93"/>
        <v>19751.399999999998</v>
      </c>
      <c r="AI33" s="410">
        <v>10717</v>
      </c>
      <c r="AJ33" s="575">
        <f t="shared" si="15"/>
        <v>11319</v>
      </c>
      <c r="AK33" s="45">
        <v>12000</v>
      </c>
      <c r="AL33" s="45">
        <v>12457</v>
      </c>
      <c r="AM33" s="45">
        <v>60000</v>
      </c>
      <c r="AN33" s="76">
        <f>AVERAGE(AK33,AL33,AJ33)</f>
        <v>11925.333333333334</v>
      </c>
      <c r="AO33" s="24">
        <f t="shared" si="94"/>
        <v>1208.3333333333339</v>
      </c>
      <c r="AP33" s="281">
        <f t="shared" si="95"/>
        <v>0.1127492146434015</v>
      </c>
      <c r="AQ33" s="601">
        <f t="shared" si="96"/>
        <v>11925.333333333334</v>
      </c>
      <c r="AR33" s="513">
        <v>10765</v>
      </c>
      <c r="AS33" s="575">
        <f t="shared" si="31"/>
        <v>11370</v>
      </c>
      <c r="AT33" s="88">
        <v>4500</v>
      </c>
      <c r="AU33" s="116">
        <v>5250</v>
      </c>
      <c r="AV33" s="74">
        <v>4400</v>
      </c>
      <c r="AW33" s="76">
        <f t="shared" si="32"/>
        <v>6380</v>
      </c>
      <c r="AX33" s="24">
        <f t="shared" si="97"/>
        <v>-4385</v>
      </c>
      <c r="AY33" s="25">
        <f t="shared" si="98"/>
        <v>-0.40733859730608452</v>
      </c>
      <c r="AZ33" s="309">
        <f t="shared" si="99"/>
        <v>6380</v>
      </c>
      <c r="BA33" s="604">
        <f>AS33</f>
        <v>11370</v>
      </c>
      <c r="BB33" s="513">
        <v>10765</v>
      </c>
      <c r="BC33" s="575">
        <f t="shared" si="21"/>
        <v>11370</v>
      </c>
      <c r="BD33" s="74">
        <v>4600</v>
      </c>
      <c r="BE33" s="74">
        <v>8000</v>
      </c>
      <c r="BF33" s="75">
        <v>5300</v>
      </c>
      <c r="BG33" s="61">
        <v>16099.999999999998</v>
      </c>
      <c r="BH33" s="60">
        <v>30000</v>
      </c>
      <c r="BI33" s="74">
        <v>18514.999999999996</v>
      </c>
      <c r="BJ33" s="79">
        <v>5300</v>
      </c>
      <c r="BK33" s="79">
        <f>+BK41</f>
        <v>4000</v>
      </c>
      <c r="BL33" s="127">
        <v>4800</v>
      </c>
      <c r="BM33" s="128">
        <v>4500</v>
      </c>
      <c r="BN33" s="128">
        <v>5000</v>
      </c>
      <c r="BO33" s="76">
        <f t="shared" si="76"/>
        <v>9790.4166666666661</v>
      </c>
      <c r="BP33" s="24">
        <f t="shared" si="101"/>
        <v>-974.58333333333394</v>
      </c>
      <c r="BQ33" s="25">
        <f t="shared" si="102"/>
        <v>-9.0532590184239106E-2</v>
      </c>
      <c r="BR33" s="259">
        <f t="shared" si="103"/>
        <v>9790.4166666666661</v>
      </c>
      <c r="BS33" s="607">
        <f t="shared" si="22"/>
        <v>9790.4166666666661</v>
      </c>
    </row>
    <row r="34" spans="1:71" ht="34.35" customHeight="1">
      <c r="A34" s="91" t="s">
        <v>8</v>
      </c>
      <c r="B34" s="358" t="s">
        <v>2225</v>
      </c>
      <c r="C34" s="50" t="s">
        <v>80</v>
      </c>
      <c r="D34" s="99" t="s">
        <v>416</v>
      </c>
      <c r="E34" s="392" t="s">
        <v>14</v>
      </c>
      <c r="F34" s="410">
        <v>14050</v>
      </c>
      <c r="G34" s="589">
        <f t="shared" si="23"/>
        <v>14840</v>
      </c>
      <c r="H34" s="10">
        <v>18000</v>
      </c>
      <c r="I34" s="167">
        <v>54000</v>
      </c>
      <c r="J34" s="10">
        <v>12000</v>
      </c>
      <c r="K34" s="76">
        <f>AVERAGE(H34,J34,G34)</f>
        <v>14946.666666666666</v>
      </c>
      <c r="L34" s="24">
        <f t="shared" si="88"/>
        <v>896.66666666666606</v>
      </c>
      <c r="M34" s="281">
        <f t="shared" si="10"/>
        <v>6.0422282120395285E-2</v>
      </c>
      <c r="N34" s="597">
        <f t="shared" si="24"/>
        <v>14946.666666666666</v>
      </c>
      <c r="O34" s="410">
        <v>12776</v>
      </c>
      <c r="P34" s="575">
        <f t="shared" si="25"/>
        <v>13494</v>
      </c>
      <c r="Q34" s="10">
        <v>25000</v>
      </c>
      <c r="R34" s="10">
        <v>27000</v>
      </c>
      <c r="S34" s="268">
        <v>27000</v>
      </c>
      <c r="T34" s="10">
        <v>30000</v>
      </c>
      <c r="U34" s="76">
        <f>AVERAGE(P34:Q34,R34,S34,T34)</f>
        <v>24498.799999999999</v>
      </c>
      <c r="V34" s="24">
        <f t="shared" si="11"/>
        <v>11004.8</v>
      </c>
      <c r="W34" s="281">
        <f t="shared" si="89"/>
        <v>0.86136505948653719</v>
      </c>
      <c r="X34" s="462">
        <f t="shared" si="90"/>
        <v>24498.799999999999</v>
      </c>
      <c r="Y34" s="410">
        <v>22566</v>
      </c>
      <c r="Z34" s="575">
        <f t="shared" si="13"/>
        <v>23834</v>
      </c>
      <c r="AA34" s="10">
        <v>29349</v>
      </c>
      <c r="AB34" s="33">
        <v>38154</v>
      </c>
      <c r="AC34" s="472">
        <v>25653.200000000001</v>
      </c>
      <c r="AD34" s="76">
        <f>AVERAGE(AA34,AC34,Z34)</f>
        <v>26278.733333333334</v>
      </c>
      <c r="AE34" s="24">
        <f t="shared" si="14"/>
        <v>2444.7333333333336</v>
      </c>
      <c r="AF34" s="25">
        <f t="shared" si="91"/>
        <v>0.10833702620461462</v>
      </c>
      <c r="AG34" s="602">
        <f t="shared" si="92"/>
        <v>26278.733333333334</v>
      </c>
      <c r="AH34" s="601">
        <f t="shared" si="93"/>
        <v>26278.733333333334</v>
      </c>
      <c r="AI34" s="410">
        <v>14267</v>
      </c>
      <c r="AJ34" s="575">
        <f t="shared" si="15"/>
        <v>15069</v>
      </c>
      <c r="AK34" s="45">
        <v>35000</v>
      </c>
      <c r="AL34" s="45">
        <v>16580</v>
      </c>
      <c r="AM34" s="45">
        <v>15000</v>
      </c>
      <c r="AN34" s="76">
        <f>AVERAGE(AL34,AM34,AJ34)</f>
        <v>15549.666666666666</v>
      </c>
      <c r="AO34" s="24">
        <f t="shared" si="94"/>
        <v>1282.6666666666661</v>
      </c>
      <c r="AP34" s="281">
        <f t="shared" si="95"/>
        <v>8.9904441485011991E-2</v>
      </c>
      <c r="AQ34" s="601">
        <f t="shared" si="96"/>
        <v>15549.666666666666</v>
      </c>
      <c r="AR34" s="513">
        <v>14333</v>
      </c>
      <c r="AS34" s="575">
        <f t="shared" si="31"/>
        <v>15139</v>
      </c>
      <c r="AT34" s="88">
        <v>18000</v>
      </c>
      <c r="AU34" s="116">
        <v>18000</v>
      </c>
      <c r="AV34" s="74">
        <v>19800</v>
      </c>
      <c r="AW34" s="76">
        <f t="shared" si="32"/>
        <v>17734.75</v>
      </c>
      <c r="AX34" s="24">
        <f t="shared" si="97"/>
        <v>3401.75</v>
      </c>
      <c r="AY34" s="25">
        <f t="shared" si="98"/>
        <v>0.23733691481197236</v>
      </c>
      <c r="AZ34" s="309">
        <f t="shared" si="99"/>
        <v>17734.75</v>
      </c>
      <c r="BA34" s="601">
        <f t="shared" si="100"/>
        <v>17734.75</v>
      </c>
      <c r="BB34" s="513">
        <v>14333</v>
      </c>
      <c r="BC34" s="575">
        <f t="shared" si="21"/>
        <v>15139</v>
      </c>
      <c r="BD34" s="74">
        <v>20700</v>
      </c>
      <c r="BE34" s="74">
        <v>35000</v>
      </c>
      <c r="BF34" s="75">
        <v>23850</v>
      </c>
      <c r="BG34" s="61">
        <v>27599.999999999996</v>
      </c>
      <c r="BH34" s="60">
        <v>18000</v>
      </c>
      <c r="BI34" s="74">
        <v>31739.999999999993</v>
      </c>
      <c r="BJ34" s="79">
        <v>23850</v>
      </c>
      <c r="BK34" s="79">
        <v>18000</v>
      </c>
      <c r="BL34" s="127">
        <v>21600</v>
      </c>
      <c r="BM34" s="128">
        <v>22000</v>
      </c>
      <c r="BN34" s="128">
        <v>20000</v>
      </c>
      <c r="BO34" s="76">
        <f>AVERAGE(BC34,BD34,BF34,BG34,BH34,BJ34,BK34,BL34,BM34,BN34,BE34)</f>
        <v>22339.909090909092</v>
      </c>
      <c r="BP34" s="24">
        <f t="shared" si="101"/>
        <v>8006.9090909090919</v>
      </c>
      <c r="BQ34" s="25">
        <f t="shared" si="102"/>
        <v>0.55863455598333156</v>
      </c>
      <c r="BR34" s="259" t="str">
        <f t="shared" si="103"/>
        <v>REVISAR PRECIO</v>
      </c>
      <c r="BS34" s="607">
        <f t="shared" si="22"/>
        <v>22339.909090909092</v>
      </c>
    </row>
    <row r="35" spans="1:71" ht="34.35" customHeight="1">
      <c r="A35" s="91" t="s">
        <v>8</v>
      </c>
      <c r="B35" s="358" t="s">
        <v>2226</v>
      </c>
      <c r="C35" s="50" t="s">
        <v>81</v>
      </c>
      <c r="D35" s="99" t="s">
        <v>417</v>
      </c>
      <c r="E35" s="392" t="s">
        <v>14</v>
      </c>
      <c r="F35" s="410">
        <v>14050</v>
      </c>
      <c r="G35" s="589">
        <f t="shared" si="23"/>
        <v>14840</v>
      </c>
      <c r="H35" s="10">
        <v>18000</v>
      </c>
      <c r="I35" s="167">
        <v>72000</v>
      </c>
      <c r="J35" s="10">
        <v>12000</v>
      </c>
      <c r="K35" s="76">
        <f>AVERAGE(H35,J35,G35)</f>
        <v>14946.666666666666</v>
      </c>
      <c r="L35" s="24">
        <f t="shared" si="88"/>
        <v>896.66666666666606</v>
      </c>
      <c r="M35" s="281">
        <f t="shared" si="10"/>
        <v>6.0422282120395285E-2</v>
      </c>
      <c r="N35" s="597">
        <f t="shared" si="24"/>
        <v>14946.666666666666</v>
      </c>
      <c r="O35" s="410">
        <v>12776</v>
      </c>
      <c r="P35" s="575">
        <f t="shared" si="25"/>
        <v>13494</v>
      </c>
      <c r="Q35" s="10">
        <v>20000</v>
      </c>
      <c r="R35" s="10">
        <v>23000</v>
      </c>
      <c r="S35" s="268">
        <v>23000</v>
      </c>
      <c r="T35" s="10">
        <v>30000</v>
      </c>
      <c r="U35" s="76">
        <f>AVERAGE(P35:Q35,R35,S35,T35)</f>
        <v>21898.799999999999</v>
      </c>
      <c r="V35" s="24">
        <f t="shared" si="11"/>
        <v>8404.7999999999993</v>
      </c>
      <c r="W35" s="281">
        <f t="shared" si="89"/>
        <v>0.65785848465873509</v>
      </c>
      <c r="X35" s="462">
        <f t="shared" si="90"/>
        <v>21898.799999999999</v>
      </c>
      <c r="Y35" s="410">
        <v>22566</v>
      </c>
      <c r="Z35" s="575">
        <f t="shared" si="13"/>
        <v>23834</v>
      </c>
      <c r="AA35" s="10">
        <v>29349</v>
      </c>
      <c r="AB35" s="33">
        <v>38154</v>
      </c>
      <c r="AC35" s="472">
        <v>25653.200000000001</v>
      </c>
      <c r="AD35" s="76">
        <f>AVERAGE(AA35,AC35,Z35)</f>
        <v>26278.733333333334</v>
      </c>
      <c r="AE35" s="24">
        <f t="shared" si="14"/>
        <v>2444.7333333333336</v>
      </c>
      <c r="AF35" s="25">
        <f t="shared" si="91"/>
        <v>0.10833702620461462</v>
      </c>
      <c r="AG35" s="602">
        <f t="shared" si="92"/>
        <v>26278.733333333334</v>
      </c>
      <c r="AH35" s="601">
        <f t="shared" si="93"/>
        <v>26278.733333333334</v>
      </c>
      <c r="AI35" s="410">
        <v>14267</v>
      </c>
      <c r="AJ35" s="575">
        <f t="shared" si="15"/>
        <v>15069</v>
      </c>
      <c r="AK35" s="45">
        <v>35000</v>
      </c>
      <c r="AL35" s="45">
        <v>16580</v>
      </c>
      <c r="AM35" s="45">
        <v>15000</v>
      </c>
      <c r="AN35" s="76">
        <f>AVERAGE(AL35,AM35,AJ35)</f>
        <v>15549.666666666666</v>
      </c>
      <c r="AO35" s="24">
        <f t="shared" si="94"/>
        <v>1282.6666666666661</v>
      </c>
      <c r="AP35" s="281">
        <f t="shared" si="95"/>
        <v>8.9904441485011991E-2</v>
      </c>
      <c r="AQ35" s="601">
        <f t="shared" si="96"/>
        <v>15549.666666666666</v>
      </c>
      <c r="AR35" s="513">
        <v>14333</v>
      </c>
      <c r="AS35" s="575">
        <f t="shared" si="31"/>
        <v>15139</v>
      </c>
      <c r="AT35" s="88">
        <v>20000</v>
      </c>
      <c r="AU35" s="116">
        <v>20000</v>
      </c>
      <c r="AV35" s="74">
        <v>19800</v>
      </c>
      <c r="AW35" s="76">
        <f t="shared" si="32"/>
        <v>18734.75</v>
      </c>
      <c r="AX35" s="24">
        <f t="shared" si="97"/>
        <v>4401.75</v>
      </c>
      <c r="AY35" s="25">
        <f t="shared" si="98"/>
        <v>0.30710597920881882</v>
      </c>
      <c r="AZ35" s="309">
        <f t="shared" si="99"/>
        <v>18734.75</v>
      </c>
      <c r="BA35" s="601">
        <f t="shared" si="100"/>
        <v>18734.75</v>
      </c>
      <c r="BB35" s="513">
        <v>14333</v>
      </c>
      <c r="BC35" s="575">
        <f t="shared" si="21"/>
        <v>15139</v>
      </c>
      <c r="BD35" s="74">
        <v>20700</v>
      </c>
      <c r="BE35" s="74">
        <v>30000</v>
      </c>
      <c r="BF35" s="75">
        <v>23850</v>
      </c>
      <c r="BG35" s="61">
        <v>26449.999999999996</v>
      </c>
      <c r="BH35" s="60">
        <v>15000</v>
      </c>
      <c r="BI35" s="74">
        <v>30417.499999999993</v>
      </c>
      <c r="BJ35" s="79">
        <v>23850</v>
      </c>
      <c r="BK35" s="79">
        <v>18000</v>
      </c>
      <c r="BL35" s="127">
        <v>21600</v>
      </c>
      <c r="BM35" s="128">
        <v>22000</v>
      </c>
      <c r="BN35" s="128">
        <v>20000</v>
      </c>
      <c r="BO35" s="76">
        <f>AVERAGE(BC35,BD35,BF35,BG35,BH35,BJ35,BK35,BL35,BM35,BN35,BE35)</f>
        <v>21508.090909090908</v>
      </c>
      <c r="BP35" s="24">
        <f t="shared" si="101"/>
        <v>7175.0909090909081</v>
      </c>
      <c r="BQ35" s="25">
        <f t="shared" si="102"/>
        <v>0.50059937968959101</v>
      </c>
      <c r="BR35" s="259" t="str">
        <f t="shared" si="103"/>
        <v>REVISAR PRECIO</v>
      </c>
      <c r="BS35" s="607">
        <f t="shared" si="22"/>
        <v>21508.090909090908</v>
      </c>
    </row>
    <row r="36" spans="1:71" ht="34.35" customHeight="1">
      <c r="A36" s="91" t="s">
        <v>8</v>
      </c>
      <c r="B36" s="358" t="s">
        <v>2227</v>
      </c>
      <c r="C36" s="50" t="s">
        <v>82</v>
      </c>
      <c r="D36" s="99" t="s">
        <v>418</v>
      </c>
      <c r="E36" s="392" t="s">
        <v>14</v>
      </c>
      <c r="F36" s="410">
        <v>16101</v>
      </c>
      <c r="G36" s="589">
        <f t="shared" si="23"/>
        <v>17006</v>
      </c>
      <c r="H36" s="10">
        <v>5000</v>
      </c>
      <c r="I36" s="167">
        <v>25000</v>
      </c>
      <c r="J36" s="10">
        <v>5000</v>
      </c>
      <c r="K36" s="76">
        <f>AVERAGE(G36:H36,J36,I36)</f>
        <v>13001.5</v>
      </c>
      <c r="L36" s="24">
        <f t="shared" si="88"/>
        <v>-3099.5</v>
      </c>
      <c r="M36" s="281">
        <f t="shared" si="10"/>
        <v>-0.18225920263436435</v>
      </c>
      <c r="N36" s="597">
        <f>G36</f>
        <v>17006</v>
      </c>
      <c r="O36" s="410">
        <v>14637</v>
      </c>
      <c r="P36" s="575">
        <f t="shared" si="25"/>
        <v>15460</v>
      </c>
      <c r="Q36" s="10">
        <v>35000</v>
      </c>
      <c r="R36" s="10">
        <v>39000</v>
      </c>
      <c r="S36" s="268">
        <v>38000</v>
      </c>
      <c r="T36" s="10">
        <v>35000</v>
      </c>
      <c r="U36" s="76">
        <f>AVERAGE(O36:Q36,R36,S36,T36)</f>
        <v>29516.166666666668</v>
      </c>
      <c r="V36" s="24">
        <f t="shared" si="11"/>
        <v>14056.166666666668</v>
      </c>
      <c r="W36" s="281">
        <f t="shared" si="89"/>
        <v>0.96031746031746035</v>
      </c>
      <c r="X36" s="462">
        <f>P36</f>
        <v>15460</v>
      </c>
      <c r="Y36" s="410">
        <v>25857</v>
      </c>
      <c r="Z36" s="575">
        <f t="shared" si="13"/>
        <v>27310</v>
      </c>
      <c r="AA36" s="10">
        <v>33629</v>
      </c>
      <c r="AB36" s="31">
        <v>33629</v>
      </c>
      <c r="AC36" s="472">
        <v>29393.8</v>
      </c>
      <c r="AD36" s="76">
        <f t="shared" si="37"/>
        <v>30990.45</v>
      </c>
      <c r="AE36" s="24">
        <f t="shared" si="14"/>
        <v>3680.4500000000007</v>
      </c>
      <c r="AF36" s="25">
        <f t="shared" si="91"/>
        <v>0.14233863170514757</v>
      </c>
      <c r="AG36" s="602">
        <f t="shared" si="92"/>
        <v>30990.45</v>
      </c>
      <c r="AH36" s="601">
        <f>AD36</f>
        <v>30990.45</v>
      </c>
      <c r="AI36" s="410">
        <v>16337</v>
      </c>
      <c r="AJ36" s="575">
        <f t="shared" si="15"/>
        <v>17255</v>
      </c>
      <c r="AK36" s="45">
        <v>23000</v>
      </c>
      <c r="AL36" s="45">
        <v>9498</v>
      </c>
      <c r="AM36" s="45">
        <v>15000</v>
      </c>
      <c r="AN36" s="76">
        <f>AVERAGE(AK36,AM36,AJ36,AL36)</f>
        <v>16188.25</v>
      </c>
      <c r="AO36" s="24">
        <f t="shared" si="94"/>
        <v>-148.75</v>
      </c>
      <c r="AP36" s="281">
        <f t="shared" si="95"/>
        <v>-9.1050988553590013E-3</v>
      </c>
      <c r="AQ36" s="601">
        <f t="shared" si="96"/>
        <v>16188.25</v>
      </c>
      <c r="AR36" s="513">
        <v>16422</v>
      </c>
      <c r="AS36" s="575">
        <f t="shared" si="31"/>
        <v>17345</v>
      </c>
      <c r="AT36" s="88">
        <v>5000</v>
      </c>
      <c r="AU36" s="116">
        <v>7000</v>
      </c>
      <c r="AV36" s="74">
        <v>5500</v>
      </c>
      <c r="AW36" s="76">
        <f t="shared" si="32"/>
        <v>8711.25</v>
      </c>
      <c r="AX36" s="24">
        <f t="shared" si="97"/>
        <v>-7710.75</v>
      </c>
      <c r="AY36" s="25">
        <f t="shared" si="98"/>
        <v>-0.46953781512605042</v>
      </c>
      <c r="AZ36" s="309">
        <f t="shared" si="99"/>
        <v>8711.25</v>
      </c>
      <c r="BA36" s="604">
        <f>AVERAGE(AS36,AW36)</f>
        <v>13028.125</v>
      </c>
      <c r="BB36" s="513">
        <v>16422</v>
      </c>
      <c r="BC36" s="575">
        <f t="shared" si="21"/>
        <v>17345</v>
      </c>
      <c r="BD36" s="74">
        <v>5750</v>
      </c>
      <c r="BE36" s="74">
        <v>30000</v>
      </c>
      <c r="BF36" s="75">
        <v>6625</v>
      </c>
      <c r="BG36" s="61">
        <v>38640</v>
      </c>
      <c r="BH36" s="60">
        <v>28000</v>
      </c>
      <c r="BI36" s="74">
        <v>44436</v>
      </c>
      <c r="BJ36" s="79">
        <v>6625</v>
      </c>
      <c r="BK36" s="79">
        <v>5000</v>
      </c>
      <c r="BL36" s="127">
        <v>6000</v>
      </c>
      <c r="BM36" s="128">
        <v>5500</v>
      </c>
      <c r="BN36" s="128">
        <v>6000</v>
      </c>
      <c r="BO36" s="76">
        <f>AVERAGE(BC36,BD36,BE36,BF36,BH36,BJ36,BK36,BL36,BM36,BN36,BG36)</f>
        <v>14135</v>
      </c>
      <c r="BP36" s="24">
        <f t="shared" si="101"/>
        <v>-2287</v>
      </c>
      <c r="BQ36" s="25">
        <f t="shared" si="102"/>
        <v>-0.13926440141273902</v>
      </c>
      <c r="BR36" s="259">
        <f t="shared" si="103"/>
        <v>14135</v>
      </c>
      <c r="BS36" s="607">
        <f t="shared" si="22"/>
        <v>14135</v>
      </c>
    </row>
    <row r="37" spans="1:71" ht="34.35" customHeight="1">
      <c r="A37" s="91" t="s">
        <v>8</v>
      </c>
      <c r="B37" s="358" t="s">
        <v>2228</v>
      </c>
      <c r="C37" s="50" t="s">
        <v>83</v>
      </c>
      <c r="D37" s="99" t="s">
        <v>419</v>
      </c>
      <c r="E37" s="391" t="s">
        <v>13</v>
      </c>
      <c r="F37" s="410">
        <v>11420</v>
      </c>
      <c r="G37" s="589">
        <f t="shared" si="23"/>
        <v>12062</v>
      </c>
      <c r="H37" s="10">
        <v>40000</v>
      </c>
      <c r="I37" s="167">
        <v>80000</v>
      </c>
      <c r="J37" s="10">
        <v>35000</v>
      </c>
      <c r="K37" s="76">
        <f>AVERAGE(H37,J37,G37)</f>
        <v>29020.666666666668</v>
      </c>
      <c r="L37" s="24">
        <f t="shared" si="88"/>
        <v>17600.666666666668</v>
      </c>
      <c r="M37" s="281">
        <f t="shared" si="10"/>
        <v>1.459183109489858</v>
      </c>
      <c r="N37" s="609">
        <f t="shared" si="24"/>
        <v>29020.666666666668</v>
      </c>
      <c r="O37" s="410">
        <v>10385</v>
      </c>
      <c r="P37" s="575">
        <f t="shared" si="25"/>
        <v>10969</v>
      </c>
      <c r="Q37" s="10">
        <v>35000</v>
      </c>
      <c r="R37" s="10">
        <v>39000</v>
      </c>
      <c r="S37" s="268">
        <v>38000</v>
      </c>
      <c r="T37" s="10">
        <v>35000</v>
      </c>
      <c r="U37" s="76">
        <f>AVERAGE(P37:Q37,R37,S37,T37)</f>
        <v>31593.8</v>
      </c>
      <c r="V37" s="24">
        <f t="shared" si="11"/>
        <v>20624.8</v>
      </c>
      <c r="W37" s="281">
        <f t="shared" si="89"/>
        <v>1.9860182956186807</v>
      </c>
      <c r="X37" s="462">
        <f>U37</f>
        <v>31593.8</v>
      </c>
      <c r="Y37" s="410">
        <v>18341</v>
      </c>
      <c r="Z37" s="575">
        <f t="shared" si="13"/>
        <v>19372</v>
      </c>
      <c r="AA37" s="10">
        <v>23855</v>
      </c>
      <c r="AB37" s="31">
        <v>31011</v>
      </c>
      <c r="AC37" s="472">
        <v>20850.599999999999</v>
      </c>
      <c r="AD37" s="76">
        <f t="shared" ref="AD37:AD43" si="104">AVERAGE(AA37,AC37,Z37)</f>
        <v>21359.200000000001</v>
      </c>
      <c r="AE37" s="24">
        <f t="shared" si="14"/>
        <v>1987.2000000000007</v>
      </c>
      <c r="AF37" s="25">
        <f t="shared" si="91"/>
        <v>0.10834741835232543</v>
      </c>
      <c r="AG37" s="602">
        <f t="shared" si="92"/>
        <v>21359.200000000001</v>
      </c>
      <c r="AH37" s="601">
        <f t="shared" ref="AH37:AH52" si="105">AD37</f>
        <v>21359.200000000001</v>
      </c>
      <c r="AI37" s="410">
        <v>11591</v>
      </c>
      <c r="AJ37" s="575">
        <f t="shared" si="15"/>
        <v>12242</v>
      </c>
      <c r="AK37" s="45">
        <v>50000</v>
      </c>
      <c r="AL37" s="45">
        <v>40000</v>
      </c>
      <c r="AM37" s="45">
        <v>15000</v>
      </c>
      <c r="AN37" s="76">
        <f>AVERAGE(AL37,AM37,AJ37)</f>
        <v>22414</v>
      </c>
      <c r="AO37" s="24">
        <f t="shared" si="94"/>
        <v>10823</v>
      </c>
      <c r="AP37" s="281">
        <f t="shared" si="95"/>
        <v>0.93374169614355962</v>
      </c>
      <c r="AQ37" s="601">
        <f t="shared" si="96"/>
        <v>22414</v>
      </c>
      <c r="AR37" s="513">
        <v>11648</v>
      </c>
      <c r="AS37" s="575">
        <f t="shared" si="31"/>
        <v>12303</v>
      </c>
      <c r="AT37" s="88">
        <v>43000</v>
      </c>
      <c r="AU37" s="116">
        <v>43000</v>
      </c>
      <c r="AV37" s="74">
        <v>44000</v>
      </c>
      <c r="AW37" s="76">
        <f t="shared" si="32"/>
        <v>35575.75</v>
      </c>
      <c r="AX37" s="24">
        <f t="shared" si="97"/>
        <v>23927.75</v>
      </c>
      <c r="AY37" s="25">
        <f t="shared" si="98"/>
        <v>2.0542367788461537</v>
      </c>
      <c r="AZ37" s="309" t="str">
        <f t="shared" si="99"/>
        <v>REVISAR PRECIO</v>
      </c>
      <c r="BA37" s="601">
        <f t="shared" si="100"/>
        <v>35575.75</v>
      </c>
      <c r="BB37" s="513">
        <v>11648</v>
      </c>
      <c r="BC37" s="575">
        <f t="shared" si="21"/>
        <v>12303</v>
      </c>
      <c r="BD37" s="74">
        <v>46000</v>
      </c>
      <c r="BE37" s="74">
        <v>80000</v>
      </c>
      <c r="BF37" s="75">
        <v>53000</v>
      </c>
      <c r="BG37" s="61">
        <v>46000</v>
      </c>
      <c r="BH37" s="60">
        <v>16000</v>
      </c>
      <c r="BI37" s="74">
        <v>52899.999999999993</v>
      </c>
      <c r="BJ37" s="79">
        <v>53000</v>
      </c>
      <c r="BK37" s="79">
        <v>40000</v>
      </c>
      <c r="BL37" s="127">
        <v>48000</v>
      </c>
      <c r="BM37" s="128">
        <v>40000</v>
      </c>
      <c r="BN37" s="128">
        <v>45000</v>
      </c>
      <c r="BO37" s="76">
        <f>AVERAGE(BC37,BD37,BF37,BG37,BI37,BJ37,BK37,BL37,BM37,BN37,BE37)</f>
        <v>46927.545454545456</v>
      </c>
      <c r="BP37" s="24">
        <f t="shared" si="101"/>
        <v>35279.545454545456</v>
      </c>
      <c r="BQ37" s="25">
        <f t="shared" si="102"/>
        <v>3.0288071303696307</v>
      </c>
      <c r="BR37" s="259" t="str">
        <f t="shared" si="103"/>
        <v>REVISAR PRECIO</v>
      </c>
      <c r="BS37" s="607">
        <f t="shared" si="22"/>
        <v>46927.545454545456</v>
      </c>
    </row>
    <row r="38" spans="1:71" ht="34.35" customHeight="1">
      <c r="A38" s="91" t="s">
        <v>8</v>
      </c>
      <c r="B38" s="358" t="s">
        <v>2229</v>
      </c>
      <c r="C38" s="50" t="s">
        <v>84</v>
      </c>
      <c r="D38" s="99" t="s">
        <v>421</v>
      </c>
      <c r="E38" s="391" t="s">
        <v>13</v>
      </c>
      <c r="F38" s="410">
        <v>23267</v>
      </c>
      <c r="G38" s="589">
        <f t="shared" si="23"/>
        <v>24575</v>
      </c>
      <c r="H38" s="10">
        <v>18200</v>
      </c>
      <c r="I38" s="167">
        <v>36400</v>
      </c>
      <c r="J38" s="10">
        <v>19600</v>
      </c>
      <c r="K38" s="76">
        <f>AVERAGE(J38,G38:H38)</f>
        <v>20791.666666666668</v>
      </c>
      <c r="L38" s="24">
        <f t="shared" ref="L38:L52" si="106">K38-F38</f>
        <v>-2475.3333333333321</v>
      </c>
      <c r="M38" s="281">
        <f t="shared" si="10"/>
        <v>-0.10072566971854861</v>
      </c>
      <c r="N38" s="597">
        <f t="shared" si="24"/>
        <v>20791.666666666668</v>
      </c>
      <c r="O38" s="410">
        <v>21149</v>
      </c>
      <c r="P38" s="575">
        <f t="shared" si="25"/>
        <v>22338</v>
      </c>
      <c r="Q38" s="10">
        <v>35000</v>
      </c>
      <c r="R38" s="10">
        <v>39000</v>
      </c>
      <c r="S38" s="268">
        <v>38000</v>
      </c>
      <c r="T38" s="10">
        <v>40000</v>
      </c>
      <c r="U38" s="76">
        <f>AVERAGE(P38:Q38,R38,S38,T38)</f>
        <v>34867.599999999999</v>
      </c>
      <c r="V38" s="24">
        <f t="shared" si="11"/>
        <v>12529.599999999999</v>
      </c>
      <c r="W38" s="281">
        <f t="shared" ref="W38:W39" si="107">+V38/O38</f>
        <v>0.59244408719088371</v>
      </c>
      <c r="X38" s="462">
        <f t="shared" ref="X38:X39" si="108">U38</f>
        <v>34867.599999999999</v>
      </c>
      <c r="Y38" s="410">
        <v>37368</v>
      </c>
      <c r="Z38" s="575">
        <f t="shared" si="13"/>
        <v>39468</v>
      </c>
      <c r="AA38" s="10">
        <v>48600</v>
      </c>
      <c r="AB38" s="33">
        <v>63180</v>
      </c>
      <c r="AC38" s="472">
        <v>42480</v>
      </c>
      <c r="AD38" s="76">
        <f t="shared" si="104"/>
        <v>43516</v>
      </c>
      <c r="AE38" s="24">
        <f t="shared" si="14"/>
        <v>4048</v>
      </c>
      <c r="AF38" s="25">
        <f t="shared" si="91"/>
        <v>0.1083279811603511</v>
      </c>
      <c r="AG38" s="602">
        <f t="shared" si="92"/>
        <v>43516</v>
      </c>
      <c r="AH38" s="601">
        <f t="shared" si="105"/>
        <v>43516</v>
      </c>
      <c r="AI38" s="566">
        <v>23731</v>
      </c>
      <c r="AJ38" s="579">
        <f t="shared" si="15"/>
        <v>25065</v>
      </c>
      <c r="AK38" s="568">
        <v>24115</v>
      </c>
      <c r="AL38" s="568">
        <v>18200</v>
      </c>
      <c r="AM38" s="572">
        <v>21840</v>
      </c>
      <c r="AN38" s="560">
        <f>AVERAGE(AL38,AM38,AJ38)</f>
        <v>21701.666666666668</v>
      </c>
      <c r="AO38" s="561">
        <f t="shared" ref="AO38" si="109">AN38-AI38</f>
        <v>-2029.3333333333321</v>
      </c>
      <c r="AP38" s="281">
        <f t="shared" ref="AP38" si="110">+AO38/AI38</f>
        <v>-8.5514025255291906E-2</v>
      </c>
      <c r="AQ38" s="601">
        <f t="shared" ref="AQ38" si="111">AN38</f>
        <v>21701.666666666668</v>
      </c>
      <c r="AR38" s="513">
        <v>23731</v>
      </c>
      <c r="AS38" s="575">
        <f t="shared" si="31"/>
        <v>25065</v>
      </c>
      <c r="AT38" s="88">
        <v>20000</v>
      </c>
      <c r="AU38" s="116">
        <v>20000</v>
      </c>
      <c r="AV38" s="74">
        <v>20020</v>
      </c>
      <c r="AW38" s="76">
        <f t="shared" si="32"/>
        <v>21271.25</v>
      </c>
      <c r="AX38" s="24">
        <f t="shared" si="97"/>
        <v>-2459.75</v>
      </c>
      <c r="AY38" s="25">
        <f t="shared" si="98"/>
        <v>-0.10365134212633265</v>
      </c>
      <c r="AZ38" s="309">
        <f t="shared" si="99"/>
        <v>21271.25</v>
      </c>
      <c r="BA38" s="601">
        <f t="shared" si="100"/>
        <v>21271.25</v>
      </c>
      <c r="BB38" s="513">
        <v>23731</v>
      </c>
      <c r="BC38" s="575">
        <f t="shared" si="21"/>
        <v>25065</v>
      </c>
      <c r="BD38" s="74">
        <v>20930</v>
      </c>
      <c r="BE38" s="74">
        <v>25000</v>
      </c>
      <c r="BF38" s="75">
        <v>24115</v>
      </c>
      <c r="BG38" s="61">
        <v>25874.999999999996</v>
      </c>
      <c r="BH38" s="60">
        <v>9000</v>
      </c>
      <c r="BI38" s="74">
        <v>29756.249999999993</v>
      </c>
      <c r="BJ38" s="79">
        <v>24115</v>
      </c>
      <c r="BK38" s="79">
        <v>18200</v>
      </c>
      <c r="BL38" s="127">
        <v>21840</v>
      </c>
      <c r="BM38" s="128">
        <v>60000</v>
      </c>
      <c r="BN38" s="128">
        <v>20000</v>
      </c>
      <c r="BO38" s="76">
        <f>AVERAGE(BC38,BD38,BE38,BF38,BG38,BI38,BJ38,BL38,BN38)</f>
        <v>24077.361111111109</v>
      </c>
      <c r="BP38" s="24">
        <f t="shared" si="101"/>
        <v>346.36111111110949</v>
      </c>
      <c r="BQ38" s="25">
        <f t="shared" si="102"/>
        <v>1.4595301972572142E-2</v>
      </c>
      <c r="BR38" s="259">
        <f t="shared" si="103"/>
        <v>24077.361111111109</v>
      </c>
      <c r="BS38" s="607">
        <f t="shared" si="22"/>
        <v>24077.361111111109</v>
      </c>
    </row>
    <row r="39" spans="1:71" ht="34.35" customHeight="1">
      <c r="A39" s="91" t="s">
        <v>8</v>
      </c>
      <c r="B39" s="358" t="s">
        <v>2230</v>
      </c>
      <c r="C39" s="50" t="s">
        <v>85</v>
      </c>
      <c r="D39" s="99" t="s">
        <v>422</v>
      </c>
      <c r="E39" s="392" t="s">
        <v>14</v>
      </c>
      <c r="F39" s="410">
        <v>74450</v>
      </c>
      <c r="G39" s="589">
        <f t="shared" si="23"/>
        <v>78634</v>
      </c>
      <c r="H39" s="10">
        <v>55000</v>
      </c>
      <c r="I39" s="167">
        <v>165000</v>
      </c>
      <c r="J39" s="10">
        <v>55000</v>
      </c>
      <c r="K39" s="76">
        <f>AVERAGE(H39,G39)</f>
        <v>66817</v>
      </c>
      <c r="L39" s="24">
        <f t="shared" si="106"/>
        <v>-7633</v>
      </c>
      <c r="M39" s="281">
        <f t="shared" si="10"/>
        <v>-9.7069969733194289E-2</v>
      </c>
      <c r="N39" s="597">
        <f t="shared" si="24"/>
        <v>66817</v>
      </c>
      <c r="O39" s="410">
        <v>67671</v>
      </c>
      <c r="P39" s="575">
        <f t="shared" si="25"/>
        <v>71474</v>
      </c>
      <c r="Q39" s="10">
        <v>55000</v>
      </c>
      <c r="R39" s="10">
        <v>60500</v>
      </c>
      <c r="S39" s="268">
        <v>60500</v>
      </c>
      <c r="T39" s="10">
        <v>50000</v>
      </c>
      <c r="U39" s="76">
        <f t="shared" ref="U39" si="112">AVERAGE(Q39,R39,S39,T39)</f>
        <v>56500</v>
      </c>
      <c r="V39" s="24">
        <f t="shared" si="11"/>
        <v>-14974</v>
      </c>
      <c r="W39" s="281">
        <f t="shared" si="107"/>
        <v>-0.221276469979755</v>
      </c>
      <c r="X39" s="462">
        <f t="shared" si="108"/>
        <v>56500</v>
      </c>
      <c r="Y39" s="410">
        <v>119578</v>
      </c>
      <c r="Z39" s="575">
        <f t="shared" si="13"/>
        <v>126298</v>
      </c>
      <c r="AA39" s="10">
        <v>155520</v>
      </c>
      <c r="AB39" s="31">
        <v>202176</v>
      </c>
      <c r="AC39" s="472">
        <v>135936</v>
      </c>
      <c r="AD39" s="76">
        <f t="shared" si="104"/>
        <v>139251.33333333334</v>
      </c>
      <c r="AE39" s="24">
        <f t="shared" si="14"/>
        <v>12953.333333333343</v>
      </c>
      <c r="AF39" s="25">
        <f t="shared" si="91"/>
        <v>0.10832538872813847</v>
      </c>
      <c r="AG39" s="602">
        <f t="shared" si="92"/>
        <v>139251.33333333334</v>
      </c>
      <c r="AH39" s="601">
        <f t="shared" si="105"/>
        <v>139251.33333333334</v>
      </c>
      <c r="AI39" s="410">
        <v>75559</v>
      </c>
      <c r="AJ39" s="575">
        <f t="shared" si="15"/>
        <v>79805</v>
      </c>
      <c r="AK39" s="45">
        <v>70000</v>
      </c>
      <c r="AL39" s="45">
        <v>87844</v>
      </c>
      <c r="AM39" s="45">
        <v>15000</v>
      </c>
      <c r="AN39" s="76">
        <f>AVERAGE(AK39,AL39,AJ39)</f>
        <v>79216.333333333328</v>
      </c>
      <c r="AO39" s="24">
        <f t="shared" ref="AO39:AO52" si="113">AN39-AI39</f>
        <v>3657.3333333333285</v>
      </c>
      <c r="AP39" s="281">
        <f t="shared" ref="AP39:AP52" si="114">+AO39/AI39</f>
        <v>4.8403675714783524E-2</v>
      </c>
      <c r="AQ39" s="601">
        <f t="shared" ref="AQ39:AQ47" si="115">AN39</f>
        <v>79216.333333333328</v>
      </c>
      <c r="AR39" s="513">
        <v>75939</v>
      </c>
      <c r="AS39" s="575">
        <f t="shared" si="31"/>
        <v>80207</v>
      </c>
      <c r="AT39" s="88">
        <v>65000</v>
      </c>
      <c r="AU39" s="116">
        <v>65000</v>
      </c>
      <c r="AV39" s="74">
        <v>60500</v>
      </c>
      <c r="AW39" s="76">
        <f t="shared" si="32"/>
        <v>67676.75</v>
      </c>
      <c r="AX39" s="24">
        <f t="shared" si="97"/>
        <v>-8262.25</v>
      </c>
      <c r="AY39" s="25">
        <f t="shared" si="98"/>
        <v>-0.10880114302268927</v>
      </c>
      <c r="AZ39" s="309">
        <f t="shared" si="99"/>
        <v>67676.75</v>
      </c>
      <c r="BA39" s="601">
        <f t="shared" si="100"/>
        <v>67676.75</v>
      </c>
      <c r="BB39" s="513">
        <v>75939</v>
      </c>
      <c r="BC39" s="575">
        <f t="shared" si="21"/>
        <v>80207</v>
      </c>
      <c r="BD39" s="74">
        <v>63250</v>
      </c>
      <c r="BE39" s="74">
        <v>80000</v>
      </c>
      <c r="BF39" s="75">
        <v>72875</v>
      </c>
      <c r="BG39" s="61">
        <v>63249.999999999993</v>
      </c>
      <c r="BH39" s="60">
        <v>180000</v>
      </c>
      <c r="BI39" s="74">
        <v>72737.499999999985</v>
      </c>
      <c r="BJ39" s="79">
        <v>72875</v>
      </c>
      <c r="BK39" s="79">
        <v>55000</v>
      </c>
      <c r="BL39" s="127">
        <v>85250</v>
      </c>
      <c r="BM39" s="128">
        <v>60000</v>
      </c>
      <c r="BN39" s="128">
        <v>70000</v>
      </c>
      <c r="BO39" s="76">
        <f>AVERAGE(BC39,BD39,BE39,BF39,BG39,BI39,BJ39,BK39,BL39,BM39,BN39,BH39)</f>
        <v>79620.375</v>
      </c>
      <c r="BP39" s="24">
        <f t="shared" si="101"/>
        <v>3681.375</v>
      </c>
      <c r="BQ39" s="25">
        <f t="shared" si="102"/>
        <v>4.8478054754473983E-2</v>
      </c>
      <c r="BR39" s="259">
        <f t="shared" si="103"/>
        <v>79620.375</v>
      </c>
      <c r="BS39" s="607">
        <f t="shared" si="22"/>
        <v>79620.375</v>
      </c>
    </row>
    <row r="40" spans="1:71" ht="34.35" customHeight="1">
      <c r="A40" s="91" t="s">
        <v>8</v>
      </c>
      <c r="B40" s="358" t="s">
        <v>2231</v>
      </c>
      <c r="C40" s="50" t="s">
        <v>86</v>
      </c>
      <c r="D40" s="99" t="s">
        <v>423</v>
      </c>
      <c r="E40" s="391" t="s">
        <v>13</v>
      </c>
      <c r="F40" s="410">
        <v>11610</v>
      </c>
      <c r="G40" s="589">
        <f t="shared" si="23"/>
        <v>12262</v>
      </c>
      <c r="H40" s="10">
        <v>6000</v>
      </c>
      <c r="I40" s="167">
        <v>18000</v>
      </c>
      <c r="J40" s="10">
        <v>5000</v>
      </c>
      <c r="K40" s="76">
        <f>AVERAGE(H40,G40)</f>
        <v>9131</v>
      </c>
      <c r="L40" s="24">
        <f t="shared" si="106"/>
        <v>-2479</v>
      </c>
      <c r="M40" s="281">
        <f t="shared" si="10"/>
        <v>-0.20216930353938997</v>
      </c>
      <c r="N40" s="597">
        <f t="shared" si="24"/>
        <v>9131</v>
      </c>
      <c r="O40" s="566">
        <v>11837</v>
      </c>
      <c r="P40" s="579">
        <f t="shared" si="25"/>
        <v>12502</v>
      </c>
      <c r="Q40" s="567">
        <v>6900</v>
      </c>
      <c r="R40" s="567">
        <v>8000</v>
      </c>
      <c r="S40" s="570">
        <v>6500</v>
      </c>
      <c r="T40" s="570">
        <v>6000</v>
      </c>
      <c r="U40" s="560">
        <f t="shared" ref="U40" si="116">AVERAGE(Q40,R40,S40,T40)</f>
        <v>6850</v>
      </c>
      <c r="V40" s="561">
        <f t="shared" si="11"/>
        <v>-5652</v>
      </c>
      <c r="W40" s="281">
        <f t="shared" ref="W40" si="117">+V40/O40</f>
        <v>-0.47748584945509842</v>
      </c>
      <c r="X40" s="462">
        <f t="shared" ref="X40" si="118">U40</f>
        <v>6850</v>
      </c>
      <c r="Y40" s="410">
        <v>18642</v>
      </c>
      <c r="Z40" s="575">
        <f t="shared" si="13"/>
        <v>19690</v>
      </c>
      <c r="AA40" s="10">
        <v>24246</v>
      </c>
      <c r="AB40" s="31">
        <v>31520</v>
      </c>
      <c r="AC40" s="472">
        <v>21192.799999999999</v>
      </c>
      <c r="AD40" s="76">
        <f t="shared" si="104"/>
        <v>21709.600000000002</v>
      </c>
      <c r="AE40" s="24">
        <f t="shared" si="14"/>
        <v>2019.6000000000022</v>
      </c>
      <c r="AF40" s="25">
        <f t="shared" si="91"/>
        <v>0.10833601544898627</v>
      </c>
      <c r="AG40" s="602">
        <f t="shared" si="92"/>
        <v>21709.600000000002</v>
      </c>
      <c r="AH40" s="601">
        <f t="shared" si="105"/>
        <v>21709.600000000002</v>
      </c>
      <c r="AI40" s="410">
        <v>11780</v>
      </c>
      <c r="AJ40" s="575">
        <f t="shared" si="15"/>
        <v>12442</v>
      </c>
      <c r="AK40" s="45">
        <v>6000</v>
      </c>
      <c r="AL40" s="45">
        <v>13692</v>
      </c>
      <c r="AM40" s="45">
        <v>15000</v>
      </c>
      <c r="AN40" s="76">
        <f t="shared" si="29"/>
        <v>11783.5</v>
      </c>
      <c r="AO40" s="24">
        <f t="shared" si="113"/>
        <v>3.5</v>
      </c>
      <c r="AP40" s="281">
        <f t="shared" si="114"/>
        <v>2.9711375212224106E-4</v>
      </c>
      <c r="AQ40" s="601">
        <f t="shared" si="115"/>
        <v>11783.5</v>
      </c>
      <c r="AR40" s="513">
        <v>11837</v>
      </c>
      <c r="AS40" s="575">
        <f t="shared" si="31"/>
        <v>12502</v>
      </c>
      <c r="AT40" s="88">
        <v>6300</v>
      </c>
      <c r="AU40" s="116">
        <v>8400</v>
      </c>
      <c r="AV40" s="74">
        <v>6600</v>
      </c>
      <c r="AW40" s="76">
        <f>AVERAGE(AS40,AU40)</f>
        <v>10451</v>
      </c>
      <c r="AX40" s="24">
        <f t="shared" si="97"/>
        <v>-1386</v>
      </c>
      <c r="AY40" s="25">
        <f t="shared" si="98"/>
        <v>-0.11709047900650503</v>
      </c>
      <c r="AZ40" s="309">
        <f t="shared" si="99"/>
        <v>10451</v>
      </c>
      <c r="BA40" s="604">
        <f>AW40</f>
        <v>10451</v>
      </c>
      <c r="BB40" s="513">
        <v>11837</v>
      </c>
      <c r="BC40" s="575">
        <f t="shared" si="21"/>
        <v>12502</v>
      </c>
      <c r="BD40" s="74">
        <v>6900</v>
      </c>
      <c r="BE40" s="74">
        <v>8000</v>
      </c>
      <c r="BF40" s="75">
        <v>7950</v>
      </c>
      <c r="BG40" s="61">
        <v>13109.999999999998</v>
      </c>
      <c r="BH40" s="60">
        <v>25000</v>
      </c>
      <c r="BI40" s="74">
        <v>15076.499999999996</v>
      </c>
      <c r="BJ40" s="79">
        <v>7950</v>
      </c>
      <c r="BK40" s="79">
        <v>6000</v>
      </c>
      <c r="BL40" s="127">
        <v>7200</v>
      </c>
      <c r="BM40" s="128">
        <v>6500</v>
      </c>
      <c r="BN40" s="128">
        <v>6000</v>
      </c>
      <c r="BO40" s="76">
        <f t="shared" si="76"/>
        <v>10182.375</v>
      </c>
      <c r="BP40" s="24">
        <f t="shared" si="101"/>
        <v>-1654.625</v>
      </c>
      <c r="BQ40" s="25">
        <f t="shared" si="102"/>
        <v>-0.13978415138971023</v>
      </c>
      <c r="BR40" s="259">
        <f t="shared" si="103"/>
        <v>10182.375</v>
      </c>
      <c r="BS40" s="607">
        <f t="shared" si="22"/>
        <v>10182.375</v>
      </c>
    </row>
    <row r="41" spans="1:71" ht="34.35" customHeight="1">
      <c r="A41" s="91" t="s">
        <v>8</v>
      </c>
      <c r="B41" s="358" t="s">
        <v>2232</v>
      </c>
      <c r="C41" s="50" t="s">
        <v>87</v>
      </c>
      <c r="D41" s="99" t="s">
        <v>424</v>
      </c>
      <c r="E41" s="391" t="s">
        <v>13</v>
      </c>
      <c r="F41" s="410">
        <v>12844</v>
      </c>
      <c r="G41" s="589">
        <f t="shared" si="23"/>
        <v>13566</v>
      </c>
      <c r="H41" s="10">
        <v>4000</v>
      </c>
      <c r="I41" s="167">
        <v>12000</v>
      </c>
      <c r="J41" s="10">
        <v>3500</v>
      </c>
      <c r="K41" s="76">
        <f>AVERAGE(H41,G41)</f>
        <v>8783</v>
      </c>
      <c r="L41" s="24">
        <f t="shared" si="106"/>
        <v>-4061</v>
      </c>
      <c r="M41" s="281">
        <f t="shared" si="10"/>
        <v>-0.29935131947515847</v>
      </c>
      <c r="N41" s="597">
        <f t="shared" si="24"/>
        <v>8783</v>
      </c>
      <c r="O41" s="410">
        <v>11676</v>
      </c>
      <c r="P41" s="575">
        <f t="shared" si="25"/>
        <v>12332</v>
      </c>
      <c r="Q41" s="10">
        <v>35000</v>
      </c>
      <c r="R41" s="10">
        <v>39000</v>
      </c>
      <c r="S41" s="268">
        <v>38000</v>
      </c>
      <c r="T41" s="10">
        <v>35000</v>
      </c>
      <c r="U41" s="76">
        <f>AVERAGE(P41:Q41,R41,S41,T41)</f>
        <v>31866.400000000001</v>
      </c>
      <c r="V41" s="24">
        <f t="shared" si="11"/>
        <v>19534.400000000001</v>
      </c>
      <c r="W41" s="281">
        <f t="shared" ref="W41" si="119">+V41/O41</f>
        <v>1.6730387118876329</v>
      </c>
      <c r="X41" s="462">
        <f>P41</f>
        <v>12332</v>
      </c>
      <c r="Y41" s="410">
        <v>20635</v>
      </c>
      <c r="Z41" s="575">
        <f t="shared" si="13"/>
        <v>21795</v>
      </c>
      <c r="AA41" s="10">
        <v>26838</v>
      </c>
      <c r="AB41" s="33">
        <v>34889</v>
      </c>
      <c r="AC41" s="472">
        <v>23458.400000000001</v>
      </c>
      <c r="AD41" s="76">
        <f t="shared" si="104"/>
        <v>24030.466666666664</v>
      </c>
      <c r="AE41" s="24">
        <f t="shared" si="14"/>
        <v>2235.4666666666635</v>
      </c>
      <c r="AF41" s="25">
        <f t="shared" si="91"/>
        <v>0.10833373717793378</v>
      </c>
      <c r="AG41" s="602">
        <f t="shared" si="92"/>
        <v>24030.466666666664</v>
      </c>
      <c r="AH41" s="601">
        <f t="shared" si="105"/>
        <v>24030.466666666664</v>
      </c>
      <c r="AI41" s="410">
        <v>13034</v>
      </c>
      <c r="AJ41" s="575">
        <f t="shared" si="15"/>
        <v>13767</v>
      </c>
      <c r="AK41" s="45">
        <v>18000</v>
      </c>
      <c r="AL41" s="45">
        <v>15156</v>
      </c>
      <c r="AM41" s="45">
        <v>15000</v>
      </c>
      <c r="AN41" s="76">
        <f>AVERAGE(AL41,AM41,AJ41)</f>
        <v>14641</v>
      </c>
      <c r="AO41" s="24">
        <f t="shared" si="113"/>
        <v>1607</v>
      </c>
      <c r="AP41" s="281">
        <f t="shared" si="114"/>
        <v>0.1232929261930336</v>
      </c>
      <c r="AQ41" s="601">
        <f>AJ41</f>
        <v>13767</v>
      </c>
      <c r="AR41" s="513">
        <v>13100</v>
      </c>
      <c r="AS41" s="575">
        <f t="shared" si="31"/>
        <v>13836</v>
      </c>
      <c r="AT41" s="88">
        <v>4500</v>
      </c>
      <c r="AU41" s="116">
        <v>4500</v>
      </c>
      <c r="AV41" s="74">
        <v>4400</v>
      </c>
      <c r="AW41" s="76">
        <f>AVERAGE(AS41,AT41,AU41)</f>
        <v>7612</v>
      </c>
      <c r="AX41" s="24">
        <f t="shared" si="97"/>
        <v>-5488</v>
      </c>
      <c r="AY41" s="25">
        <f t="shared" si="98"/>
        <v>-0.41893129770992366</v>
      </c>
      <c r="AZ41" s="309">
        <f t="shared" si="99"/>
        <v>7612</v>
      </c>
      <c r="BA41" s="604">
        <f>AW41</f>
        <v>7612</v>
      </c>
      <c r="BB41" s="513">
        <v>13100</v>
      </c>
      <c r="BC41" s="575">
        <f t="shared" si="21"/>
        <v>13836</v>
      </c>
      <c r="BD41" s="74">
        <v>4600</v>
      </c>
      <c r="BE41" s="74">
        <v>8000</v>
      </c>
      <c r="BF41" s="75">
        <v>5300</v>
      </c>
      <c r="BG41" s="61">
        <v>8740</v>
      </c>
      <c r="BH41" s="60">
        <v>15000</v>
      </c>
      <c r="BI41" s="74">
        <v>10051</v>
      </c>
      <c r="BJ41" s="79">
        <v>5300</v>
      </c>
      <c r="BK41" s="79">
        <v>4000</v>
      </c>
      <c r="BL41" s="127">
        <v>4800</v>
      </c>
      <c r="BM41" s="128">
        <v>5000</v>
      </c>
      <c r="BN41" s="128">
        <v>5000</v>
      </c>
      <c r="BO41" s="76">
        <f>AVERAGE(BC41,BD41,BE41,BF41,BG41,BH41,BI41,BJ41,BM41,BN41)</f>
        <v>8082.7</v>
      </c>
      <c r="BP41" s="24">
        <f t="shared" si="101"/>
        <v>-5017.3</v>
      </c>
      <c r="BQ41" s="25">
        <f t="shared" si="102"/>
        <v>-0.38300000000000001</v>
      </c>
      <c r="BR41" s="259">
        <f t="shared" si="103"/>
        <v>8082.7</v>
      </c>
      <c r="BS41" s="607">
        <f t="shared" si="22"/>
        <v>8082.7</v>
      </c>
    </row>
    <row r="42" spans="1:71" ht="34.35" customHeight="1">
      <c r="A42" s="91" t="s">
        <v>8</v>
      </c>
      <c r="B42" s="358" t="s">
        <v>2233</v>
      </c>
      <c r="C42" s="50" t="s">
        <v>88</v>
      </c>
      <c r="D42" s="99" t="s">
        <v>425</v>
      </c>
      <c r="E42" s="391" t="s">
        <v>14</v>
      </c>
      <c r="F42" s="410">
        <v>38512</v>
      </c>
      <c r="G42" s="589">
        <f t="shared" si="23"/>
        <v>40676</v>
      </c>
      <c r="H42" s="10">
        <v>3300</v>
      </c>
      <c r="I42" s="167">
        <v>13200</v>
      </c>
      <c r="J42" s="10">
        <v>8500</v>
      </c>
      <c r="K42" s="76">
        <f>AVERAGE(H42,I42:J42)</f>
        <v>8333.3333333333339</v>
      </c>
      <c r="L42" s="24">
        <f t="shared" si="106"/>
        <v>-30178.666666666664</v>
      </c>
      <c r="M42" s="281">
        <f t="shared" si="10"/>
        <v>-0.74192808207952265</v>
      </c>
      <c r="N42" s="597">
        <f>+K42</f>
        <v>8333.3333333333339</v>
      </c>
      <c r="O42" s="571"/>
      <c r="P42" s="579">
        <f t="shared" si="25"/>
        <v>0</v>
      </c>
      <c r="Q42" s="568">
        <v>4372.5</v>
      </c>
      <c r="R42" s="568">
        <v>3300</v>
      </c>
      <c r="S42" s="572">
        <v>3960</v>
      </c>
      <c r="T42" s="570">
        <v>4000</v>
      </c>
      <c r="U42" s="560">
        <f>AVERAGE(P42:Q42,R42,S42,T42)</f>
        <v>3126.5</v>
      </c>
      <c r="V42" s="561">
        <f t="shared" si="11"/>
        <v>3126.5</v>
      </c>
      <c r="W42" s="281"/>
      <c r="X42" s="462">
        <f t="shared" ref="X42" si="120">U42</f>
        <v>3126.5</v>
      </c>
      <c r="Y42" s="410">
        <v>61854</v>
      </c>
      <c r="Z42" s="575">
        <f t="shared" si="13"/>
        <v>65330</v>
      </c>
      <c r="AA42" s="10">
        <v>80447</v>
      </c>
      <c r="AB42" s="31">
        <v>104580</v>
      </c>
      <c r="AC42" s="472">
        <v>70316.2</v>
      </c>
      <c r="AD42" s="76">
        <f t="shared" si="104"/>
        <v>72031.066666666666</v>
      </c>
      <c r="AE42" s="24">
        <f t="shared" si="14"/>
        <v>6701.0666666666657</v>
      </c>
      <c r="AF42" s="25">
        <f t="shared" si="91"/>
        <v>0.10833683620568865</v>
      </c>
      <c r="AG42" s="602">
        <f t="shared" si="92"/>
        <v>72031.066666666666</v>
      </c>
      <c r="AH42" s="601">
        <f t="shared" si="105"/>
        <v>72031.066666666666</v>
      </c>
      <c r="AI42" s="410">
        <v>39089</v>
      </c>
      <c r="AJ42" s="575">
        <f t="shared" si="15"/>
        <v>41286</v>
      </c>
      <c r="AK42" s="316">
        <v>20000</v>
      </c>
      <c r="AL42" s="45">
        <v>45438</v>
      </c>
      <c r="AM42" s="317">
        <v>30000</v>
      </c>
      <c r="AN42" s="76">
        <f>AVERAGE(AL42,AM42,AJ42)</f>
        <v>38908</v>
      </c>
      <c r="AO42" s="24">
        <f t="shared" si="113"/>
        <v>-181</v>
      </c>
      <c r="AP42" s="281">
        <f t="shared" si="114"/>
        <v>-4.630458696820077E-3</v>
      </c>
      <c r="AQ42" s="601">
        <f t="shared" si="115"/>
        <v>38908</v>
      </c>
      <c r="AR42" s="513"/>
      <c r="AS42" s="575">
        <f t="shared" si="31"/>
        <v>0</v>
      </c>
      <c r="AT42" s="88">
        <v>4000</v>
      </c>
      <c r="AU42" s="116">
        <v>4000</v>
      </c>
      <c r="AV42" s="74">
        <v>3630</v>
      </c>
      <c r="AW42" s="76">
        <f>AVERAGE(AT42,AU42,AV42)</f>
        <v>3876.6666666666665</v>
      </c>
      <c r="AX42" s="24">
        <f t="shared" si="97"/>
        <v>3876.6666666666665</v>
      </c>
      <c r="AY42" s="25"/>
      <c r="AZ42" s="309"/>
      <c r="BA42" s="601">
        <f t="shared" si="100"/>
        <v>3876.6666666666665</v>
      </c>
      <c r="BB42" s="513"/>
      <c r="BC42" s="575">
        <f t="shared" si="21"/>
        <v>0</v>
      </c>
      <c r="BD42" s="74">
        <v>3795</v>
      </c>
      <c r="BE42" s="74">
        <v>40000</v>
      </c>
      <c r="BF42" s="75">
        <v>4372.5</v>
      </c>
      <c r="BG42" s="61">
        <v>18170</v>
      </c>
      <c r="BH42" s="60">
        <v>12000</v>
      </c>
      <c r="BI42" s="74">
        <v>20895.5</v>
      </c>
      <c r="BJ42" s="79">
        <v>4372.5</v>
      </c>
      <c r="BK42" s="79">
        <v>3300</v>
      </c>
      <c r="BL42" s="127">
        <v>3960</v>
      </c>
      <c r="BM42" s="128">
        <v>4000</v>
      </c>
      <c r="BN42" s="128">
        <v>3000</v>
      </c>
      <c r="BO42" s="76">
        <f>AVERAGE(BD42,BE42,BF42,BG42,BH42,BI42,BJ42,BK42,BL42,BM42,BN42)</f>
        <v>10715.045454545454</v>
      </c>
      <c r="BP42" s="24">
        <f t="shared" si="101"/>
        <v>10715.045454545454</v>
      </c>
      <c r="BQ42" s="25"/>
      <c r="BR42" s="259">
        <f t="shared" si="103"/>
        <v>10715.045454545454</v>
      </c>
      <c r="BS42" s="607">
        <f t="shared" si="22"/>
        <v>10715.045454545454</v>
      </c>
    </row>
    <row r="43" spans="1:71" ht="34.35" customHeight="1">
      <c r="A43" s="91" t="s">
        <v>8</v>
      </c>
      <c r="B43" s="358" t="s">
        <v>2234</v>
      </c>
      <c r="C43" s="50" t="s">
        <v>89</v>
      </c>
      <c r="D43" s="99" t="s">
        <v>426</v>
      </c>
      <c r="E43" s="391" t="s">
        <v>14</v>
      </c>
      <c r="F43" s="410">
        <v>22242</v>
      </c>
      <c r="G43" s="589">
        <f t="shared" si="23"/>
        <v>23492</v>
      </c>
      <c r="H43" s="10">
        <v>4000</v>
      </c>
      <c r="I43" s="167">
        <v>16000</v>
      </c>
      <c r="J43" s="10">
        <v>4000</v>
      </c>
      <c r="K43" s="76">
        <f>AVERAGE(H43,I43:J43,G433,G43)</f>
        <v>11873</v>
      </c>
      <c r="L43" s="24">
        <f t="shared" si="106"/>
        <v>-10369</v>
      </c>
      <c r="M43" s="281">
        <f t="shared" si="10"/>
        <v>-0.44138430103865145</v>
      </c>
      <c r="N43" s="597">
        <f>K43</f>
        <v>11873</v>
      </c>
      <c r="O43" s="410">
        <v>20218</v>
      </c>
      <c r="P43" s="575">
        <f t="shared" si="25"/>
        <v>21354</v>
      </c>
      <c r="Q43" s="10">
        <v>42000</v>
      </c>
      <c r="R43" s="10">
        <v>45000</v>
      </c>
      <c r="S43" s="268">
        <v>45000</v>
      </c>
      <c r="T43" s="10">
        <v>45000</v>
      </c>
      <c r="U43" s="76">
        <f>AVERAGE(P43:Q43,R43,S43,T43)</f>
        <v>39670.800000000003</v>
      </c>
      <c r="V43" s="24">
        <f t="shared" si="11"/>
        <v>18316.800000000003</v>
      </c>
      <c r="W43" s="281">
        <f t="shared" ref="W43:W46" si="121">+V43/O43</f>
        <v>0.90596498169947581</v>
      </c>
      <c r="X43" s="462">
        <f>P43</f>
        <v>21354</v>
      </c>
      <c r="Y43" s="410">
        <v>35728</v>
      </c>
      <c r="Z43" s="575">
        <f t="shared" si="13"/>
        <v>37736</v>
      </c>
      <c r="AA43" s="10">
        <v>46467</v>
      </c>
      <c r="AB43" s="31">
        <v>60407</v>
      </c>
      <c r="AC43" s="98">
        <v>40615.599999999999</v>
      </c>
      <c r="AD43" s="76">
        <f t="shared" si="104"/>
        <v>41606.200000000004</v>
      </c>
      <c r="AE43" s="24">
        <f t="shared" si="14"/>
        <v>3870.2000000000044</v>
      </c>
      <c r="AF43" s="25">
        <f t="shared" si="91"/>
        <v>0.1083240035826244</v>
      </c>
      <c r="AG43" s="602">
        <f t="shared" si="92"/>
        <v>41606.200000000004</v>
      </c>
      <c r="AH43" s="601">
        <f t="shared" si="105"/>
        <v>41606.200000000004</v>
      </c>
      <c r="AI43" s="410">
        <v>22573</v>
      </c>
      <c r="AJ43" s="575">
        <f t="shared" si="15"/>
        <v>23842</v>
      </c>
      <c r="AK43" s="45">
        <v>12000</v>
      </c>
      <c r="AL43" s="45">
        <v>26246</v>
      </c>
      <c r="AM43" s="317">
        <v>35000</v>
      </c>
      <c r="AN43" s="76">
        <f>AVERAGE(AK43,AL43,AJ43)</f>
        <v>20696</v>
      </c>
      <c r="AO43" s="24">
        <f t="shared" si="113"/>
        <v>-1877</v>
      </c>
      <c r="AP43" s="281">
        <f t="shared" si="114"/>
        <v>-8.3152438754263938E-2</v>
      </c>
      <c r="AQ43" s="601">
        <f t="shared" si="115"/>
        <v>20696</v>
      </c>
      <c r="AR43" s="513">
        <v>22686</v>
      </c>
      <c r="AS43" s="575">
        <f t="shared" si="31"/>
        <v>23961</v>
      </c>
      <c r="AT43" s="88">
        <v>5000</v>
      </c>
      <c r="AU43" s="116">
        <v>5000</v>
      </c>
      <c r="AV43" s="74">
        <v>4400</v>
      </c>
      <c r="AW43" s="76">
        <f t="shared" si="32"/>
        <v>9590.25</v>
      </c>
      <c r="AX43" s="24">
        <f t="shared" si="97"/>
        <v>-13095.75</v>
      </c>
      <c r="AY43" s="25">
        <f t="shared" ref="AY43:AY46" si="122">+AX43/AR43</f>
        <v>-0.57726130653266328</v>
      </c>
      <c r="AZ43" s="309">
        <f t="shared" ref="AZ43:AZ46" si="123">+IF(AY43&lt;35%,AW43,"REVISAR PRECIO")</f>
        <v>9590.25</v>
      </c>
      <c r="BA43" s="604">
        <f>AW43</f>
        <v>9590.25</v>
      </c>
      <c r="BB43" s="513">
        <v>22686</v>
      </c>
      <c r="BC43" s="575">
        <f t="shared" si="21"/>
        <v>23961</v>
      </c>
      <c r="BD43" s="74">
        <v>4600</v>
      </c>
      <c r="BE43" s="74">
        <v>12000</v>
      </c>
      <c r="BF43" s="75">
        <v>5300</v>
      </c>
      <c r="BG43" s="61">
        <v>18170</v>
      </c>
      <c r="BH43" s="60">
        <v>12000</v>
      </c>
      <c r="BI43" s="74">
        <v>20895.5</v>
      </c>
      <c r="BJ43" s="79">
        <v>5300</v>
      </c>
      <c r="BK43" s="79">
        <v>4000</v>
      </c>
      <c r="BL43" s="127">
        <v>5800</v>
      </c>
      <c r="BM43" s="128">
        <v>4000</v>
      </c>
      <c r="BN43" s="128">
        <v>10000</v>
      </c>
      <c r="BO43" s="76">
        <f t="shared" si="76"/>
        <v>10502.208333333334</v>
      </c>
      <c r="BP43" s="24">
        <f t="shared" si="101"/>
        <v>-12183.791666666666</v>
      </c>
      <c r="BQ43" s="25">
        <f t="shared" ref="BQ43:BQ48" si="124">+BP43/BB43</f>
        <v>-0.53706213817626136</v>
      </c>
      <c r="BR43" s="259">
        <f t="shared" si="103"/>
        <v>10502.208333333334</v>
      </c>
      <c r="BS43" s="607">
        <f>+BO43</f>
        <v>10502.208333333334</v>
      </c>
    </row>
    <row r="44" spans="1:71" ht="34.35" customHeight="1">
      <c r="A44" s="91" t="s">
        <v>8</v>
      </c>
      <c r="B44" s="358" t="s">
        <v>2235</v>
      </c>
      <c r="C44" s="50" t="s">
        <v>90</v>
      </c>
      <c r="D44" s="99" t="s">
        <v>427</v>
      </c>
      <c r="E44" s="391" t="s">
        <v>13</v>
      </c>
      <c r="F44" s="410">
        <v>8705</v>
      </c>
      <c r="G44" s="589">
        <f t="shared" si="23"/>
        <v>9194</v>
      </c>
      <c r="H44" s="10">
        <v>4600</v>
      </c>
      <c r="I44" s="167">
        <v>23000</v>
      </c>
      <c r="J44" s="10">
        <v>4562</v>
      </c>
      <c r="K44" s="76">
        <f>AVERAGE(H44,G44,J44,I44)</f>
        <v>10339</v>
      </c>
      <c r="L44" s="24">
        <f t="shared" si="106"/>
        <v>1634</v>
      </c>
      <c r="M44" s="281">
        <f t="shared" si="10"/>
        <v>0.1777246030019578</v>
      </c>
      <c r="N44" s="597">
        <f t="shared" si="24"/>
        <v>10339</v>
      </c>
      <c r="O44" s="410">
        <v>7907</v>
      </c>
      <c r="P44" s="575">
        <f t="shared" si="25"/>
        <v>8351</v>
      </c>
      <c r="Q44" s="10">
        <v>25000</v>
      </c>
      <c r="R44" s="10">
        <v>28000</v>
      </c>
      <c r="S44" s="268">
        <v>28000</v>
      </c>
      <c r="T44" s="10">
        <v>20000</v>
      </c>
      <c r="U44" s="76">
        <f>AVERAGE(P44,T44)</f>
        <v>14175.5</v>
      </c>
      <c r="V44" s="24">
        <f t="shared" si="11"/>
        <v>5824.5</v>
      </c>
      <c r="W44" s="281">
        <f t="shared" si="121"/>
        <v>0.73662577463007461</v>
      </c>
      <c r="X44" s="462">
        <f>AVERAGE(P44,U44)</f>
        <v>11263.25</v>
      </c>
      <c r="Y44" s="410">
        <v>31555</v>
      </c>
      <c r="Z44" s="575">
        <f t="shared" si="13"/>
        <v>33328</v>
      </c>
      <c r="AA44" s="10">
        <v>41040</v>
      </c>
      <c r="AB44" s="33">
        <v>41040</v>
      </c>
      <c r="AC44" s="98">
        <v>35872</v>
      </c>
      <c r="AD44" s="76">
        <f t="shared" si="37"/>
        <v>37820</v>
      </c>
      <c r="AE44" s="24">
        <f t="shared" si="14"/>
        <v>4492</v>
      </c>
      <c r="AF44" s="25">
        <f t="shared" si="91"/>
        <v>0.14235461891934717</v>
      </c>
      <c r="AG44" s="602">
        <f t="shared" si="92"/>
        <v>37820</v>
      </c>
      <c r="AH44" s="601">
        <f t="shared" si="105"/>
        <v>37820</v>
      </c>
      <c r="AI44" s="410">
        <v>8828</v>
      </c>
      <c r="AJ44" s="575">
        <f t="shared" si="15"/>
        <v>9324</v>
      </c>
      <c r="AK44" s="45">
        <v>14000</v>
      </c>
      <c r="AL44" s="45">
        <v>10267</v>
      </c>
      <c r="AM44" s="45">
        <v>13000</v>
      </c>
      <c r="AN44" s="76">
        <f t="shared" si="29"/>
        <v>11647.75</v>
      </c>
      <c r="AO44" s="24">
        <f t="shared" si="113"/>
        <v>2819.75</v>
      </c>
      <c r="AP44" s="281">
        <f t="shared" si="114"/>
        <v>0.31940983235160852</v>
      </c>
      <c r="AQ44" s="601">
        <f t="shared" si="115"/>
        <v>11647.75</v>
      </c>
      <c r="AR44" s="513">
        <v>8876</v>
      </c>
      <c r="AS44" s="575">
        <f t="shared" si="31"/>
        <v>9375</v>
      </c>
      <c r="AT44" s="88">
        <v>5000</v>
      </c>
      <c r="AU44" s="116">
        <v>5000</v>
      </c>
      <c r="AV44" s="74">
        <v>5060</v>
      </c>
      <c r="AW44" s="76">
        <f t="shared" si="32"/>
        <v>6108.75</v>
      </c>
      <c r="AX44" s="24">
        <f t="shared" si="97"/>
        <v>-2767.25</v>
      </c>
      <c r="AY44" s="25">
        <f t="shared" si="122"/>
        <v>-0.3117676881478143</v>
      </c>
      <c r="AZ44" s="309">
        <f t="shared" si="123"/>
        <v>6108.75</v>
      </c>
      <c r="BA44" s="604">
        <f>AS44</f>
        <v>9375</v>
      </c>
      <c r="BB44" s="513">
        <v>8876</v>
      </c>
      <c r="BC44" s="575">
        <f t="shared" si="21"/>
        <v>9375</v>
      </c>
      <c r="BD44" s="74">
        <v>5290</v>
      </c>
      <c r="BE44" s="74">
        <v>12000</v>
      </c>
      <c r="BF44" s="75">
        <v>6095</v>
      </c>
      <c r="BG44" s="61">
        <v>15524.999999999998</v>
      </c>
      <c r="BH44" s="60">
        <v>9000</v>
      </c>
      <c r="BI44" s="74">
        <v>17853.749999999996</v>
      </c>
      <c r="BJ44" s="79">
        <v>6095</v>
      </c>
      <c r="BK44" s="79">
        <v>4600</v>
      </c>
      <c r="BL44" s="127">
        <v>5520</v>
      </c>
      <c r="BM44" s="128">
        <v>4000</v>
      </c>
      <c r="BN44" s="128">
        <v>5000</v>
      </c>
      <c r="BO44" s="76">
        <f>AVERAGE(BC44,BD44,BE44,BF44,BH44,BI44,BJ44,BL44,BG44)</f>
        <v>9639.3055555555547</v>
      </c>
      <c r="BP44" s="24">
        <f t="shared" si="101"/>
        <v>763.30555555555475</v>
      </c>
      <c r="BQ44" s="25">
        <f t="shared" si="124"/>
        <v>8.5996570026538391E-2</v>
      </c>
      <c r="BR44" s="259">
        <f t="shared" si="103"/>
        <v>9639.3055555555547</v>
      </c>
      <c r="BS44" s="607">
        <f t="shared" si="22"/>
        <v>9639.3055555555547</v>
      </c>
    </row>
    <row r="45" spans="1:71" ht="34.35" customHeight="1">
      <c r="A45" s="91" t="s">
        <v>8</v>
      </c>
      <c r="B45" s="358" t="s">
        <v>2236</v>
      </c>
      <c r="C45" s="50" t="s">
        <v>91</v>
      </c>
      <c r="D45" s="99" t="s">
        <v>428</v>
      </c>
      <c r="E45" s="391" t="s">
        <v>13</v>
      </c>
      <c r="F45" s="410">
        <v>14591</v>
      </c>
      <c r="G45" s="589">
        <f t="shared" si="23"/>
        <v>15411</v>
      </c>
      <c r="H45" s="10">
        <v>12300</v>
      </c>
      <c r="I45" s="167">
        <v>61500</v>
      </c>
      <c r="J45" s="10">
        <v>12000</v>
      </c>
      <c r="K45" s="76">
        <f>AVERAGE(J45,G45)</f>
        <v>13705.5</v>
      </c>
      <c r="L45" s="24">
        <f t="shared" si="106"/>
        <v>-885.5</v>
      </c>
      <c r="M45" s="281">
        <f t="shared" si="10"/>
        <v>-5.7458957887223411E-2</v>
      </c>
      <c r="N45" s="597">
        <f t="shared" si="24"/>
        <v>13705.5</v>
      </c>
      <c r="O45" s="410">
        <v>13261</v>
      </c>
      <c r="P45" s="575">
        <f t="shared" si="25"/>
        <v>14006</v>
      </c>
      <c r="Q45" s="10">
        <v>45000</v>
      </c>
      <c r="R45" s="10">
        <v>48000</v>
      </c>
      <c r="S45" s="268">
        <v>47000</v>
      </c>
      <c r="T45" s="10">
        <v>50000</v>
      </c>
      <c r="U45" s="76">
        <f>AVERAGE(P45:Q45,R45,S45,T45)</f>
        <v>40801.199999999997</v>
      </c>
      <c r="V45" s="24">
        <f t="shared" si="11"/>
        <v>26795.199999999997</v>
      </c>
      <c r="W45" s="281">
        <f t="shared" si="121"/>
        <v>2.0206017645728074</v>
      </c>
      <c r="X45" s="462">
        <f>+U45</f>
        <v>40801.199999999997</v>
      </c>
      <c r="Y45" s="410">
        <v>93752</v>
      </c>
      <c r="Z45" s="575">
        <f t="shared" si="13"/>
        <v>99021</v>
      </c>
      <c r="AA45" s="10">
        <v>121932</v>
      </c>
      <c r="AB45" s="31">
        <v>158512</v>
      </c>
      <c r="AC45" s="98">
        <v>106577.60000000001</v>
      </c>
      <c r="AD45" s="76">
        <f>AVERAGE(AA45,AC45,Z45)</f>
        <v>109176.86666666665</v>
      </c>
      <c r="AE45" s="24">
        <f t="shared" si="14"/>
        <v>10155.866666666654</v>
      </c>
      <c r="AF45" s="25">
        <f t="shared" si="91"/>
        <v>0.10832693346986362</v>
      </c>
      <c r="AG45" s="602">
        <f t="shared" si="92"/>
        <v>109176.86666666665</v>
      </c>
      <c r="AH45" s="601">
        <f>Z45</f>
        <v>99021</v>
      </c>
      <c r="AI45" s="410">
        <v>14809</v>
      </c>
      <c r="AJ45" s="575">
        <f t="shared" si="15"/>
        <v>15641</v>
      </c>
      <c r="AK45" s="45"/>
      <c r="AL45" s="45">
        <v>17218</v>
      </c>
      <c r="AM45" s="45">
        <v>75000</v>
      </c>
      <c r="AN45" s="76">
        <f>AVERAGE(AL45,AJ45)</f>
        <v>16429.5</v>
      </c>
      <c r="AO45" s="24">
        <f t="shared" si="113"/>
        <v>1620.5</v>
      </c>
      <c r="AP45" s="281">
        <f t="shared" si="114"/>
        <v>0.10942669997974205</v>
      </c>
      <c r="AQ45" s="601">
        <f t="shared" si="115"/>
        <v>16429.5</v>
      </c>
      <c r="AR45" s="513">
        <v>14884</v>
      </c>
      <c r="AS45" s="575">
        <f t="shared" si="31"/>
        <v>15720</v>
      </c>
      <c r="AT45" s="88">
        <v>15000</v>
      </c>
      <c r="AU45" s="116">
        <v>17500</v>
      </c>
      <c r="AV45" s="74">
        <v>13530</v>
      </c>
      <c r="AW45" s="76">
        <f t="shared" si="32"/>
        <v>15437.5</v>
      </c>
      <c r="AX45" s="24">
        <f t="shared" si="97"/>
        <v>553.5</v>
      </c>
      <c r="AY45" s="25">
        <f t="shared" si="122"/>
        <v>3.7187583982800324E-2</v>
      </c>
      <c r="AZ45" s="309">
        <f t="shared" si="123"/>
        <v>15437.5</v>
      </c>
      <c r="BA45" s="601">
        <f t="shared" si="100"/>
        <v>15437.5</v>
      </c>
      <c r="BB45" s="513">
        <v>14884</v>
      </c>
      <c r="BC45" s="575">
        <f t="shared" si="21"/>
        <v>15720</v>
      </c>
      <c r="BD45" s="74">
        <v>14145</v>
      </c>
      <c r="BE45" s="74">
        <v>30000</v>
      </c>
      <c r="BF45" s="75">
        <v>16297.5</v>
      </c>
      <c r="BG45" s="61">
        <v>33235</v>
      </c>
      <c r="BH45" s="60">
        <v>38000</v>
      </c>
      <c r="BI45" s="74">
        <v>38220.25</v>
      </c>
      <c r="BJ45" s="79">
        <v>16297.5</v>
      </c>
      <c r="BK45" s="79">
        <v>12300</v>
      </c>
      <c r="BL45" s="127">
        <v>14760</v>
      </c>
      <c r="BM45" s="128">
        <v>13500</v>
      </c>
      <c r="BN45" s="128">
        <v>13000</v>
      </c>
      <c r="BO45" s="76">
        <f>AVERAGE(BC45,BD45,BE45,BF45,BH45,BJ45,BK45,BL45,BM45,BN45)</f>
        <v>18402</v>
      </c>
      <c r="BP45" s="24">
        <f t="shared" si="101"/>
        <v>3518</v>
      </c>
      <c r="BQ45" s="25">
        <f t="shared" si="124"/>
        <v>0.23636119322762697</v>
      </c>
      <c r="BR45" s="259">
        <f t="shared" si="103"/>
        <v>18402</v>
      </c>
      <c r="BS45" s="607">
        <f t="shared" si="22"/>
        <v>18402</v>
      </c>
    </row>
    <row r="46" spans="1:71" s="68" customFormat="1" ht="34.35" customHeight="1">
      <c r="A46" s="231" t="s">
        <v>8</v>
      </c>
      <c r="B46" s="358" t="s">
        <v>2237</v>
      </c>
      <c r="C46" s="50" t="s">
        <v>92</v>
      </c>
      <c r="D46" s="101" t="s">
        <v>429</v>
      </c>
      <c r="E46" s="395" t="s">
        <v>13</v>
      </c>
      <c r="F46" s="410">
        <v>9493</v>
      </c>
      <c r="G46" s="589">
        <f t="shared" si="23"/>
        <v>10027</v>
      </c>
      <c r="H46" s="10">
        <v>4000</v>
      </c>
      <c r="I46" s="167">
        <v>20000</v>
      </c>
      <c r="J46" s="10">
        <v>4000</v>
      </c>
      <c r="K46" s="76">
        <f>AVERAGE(H46,J46,G46,I46)</f>
        <v>9506.75</v>
      </c>
      <c r="L46" s="24">
        <f t="shared" si="106"/>
        <v>13.75</v>
      </c>
      <c r="M46" s="281">
        <f t="shared" si="10"/>
        <v>1.3712974967587514E-3</v>
      </c>
      <c r="N46" s="597">
        <f t="shared" si="24"/>
        <v>9506.75</v>
      </c>
      <c r="O46" s="410">
        <v>8629</v>
      </c>
      <c r="P46" s="575">
        <f t="shared" si="25"/>
        <v>9114</v>
      </c>
      <c r="Q46" s="10">
        <v>35000</v>
      </c>
      <c r="R46" s="10">
        <v>39000</v>
      </c>
      <c r="S46" s="268">
        <v>38000</v>
      </c>
      <c r="T46" s="10">
        <v>38000</v>
      </c>
      <c r="U46" s="76">
        <f>AVERAGE(Q46,R46,S46,T46,P46)</f>
        <v>31822.799999999999</v>
      </c>
      <c r="V46" s="24">
        <f t="shared" si="11"/>
        <v>22708.799999999999</v>
      </c>
      <c r="W46" s="281">
        <f t="shared" si="121"/>
        <v>2.6316838567620811</v>
      </c>
      <c r="X46" s="462">
        <f>P46</f>
        <v>9114</v>
      </c>
      <c r="Y46" s="477">
        <v>17158</v>
      </c>
      <c r="Z46" s="575">
        <f t="shared" si="13"/>
        <v>18122</v>
      </c>
      <c r="AA46" s="60">
        <v>22316</v>
      </c>
      <c r="AB46" s="66">
        <v>29010</v>
      </c>
      <c r="AC46" s="98">
        <v>19505.400000000001</v>
      </c>
      <c r="AD46" s="76">
        <f>AVERAGE(AA46,AC46,Z46)</f>
        <v>19981.133333333335</v>
      </c>
      <c r="AE46" s="24">
        <f t="shared" si="14"/>
        <v>1859.133333333335</v>
      </c>
      <c r="AF46" s="64">
        <f t="shared" si="91"/>
        <v>0.10835373198119448</v>
      </c>
      <c r="AG46" s="605">
        <f t="shared" si="92"/>
        <v>19981.133333333335</v>
      </c>
      <c r="AH46" s="604">
        <f t="shared" si="105"/>
        <v>19981.133333333335</v>
      </c>
      <c r="AI46" s="410">
        <v>9635</v>
      </c>
      <c r="AJ46" s="575">
        <f t="shared" si="15"/>
        <v>10176</v>
      </c>
      <c r="AK46" s="45">
        <v>4500</v>
      </c>
      <c r="AL46" s="45">
        <v>11237</v>
      </c>
      <c r="AM46" s="45">
        <v>9000</v>
      </c>
      <c r="AN46" s="76">
        <f>AVERAGE(AL46,AM46,AJ46)</f>
        <v>10137.666666666666</v>
      </c>
      <c r="AO46" s="24">
        <f t="shared" si="113"/>
        <v>502.66666666666606</v>
      </c>
      <c r="AP46" s="281">
        <f t="shared" si="114"/>
        <v>5.217090468777022E-2</v>
      </c>
      <c r="AQ46" s="601">
        <f t="shared" si="115"/>
        <v>10137.666666666666</v>
      </c>
      <c r="AR46" s="515">
        <v>9682</v>
      </c>
      <c r="AS46" s="575">
        <f t="shared" si="31"/>
        <v>10226</v>
      </c>
      <c r="AT46" s="88">
        <v>4200</v>
      </c>
      <c r="AU46" s="116">
        <v>4200</v>
      </c>
      <c r="AV46" s="74">
        <v>4400</v>
      </c>
      <c r="AW46" s="76">
        <f t="shared" si="32"/>
        <v>5756.5</v>
      </c>
      <c r="AX46" s="24">
        <f t="shared" si="97"/>
        <v>-3925.5</v>
      </c>
      <c r="AY46" s="25">
        <f t="shared" si="122"/>
        <v>-0.40544309027060527</v>
      </c>
      <c r="AZ46" s="309">
        <f t="shared" si="123"/>
        <v>5756.5</v>
      </c>
      <c r="BA46" s="604">
        <f>AS46</f>
        <v>10226</v>
      </c>
      <c r="BB46" s="515">
        <v>9682</v>
      </c>
      <c r="BC46" s="575">
        <f t="shared" si="21"/>
        <v>10226</v>
      </c>
      <c r="BD46" s="83">
        <v>4600</v>
      </c>
      <c r="BE46" s="83">
        <v>8000</v>
      </c>
      <c r="BF46" s="84">
        <v>5300</v>
      </c>
      <c r="BG46" s="85">
        <v>7244.9999999999991</v>
      </c>
      <c r="BH46" s="60">
        <v>14000</v>
      </c>
      <c r="BI46" s="83">
        <v>8331.7499999999982</v>
      </c>
      <c r="BJ46" s="79">
        <v>5300</v>
      </c>
      <c r="BK46" s="79">
        <f>+BK41</f>
        <v>4000</v>
      </c>
      <c r="BL46" s="127">
        <v>4800</v>
      </c>
      <c r="BM46" s="127">
        <v>4200</v>
      </c>
      <c r="BN46" s="127">
        <v>4000</v>
      </c>
      <c r="BO46" s="76">
        <f>AVERAGE(BC46,BD46,BE46,BF46,BG46,BH46,BI46,BJ46,BK46)</f>
        <v>7444.75</v>
      </c>
      <c r="BP46" s="67">
        <f t="shared" si="101"/>
        <v>-2237.25</v>
      </c>
      <c r="BQ46" s="64">
        <f t="shared" si="124"/>
        <v>-0.23107312538731667</v>
      </c>
      <c r="BR46" s="478">
        <f t="shared" si="103"/>
        <v>7444.75</v>
      </c>
      <c r="BS46" s="607">
        <f>+BO46</f>
        <v>7444.75</v>
      </c>
    </row>
    <row r="47" spans="1:71" ht="34.35" customHeight="1">
      <c r="A47" s="91" t="s">
        <v>8</v>
      </c>
      <c r="B47" s="358" t="s">
        <v>2238</v>
      </c>
      <c r="C47" s="50" t="s">
        <v>93</v>
      </c>
      <c r="D47" s="99" t="s">
        <v>431</v>
      </c>
      <c r="E47" s="391" t="s">
        <v>13</v>
      </c>
      <c r="F47" s="410">
        <v>6427</v>
      </c>
      <c r="G47" s="589">
        <f t="shared" si="23"/>
        <v>6788</v>
      </c>
      <c r="H47" s="10">
        <v>16000</v>
      </c>
      <c r="I47" s="167">
        <v>96000</v>
      </c>
      <c r="J47" s="10">
        <v>13850</v>
      </c>
      <c r="K47" s="76">
        <f>AVERAGE(H47,J47,G47)</f>
        <v>12212.666666666666</v>
      </c>
      <c r="L47" s="24">
        <f t="shared" si="106"/>
        <v>5785.6666666666661</v>
      </c>
      <c r="M47" s="281">
        <f t="shared" si="10"/>
        <v>0.85233745825967389</v>
      </c>
      <c r="N47" s="597">
        <f t="shared" si="24"/>
        <v>12212.666666666666</v>
      </c>
      <c r="O47" s="566">
        <v>6559</v>
      </c>
      <c r="P47" s="579">
        <f t="shared" si="25"/>
        <v>6928</v>
      </c>
      <c r="Q47" s="568">
        <v>21200</v>
      </c>
      <c r="R47" s="568">
        <v>16000</v>
      </c>
      <c r="S47" s="572">
        <v>19200</v>
      </c>
      <c r="T47" s="570">
        <v>16000</v>
      </c>
      <c r="U47" s="560">
        <f>AVERAGE(P47:Q47,R47,S47,T47)</f>
        <v>15865.6</v>
      </c>
      <c r="V47" s="561">
        <f t="shared" si="11"/>
        <v>8937.6</v>
      </c>
      <c r="W47" s="281">
        <f t="shared" ref="W47" si="125">+V47/O47</f>
        <v>1.3626467449306296</v>
      </c>
      <c r="X47" s="462">
        <f t="shared" ref="X47" si="126">U47</f>
        <v>15865.6</v>
      </c>
      <c r="Y47" s="410">
        <v>11615</v>
      </c>
      <c r="Z47" s="575">
        <f t="shared" si="13"/>
        <v>12268</v>
      </c>
      <c r="AA47" s="10">
        <v>15107</v>
      </c>
      <c r="AB47" s="33">
        <v>19638</v>
      </c>
      <c r="AC47" s="473">
        <v>13204.2</v>
      </c>
      <c r="AD47" s="76">
        <f t="shared" si="37"/>
        <v>15054.3</v>
      </c>
      <c r="AE47" s="24">
        <f t="shared" si="14"/>
        <v>2786.2999999999993</v>
      </c>
      <c r="AF47" s="25">
        <f t="shared" si="91"/>
        <v>0.2398880757640981</v>
      </c>
      <c r="AG47" s="602">
        <f t="shared" si="92"/>
        <v>15054.3</v>
      </c>
      <c r="AH47" s="601">
        <f t="shared" si="105"/>
        <v>15054.3</v>
      </c>
      <c r="AI47" s="410">
        <v>6521</v>
      </c>
      <c r="AJ47" s="575">
        <f t="shared" si="15"/>
        <v>6887</v>
      </c>
      <c r="AK47" s="45">
        <v>15000</v>
      </c>
      <c r="AL47" s="45">
        <v>7585</v>
      </c>
      <c r="AM47" s="45">
        <v>15000</v>
      </c>
      <c r="AN47" s="76">
        <f t="shared" si="29"/>
        <v>11118</v>
      </c>
      <c r="AO47" s="24">
        <f t="shared" si="113"/>
        <v>4597</v>
      </c>
      <c r="AP47" s="281">
        <f t="shared" si="114"/>
        <v>0.70495322803251037</v>
      </c>
      <c r="AQ47" s="601">
        <f t="shared" si="115"/>
        <v>11118</v>
      </c>
      <c r="AR47" s="513">
        <v>6559</v>
      </c>
      <c r="AS47" s="575">
        <f t="shared" si="31"/>
        <v>6928</v>
      </c>
      <c r="AT47" s="88">
        <v>18000</v>
      </c>
      <c r="AU47" s="116">
        <v>18000</v>
      </c>
      <c r="AV47" s="74">
        <v>17600</v>
      </c>
      <c r="AW47" s="76">
        <f t="shared" si="32"/>
        <v>15132</v>
      </c>
      <c r="AX47" s="24">
        <f t="shared" ref="AX47" si="127">AW47-AR47</f>
        <v>8573</v>
      </c>
      <c r="AY47" s="25">
        <f t="shared" ref="AY47" si="128">+AX47/AR47</f>
        <v>1.307059002896783</v>
      </c>
      <c r="AZ47" s="309" t="str">
        <f t="shared" ref="AZ47" si="129">+IF(AY47&lt;35%,AW47,"REVISAR PRECIO")</f>
        <v>REVISAR PRECIO</v>
      </c>
      <c r="BA47" s="604">
        <f t="shared" ref="BA47" si="130">AW47</f>
        <v>15132</v>
      </c>
      <c r="BB47" s="513">
        <v>6559</v>
      </c>
      <c r="BC47" s="575">
        <f t="shared" si="21"/>
        <v>6928</v>
      </c>
      <c r="BD47" s="74">
        <v>18400</v>
      </c>
      <c r="BE47" s="74">
        <v>16000</v>
      </c>
      <c r="BF47" s="75">
        <v>21200</v>
      </c>
      <c r="BG47" s="61">
        <v>18400</v>
      </c>
      <c r="BH47" s="60">
        <v>14000</v>
      </c>
      <c r="BI47" s="74">
        <v>21160</v>
      </c>
      <c r="BJ47" s="79">
        <v>21200</v>
      </c>
      <c r="BK47" s="79">
        <v>16000</v>
      </c>
      <c r="BL47" s="127">
        <v>19200</v>
      </c>
      <c r="BM47" s="128">
        <v>16000</v>
      </c>
      <c r="BN47" s="128">
        <v>20000</v>
      </c>
      <c r="BO47" s="76">
        <f t="shared" si="76"/>
        <v>17374</v>
      </c>
      <c r="BP47" s="24">
        <f t="shared" si="101"/>
        <v>10815</v>
      </c>
      <c r="BQ47" s="25">
        <f t="shared" si="124"/>
        <v>1.648879402347919</v>
      </c>
      <c r="BR47" s="259" t="str">
        <f t="shared" ref="BR47:BR52" si="131">+IF(BQ47&lt;35%,BO47,"REVISAR PRECIO")</f>
        <v>REVISAR PRECIO</v>
      </c>
      <c r="BS47" s="607">
        <f t="shared" si="22"/>
        <v>17374</v>
      </c>
    </row>
    <row r="48" spans="1:71" ht="30.6" customHeight="1">
      <c r="A48" s="91" t="s">
        <v>8</v>
      </c>
      <c r="B48" s="358" t="s">
        <v>2239</v>
      </c>
      <c r="C48" s="50" t="s">
        <v>94</v>
      </c>
      <c r="D48" s="99" t="s">
        <v>433</v>
      </c>
      <c r="E48" s="391" t="s">
        <v>10</v>
      </c>
      <c r="F48" s="410">
        <v>36717</v>
      </c>
      <c r="G48" s="589">
        <f t="shared" si="23"/>
        <v>38780</v>
      </c>
      <c r="H48" s="10">
        <v>35000</v>
      </c>
      <c r="I48" s="167">
        <v>70000</v>
      </c>
      <c r="J48" s="10">
        <v>33502</v>
      </c>
      <c r="K48" s="76">
        <f>AVERAGE(H48,J48,G48)</f>
        <v>35760.666666666664</v>
      </c>
      <c r="L48" s="24">
        <f t="shared" si="106"/>
        <v>-956.33333333333576</v>
      </c>
      <c r="M48" s="281">
        <f t="shared" si="10"/>
        <v>-2.4660477909575446E-2</v>
      </c>
      <c r="N48" s="597">
        <f t="shared" si="24"/>
        <v>35760.666666666664</v>
      </c>
      <c r="O48" s="410">
        <v>33366</v>
      </c>
      <c r="P48" s="575">
        <f t="shared" si="25"/>
        <v>35241</v>
      </c>
      <c r="Q48" s="10">
        <v>35000</v>
      </c>
      <c r="R48" s="10">
        <v>39000</v>
      </c>
      <c r="S48" s="268">
        <v>38000</v>
      </c>
      <c r="T48" s="10">
        <v>40000</v>
      </c>
      <c r="U48" s="76">
        <f>AVERAGE(P48:Q48,R48,S48,T48)</f>
        <v>37448.199999999997</v>
      </c>
      <c r="V48" s="24">
        <f t="shared" si="11"/>
        <v>2207.1999999999971</v>
      </c>
      <c r="W48" s="281">
        <f t="shared" ref="W48:W50" si="132">+V48/O48</f>
        <v>6.6151171851585353E-2</v>
      </c>
      <c r="X48" s="462">
        <f t="shared" ref="X48:X50" si="133">U48</f>
        <v>37448.199999999997</v>
      </c>
      <c r="Y48" s="410">
        <v>66339</v>
      </c>
      <c r="Z48" s="575">
        <f t="shared" si="13"/>
        <v>70067</v>
      </c>
      <c r="AA48" s="10">
        <v>86279</v>
      </c>
      <c r="AB48" s="33">
        <v>112162</v>
      </c>
      <c r="AC48" s="473">
        <v>75413.8</v>
      </c>
      <c r="AD48" s="76">
        <f>AVERAGE(AA48,AC48,Z48)</f>
        <v>77253.266666666663</v>
      </c>
      <c r="AE48" s="24">
        <f t="shared" si="14"/>
        <v>7186.2666666666628</v>
      </c>
      <c r="AF48" s="25">
        <f t="shared" si="91"/>
        <v>0.10832642437580703</v>
      </c>
      <c r="AG48" s="602">
        <f t="shared" si="92"/>
        <v>77253.266666666663</v>
      </c>
      <c r="AH48" s="601">
        <f t="shared" si="105"/>
        <v>77253.266666666663</v>
      </c>
      <c r="AI48" s="410">
        <v>37257</v>
      </c>
      <c r="AJ48" s="575">
        <f t="shared" si="15"/>
        <v>39351</v>
      </c>
      <c r="AK48" s="45">
        <v>35000</v>
      </c>
      <c r="AL48" s="45">
        <v>43317</v>
      </c>
      <c r="AM48" s="45">
        <v>65000</v>
      </c>
      <c r="AN48" s="76">
        <f>AVERAGE(AK48,AL48,AJ48)</f>
        <v>39222.666666666664</v>
      </c>
      <c r="AO48" s="24">
        <f t="shared" si="113"/>
        <v>1965.6666666666642</v>
      </c>
      <c r="AP48" s="281">
        <f t="shared" si="114"/>
        <v>5.275966037702081E-2</v>
      </c>
      <c r="AQ48" s="601">
        <f t="shared" ref="AQ48:AQ52" si="134">AN48</f>
        <v>39222.666666666664</v>
      </c>
      <c r="AR48" s="513">
        <v>37447</v>
      </c>
      <c r="AS48" s="575">
        <f t="shared" si="31"/>
        <v>39552</v>
      </c>
      <c r="AT48" s="88">
        <v>40000</v>
      </c>
      <c r="AU48" s="116">
        <v>40000</v>
      </c>
      <c r="AV48" s="74">
        <v>38500</v>
      </c>
      <c r="AW48" s="76">
        <f t="shared" si="32"/>
        <v>39513</v>
      </c>
      <c r="AX48" s="24">
        <f t="shared" ref="AX48:AX52" si="135">AW48-AR48</f>
        <v>2066</v>
      </c>
      <c r="AY48" s="25">
        <f t="shared" ref="AY48" si="136">+AX48/AR48</f>
        <v>5.5171308783080089E-2</v>
      </c>
      <c r="AZ48" s="309">
        <f t="shared" ref="AZ48" si="137">+IF(AY48&lt;35%,AW48,"REVISAR PRECIO")</f>
        <v>39513</v>
      </c>
      <c r="BA48" s="601">
        <f t="shared" ref="BA48:BA52" si="138">AW48</f>
        <v>39513</v>
      </c>
      <c r="BB48" s="513">
        <v>37447</v>
      </c>
      <c r="BC48" s="575">
        <f t="shared" si="21"/>
        <v>39552</v>
      </c>
      <c r="BD48" s="74">
        <v>40250</v>
      </c>
      <c r="BE48" s="74">
        <v>45000</v>
      </c>
      <c r="BF48" s="75">
        <v>46375</v>
      </c>
      <c r="BG48" s="61">
        <v>40250</v>
      </c>
      <c r="BH48" s="60">
        <v>10000</v>
      </c>
      <c r="BI48" s="74">
        <v>46287.5</v>
      </c>
      <c r="BJ48" s="79">
        <v>46375</v>
      </c>
      <c r="BK48" s="79">
        <v>35000</v>
      </c>
      <c r="BL48" s="127">
        <v>42000</v>
      </c>
      <c r="BM48" s="128">
        <v>42000</v>
      </c>
      <c r="BN48" s="128">
        <v>40000</v>
      </c>
      <c r="BO48" s="76">
        <f t="shared" si="76"/>
        <v>39424.125</v>
      </c>
      <c r="BP48" s="24">
        <f t="shared" si="101"/>
        <v>1977.125</v>
      </c>
      <c r="BQ48" s="25">
        <f t="shared" si="124"/>
        <v>5.2797954442278423E-2</v>
      </c>
      <c r="BR48" s="259">
        <f t="shared" si="131"/>
        <v>39424.125</v>
      </c>
      <c r="BS48" s="607">
        <f t="shared" si="22"/>
        <v>39424.125</v>
      </c>
    </row>
    <row r="49" spans="1:71" ht="30.6" customHeight="1">
      <c r="A49" s="91" t="s">
        <v>8</v>
      </c>
      <c r="B49" s="358" t="s">
        <v>2240</v>
      </c>
      <c r="C49" s="50" t="s">
        <v>95</v>
      </c>
      <c r="D49" s="99" t="s">
        <v>434</v>
      </c>
      <c r="E49" s="391" t="s">
        <v>14</v>
      </c>
      <c r="F49" s="410">
        <v>4263</v>
      </c>
      <c r="G49" s="589">
        <f t="shared" si="23"/>
        <v>4503</v>
      </c>
      <c r="H49" s="10">
        <v>1000</v>
      </c>
      <c r="I49" s="167">
        <v>2000</v>
      </c>
      <c r="J49" s="10">
        <v>1500</v>
      </c>
      <c r="K49" s="76">
        <f>AVERAGE(J49,G49)</f>
        <v>3001.5</v>
      </c>
      <c r="L49" s="24">
        <f t="shared" si="106"/>
        <v>-1261.5</v>
      </c>
      <c r="M49" s="281">
        <f t="shared" si="10"/>
        <v>-0.28014656895403067</v>
      </c>
      <c r="N49" s="597">
        <f t="shared" si="24"/>
        <v>3001.5</v>
      </c>
      <c r="O49" s="410">
        <v>3873</v>
      </c>
      <c r="P49" s="575">
        <f t="shared" si="25"/>
        <v>4091</v>
      </c>
      <c r="Q49" s="10">
        <v>15000</v>
      </c>
      <c r="R49" s="10">
        <v>18000</v>
      </c>
      <c r="S49" s="268">
        <v>18000</v>
      </c>
      <c r="T49" s="10">
        <v>10000</v>
      </c>
      <c r="U49" s="76">
        <f>AVERAGE(O49,R49,S49,T49)</f>
        <v>12468.25</v>
      </c>
      <c r="V49" s="24">
        <f t="shared" si="11"/>
        <v>8377.25</v>
      </c>
      <c r="W49" s="281">
        <f t="shared" si="132"/>
        <v>2.1629873483088047</v>
      </c>
      <c r="X49" s="462">
        <f>+P49</f>
        <v>4091</v>
      </c>
      <c r="Y49" s="410">
        <v>7692</v>
      </c>
      <c r="Z49" s="575">
        <f t="shared" si="13"/>
        <v>8124</v>
      </c>
      <c r="AA49" s="10">
        <v>10004</v>
      </c>
      <c r="AB49" s="31">
        <v>13005</v>
      </c>
      <c r="AC49" s="473">
        <v>8743.7999999999993</v>
      </c>
      <c r="AD49" s="76">
        <f>AVERAGE(AA49,AC49,Z49)</f>
        <v>8957.2666666666664</v>
      </c>
      <c r="AE49" s="24">
        <f t="shared" si="14"/>
        <v>833.26666666666642</v>
      </c>
      <c r="AF49" s="25">
        <f t="shared" si="91"/>
        <v>0.10832899982665971</v>
      </c>
      <c r="AG49" s="602">
        <f t="shared" si="92"/>
        <v>8957.2666666666664</v>
      </c>
      <c r="AH49" s="601">
        <f t="shared" si="105"/>
        <v>8957.2666666666664</v>
      </c>
      <c r="AI49" s="410">
        <v>4319</v>
      </c>
      <c r="AJ49" s="575">
        <f t="shared" si="15"/>
        <v>4562</v>
      </c>
      <c r="AK49" s="45">
        <v>3000</v>
      </c>
      <c r="AL49" s="45">
        <v>5025</v>
      </c>
      <c r="AM49" s="45">
        <v>15000</v>
      </c>
      <c r="AN49" s="76">
        <f>AVERAGE(AK49,AL49,AJ49)</f>
        <v>4195.666666666667</v>
      </c>
      <c r="AO49" s="24">
        <f t="shared" si="113"/>
        <v>-123.33333333333303</v>
      </c>
      <c r="AP49" s="281">
        <f t="shared" si="114"/>
        <v>-2.8555992899590883E-2</v>
      </c>
      <c r="AQ49" s="601">
        <f t="shared" si="134"/>
        <v>4195.666666666667</v>
      </c>
      <c r="AR49" s="513"/>
      <c r="AS49" s="575">
        <f t="shared" si="31"/>
        <v>0</v>
      </c>
      <c r="AT49" s="88">
        <v>1000</v>
      </c>
      <c r="AU49" s="116">
        <v>1000</v>
      </c>
      <c r="AV49" s="74">
        <v>1100</v>
      </c>
      <c r="AW49" s="76">
        <f>AVERAGE(AT49,AU49,AV49)</f>
        <v>1033.3333333333333</v>
      </c>
      <c r="AX49" s="24">
        <f t="shared" si="135"/>
        <v>1033.3333333333333</v>
      </c>
      <c r="AY49" s="25"/>
      <c r="AZ49" s="309"/>
      <c r="BA49" s="601">
        <f t="shared" si="138"/>
        <v>1033.3333333333333</v>
      </c>
      <c r="BB49" s="513"/>
      <c r="BC49" s="575">
        <f t="shared" si="21"/>
        <v>0</v>
      </c>
      <c r="BD49" s="74">
        <v>1150</v>
      </c>
      <c r="BE49" s="74">
        <v>5000</v>
      </c>
      <c r="BF49" s="75">
        <v>1325</v>
      </c>
      <c r="BG49" s="61">
        <v>6209.9999999999991</v>
      </c>
      <c r="BH49" s="60">
        <v>12000</v>
      </c>
      <c r="BI49" s="74">
        <v>7141.4999999999982</v>
      </c>
      <c r="BJ49" s="79">
        <v>1325</v>
      </c>
      <c r="BK49" s="79">
        <v>1000</v>
      </c>
      <c r="BL49" s="127">
        <v>1200</v>
      </c>
      <c r="BM49" s="128">
        <v>2000</v>
      </c>
      <c r="BN49" s="128">
        <v>2000</v>
      </c>
      <c r="BO49" s="76">
        <f>AVERAGE(BD49,BE49,BF49,BG49,BI49,BJ49,BK49,BL49,BM49,BN49)</f>
        <v>2835.15</v>
      </c>
      <c r="BP49" s="24">
        <f t="shared" si="101"/>
        <v>2835.15</v>
      </c>
      <c r="BQ49" s="25"/>
      <c r="BR49" s="259">
        <f t="shared" si="131"/>
        <v>2835.15</v>
      </c>
      <c r="BS49" s="607">
        <f t="shared" si="22"/>
        <v>2835.15</v>
      </c>
    </row>
    <row r="50" spans="1:71" ht="30.6" customHeight="1">
      <c r="A50" s="91" t="s">
        <v>8</v>
      </c>
      <c r="B50" s="358" t="s">
        <v>2241</v>
      </c>
      <c r="C50" s="50" t="s">
        <v>96</v>
      </c>
      <c r="D50" s="99" t="s">
        <v>435</v>
      </c>
      <c r="E50" s="391" t="s">
        <v>14</v>
      </c>
      <c r="F50" s="410">
        <v>39091</v>
      </c>
      <c r="G50" s="589">
        <f t="shared" si="23"/>
        <v>41288</v>
      </c>
      <c r="H50" s="10">
        <v>800</v>
      </c>
      <c r="I50" s="167">
        <v>2400</v>
      </c>
      <c r="J50" s="10">
        <v>2600</v>
      </c>
      <c r="K50" s="76">
        <f>AVERAGE(I50:J50,H50,G50)</f>
        <v>11772</v>
      </c>
      <c r="L50" s="24">
        <f t="shared" si="106"/>
        <v>-27319</v>
      </c>
      <c r="M50" s="281">
        <f t="shared" si="10"/>
        <v>-0.66166925014532063</v>
      </c>
      <c r="N50" s="597">
        <f>+K50</f>
        <v>11772</v>
      </c>
      <c r="O50" s="410">
        <v>35530</v>
      </c>
      <c r="P50" s="575">
        <f t="shared" si="25"/>
        <v>37527</v>
      </c>
      <c r="Q50" s="10">
        <v>10000</v>
      </c>
      <c r="R50" s="10">
        <v>12000</v>
      </c>
      <c r="S50" s="268">
        <v>12000</v>
      </c>
      <c r="T50" s="10">
        <v>15000</v>
      </c>
      <c r="U50" s="76">
        <f t="shared" ref="U50" si="139">AVERAGE(Q50,R50,S50,T50)</f>
        <v>12250</v>
      </c>
      <c r="V50" s="24">
        <f t="shared" si="11"/>
        <v>-25277</v>
      </c>
      <c r="W50" s="281">
        <f t="shared" si="132"/>
        <v>-0.71142696312974951</v>
      </c>
      <c r="X50" s="462">
        <f t="shared" si="133"/>
        <v>12250</v>
      </c>
      <c r="Y50" s="410">
        <v>70626</v>
      </c>
      <c r="Z50" s="575">
        <f t="shared" si="13"/>
        <v>74595</v>
      </c>
      <c r="AA50" s="10">
        <v>91854</v>
      </c>
      <c r="AB50" s="31">
        <v>119410</v>
      </c>
      <c r="AC50" s="473">
        <v>80287.199999999997</v>
      </c>
      <c r="AD50" s="76">
        <f>AVERAGE(AA50,AC50,Z50)</f>
        <v>82245.400000000009</v>
      </c>
      <c r="AE50" s="24">
        <f t="shared" si="14"/>
        <v>7650.4000000000087</v>
      </c>
      <c r="AF50" s="25">
        <f t="shared" si="91"/>
        <v>0.10832271401466895</v>
      </c>
      <c r="AG50" s="602">
        <f t="shared" si="92"/>
        <v>82245.400000000009</v>
      </c>
      <c r="AH50" s="601">
        <f t="shared" si="105"/>
        <v>82245.400000000009</v>
      </c>
      <c r="AI50" s="410">
        <v>39669</v>
      </c>
      <c r="AJ50" s="575">
        <f t="shared" si="15"/>
        <v>41898</v>
      </c>
      <c r="AK50" s="45">
        <v>4000</v>
      </c>
      <c r="AL50" s="45">
        <v>52838</v>
      </c>
      <c r="AM50" s="45">
        <v>25000</v>
      </c>
      <c r="AN50" s="76">
        <f>AVERAGE(AM50,AK50)</f>
        <v>14500</v>
      </c>
      <c r="AO50" s="24">
        <f t="shared" si="113"/>
        <v>-25169</v>
      </c>
      <c r="AP50" s="281">
        <f t="shared" si="114"/>
        <v>-0.6344752829665482</v>
      </c>
      <c r="AQ50" s="601">
        <f>AN50</f>
        <v>14500</v>
      </c>
      <c r="AR50" s="513"/>
      <c r="AS50" s="575">
        <f t="shared" si="31"/>
        <v>0</v>
      </c>
      <c r="AT50" s="88">
        <v>1000</v>
      </c>
      <c r="AU50" s="116">
        <v>1000</v>
      </c>
      <c r="AV50" s="74">
        <v>880</v>
      </c>
      <c r="AW50" s="76">
        <f t="shared" ref="AW50:AW51" si="140">AVERAGE(AT50,AU50,AV50)</f>
        <v>960</v>
      </c>
      <c r="AX50" s="24">
        <f t="shared" si="135"/>
        <v>960</v>
      </c>
      <c r="AY50" s="25"/>
      <c r="AZ50" s="309"/>
      <c r="BA50" s="601">
        <f t="shared" si="138"/>
        <v>960</v>
      </c>
      <c r="BB50" s="513"/>
      <c r="BC50" s="575">
        <f t="shared" si="21"/>
        <v>0</v>
      </c>
      <c r="BD50" s="74">
        <v>920</v>
      </c>
      <c r="BE50" s="74">
        <v>25000</v>
      </c>
      <c r="BF50" s="75">
        <v>1060</v>
      </c>
      <c r="BG50" s="61">
        <v>1380</v>
      </c>
      <c r="BH50" s="60">
        <v>32000</v>
      </c>
      <c r="BI50" s="74">
        <v>1586.9999999999998</v>
      </c>
      <c r="BJ50" s="79">
        <v>1060</v>
      </c>
      <c r="BK50" s="79">
        <v>800</v>
      </c>
      <c r="BL50" s="127">
        <v>960</v>
      </c>
      <c r="BM50" s="128">
        <v>1500</v>
      </c>
      <c r="BN50" s="128">
        <v>1000</v>
      </c>
      <c r="BO50" s="76">
        <f>AVERAGE(BD50,BE50,BF50,BG50,BI50,BJ50,BK50,BL50,BM50,BN50,BH50)</f>
        <v>6115.181818181818</v>
      </c>
      <c r="BP50" s="24">
        <f t="shared" si="101"/>
        <v>6115.181818181818</v>
      </c>
      <c r="BQ50" s="25"/>
      <c r="BR50" s="259">
        <f t="shared" si="131"/>
        <v>6115.181818181818</v>
      </c>
      <c r="BS50" s="607">
        <f t="shared" si="22"/>
        <v>6115.181818181818</v>
      </c>
    </row>
    <row r="51" spans="1:71" ht="30.6" customHeight="1">
      <c r="A51" s="91" t="s">
        <v>8</v>
      </c>
      <c r="B51" s="358" t="s">
        <v>2242</v>
      </c>
      <c r="C51" s="50" t="s">
        <v>97</v>
      </c>
      <c r="D51" s="99" t="s">
        <v>436</v>
      </c>
      <c r="E51" s="391" t="s">
        <v>14</v>
      </c>
      <c r="F51" s="410">
        <v>15559</v>
      </c>
      <c r="G51" s="589">
        <f t="shared" si="23"/>
        <v>16433</v>
      </c>
      <c r="H51" s="10">
        <v>1800</v>
      </c>
      <c r="I51" s="167">
        <v>5400</v>
      </c>
      <c r="J51" s="10">
        <v>3650</v>
      </c>
      <c r="K51" s="76">
        <f>AVERAGE(J51,G51)</f>
        <v>10041.5</v>
      </c>
      <c r="L51" s="24">
        <f t="shared" si="106"/>
        <v>-5517.5</v>
      </c>
      <c r="M51" s="281">
        <f t="shared" si="10"/>
        <v>-0.33575731759264893</v>
      </c>
      <c r="N51" s="597">
        <f t="shared" si="24"/>
        <v>10041.5</v>
      </c>
      <c r="O51" s="571"/>
      <c r="P51" s="579">
        <f t="shared" si="25"/>
        <v>0</v>
      </c>
      <c r="Q51" s="568">
        <v>1800</v>
      </c>
      <c r="R51" s="572">
        <v>2160</v>
      </c>
      <c r="S51" s="570">
        <v>2500</v>
      </c>
      <c r="T51" s="570">
        <v>3000</v>
      </c>
      <c r="U51" s="560">
        <f t="shared" ref="U51" si="141">AVERAGE(Q51,R51,S51,T51)</f>
        <v>2365</v>
      </c>
      <c r="V51" s="561">
        <f t="shared" si="11"/>
        <v>2365</v>
      </c>
      <c r="W51" s="281"/>
      <c r="X51" s="462">
        <f t="shared" ref="X51" si="142">U51</f>
        <v>2365</v>
      </c>
      <c r="Y51" s="410">
        <v>28109</v>
      </c>
      <c r="Z51" s="575">
        <f t="shared" si="13"/>
        <v>29689</v>
      </c>
      <c r="AA51" s="10">
        <v>36558</v>
      </c>
      <c r="AB51" s="31">
        <v>36558</v>
      </c>
      <c r="AC51" s="31">
        <v>31742</v>
      </c>
      <c r="AD51" s="76">
        <f t="shared" si="37"/>
        <v>33636.75</v>
      </c>
      <c r="AE51" s="24">
        <f t="shared" si="14"/>
        <v>3947.75</v>
      </c>
      <c r="AF51" s="25">
        <f t="shared" si="91"/>
        <v>0.14044434166992778</v>
      </c>
      <c r="AG51" s="602">
        <f t="shared" si="92"/>
        <v>33636.75</v>
      </c>
      <c r="AH51" s="601">
        <f t="shared" si="105"/>
        <v>33636.75</v>
      </c>
      <c r="AI51" s="410">
        <v>15786</v>
      </c>
      <c r="AJ51" s="575">
        <f t="shared" si="15"/>
        <v>16673</v>
      </c>
      <c r="AK51" s="45"/>
      <c r="AL51" s="45">
        <v>18353</v>
      </c>
      <c r="AM51" s="45">
        <v>15000</v>
      </c>
      <c r="AN51" s="76">
        <f>AVERAGE(AM51,AJ51)</f>
        <v>15836.5</v>
      </c>
      <c r="AO51" s="24">
        <f t="shared" si="113"/>
        <v>50.5</v>
      </c>
      <c r="AP51" s="281">
        <f t="shared" si="114"/>
        <v>3.1990371215000635E-3</v>
      </c>
      <c r="AQ51" s="601">
        <f t="shared" si="134"/>
        <v>15836.5</v>
      </c>
      <c r="AR51" s="513"/>
      <c r="AS51" s="575">
        <f t="shared" si="31"/>
        <v>0</v>
      </c>
      <c r="AT51" s="88">
        <v>2000</v>
      </c>
      <c r="AU51" s="116">
        <v>2000</v>
      </c>
      <c r="AV51" s="74">
        <v>1980</v>
      </c>
      <c r="AW51" s="76">
        <f t="shared" si="140"/>
        <v>1993.3333333333333</v>
      </c>
      <c r="AX51" s="24">
        <f t="shared" si="135"/>
        <v>1993.3333333333333</v>
      </c>
      <c r="AY51" s="25"/>
      <c r="AZ51" s="309"/>
      <c r="BA51" s="601">
        <f t="shared" si="138"/>
        <v>1993.3333333333333</v>
      </c>
      <c r="BB51" s="513"/>
      <c r="BC51" s="575">
        <f t="shared" si="21"/>
        <v>0</v>
      </c>
      <c r="BD51" s="74">
        <v>2070</v>
      </c>
      <c r="BE51" s="74">
        <v>30000</v>
      </c>
      <c r="BF51" s="75">
        <v>2385</v>
      </c>
      <c r="BG51" s="61">
        <v>14719.999999999998</v>
      </c>
      <c r="BH51" s="60">
        <v>12000</v>
      </c>
      <c r="BI51" s="74">
        <v>16927.999999999996</v>
      </c>
      <c r="BJ51" s="79">
        <v>2385</v>
      </c>
      <c r="BK51" s="79">
        <v>1800</v>
      </c>
      <c r="BL51" s="127">
        <v>2160</v>
      </c>
      <c r="BM51" s="128">
        <v>2500</v>
      </c>
      <c r="BN51" s="128">
        <v>3000</v>
      </c>
      <c r="BO51" s="76">
        <f>AVERAGE(BD51,BE51,BF51,BG51,BH51,BI51,BJ51,BK51,BL51,BM51,BN51)</f>
        <v>8177.090909090909</v>
      </c>
      <c r="BP51" s="24">
        <f t="shared" si="101"/>
        <v>8177.090909090909</v>
      </c>
      <c r="BQ51" s="25"/>
      <c r="BR51" s="259">
        <f t="shared" si="131"/>
        <v>8177.090909090909</v>
      </c>
      <c r="BS51" s="607">
        <f t="shared" si="22"/>
        <v>8177.090909090909</v>
      </c>
    </row>
    <row r="52" spans="1:71" ht="30.6" customHeight="1">
      <c r="A52" s="91" t="s">
        <v>8</v>
      </c>
      <c r="B52" s="358" t="s">
        <v>2243</v>
      </c>
      <c r="C52" s="50" t="s">
        <v>98</v>
      </c>
      <c r="D52" s="99" t="s">
        <v>437</v>
      </c>
      <c r="E52" s="391" t="s">
        <v>13</v>
      </c>
      <c r="F52" s="410">
        <v>1216</v>
      </c>
      <c r="G52" s="589">
        <f t="shared" si="23"/>
        <v>1284</v>
      </c>
      <c r="H52" s="10">
        <v>5200</v>
      </c>
      <c r="I52" s="167">
        <v>20800</v>
      </c>
      <c r="J52" s="10">
        <v>5000</v>
      </c>
      <c r="K52" s="76">
        <f>AVERAGE(H52,J52)</f>
        <v>5100</v>
      </c>
      <c r="L52" s="24">
        <f t="shared" si="106"/>
        <v>3884</v>
      </c>
      <c r="M52" s="281">
        <f t="shared" si="10"/>
        <v>3.0249221183800623</v>
      </c>
      <c r="N52" s="597">
        <f t="shared" si="24"/>
        <v>5100</v>
      </c>
      <c r="O52" s="410">
        <v>1101</v>
      </c>
      <c r="P52" s="575">
        <f t="shared" si="25"/>
        <v>1163</v>
      </c>
      <c r="Q52" s="10">
        <v>10000</v>
      </c>
      <c r="R52" s="10">
        <v>12000</v>
      </c>
      <c r="S52" s="268">
        <v>12000</v>
      </c>
      <c r="T52" s="10">
        <v>10000</v>
      </c>
      <c r="U52" s="76">
        <f>AVERAGE(O52:Q52,R52,S52,T52)</f>
        <v>7710.666666666667</v>
      </c>
      <c r="V52" s="24">
        <f t="shared" si="11"/>
        <v>6547.666666666667</v>
      </c>
      <c r="W52" s="281">
        <f t="shared" ref="W52" si="143">+V52/O52</f>
        <v>5.9470178625491981</v>
      </c>
      <c r="X52" s="462">
        <f t="shared" ref="X52" si="144">U52</f>
        <v>7710.666666666667</v>
      </c>
      <c r="Y52" s="410">
        <v>2190</v>
      </c>
      <c r="Z52" s="575">
        <f t="shared" si="13"/>
        <v>2313</v>
      </c>
      <c r="AA52" s="10">
        <v>2849</v>
      </c>
      <c r="AB52" s="33">
        <v>3703</v>
      </c>
      <c r="AC52" s="473">
        <v>2489.8000000000002</v>
      </c>
      <c r="AD52" s="76">
        <f t="shared" si="37"/>
        <v>2838.7</v>
      </c>
      <c r="AE52" s="24">
        <f t="shared" si="14"/>
        <v>525.69999999999982</v>
      </c>
      <c r="AF52" s="25">
        <f t="shared" si="91"/>
        <v>0.24004566210045652</v>
      </c>
      <c r="AG52" s="602">
        <f t="shared" si="92"/>
        <v>2838.7</v>
      </c>
      <c r="AH52" s="601">
        <f t="shared" si="105"/>
        <v>2838.7</v>
      </c>
      <c r="AI52" s="410">
        <v>1224</v>
      </c>
      <c r="AJ52" s="575">
        <f t="shared" si="15"/>
        <v>1293</v>
      </c>
      <c r="AK52" s="45">
        <v>6000</v>
      </c>
      <c r="AL52" s="45">
        <v>1428</v>
      </c>
      <c r="AM52" s="45">
        <v>15000</v>
      </c>
      <c r="AN52" s="76">
        <f>AVERAGE(AK52,AL52,AJ52)</f>
        <v>2907</v>
      </c>
      <c r="AO52" s="24">
        <f t="shared" si="113"/>
        <v>1683</v>
      </c>
      <c r="AP52" s="281">
        <f t="shared" si="114"/>
        <v>1.375</v>
      </c>
      <c r="AQ52" s="601">
        <f t="shared" si="134"/>
        <v>2907</v>
      </c>
      <c r="AR52" s="513">
        <v>1234</v>
      </c>
      <c r="AS52" s="575">
        <f t="shared" si="31"/>
        <v>1303</v>
      </c>
      <c r="AT52" s="88">
        <v>5500</v>
      </c>
      <c r="AU52" s="116">
        <v>5500</v>
      </c>
      <c r="AV52" s="74">
        <v>5720</v>
      </c>
      <c r="AW52" s="76">
        <f t="shared" si="32"/>
        <v>4505.75</v>
      </c>
      <c r="AX52" s="24">
        <f t="shared" si="135"/>
        <v>3271.75</v>
      </c>
      <c r="AY52" s="25">
        <f t="shared" ref="AY52" si="145">+AX52/AR52</f>
        <v>2.6513371150729337</v>
      </c>
      <c r="AZ52" s="309" t="str">
        <f t="shared" ref="AZ52" si="146">+IF(AY52&lt;35%,AW52,"REVISAR PRECIO")</f>
        <v>REVISAR PRECIO</v>
      </c>
      <c r="BA52" s="604">
        <f t="shared" si="138"/>
        <v>4505.75</v>
      </c>
      <c r="BB52" s="513">
        <v>1234</v>
      </c>
      <c r="BC52" s="575">
        <f t="shared" si="21"/>
        <v>1303</v>
      </c>
      <c r="BD52" s="74">
        <v>5980</v>
      </c>
      <c r="BE52" s="74">
        <v>8000</v>
      </c>
      <c r="BF52" s="75">
        <v>6890</v>
      </c>
      <c r="BG52" s="61">
        <v>8625</v>
      </c>
      <c r="BH52" s="60">
        <v>6000</v>
      </c>
      <c r="BI52" s="74">
        <v>9918.75</v>
      </c>
      <c r="BJ52" s="79">
        <v>6890</v>
      </c>
      <c r="BK52" s="79">
        <v>5200</v>
      </c>
      <c r="BL52" s="127">
        <v>6240</v>
      </c>
      <c r="BM52" s="128">
        <v>6000</v>
      </c>
      <c r="BN52" s="128">
        <v>6000</v>
      </c>
      <c r="BO52" s="76">
        <f t="shared" si="76"/>
        <v>6420.5625</v>
      </c>
      <c r="BP52" s="24">
        <f t="shared" si="101"/>
        <v>5186.5625</v>
      </c>
      <c r="BQ52" s="25">
        <f>+BP52/BB52</f>
        <v>4.203049027552674</v>
      </c>
      <c r="BR52" s="259" t="str">
        <f t="shared" si="131"/>
        <v>REVISAR PRECIO</v>
      </c>
      <c r="BS52" s="607">
        <f t="shared" si="22"/>
        <v>6420.5625</v>
      </c>
    </row>
    <row r="53" spans="1:71" ht="29.45" customHeight="1">
      <c r="A53" s="91" t="s">
        <v>17</v>
      </c>
      <c r="B53" s="358" t="s">
        <v>2244</v>
      </c>
      <c r="C53" s="252" t="s">
        <v>751</v>
      </c>
      <c r="D53" s="100" t="s">
        <v>17</v>
      </c>
      <c r="E53" s="91"/>
      <c r="F53" s="411"/>
      <c r="G53" s="574"/>
      <c r="H53" s="173"/>
      <c r="I53" s="174"/>
      <c r="J53" s="173"/>
      <c r="K53" s="173"/>
      <c r="L53" s="173"/>
      <c r="M53" s="173"/>
      <c r="N53" s="173"/>
      <c r="O53" s="613"/>
      <c r="P53" s="173"/>
      <c r="Q53" s="173"/>
      <c r="R53" s="173"/>
      <c r="S53" s="173"/>
      <c r="T53" s="173"/>
      <c r="U53" s="173"/>
      <c r="V53" s="614"/>
      <c r="W53" s="173"/>
      <c r="X53" s="173"/>
      <c r="Y53" s="413"/>
      <c r="Z53" s="47"/>
      <c r="AA53" s="47"/>
      <c r="AB53" s="47"/>
      <c r="AC53" s="47"/>
      <c r="AD53" s="47"/>
      <c r="AE53" s="47"/>
      <c r="AF53" s="47"/>
      <c r="AG53" s="91"/>
      <c r="AH53" s="603"/>
      <c r="AI53" s="500"/>
      <c r="AJ53" s="321"/>
      <c r="AK53" s="321"/>
      <c r="AL53" s="321"/>
      <c r="AM53" s="321"/>
      <c r="AN53" s="321"/>
      <c r="AO53" s="320"/>
      <c r="AP53" s="320"/>
      <c r="AQ53" s="320"/>
      <c r="AR53" s="413"/>
      <c r="AS53" s="47"/>
      <c r="AT53" s="47"/>
      <c r="AU53" s="47"/>
      <c r="AV53" s="47"/>
      <c r="AW53" s="47"/>
      <c r="AX53" s="47"/>
      <c r="AY53" s="47"/>
      <c r="AZ53" s="91"/>
      <c r="BA53" s="467"/>
      <c r="BB53" s="413"/>
      <c r="BC53" s="47"/>
      <c r="BD53" s="47"/>
      <c r="BE53" s="47"/>
      <c r="BF53" s="47"/>
      <c r="BG53" s="47"/>
      <c r="BH53" s="47"/>
      <c r="BI53" s="47"/>
      <c r="BJ53" s="148"/>
      <c r="BK53" s="148"/>
      <c r="BL53" s="149"/>
      <c r="BM53" s="148"/>
      <c r="BN53" s="148"/>
      <c r="BO53" s="148"/>
      <c r="BP53" s="47"/>
      <c r="BQ53" s="47"/>
      <c r="BR53" s="414"/>
      <c r="BS53" s="414"/>
    </row>
    <row r="54" spans="1:71" ht="60.6" customHeight="1">
      <c r="A54" s="91" t="s">
        <v>17</v>
      </c>
      <c r="B54" s="358" t="s">
        <v>2245</v>
      </c>
      <c r="C54" s="50" t="s">
        <v>105</v>
      </c>
      <c r="D54" s="99" t="s">
        <v>445</v>
      </c>
      <c r="E54" s="391" t="s">
        <v>13</v>
      </c>
      <c r="F54" s="410">
        <v>9379</v>
      </c>
      <c r="G54" s="589">
        <f t="shared" si="23"/>
        <v>9906</v>
      </c>
      <c r="H54" s="10">
        <v>14000</v>
      </c>
      <c r="I54" s="167">
        <v>28000</v>
      </c>
      <c r="J54" s="10">
        <v>13650</v>
      </c>
      <c r="K54" s="76">
        <f t="shared" ref="K54:K59" si="147">AVERAGE(H54,J54,G54)</f>
        <v>12518.666666666666</v>
      </c>
      <c r="L54" s="24">
        <f t="shared" ref="L54:L56" si="148">K54-F54</f>
        <v>3139.6666666666661</v>
      </c>
      <c r="M54" s="281">
        <f t="shared" si="10"/>
        <v>0.3169459586782421</v>
      </c>
      <c r="N54" s="597">
        <f t="shared" si="24"/>
        <v>12518.666666666666</v>
      </c>
      <c r="O54" s="410">
        <v>8524</v>
      </c>
      <c r="P54" s="575">
        <f t="shared" si="25"/>
        <v>9003</v>
      </c>
      <c r="Q54" s="10">
        <v>35000</v>
      </c>
      <c r="R54" s="10">
        <v>38000</v>
      </c>
      <c r="S54" s="268">
        <v>38000</v>
      </c>
      <c r="T54" s="10">
        <v>35000</v>
      </c>
      <c r="U54" s="76">
        <f>AVERAGE(Q54,P54)</f>
        <v>22001.5</v>
      </c>
      <c r="V54" s="24">
        <f t="shared" si="11"/>
        <v>12998.5</v>
      </c>
      <c r="W54" s="281">
        <f t="shared" ref="W54:W56" si="149">+V54/O54</f>
        <v>1.5249296105114969</v>
      </c>
      <c r="X54" s="462">
        <f>AVERAGE(U54,P54)</f>
        <v>15502.25</v>
      </c>
      <c r="Y54" s="410">
        <v>14117</v>
      </c>
      <c r="Z54" s="575">
        <f t="shared" si="13"/>
        <v>14910</v>
      </c>
      <c r="AA54" s="38">
        <v>18360</v>
      </c>
      <c r="AB54" s="31">
        <v>23868</v>
      </c>
      <c r="AC54" s="98">
        <v>16048</v>
      </c>
      <c r="AD54" s="76">
        <f t="shared" ref="AD54:AD62" si="150">AVERAGE(AA54,AC54,Z54)</f>
        <v>16439.333333333332</v>
      </c>
      <c r="AE54" s="24">
        <f t="shared" si="14"/>
        <v>1529.3333333333321</v>
      </c>
      <c r="AF54" s="25">
        <f t="shared" ref="AF54:AF62" si="151">+AE54/Y54</f>
        <v>0.10833274302849984</v>
      </c>
      <c r="AG54" s="602">
        <f t="shared" ref="AG54:AG62" si="152">+IF(AF54&lt;35%,AD54,"REVISAR PRECIO")</f>
        <v>16439.333333333332</v>
      </c>
      <c r="AH54" s="601">
        <f t="shared" ref="AH54:AH56" si="153">AD54</f>
        <v>16439.333333333332</v>
      </c>
      <c r="AI54" s="410">
        <v>9512</v>
      </c>
      <c r="AJ54" s="575">
        <f t="shared" si="15"/>
        <v>10047</v>
      </c>
      <c r="AK54" s="45">
        <v>21000</v>
      </c>
      <c r="AL54" s="45">
        <v>11061</v>
      </c>
      <c r="AM54" s="45">
        <v>27000</v>
      </c>
      <c r="AN54" s="76">
        <f>AVERAGE(AK54,AL54,AJ54)</f>
        <v>14036</v>
      </c>
      <c r="AO54" s="24">
        <f t="shared" ref="AO54:AO56" si="154">AN54-AI54</f>
        <v>4524</v>
      </c>
      <c r="AP54" s="281">
        <f t="shared" ref="AP54:AP56" si="155">+AO54/AI54</f>
        <v>0.47560975609756095</v>
      </c>
      <c r="AQ54" s="601">
        <f t="shared" ref="AQ54:AQ56" si="156">AN54</f>
        <v>14036</v>
      </c>
      <c r="AR54" s="513">
        <v>9558</v>
      </c>
      <c r="AS54" s="575">
        <f t="shared" si="31"/>
        <v>10095</v>
      </c>
      <c r="AT54" s="88">
        <v>15000</v>
      </c>
      <c r="AU54" s="116">
        <v>16500</v>
      </c>
      <c r="AV54" s="74">
        <v>15400</v>
      </c>
      <c r="AW54" s="76">
        <f t="shared" si="32"/>
        <v>14248.75</v>
      </c>
      <c r="AX54" s="24">
        <f t="shared" ref="AX54:AX56" si="157">AW54-AR54</f>
        <v>4690.75</v>
      </c>
      <c r="AY54" s="25">
        <f t="shared" ref="AY54:AY56" si="158">+AX54/AR54</f>
        <v>0.49076689684034319</v>
      </c>
      <c r="AZ54" s="309" t="str">
        <f t="shared" ref="AZ54:AZ56" si="159">+IF(AY54&lt;35%,AW54,"REVISAR PRECIO")</f>
        <v>REVISAR PRECIO</v>
      </c>
      <c r="BA54" s="601">
        <f t="shared" ref="BA54:BA56" si="160">AW54</f>
        <v>14248.75</v>
      </c>
      <c r="BB54" s="513">
        <v>9558</v>
      </c>
      <c r="BC54" s="575">
        <f t="shared" si="21"/>
        <v>10095</v>
      </c>
      <c r="BD54" s="74">
        <v>16100</v>
      </c>
      <c r="BE54" s="74">
        <v>30000</v>
      </c>
      <c r="BF54" s="75">
        <v>18550</v>
      </c>
      <c r="BG54" s="61">
        <v>20930</v>
      </c>
      <c r="BH54" s="60">
        <v>68000</v>
      </c>
      <c r="BI54" s="74">
        <v>24069.499999999996</v>
      </c>
      <c r="BJ54" s="79">
        <v>18550</v>
      </c>
      <c r="BK54" s="79">
        <v>14000</v>
      </c>
      <c r="BL54" s="127">
        <v>16800</v>
      </c>
      <c r="BM54" s="128">
        <v>17000</v>
      </c>
      <c r="BN54" s="128">
        <v>15000</v>
      </c>
      <c r="BO54" s="76">
        <f>AVERAGE(BC54,BD54,BE54,BF54,BG54,BI54,BJ54,BK54,BL54,BM54,BN54)</f>
        <v>18281.31818181818</v>
      </c>
      <c r="BP54" s="24">
        <f t="shared" ref="BP54:BP62" si="161">BO54-BB54</f>
        <v>8723.3181818181802</v>
      </c>
      <c r="BQ54" s="25">
        <f t="shared" ref="BQ54:BQ62" si="162">+BP54/BB54</f>
        <v>0.91267191690920491</v>
      </c>
      <c r="BR54" s="259" t="str">
        <f t="shared" ref="BR54:BR56" si="163">+IF(BQ54&lt;35%,BO54,"REVISAR PRECIO")</f>
        <v>REVISAR PRECIO</v>
      </c>
      <c r="BS54" s="607">
        <f t="shared" si="22"/>
        <v>18281.31818181818</v>
      </c>
    </row>
    <row r="55" spans="1:71" ht="60.6" customHeight="1">
      <c r="A55" s="91" t="s">
        <v>17</v>
      </c>
      <c r="B55" s="358" t="s">
        <v>2246</v>
      </c>
      <c r="C55" s="50" t="s">
        <v>106</v>
      </c>
      <c r="D55" s="99" t="s">
        <v>446</v>
      </c>
      <c r="E55" s="391" t="s">
        <v>10</v>
      </c>
      <c r="F55" s="410">
        <v>7282</v>
      </c>
      <c r="G55" s="589">
        <f t="shared" si="23"/>
        <v>7691</v>
      </c>
      <c r="H55" s="10">
        <v>6700</v>
      </c>
      <c r="I55" s="167">
        <v>13400</v>
      </c>
      <c r="J55" s="10">
        <v>6950</v>
      </c>
      <c r="K55" s="76">
        <f t="shared" si="147"/>
        <v>7113.666666666667</v>
      </c>
      <c r="L55" s="24">
        <f t="shared" si="148"/>
        <v>-168.33333333333303</v>
      </c>
      <c r="M55" s="281">
        <f t="shared" si="10"/>
        <v>-2.1887054132535826E-2</v>
      </c>
      <c r="N55" s="597">
        <f t="shared" si="24"/>
        <v>7113.666666666667</v>
      </c>
      <c r="O55" s="410">
        <v>6616</v>
      </c>
      <c r="P55" s="575">
        <f t="shared" si="25"/>
        <v>6988</v>
      </c>
      <c r="Q55" s="10">
        <v>25000</v>
      </c>
      <c r="R55" s="10">
        <v>28000</v>
      </c>
      <c r="S55" s="268">
        <v>28000</v>
      </c>
      <c r="T55" s="10">
        <v>25000</v>
      </c>
      <c r="U55" s="76">
        <f>AVERAGE(Q55,T55,P55)</f>
        <v>18996</v>
      </c>
      <c r="V55" s="24">
        <f t="shared" si="11"/>
        <v>12008</v>
      </c>
      <c r="W55" s="281">
        <f t="shared" si="149"/>
        <v>1.814993954050786</v>
      </c>
      <c r="X55" s="462">
        <f>AVERAGE(U55,P55)</f>
        <v>12992</v>
      </c>
      <c r="Y55" s="410">
        <v>10972</v>
      </c>
      <c r="Z55" s="575">
        <f t="shared" si="13"/>
        <v>11589</v>
      </c>
      <c r="AA55" s="38">
        <v>14270</v>
      </c>
      <c r="AB55" s="31">
        <v>18550</v>
      </c>
      <c r="AC55" s="98">
        <v>12472.6</v>
      </c>
      <c r="AD55" s="76">
        <f t="shared" si="150"/>
        <v>12777.199999999999</v>
      </c>
      <c r="AE55" s="24">
        <f t="shared" si="14"/>
        <v>1188.1999999999989</v>
      </c>
      <c r="AF55" s="25">
        <f t="shared" si="151"/>
        <v>0.10829383886255914</v>
      </c>
      <c r="AG55" s="602">
        <f t="shared" si="152"/>
        <v>12777.199999999999</v>
      </c>
      <c r="AH55" s="601">
        <f t="shared" si="153"/>
        <v>12777.199999999999</v>
      </c>
      <c r="AI55" s="410">
        <v>7394</v>
      </c>
      <c r="AJ55" s="575">
        <f t="shared" si="15"/>
        <v>7810</v>
      </c>
      <c r="AK55" s="45">
        <v>7000</v>
      </c>
      <c r="AL55" s="45">
        <v>8593</v>
      </c>
      <c r="AM55" s="45">
        <v>18000</v>
      </c>
      <c r="AN55" s="76">
        <f>AVERAGE(AK55,AL55,AJ55)</f>
        <v>7801</v>
      </c>
      <c r="AO55" s="24">
        <f t="shared" si="154"/>
        <v>407</v>
      </c>
      <c r="AP55" s="281">
        <f t="shared" si="155"/>
        <v>5.5044630781714905E-2</v>
      </c>
      <c r="AQ55" s="601">
        <f t="shared" si="156"/>
        <v>7801</v>
      </c>
      <c r="AR55" s="513">
        <v>7433</v>
      </c>
      <c r="AS55" s="575">
        <f t="shared" si="31"/>
        <v>7851</v>
      </c>
      <c r="AT55" s="88">
        <v>8000</v>
      </c>
      <c r="AU55" s="116">
        <v>8000</v>
      </c>
      <c r="AV55" s="74">
        <v>7370</v>
      </c>
      <c r="AW55" s="76">
        <f t="shared" si="32"/>
        <v>7805.25</v>
      </c>
      <c r="AX55" s="24">
        <f t="shared" si="157"/>
        <v>372.25</v>
      </c>
      <c r="AY55" s="25">
        <f t="shared" si="158"/>
        <v>5.0080721108569891E-2</v>
      </c>
      <c r="AZ55" s="309">
        <f t="shared" si="159"/>
        <v>7805.25</v>
      </c>
      <c r="BA55" s="601">
        <f t="shared" si="160"/>
        <v>7805.25</v>
      </c>
      <c r="BB55" s="513">
        <v>7433</v>
      </c>
      <c r="BC55" s="575">
        <f t="shared" si="21"/>
        <v>7851</v>
      </c>
      <c r="BD55" s="74">
        <v>7705</v>
      </c>
      <c r="BE55" s="74">
        <v>12000</v>
      </c>
      <c r="BF55" s="75">
        <v>8877.5</v>
      </c>
      <c r="BG55" s="61">
        <v>9430</v>
      </c>
      <c r="BH55" s="60">
        <v>38000</v>
      </c>
      <c r="BI55" s="74">
        <v>10844.5</v>
      </c>
      <c r="BJ55" s="79">
        <v>8877.5</v>
      </c>
      <c r="BK55" s="79">
        <v>6700</v>
      </c>
      <c r="BL55" s="127">
        <v>8040</v>
      </c>
      <c r="BM55" s="128">
        <v>8000</v>
      </c>
      <c r="BN55" s="128">
        <v>8000</v>
      </c>
      <c r="BO55" s="76">
        <f>AVERAGE(BC55,BD55,BE55,BF55,BG55,BI55,BJ55,BK55,BL55,BM55,BN55)</f>
        <v>8756.863636363636</v>
      </c>
      <c r="BP55" s="24">
        <f t="shared" si="161"/>
        <v>1323.863636363636</v>
      </c>
      <c r="BQ55" s="25">
        <f t="shared" si="162"/>
        <v>0.17810623387106633</v>
      </c>
      <c r="BR55" s="259">
        <f t="shared" si="163"/>
        <v>8756.863636363636</v>
      </c>
      <c r="BS55" s="607">
        <f t="shared" si="22"/>
        <v>8756.863636363636</v>
      </c>
    </row>
    <row r="56" spans="1:71" ht="60.6" customHeight="1">
      <c r="A56" s="91" t="s">
        <v>17</v>
      </c>
      <c r="B56" s="358" t="s">
        <v>2247</v>
      </c>
      <c r="C56" s="50" t="s">
        <v>107</v>
      </c>
      <c r="D56" s="99" t="s">
        <v>447</v>
      </c>
      <c r="E56" s="391" t="s">
        <v>13</v>
      </c>
      <c r="F56" s="410">
        <v>15493</v>
      </c>
      <c r="G56" s="589">
        <f t="shared" si="23"/>
        <v>16364</v>
      </c>
      <c r="H56" s="10">
        <v>16800</v>
      </c>
      <c r="I56" s="167">
        <v>33600</v>
      </c>
      <c r="J56" s="10">
        <v>14850</v>
      </c>
      <c r="K56" s="76">
        <f t="shared" si="147"/>
        <v>16004.666666666666</v>
      </c>
      <c r="L56" s="24">
        <f t="shared" si="148"/>
        <v>511.66666666666606</v>
      </c>
      <c r="M56" s="281">
        <f t="shared" si="10"/>
        <v>3.1267823677992301E-2</v>
      </c>
      <c r="N56" s="597">
        <f t="shared" si="24"/>
        <v>16004.666666666666</v>
      </c>
      <c r="O56" s="410">
        <v>14077</v>
      </c>
      <c r="P56" s="575">
        <f t="shared" si="25"/>
        <v>14868</v>
      </c>
      <c r="Q56" s="10">
        <v>35000</v>
      </c>
      <c r="R56" s="10">
        <v>38000</v>
      </c>
      <c r="S56" s="268">
        <v>38000</v>
      </c>
      <c r="T56" s="10">
        <v>35000</v>
      </c>
      <c r="U56" s="76">
        <f>AVERAGE(O56:Q56,R56,S56,T56)</f>
        <v>29157.5</v>
      </c>
      <c r="V56" s="24">
        <f t="shared" si="11"/>
        <v>14289.5</v>
      </c>
      <c r="W56" s="281">
        <f t="shared" si="149"/>
        <v>1.0150955459259785</v>
      </c>
      <c r="X56" s="462">
        <f t="shared" ref="X56" si="164">U56</f>
        <v>29157.5</v>
      </c>
      <c r="Y56" s="410">
        <v>23324</v>
      </c>
      <c r="Z56" s="575">
        <f t="shared" si="13"/>
        <v>24635</v>
      </c>
      <c r="AA56" s="38">
        <v>30335</v>
      </c>
      <c r="AB56" s="31">
        <v>39435</v>
      </c>
      <c r="AC56" s="98">
        <v>26514.6</v>
      </c>
      <c r="AD56" s="76">
        <f t="shared" si="150"/>
        <v>27161.533333333336</v>
      </c>
      <c r="AE56" s="24">
        <f t="shared" si="14"/>
        <v>2526.5333333333365</v>
      </c>
      <c r="AF56" s="25">
        <f t="shared" si="151"/>
        <v>0.10832332933173283</v>
      </c>
      <c r="AG56" s="602">
        <f t="shared" si="152"/>
        <v>27161.533333333336</v>
      </c>
      <c r="AH56" s="601">
        <f t="shared" si="153"/>
        <v>27161.533333333336</v>
      </c>
      <c r="AI56" s="410">
        <v>15719</v>
      </c>
      <c r="AJ56" s="575">
        <f t="shared" si="15"/>
        <v>16602</v>
      </c>
      <c r="AK56" s="45">
        <v>21000</v>
      </c>
      <c r="AL56" s="45">
        <v>18273</v>
      </c>
      <c r="AM56" s="45">
        <v>27000</v>
      </c>
      <c r="AN56" s="76">
        <f>AVERAGE(AK56,AL56,AJ56)</f>
        <v>18625</v>
      </c>
      <c r="AO56" s="24">
        <f t="shared" si="154"/>
        <v>2906</v>
      </c>
      <c r="AP56" s="281">
        <f t="shared" si="155"/>
        <v>0.18487181118391754</v>
      </c>
      <c r="AQ56" s="601">
        <f t="shared" si="156"/>
        <v>18625</v>
      </c>
      <c r="AR56" s="513">
        <v>15795</v>
      </c>
      <c r="AS56" s="575">
        <f t="shared" si="31"/>
        <v>16683</v>
      </c>
      <c r="AT56" s="88">
        <v>18000</v>
      </c>
      <c r="AU56" s="116">
        <v>18000</v>
      </c>
      <c r="AV56" s="74">
        <v>18480</v>
      </c>
      <c r="AW56" s="76">
        <f t="shared" si="32"/>
        <v>17790.75</v>
      </c>
      <c r="AX56" s="24">
        <f t="shared" si="157"/>
        <v>1995.75</v>
      </c>
      <c r="AY56" s="25">
        <f t="shared" si="158"/>
        <v>0.12635327635327637</v>
      </c>
      <c r="AZ56" s="309">
        <f t="shared" si="159"/>
        <v>17790.75</v>
      </c>
      <c r="BA56" s="601">
        <f t="shared" si="160"/>
        <v>17790.75</v>
      </c>
      <c r="BB56" s="513">
        <v>15795</v>
      </c>
      <c r="BC56" s="575">
        <f t="shared" si="21"/>
        <v>16683</v>
      </c>
      <c r="BD56" s="74">
        <v>19320</v>
      </c>
      <c r="BE56" s="74">
        <v>35000</v>
      </c>
      <c r="BF56" s="75">
        <v>22260</v>
      </c>
      <c r="BG56" s="61">
        <v>23460</v>
      </c>
      <c r="BH56" s="60">
        <v>68000</v>
      </c>
      <c r="BI56" s="74">
        <v>26978.999999999996</v>
      </c>
      <c r="BJ56" s="79">
        <v>22260</v>
      </c>
      <c r="BK56" s="79">
        <v>16800</v>
      </c>
      <c r="BL56" s="127">
        <v>20160</v>
      </c>
      <c r="BM56" s="128">
        <v>20000</v>
      </c>
      <c r="BN56" s="128">
        <v>20000</v>
      </c>
      <c r="BO56" s="76">
        <f>AVERAGE(BC56,BD56,BE56,BF56,BG56,BI56,BJ56,BK56,BL56,BM56,BN56)</f>
        <v>22083.81818181818</v>
      </c>
      <c r="BP56" s="24">
        <f t="shared" si="161"/>
        <v>6288.8181818181802</v>
      </c>
      <c r="BQ56" s="25">
        <f t="shared" si="162"/>
        <v>0.39815246481913136</v>
      </c>
      <c r="BR56" s="259" t="str">
        <f t="shared" si="163"/>
        <v>REVISAR PRECIO</v>
      </c>
      <c r="BS56" s="607">
        <f t="shared" si="22"/>
        <v>22083.81818181818</v>
      </c>
    </row>
    <row r="57" spans="1:71" ht="47.45" customHeight="1">
      <c r="A57" s="91" t="s">
        <v>17</v>
      </c>
      <c r="B57" s="358" t="s">
        <v>2248</v>
      </c>
      <c r="C57" s="50" t="s">
        <v>108</v>
      </c>
      <c r="D57" s="99" t="s">
        <v>452</v>
      </c>
      <c r="E57" s="391" t="s">
        <v>13</v>
      </c>
      <c r="F57" s="410">
        <v>17220</v>
      </c>
      <c r="G57" s="589">
        <f t="shared" si="23"/>
        <v>18188</v>
      </c>
      <c r="H57" s="10">
        <v>7500</v>
      </c>
      <c r="I57" s="167">
        <v>30000</v>
      </c>
      <c r="J57" s="10">
        <v>10500</v>
      </c>
      <c r="K57" s="76">
        <f t="shared" si="147"/>
        <v>12062.666666666666</v>
      </c>
      <c r="L57" s="24">
        <f t="shared" ref="L57:L60" si="165">K57-F57</f>
        <v>-5157.3333333333339</v>
      </c>
      <c r="M57" s="281">
        <f t="shared" si="10"/>
        <v>-0.28355692397918042</v>
      </c>
      <c r="N57" s="597">
        <f t="shared" si="24"/>
        <v>12062.666666666666</v>
      </c>
      <c r="O57" s="610">
        <v>0</v>
      </c>
      <c r="P57" s="579">
        <f t="shared" si="25"/>
        <v>0</v>
      </c>
      <c r="Q57" s="568">
        <v>9937.5</v>
      </c>
      <c r="R57" s="568">
        <v>7500</v>
      </c>
      <c r="S57" s="572">
        <v>9750</v>
      </c>
      <c r="T57" s="570">
        <v>8200</v>
      </c>
      <c r="U57" s="560">
        <f t="shared" ref="U57" si="166">AVERAGE(Q57,R57,S57,T57)</f>
        <v>8846.875</v>
      </c>
      <c r="V57" s="561">
        <f t="shared" si="11"/>
        <v>8846.875</v>
      </c>
      <c r="W57" s="281"/>
      <c r="X57" s="462">
        <f t="shared" ref="X57" si="167">U57</f>
        <v>8846.875</v>
      </c>
      <c r="Y57" s="410">
        <v>31119</v>
      </c>
      <c r="Z57" s="575">
        <f t="shared" si="13"/>
        <v>32868</v>
      </c>
      <c r="AA57" s="38">
        <v>40473</v>
      </c>
      <c r="AB57" s="31">
        <v>52615</v>
      </c>
      <c r="AC57" s="98">
        <v>35376.400000000001</v>
      </c>
      <c r="AD57" s="76">
        <f t="shared" si="150"/>
        <v>36239.133333333331</v>
      </c>
      <c r="AE57" s="24">
        <f t="shared" si="14"/>
        <v>3371.1333333333314</v>
      </c>
      <c r="AF57" s="25">
        <f t="shared" si="151"/>
        <v>0.10833038765170254</v>
      </c>
      <c r="AG57" s="602">
        <f t="shared" si="152"/>
        <v>36239.133333333331</v>
      </c>
      <c r="AH57" s="601">
        <f t="shared" ref="AH57:AH62" si="168">AD57</f>
        <v>36239.133333333331</v>
      </c>
      <c r="AI57" s="410">
        <v>17476</v>
      </c>
      <c r="AJ57" s="575">
        <f t="shared" si="15"/>
        <v>18458</v>
      </c>
      <c r="AK57" s="45">
        <v>12000</v>
      </c>
      <c r="AL57" s="45">
        <v>20321</v>
      </c>
      <c r="AM57" s="45">
        <v>35000</v>
      </c>
      <c r="AN57" s="76">
        <f>AVERAGE(AK57,AJ57,AL57)</f>
        <v>16926.333333333332</v>
      </c>
      <c r="AO57" s="24">
        <f t="shared" ref="AO57:AO62" si="169">AN57-AI57</f>
        <v>-549.66666666666788</v>
      </c>
      <c r="AP57" s="281">
        <f t="shared" ref="AP57:AP62" si="170">+AO57/AI57</f>
        <v>-3.1452658884565568E-2</v>
      </c>
      <c r="AQ57" s="601">
        <f t="shared" ref="AQ57:AQ62" si="171">AN57</f>
        <v>16926.333333333332</v>
      </c>
      <c r="AR57" s="445">
        <v>17570</v>
      </c>
      <c r="AS57" s="575">
        <f t="shared" si="31"/>
        <v>18557</v>
      </c>
      <c r="AT57" s="88">
        <v>9500</v>
      </c>
      <c r="AU57" s="116">
        <v>10000</v>
      </c>
      <c r="AV57" s="74">
        <v>8250</v>
      </c>
      <c r="AW57" s="76">
        <f>AVERAGE(AS57,AT57,AU57)</f>
        <v>12685.666666666666</v>
      </c>
      <c r="AX57" s="24">
        <f t="shared" ref="AX57:AX62" si="172">AW57-AR57</f>
        <v>-4884.3333333333339</v>
      </c>
      <c r="AY57" s="25">
        <f t="shared" ref="AY57:AY62" si="173">+AX57/AR57</f>
        <v>-0.27799279074179478</v>
      </c>
      <c r="AZ57" s="309">
        <f t="shared" ref="AZ57:AZ62" si="174">+IF(AY57&lt;35%,AW57,"REVISAR PRECIO")</f>
        <v>12685.666666666666</v>
      </c>
      <c r="BA57" s="604">
        <f>AVERAGE(AS57,AW57)</f>
        <v>15621.333333333332</v>
      </c>
      <c r="BB57" s="445">
        <v>17570</v>
      </c>
      <c r="BC57" s="575">
        <f t="shared" si="21"/>
        <v>18557</v>
      </c>
      <c r="BD57" s="88">
        <v>8625</v>
      </c>
      <c r="BE57" s="88">
        <v>22000</v>
      </c>
      <c r="BF57" s="89">
        <v>9937.5</v>
      </c>
      <c r="BG57" s="61">
        <v>16790</v>
      </c>
      <c r="BH57" s="60">
        <v>28000</v>
      </c>
      <c r="BI57" s="88">
        <v>19308.5</v>
      </c>
      <c r="BJ57" s="79">
        <v>9937.5</v>
      </c>
      <c r="BK57" s="79">
        <v>7500</v>
      </c>
      <c r="BL57" s="127">
        <v>9750</v>
      </c>
      <c r="BM57" s="128">
        <v>8200</v>
      </c>
      <c r="BN57" s="128">
        <v>8000</v>
      </c>
      <c r="BO57" s="76">
        <f>AVERAGE(BC57,BD57,BE57,BF57,BG57,BH57,BI57,BJ57,BL57,BM57,BN57)</f>
        <v>14464.136363636364</v>
      </c>
      <c r="BP57" s="24">
        <f t="shared" si="161"/>
        <v>-3105.863636363636</v>
      </c>
      <c r="BQ57" s="64">
        <f t="shared" si="162"/>
        <v>-0.17677083872302993</v>
      </c>
      <c r="BR57" s="478">
        <f t="shared" ref="BR57:BR62" si="175">+IF(BQ57&lt;35%,BO57,"REVISAR PRECIO")</f>
        <v>14464.136363636364</v>
      </c>
      <c r="BS57" s="607">
        <f>AVERAGE(BO57,BC57)</f>
        <v>16510.568181818184</v>
      </c>
    </row>
    <row r="58" spans="1:71" ht="50.1" customHeight="1">
      <c r="A58" s="91" t="s">
        <v>17</v>
      </c>
      <c r="B58" s="358" t="s">
        <v>2249</v>
      </c>
      <c r="C58" s="50" t="s">
        <v>109</v>
      </c>
      <c r="D58" s="99" t="s">
        <v>453</v>
      </c>
      <c r="E58" s="391" t="s">
        <v>13</v>
      </c>
      <c r="F58" s="410">
        <v>61095</v>
      </c>
      <c r="G58" s="589">
        <f t="shared" si="23"/>
        <v>64529</v>
      </c>
      <c r="H58" s="10">
        <v>68000</v>
      </c>
      <c r="I58" s="167">
        <v>272000</v>
      </c>
      <c r="J58" s="10">
        <v>63856</v>
      </c>
      <c r="K58" s="76">
        <f t="shared" si="147"/>
        <v>65461.666666666664</v>
      </c>
      <c r="L58" s="24">
        <f t="shared" si="165"/>
        <v>4366.6666666666642</v>
      </c>
      <c r="M58" s="281">
        <f t="shared" si="10"/>
        <v>6.7669833201609575E-2</v>
      </c>
      <c r="N58" s="597">
        <f t="shared" si="24"/>
        <v>65461.666666666664</v>
      </c>
      <c r="O58" s="410">
        <v>55531</v>
      </c>
      <c r="P58" s="575">
        <f t="shared" si="25"/>
        <v>58652</v>
      </c>
      <c r="Q58" s="10">
        <v>42000</v>
      </c>
      <c r="R58" s="10">
        <v>45000</v>
      </c>
      <c r="S58" s="268">
        <v>45000</v>
      </c>
      <c r="T58" s="10">
        <v>42000</v>
      </c>
      <c r="U58" s="76">
        <f t="shared" ref="U58:U62" si="176">AVERAGE(Q58,R58,S58,T58)</f>
        <v>43500</v>
      </c>
      <c r="V58" s="24">
        <f t="shared" si="11"/>
        <v>-15152</v>
      </c>
      <c r="W58" s="281">
        <f t="shared" ref="W58:W62" si="177">+V58/O58</f>
        <v>-0.27285660261835731</v>
      </c>
      <c r="X58" s="462">
        <f t="shared" ref="X58:X62" si="178">U58</f>
        <v>43500</v>
      </c>
      <c r="Y58" s="410">
        <v>91988</v>
      </c>
      <c r="Z58" s="575">
        <f t="shared" si="13"/>
        <v>97158</v>
      </c>
      <c r="AA58" s="38">
        <v>119637</v>
      </c>
      <c r="AB58" s="31">
        <v>155528</v>
      </c>
      <c r="AC58" s="98">
        <v>104571.6</v>
      </c>
      <c r="AD58" s="76">
        <f t="shared" si="150"/>
        <v>107122.2</v>
      </c>
      <c r="AE58" s="24">
        <f t="shared" si="14"/>
        <v>9964.1999999999971</v>
      </c>
      <c r="AF58" s="25">
        <f t="shared" si="151"/>
        <v>0.10832065051963297</v>
      </c>
      <c r="AG58" s="602">
        <f t="shared" si="152"/>
        <v>107122.2</v>
      </c>
      <c r="AH58" s="601">
        <f t="shared" si="168"/>
        <v>107122.2</v>
      </c>
      <c r="AI58" s="410">
        <v>62004</v>
      </c>
      <c r="AJ58" s="575">
        <f t="shared" si="15"/>
        <v>65489</v>
      </c>
      <c r="AK58" s="45">
        <v>75000</v>
      </c>
      <c r="AL58" s="45">
        <v>72082</v>
      </c>
      <c r="AM58" s="45">
        <v>40000</v>
      </c>
      <c r="AN58" s="76">
        <f>AVERAGE(AK58,AL58,AJ58)</f>
        <v>70857</v>
      </c>
      <c r="AO58" s="24">
        <f t="shared" si="169"/>
        <v>8853</v>
      </c>
      <c r="AP58" s="281">
        <f t="shared" si="170"/>
        <v>0.14278111089607123</v>
      </c>
      <c r="AQ58" s="601">
        <f t="shared" si="171"/>
        <v>70857</v>
      </c>
      <c r="AR58" s="513">
        <v>62317</v>
      </c>
      <c r="AS58" s="575">
        <f t="shared" si="31"/>
        <v>65819</v>
      </c>
      <c r="AT58" s="88">
        <v>92000</v>
      </c>
      <c r="AU58" s="116">
        <v>100000</v>
      </c>
      <c r="AV58" s="74">
        <v>74800</v>
      </c>
      <c r="AW58" s="76">
        <f t="shared" si="32"/>
        <v>83154.75</v>
      </c>
      <c r="AX58" s="24">
        <f t="shared" si="172"/>
        <v>20837.75</v>
      </c>
      <c r="AY58" s="25">
        <f t="shared" si="173"/>
        <v>0.33438307363961678</v>
      </c>
      <c r="AZ58" s="309">
        <f t="shared" si="174"/>
        <v>83154.75</v>
      </c>
      <c r="BA58" s="601">
        <f t="shared" ref="BA58:BA62" si="179">AW58</f>
        <v>83154.75</v>
      </c>
      <c r="BB58" s="513">
        <v>62317</v>
      </c>
      <c r="BC58" s="575">
        <f t="shared" si="21"/>
        <v>65819</v>
      </c>
      <c r="BD58" s="74">
        <v>78200</v>
      </c>
      <c r="BE58" s="74">
        <v>85000</v>
      </c>
      <c r="BF58" s="75">
        <v>90100</v>
      </c>
      <c r="BG58" s="61">
        <v>86710</v>
      </c>
      <c r="BH58" s="60">
        <v>32000</v>
      </c>
      <c r="BI58" s="74">
        <v>99716.499999999985</v>
      </c>
      <c r="BJ58" s="79">
        <v>90100</v>
      </c>
      <c r="BK58" s="79">
        <v>68000</v>
      </c>
      <c r="BL58" s="127">
        <v>81600</v>
      </c>
      <c r="BM58" s="128">
        <v>86000</v>
      </c>
      <c r="BN58" s="128">
        <v>70000</v>
      </c>
      <c r="BO58" s="76">
        <f>AVERAGE(BC58,BD58,BE58,BF58,BG58,BH58,BJ58,BK58,BL58,BM58,BN58)</f>
        <v>75775.363636363632</v>
      </c>
      <c r="BP58" s="24">
        <f t="shared" si="161"/>
        <v>13458.363636363632</v>
      </c>
      <c r="BQ58" s="25">
        <f t="shared" si="162"/>
        <v>0.21596616711914296</v>
      </c>
      <c r="BR58" s="259">
        <f t="shared" si="175"/>
        <v>75775.363636363632</v>
      </c>
      <c r="BS58" s="607">
        <f t="shared" si="22"/>
        <v>75775.363636363632</v>
      </c>
    </row>
    <row r="59" spans="1:71" ht="50.1" customHeight="1">
      <c r="A59" s="91" t="s">
        <v>17</v>
      </c>
      <c r="B59" s="358" t="s">
        <v>2250</v>
      </c>
      <c r="C59" s="50" t="s">
        <v>110</v>
      </c>
      <c r="D59" s="99" t="s">
        <v>454</v>
      </c>
      <c r="E59" s="391" t="s">
        <v>10</v>
      </c>
      <c r="F59" s="410">
        <v>6266</v>
      </c>
      <c r="G59" s="589">
        <f t="shared" si="23"/>
        <v>6618</v>
      </c>
      <c r="H59" s="10">
        <v>4800</v>
      </c>
      <c r="I59" s="167">
        <v>19200</v>
      </c>
      <c r="J59" s="10">
        <v>4200</v>
      </c>
      <c r="K59" s="76">
        <f t="shared" si="147"/>
        <v>5206</v>
      </c>
      <c r="L59" s="24">
        <f t="shared" si="165"/>
        <v>-1060</v>
      </c>
      <c r="M59" s="281">
        <f t="shared" si="10"/>
        <v>-0.16016923541855546</v>
      </c>
      <c r="N59" s="597">
        <f t="shared" si="24"/>
        <v>5206</v>
      </c>
      <c r="O59" s="410">
        <v>5695</v>
      </c>
      <c r="P59" s="575">
        <f t="shared" si="25"/>
        <v>6015</v>
      </c>
      <c r="Q59" s="10">
        <v>35000</v>
      </c>
      <c r="R59" s="10">
        <v>38000</v>
      </c>
      <c r="S59" s="268">
        <v>38000</v>
      </c>
      <c r="T59" s="10">
        <v>35000</v>
      </c>
      <c r="U59" s="76">
        <f t="shared" si="176"/>
        <v>36500</v>
      </c>
      <c r="V59" s="24">
        <f t="shared" si="11"/>
        <v>30485</v>
      </c>
      <c r="W59" s="281">
        <f t="shared" si="177"/>
        <v>5.3529411764705879</v>
      </c>
      <c r="X59" s="462">
        <f>+O59</f>
        <v>5695</v>
      </c>
      <c r="Y59" s="410">
        <v>9435</v>
      </c>
      <c r="Z59" s="575">
        <f t="shared" si="13"/>
        <v>9965</v>
      </c>
      <c r="AA59" s="38">
        <v>12272</v>
      </c>
      <c r="AB59" s="31">
        <v>15953</v>
      </c>
      <c r="AC59" s="98">
        <v>10726.2</v>
      </c>
      <c r="AD59" s="76">
        <f t="shared" si="150"/>
        <v>10987.733333333332</v>
      </c>
      <c r="AE59" s="24">
        <f t="shared" si="14"/>
        <v>1022.7333333333318</v>
      </c>
      <c r="AF59" s="25">
        <f t="shared" si="151"/>
        <v>0.10839780957428</v>
      </c>
      <c r="AG59" s="602">
        <f t="shared" si="152"/>
        <v>10987.733333333332</v>
      </c>
      <c r="AH59" s="601">
        <f t="shared" si="168"/>
        <v>10987.733333333332</v>
      </c>
      <c r="AI59" s="410">
        <v>6360</v>
      </c>
      <c r="AJ59" s="575">
        <f t="shared" si="15"/>
        <v>6717</v>
      </c>
      <c r="AK59" s="45">
        <v>9000</v>
      </c>
      <c r="AL59" s="45">
        <v>7390</v>
      </c>
      <c r="AM59" s="45">
        <v>43000</v>
      </c>
      <c r="AN59" s="76">
        <f>AVERAGE(AK59,AL59,AJ59)</f>
        <v>7702.333333333333</v>
      </c>
      <c r="AO59" s="24">
        <f t="shared" si="169"/>
        <v>1342.333333333333</v>
      </c>
      <c r="AP59" s="281">
        <f t="shared" si="170"/>
        <v>0.21105870020964357</v>
      </c>
      <c r="AQ59" s="601">
        <f t="shared" si="171"/>
        <v>7702.333333333333</v>
      </c>
      <c r="AR59" s="513">
        <v>6388</v>
      </c>
      <c r="AS59" s="575">
        <f t="shared" si="31"/>
        <v>6747</v>
      </c>
      <c r="AT59" s="88">
        <v>6000</v>
      </c>
      <c r="AU59" s="116">
        <v>9000</v>
      </c>
      <c r="AV59" s="74">
        <v>5280</v>
      </c>
      <c r="AW59" s="76">
        <f t="shared" si="32"/>
        <v>6756.75</v>
      </c>
      <c r="AX59" s="24">
        <f t="shared" si="172"/>
        <v>368.75</v>
      </c>
      <c r="AY59" s="25">
        <f t="shared" si="173"/>
        <v>5.7725422667501566E-2</v>
      </c>
      <c r="AZ59" s="309">
        <f t="shared" si="174"/>
        <v>6756.75</v>
      </c>
      <c r="BA59" s="601">
        <f t="shared" si="179"/>
        <v>6756.75</v>
      </c>
      <c r="BB59" s="513">
        <v>6388</v>
      </c>
      <c r="BC59" s="575">
        <f t="shared" si="21"/>
        <v>6747</v>
      </c>
      <c r="BD59" s="74">
        <v>5520</v>
      </c>
      <c r="BE59" s="74">
        <v>9000</v>
      </c>
      <c r="BF59" s="75">
        <v>6360</v>
      </c>
      <c r="BG59" s="61">
        <v>10235</v>
      </c>
      <c r="BH59" s="60">
        <v>21000</v>
      </c>
      <c r="BI59" s="74">
        <v>11770.25</v>
      </c>
      <c r="BJ59" s="79">
        <v>6360</v>
      </c>
      <c r="BK59" s="79">
        <v>4800</v>
      </c>
      <c r="BL59" s="127">
        <v>6720</v>
      </c>
      <c r="BM59" s="128">
        <v>6000</v>
      </c>
      <c r="BN59" s="128">
        <v>5000</v>
      </c>
      <c r="BO59" s="76">
        <f>AVERAGE(BC59,BD59,BE59,BF59,BG59,BI59,BJ59,BK59,BL59,BM59,BN59)</f>
        <v>7137.477272727273</v>
      </c>
      <c r="BP59" s="24">
        <f t="shared" si="161"/>
        <v>749.47727272727298</v>
      </c>
      <c r="BQ59" s="25">
        <f t="shared" si="162"/>
        <v>0.11732580975693065</v>
      </c>
      <c r="BR59" s="259">
        <f t="shared" si="175"/>
        <v>7137.477272727273</v>
      </c>
      <c r="BS59" s="607">
        <f t="shared" si="22"/>
        <v>7137.477272727273</v>
      </c>
    </row>
    <row r="60" spans="1:71" ht="57.95" customHeight="1">
      <c r="A60" s="91" t="s">
        <v>17</v>
      </c>
      <c r="B60" s="358" t="s">
        <v>2251</v>
      </c>
      <c r="C60" s="50" t="s">
        <v>111</v>
      </c>
      <c r="D60" s="99" t="s">
        <v>455</v>
      </c>
      <c r="E60" s="391" t="s">
        <v>13</v>
      </c>
      <c r="F60" s="410">
        <v>41046</v>
      </c>
      <c r="G60" s="589">
        <f t="shared" si="23"/>
        <v>43353</v>
      </c>
      <c r="H60" s="10">
        <v>7680</v>
      </c>
      <c r="I60" s="167">
        <v>38400</v>
      </c>
      <c r="J60" s="10">
        <v>10500</v>
      </c>
      <c r="K60" s="76">
        <f>AVERAGE(H60,J60,G60,I60)</f>
        <v>24983.25</v>
      </c>
      <c r="L60" s="24">
        <f t="shared" si="165"/>
        <v>-16062.75</v>
      </c>
      <c r="M60" s="281">
        <f t="shared" si="10"/>
        <v>-0.37051069130164005</v>
      </c>
      <c r="N60" s="597">
        <f>K60</f>
        <v>24983.25</v>
      </c>
      <c r="O60" s="410">
        <v>37305</v>
      </c>
      <c r="P60" s="575">
        <f t="shared" si="25"/>
        <v>39402</v>
      </c>
      <c r="Q60" s="10">
        <v>45000</v>
      </c>
      <c r="R60" s="10">
        <v>48000</v>
      </c>
      <c r="S60" s="268">
        <v>48000</v>
      </c>
      <c r="T60" s="10">
        <v>45000</v>
      </c>
      <c r="U60" s="76">
        <f>AVERAGE(O60:Q60,R60,S60,T60)</f>
        <v>43784.5</v>
      </c>
      <c r="V60" s="24">
        <f t="shared" si="11"/>
        <v>4382.5</v>
      </c>
      <c r="W60" s="281">
        <f t="shared" si="177"/>
        <v>0.11747754992628334</v>
      </c>
      <c r="X60" s="462">
        <f>P60</f>
        <v>39402</v>
      </c>
      <c r="Y60" s="410">
        <v>61803</v>
      </c>
      <c r="Z60" s="575">
        <f t="shared" si="13"/>
        <v>65276</v>
      </c>
      <c r="AA60" s="38">
        <v>80379</v>
      </c>
      <c r="AB60" s="31">
        <v>104493</v>
      </c>
      <c r="AC60" s="98">
        <v>70257.2</v>
      </c>
      <c r="AD60" s="76">
        <f t="shared" si="150"/>
        <v>71970.733333333337</v>
      </c>
      <c r="AE60" s="24">
        <f t="shared" si="14"/>
        <v>6694.7333333333372</v>
      </c>
      <c r="AF60" s="25">
        <f t="shared" si="151"/>
        <v>0.10832375990378035</v>
      </c>
      <c r="AG60" s="602">
        <f t="shared" si="152"/>
        <v>71970.733333333337</v>
      </c>
      <c r="AH60" s="601">
        <f t="shared" si="168"/>
        <v>71970.733333333337</v>
      </c>
      <c r="AI60" s="410">
        <v>41662</v>
      </c>
      <c r="AJ60" s="575">
        <f t="shared" si="15"/>
        <v>44003</v>
      </c>
      <c r="AK60" s="45">
        <v>19000</v>
      </c>
      <c r="AL60" s="45">
        <v>48430</v>
      </c>
      <c r="AM60" s="45">
        <v>40000</v>
      </c>
      <c r="AN60" s="76">
        <f>AVERAGE(AL60,AM60,AJ60,AK60)</f>
        <v>37858.25</v>
      </c>
      <c r="AO60" s="24">
        <f t="shared" si="169"/>
        <v>-3803.75</v>
      </c>
      <c r="AP60" s="281">
        <f t="shared" si="170"/>
        <v>-9.1300225625270029E-2</v>
      </c>
      <c r="AQ60" s="601">
        <f t="shared" si="171"/>
        <v>37858.25</v>
      </c>
      <c r="AR60" s="513">
        <v>41871</v>
      </c>
      <c r="AS60" s="575">
        <f t="shared" si="31"/>
        <v>44224</v>
      </c>
      <c r="AT60" s="88">
        <v>9000</v>
      </c>
      <c r="AU60" s="116">
        <v>9000</v>
      </c>
      <c r="AV60" s="74">
        <v>8448</v>
      </c>
      <c r="AW60" s="76">
        <f>AVERAGE(AT60,AU60,AV60)</f>
        <v>8816</v>
      </c>
      <c r="AX60" s="24">
        <f t="shared" si="172"/>
        <v>-33055</v>
      </c>
      <c r="AY60" s="25">
        <f t="shared" si="173"/>
        <v>-0.78944854433856371</v>
      </c>
      <c r="AZ60" s="309">
        <f t="shared" si="174"/>
        <v>8816</v>
      </c>
      <c r="BA60" s="604">
        <f>AVERAGE(AW60,AS60)</f>
        <v>26520</v>
      </c>
      <c r="BB60" s="513">
        <v>41871</v>
      </c>
      <c r="BC60" s="575">
        <f t="shared" si="21"/>
        <v>44224</v>
      </c>
      <c r="BD60" s="74">
        <v>8832</v>
      </c>
      <c r="BE60" s="74">
        <v>23000</v>
      </c>
      <c r="BF60" s="75">
        <v>10176</v>
      </c>
      <c r="BG60" s="61">
        <v>14144.999999999998</v>
      </c>
      <c r="BH60" s="60">
        <v>42000</v>
      </c>
      <c r="BI60" s="74">
        <v>16266.749999999996</v>
      </c>
      <c r="BJ60" s="79">
        <v>10176</v>
      </c>
      <c r="BK60" s="79">
        <f>+BK59*1.6</f>
        <v>7680</v>
      </c>
      <c r="BL60" s="127">
        <v>13056</v>
      </c>
      <c r="BM60" s="128">
        <v>8000</v>
      </c>
      <c r="BN60" s="128">
        <v>9000</v>
      </c>
      <c r="BO60" s="76">
        <f>AVERAGE(BD60,BE60,BF60,BG60,BH60,BI60,BJ60,BK60,BL60,BM60,BN60)</f>
        <v>14757.431818181818</v>
      </c>
      <c r="BP60" s="24">
        <f t="shared" si="161"/>
        <v>-27113.568181818184</v>
      </c>
      <c r="BQ60" s="25">
        <f t="shared" si="162"/>
        <v>-0.64755005091395434</v>
      </c>
      <c r="BR60" s="259">
        <f t="shared" si="175"/>
        <v>14757.431818181818</v>
      </c>
      <c r="BS60" s="607">
        <f>AVERAGE(BO60,BC60)</f>
        <v>29490.715909090908</v>
      </c>
    </row>
    <row r="61" spans="1:71" ht="19.350000000000001" customHeight="1">
      <c r="A61" s="91" t="s">
        <v>17</v>
      </c>
      <c r="B61" s="358" t="s">
        <v>2252</v>
      </c>
      <c r="C61" s="50" t="s">
        <v>112</v>
      </c>
      <c r="D61" s="99" t="s">
        <v>456</v>
      </c>
      <c r="E61" s="391" t="s">
        <v>13</v>
      </c>
      <c r="F61" s="562">
        <v>18197</v>
      </c>
      <c r="G61" s="612">
        <f t="shared" si="23"/>
        <v>19220</v>
      </c>
      <c r="H61" s="611">
        <v>90000</v>
      </c>
      <c r="I61" s="611">
        <v>21467</v>
      </c>
      <c r="J61" s="611">
        <v>23000</v>
      </c>
      <c r="K61" s="560">
        <f>AVERAGE(G61,I61:J61)</f>
        <v>21229</v>
      </c>
      <c r="L61" s="561">
        <f t="shared" ref="L61:L62" si="180">K61-F61</f>
        <v>3032</v>
      </c>
      <c r="M61" s="281">
        <f t="shared" ref="M61:M62" si="181">+L61/G61</f>
        <v>0.15775234131113425</v>
      </c>
      <c r="N61" s="597">
        <f>+K61</f>
        <v>21229</v>
      </c>
      <c r="O61" s="410">
        <v>16374</v>
      </c>
      <c r="P61" s="575">
        <f t="shared" si="25"/>
        <v>17294</v>
      </c>
      <c r="Q61" s="10">
        <v>45000</v>
      </c>
      <c r="R61" s="10">
        <v>48000</v>
      </c>
      <c r="S61" s="268">
        <v>48000</v>
      </c>
      <c r="T61" s="10">
        <v>45000</v>
      </c>
      <c r="U61" s="76">
        <f>AVERAGE(Q61,R61,S61,T61,P61)</f>
        <v>40658.800000000003</v>
      </c>
      <c r="V61" s="24">
        <f t="shared" si="11"/>
        <v>23364.800000000003</v>
      </c>
      <c r="W61" s="281">
        <f t="shared" si="177"/>
        <v>1.4269451569561502</v>
      </c>
      <c r="X61" s="462">
        <f>AVERAGE(U61,P61)</f>
        <v>28976.400000000001</v>
      </c>
      <c r="Y61" s="410">
        <v>26863</v>
      </c>
      <c r="Z61" s="575">
        <f t="shared" si="13"/>
        <v>28373</v>
      </c>
      <c r="AA61" s="39">
        <v>34938</v>
      </c>
      <c r="AB61" s="31">
        <v>45419</v>
      </c>
      <c r="AC61" s="98">
        <v>30538.400000000001</v>
      </c>
      <c r="AD61" s="76">
        <f t="shared" si="150"/>
        <v>31283.133333333331</v>
      </c>
      <c r="AE61" s="24">
        <f t="shared" si="14"/>
        <v>2910.1333333333314</v>
      </c>
      <c r="AF61" s="25">
        <f t="shared" si="151"/>
        <v>0.10833240268522992</v>
      </c>
      <c r="AG61" s="602">
        <f t="shared" si="152"/>
        <v>31283.133333333331</v>
      </c>
      <c r="AH61" s="601">
        <f t="shared" si="168"/>
        <v>31283.133333333331</v>
      </c>
      <c r="AI61" s="410">
        <v>18197</v>
      </c>
      <c r="AJ61" s="575">
        <f t="shared" si="15"/>
        <v>19220</v>
      </c>
      <c r="AK61" s="45">
        <v>90000</v>
      </c>
      <c r="AL61" s="45">
        <v>21467</v>
      </c>
      <c r="AM61" s="45">
        <v>23000</v>
      </c>
      <c r="AN61" s="76">
        <f>AVERAGE(AL61,AM61,AJ61)</f>
        <v>21229</v>
      </c>
      <c r="AO61" s="24">
        <f t="shared" si="169"/>
        <v>3032</v>
      </c>
      <c r="AP61" s="281">
        <f t="shared" si="170"/>
        <v>0.16662087157223718</v>
      </c>
      <c r="AQ61" s="601">
        <f t="shared" si="171"/>
        <v>21229</v>
      </c>
      <c r="AR61" s="513">
        <v>18197</v>
      </c>
      <c r="AS61" s="575">
        <f t="shared" si="31"/>
        <v>19220</v>
      </c>
      <c r="AT61" s="88">
        <v>100000</v>
      </c>
      <c r="AU61" s="116">
        <v>117000</v>
      </c>
      <c r="AV61" s="74">
        <v>93500</v>
      </c>
      <c r="AW61" s="76">
        <f t="shared" si="32"/>
        <v>82430</v>
      </c>
      <c r="AX61" s="24">
        <f t="shared" si="172"/>
        <v>64233</v>
      </c>
      <c r="AY61" s="25">
        <f t="shared" si="173"/>
        <v>3.5298675605869101</v>
      </c>
      <c r="AZ61" s="309" t="str">
        <f t="shared" si="174"/>
        <v>REVISAR PRECIO</v>
      </c>
      <c r="BA61" s="604">
        <f>AS61</f>
        <v>19220</v>
      </c>
      <c r="BB61" s="513">
        <v>18197</v>
      </c>
      <c r="BC61" s="575">
        <f t="shared" si="21"/>
        <v>19220</v>
      </c>
      <c r="BD61" s="74">
        <v>97750</v>
      </c>
      <c r="BE61" s="74">
        <v>98000</v>
      </c>
      <c r="BF61" s="75">
        <v>112625</v>
      </c>
      <c r="BG61" s="61">
        <v>126499.99999999999</v>
      </c>
      <c r="BH61" s="60">
        <v>42000</v>
      </c>
      <c r="BI61" s="74">
        <v>145474.99999999997</v>
      </c>
      <c r="BJ61" s="79">
        <v>112625</v>
      </c>
      <c r="BK61" s="79">
        <v>85000</v>
      </c>
      <c r="BL61" s="127">
        <v>102000</v>
      </c>
      <c r="BM61" s="128">
        <v>89800</v>
      </c>
      <c r="BN61" s="128">
        <v>90000</v>
      </c>
      <c r="BO61" s="76">
        <f t="shared" si="76"/>
        <v>93416.25</v>
      </c>
      <c r="BP61" s="24">
        <f t="shared" si="161"/>
        <v>75219.25</v>
      </c>
      <c r="BQ61" s="25">
        <f t="shared" si="162"/>
        <v>4.1336071879980221</v>
      </c>
      <c r="BR61" s="259" t="str">
        <f t="shared" si="175"/>
        <v>REVISAR PRECIO</v>
      </c>
      <c r="BS61" s="607">
        <f>BC61</f>
        <v>19220</v>
      </c>
    </row>
    <row r="62" spans="1:71" ht="19.350000000000001" customHeight="1">
      <c r="A62" s="91" t="s">
        <v>17</v>
      </c>
      <c r="B62" s="358" t="s">
        <v>2253</v>
      </c>
      <c r="C62" s="50" t="s">
        <v>113</v>
      </c>
      <c r="D62" s="99" t="s">
        <v>1493</v>
      </c>
      <c r="E62" s="391" t="s">
        <v>13</v>
      </c>
      <c r="F62" s="562">
        <v>6683</v>
      </c>
      <c r="G62" s="612">
        <f t="shared" si="23"/>
        <v>7059</v>
      </c>
      <c r="H62" s="611">
        <v>20000</v>
      </c>
      <c r="I62" s="611">
        <v>7880</v>
      </c>
      <c r="J62" s="611">
        <v>23000</v>
      </c>
      <c r="K62" s="560">
        <f>AVERAGE(G62:H62,I62:J62)</f>
        <v>14484.75</v>
      </c>
      <c r="L62" s="561">
        <f t="shared" si="180"/>
        <v>7801.75</v>
      </c>
      <c r="M62" s="281">
        <f t="shared" si="181"/>
        <v>1.1052202861595126</v>
      </c>
      <c r="N62" s="597">
        <f>+K62</f>
        <v>14484.75</v>
      </c>
      <c r="O62" s="410">
        <v>6008</v>
      </c>
      <c r="P62" s="575">
        <f t="shared" si="25"/>
        <v>6346</v>
      </c>
      <c r="Q62" s="10">
        <v>38000</v>
      </c>
      <c r="R62" s="10">
        <v>41000</v>
      </c>
      <c r="S62" s="268">
        <v>41000</v>
      </c>
      <c r="T62" s="10">
        <v>38000</v>
      </c>
      <c r="U62" s="76">
        <f t="shared" si="176"/>
        <v>39500</v>
      </c>
      <c r="V62" s="24">
        <f t="shared" si="11"/>
        <v>33154</v>
      </c>
      <c r="W62" s="281">
        <f t="shared" si="177"/>
        <v>5.5183089214380825</v>
      </c>
      <c r="X62" s="462">
        <f t="shared" si="178"/>
        <v>39500</v>
      </c>
      <c r="Y62" s="410">
        <v>9861</v>
      </c>
      <c r="Z62" s="575">
        <f t="shared" si="13"/>
        <v>10415</v>
      </c>
      <c r="AA62" s="39">
        <v>12825</v>
      </c>
      <c r="AB62" s="31">
        <v>16673</v>
      </c>
      <c r="AC62" s="98">
        <v>11210</v>
      </c>
      <c r="AD62" s="76">
        <f t="shared" si="150"/>
        <v>11483.333333333334</v>
      </c>
      <c r="AE62" s="24">
        <f t="shared" si="14"/>
        <v>1068.3333333333339</v>
      </c>
      <c r="AF62" s="25">
        <f t="shared" si="151"/>
        <v>0.10833924889294533</v>
      </c>
      <c r="AG62" s="602">
        <f t="shared" si="152"/>
        <v>11483.333333333334</v>
      </c>
      <c r="AH62" s="601">
        <f t="shared" si="168"/>
        <v>11483.333333333334</v>
      </c>
      <c r="AI62" s="410">
        <v>6683</v>
      </c>
      <c r="AJ62" s="575">
        <f t="shared" si="15"/>
        <v>7059</v>
      </c>
      <c r="AK62" s="45">
        <v>20000</v>
      </c>
      <c r="AL62" s="45">
        <v>7880</v>
      </c>
      <c r="AM62" s="45">
        <v>23000</v>
      </c>
      <c r="AN62" s="76">
        <f>AVERAGE(AL62,AJ62)</f>
        <v>7469.5</v>
      </c>
      <c r="AO62" s="24">
        <f t="shared" si="169"/>
        <v>786.5</v>
      </c>
      <c r="AP62" s="281">
        <f t="shared" si="170"/>
        <v>0.11768666766422266</v>
      </c>
      <c r="AQ62" s="601">
        <f t="shared" si="171"/>
        <v>7469.5</v>
      </c>
      <c r="AR62" s="513">
        <v>6683</v>
      </c>
      <c r="AS62" s="575">
        <f t="shared" si="31"/>
        <v>7059</v>
      </c>
      <c r="AT62" s="88">
        <v>22000</v>
      </c>
      <c r="AU62" s="116">
        <v>26000</v>
      </c>
      <c r="AV62" s="74">
        <v>19800</v>
      </c>
      <c r="AW62" s="76">
        <f t="shared" si="32"/>
        <v>18714.75</v>
      </c>
      <c r="AX62" s="24">
        <f t="shared" si="172"/>
        <v>12031.75</v>
      </c>
      <c r="AY62" s="25">
        <f t="shared" si="173"/>
        <v>1.8003516384857101</v>
      </c>
      <c r="AZ62" s="309" t="str">
        <f t="shared" si="174"/>
        <v>REVISAR PRECIO</v>
      </c>
      <c r="BA62" s="604">
        <f t="shared" si="179"/>
        <v>18714.75</v>
      </c>
      <c r="BB62" s="513">
        <v>6683</v>
      </c>
      <c r="BC62" s="575">
        <f t="shared" si="21"/>
        <v>7059</v>
      </c>
      <c r="BD62" s="74">
        <v>20700</v>
      </c>
      <c r="BE62" s="74">
        <v>25000</v>
      </c>
      <c r="BF62" s="75">
        <v>23850</v>
      </c>
      <c r="BG62" s="61">
        <v>20700</v>
      </c>
      <c r="BH62" s="60">
        <v>28000</v>
      </c>
      <c r="BI62" s="74">
        <v>23804.999999999996</v>
      </c>
      <c r="BJ62" s="79">
        <v>23850</v>
      </c>
      <c r="BK62" s="79">
        <v>18000</v>
      </c>
      <c r="BL62" s="127">
        <v>21600</v>
      </c>
      <c r="BM62" s="128">
        <v>16500</v>
      </c>
      <c r="BN62" s="128">
        <v>20000</v>
      </c>
      <c r="BO62" s="76">
        <f>AVERAGE(BC62,BD62,BE62,BF62,BG62,BI62,BJ62,BK62,BL62,BM62,BN62)</f>
        <v>20096.727272727272</v>
      </c>
      <c r="BP62" s="24">
        <f t="shared" si="161"/>
        <v>13413.727272727272</v>
      </c>
      <c r="BQ62" s="25">
        <f t="shared" si="162"/>
        <v>2.0071415940037816</v>
      </c>
      <c r="BR62" s="259" t="str">
        <f t="shared" si="175"/>
        <v>REVISAR PRECIO</v>
      </c>
      <c r="BS62" s="607">
        <f t="shared" si="22"/>
        <v>20096.727272727272</v>
      </c>
    </row>
    <row r="63" spans="1:71" ht="27" customHeight="1">
      <c r="A63" s="91" t="s">
        <v>18</v>
      </c>
      <c r="B63" s="358" t="s">
        <v>2254</v>
      </c>
      <c r="C63" s="252" t="s">
        <v>752</v>
      </c>
      <c r="D63" s="100" t="s">
        <v>18</v>
      </c>
      <c r="E63" s="91"/>
      <c r="F63" s="411"/>
      <c r="G63" s="574"/>
      <c r="H63" s="173"/>
      <c r="I63" s="174"/>
      <c r="J63" s="173"/>
      <c r="K63" s="173"/>
      <c r="L63" s="173"/>
      <c r="M63" s="173"/>
      <c r="N63" s="173"/>
      <c r="O63" s="411"/>
      <c r="P63" s="173"/>
      <c r="Q63" s="173"/>
      <c r="R63" s="173"/>
      <c r="S63" s="274"/>
      <c r="T63" s="266"/>
      <c r="U63" s="266"/>
      <c r="V63" s="266"/>
      <c r="W63" s="266"/>
      <c r="X63" s="266"/>
      <c r="Y63" s="413"/>
      <c r="Z63" s="47"/>
      <c r="AA63" s="47"/>
      <c r="AB63" s="47"/>
      <c r="AC63" s="47"/>
      <c r="AD63" s="47"/>
      <c r="AE63" s="47"/>
      <c r="AF63" s="47"/>
      <c r="AG63" s="91"/>
      <c r="AH63" s="603"/>
      <c r="AI63" s="500"/>
      <c r="AJ63" s="321"/>
      <c r="AK63" s="321"/>
      <c r="AL63" s="321"/>
      <c r="AM63" s="320"/>
      <c r="AN63" s="320"/>
      <c r="AO63" s="320"/>
      <c r="AP63" s="320"/>
      <c r="AQ63" s="320"/>
      <c r="AR63" s="413"/>
      <c r="AS63" s="47"/>
      <c r="AT63" s="47"/>
      <c r="AU63" s="47"/>
      <c r="AV63" s="47"/>
      <c r="AW63" s="47"/>
      <c r="AX63" s="47"/>
      <c r="AY63" s="47"/>
      <c r="AZ63" s="91"/>
      <c r="BA63" s="467"/>
      <c r="BB63" s="413"/>
      <c r="BC63" s="47"/>
      <c r="BD63" s="47"/>
      <c r="BE63" s="47"/>
      <c r="BF63" s="47"/>
      <c r="BG63" s="47"/>
      <c r="BH63" s="47"/>
      <c r="BI63" s="47"/>
      <c r="BJ63" s="148"/>
      <c r="BK63" s="148"/>
      <c r="BL63" s="149"/>
      <c r="BM63" s="148"/>
      <c r="BN63" s="148"/>
      <c r="BO63" s="148"/>
      <c r="BP63" s="47"/>
      <c r="BQ63" s="47"/>
      <c r="BR63" s="414"/>
      <c r="BS63" s="414"/>
    </row>
    <row r="64" spans="1:71" ht="32.450000000000003" customHeight="1">
      <c r="A64" s="91" t="s">
        <v>18</v>
      </c>
      <c r="B64" s="358" t="s">
        <v>2255</v>
      </c>
      <c r="C64" s="50" t="s">
        <v>119</v>
      </c>
      <c r="D64" s="99" t="s">
        <v>459</v>
      </c>
      <c r="E64" s="391" t="s">
        <v>14</v>
      </c>
      <c r="F64" s="410">
        <v>17315</v>
      </c>
      <c r="G64" s="589">
        <f t="shared" si="23"/>
        <v>18288</v>
      </c>
      <c r="H64" s="10">
        <v>40000</v>
      </c>
      <c r="I64" s="167">
        <v>80000</v>
      </c>
      <c r="J64" s="10">
        <v>32850</v>
      </c>
      <c r="K64" s="76">
        <f>AVERAGE(H64,J64,G64)</f>
        <v>30379.333333333332</v>
      </c>
      <c r="L64" s="24">
        <f t="shared" ref="L64:L98" si="182">K64-F64</f>
        <v>13064.333333333332</v>
      </c>
      <c r="M64" s="281">
        <f t="shared" si="10"/>
        <v>0.71436643336249628</v>
      </c>
      <c r="N64" s="597">
        <f t="shared" si="24"/>
        <v>30379.333333333332</v>
      </c>
      <c r="O64" s="566">
        <v>17656</v>
      </c>
      <c r="P64" s="579">
        <f t="shared" si="25"/>
        <v>18648</v>
      </c>
      <c r="Q64" s="568">
        <v>53000</v>
      </c>
      <c r="R64" s="568">
        <v>40000</v>
      </c>
      <c r="S64" s="572">
        <v>48000</v>
      </c>
      <c r="T64" s="570">
        <v>39000</v>
      </c>
      <c r="U64" s="560">
        <f t="shared" ref="U64" si="183">AVERAGE(Q64,R64,S64,T64)</f>
        <v>45000</v>
      </c>
      <c r="V64" s="561">
        <f t="shared" si="11"/>
        <v>26352</v>
      </c>
      <c r="W64" s="281">
        <f t="shared" ref="W64" si="184">+V64/O64</f>
        <v>1.49252378794744</v>
      </c>
      <c r="X64" s="462">
        <f t="shared" ref="X64" si="185">U64</f>
        <v>45000</v>
      </c>
      <c r="Y64" s="410">
        <v>22244</v>
      </c>
      <c r="Z64" s="575">
        <f t="shared" si="13"/>
        <v>23494</v>
      </c>
      <c r="AA64" s="38">
        <v>28931</v>
      </c>
      <c r="AB64" s="33">
        <v>37610</v>
      </c>
      <c r="AC64" s="98">
        <v>25287.4</v>
      </c>
      <c r="AD64" s="76">
        <f t="shared" ref="AD64:AD70" si="186">AVERAGE(AA64,AC64,Z64)</f>
        <v>25904.133333333331</v>
      </c>
      <c r="AE64" s="24">
        <f t="shared" si="14"/>
        <v>2410.1333333333314</v>
      </c>
      <c r="AF64" s="25">
        <f t="shared" ref="AF64:AF105" si="187">+AE64/Y64</f>
        <v>0.10834981717916434</v>
      </c>
      <c r="AG64" s="602">
        <f t="shared" ref="AG64:AG105" si="188">+IF(AF64&lt;35%,AD64,"REVISAR PRECIO")</f>
        <v>25904.133333333331</v>
      </c>
      <c r="AH64" s="601">
        <f t="shared" ref="AH64:AH105" si="189">AD64</f>
        <v>25904.133333333331</v>
      </c>
      <c r="AI64" s="410">
        <v>17570</v>
      </c>
      <c r="AJ64" s="575">
        <f t="shared" si="15"/>
        <v>18557</v>
      </c>
      <c r="AK64" s="45">
        <v>60000</v>
      </c>
      <c r="AL64" s="45">
        <v>35000</v>
      </c>
      <c r="AM64" s="45">
        <v>18000</v>
      </c>
      <c r="AN64" s="76">
        <f>AVERAGE(AL64,AM64,AJ64)</f>
        <v>23852.333333333332</v>
      </c>
      <c r="AO64" s="24">
        <f t="shared" ref="AO64:AO105" si="190">AN64-AI64</f>
        <v>6282.3333333333321</v>
      </c>
      <c r="AP64" s="281">
        <f t="shared" ref="AP64:AP105" si="191">+AO64/AI64</f>
        <v>0.35756023524947822</v>
      </c>
      <c r="AQ64" s="601">
        <f t="shared" ref="AQ64:AQ105" si="192">AN64</f>
        <v>23852.333333333332</v>
      </c>
      <c r="AR64" s="513">
        <v>17656</v>
      </c>
      <c r="AS64" s="575">
        <f t="shared" si="31"/>
        <v>18648</v>
      </c>
      <c r="AT64" s="88">
        <v>42000</v>
      </c>
      <c r="AU64" s="116">
        <v>42000</v>
      </c>
      <c r="AV64" s="74">
        <v>44000</v>
      </c>
      <c r="AW64" s="76">
        <f t="shared" si="32"/>
        <v>36662</v>
      </c>
      <c r="AX64" s="24">
        <f t="shared" ref="AX64:AX82" si="193">AW64-AR64</f>
        <v>19006</v>
      </c>
      <c r="AY64" s="25">
        <f t="shared" ref="AY64:AY82" si="194">+AX64/AR64</f>
        <v>1.0764612596284548</v>
      </c>
      <c r="AZ64" s="309" t="str">
        <f t="shared" ref="AZ64:AZ82" si="195">+IF(AY64&lt;35%,AW64,"REVISAR PRECIO")</f>
        <v>REVISAR PRECIO</v>
      </c>
      <c r="BA64" s="604">
        <f t="shared" ref="BA64:BA82" si="196">AW64</f>
        <v>36662</v>
      </c>
      <c r="BB64" s="513">
        <v>17656</v>
      </c>
      <c r="BC64" s="575">
        <f t="shared" si="21"/>
        <v>18648</v>
      </c>
      <c r="BD64" s="74">
        <v>46000</v>
      </c>
      <c r="BE64" s="74">
        <v>70000</v>
      </c>
      <c r="BF64" s="75">
        <v>53000</v>
      </c>
      <c r="BG64" s="61">
        <v>46000</v>
      </c>
      <c r="BH64" s="60">
        <v>35000</v>
      </c>
      <c r="BI64" s="74">
        <v>52899.999999999993</v>
      </c>
      <c r="BJ64" s="79">
        <v>53000</v>
      </c>
      <c r="BK64" s="79">
        <v>40000</v>
      </c>
      <c r="BL64" s="127">
        <v>48000</v>
      </c>
      <c r="BM64" s="128">
        <v>39000</v>
      </c>
      <c r="BN64" s="128">
        <v>40000</v>
      </c>
      <c r="BO64" s="76">
        <f t="shared" si="76"/>
        <v>45129</v>
      </c>
      <c r="BP64" s="24">
        <f t="shared" ref="BP64:BP105" si="197">BO64-BB64</f>
        <v>27473</v>
      </c>
      <c r="BQ64" s="25">
        <f t="shared" ref="BQ64:BQ105" si="198">+BP64/BB64</f>
        <v>1.5560149524241051</v>
      </c>
      <c r="BR64" s="259" t="str">
        <f t="shared" ref="BR64:BR91" si="199">+IF(BQ64&lt;35%,BO64,"REVISAR PRECIO")</f>
        <v>REVISAR PRECIO</v>
      </c>
      <c r="BS64" s="607">
        <f t="shared" si="22"/>
        <v>45129</v>
      </c>
    </row>
    <row r="65" spans="1:71" ht="32.450000000000003" customHeight="1">
      <c r="A65" s="91" t="s">
        <v>18</v>
      </c>
      <c r="B65" s="358" t="s">
        <v>2256</v>
      </c>
      <c r="C65" s="50" t="s">
        <v>120</v>
      </c>
      <c r="D65" s="99" t="s">
        <v>460</v>
      </c>
      <c r="E65" s="391" t="s">
        <v>10</v>
      </c>
      <c r="F65" s="410">
        <v>12693</v>
      </c>
      <c r="G65" s="589">
        <f t="shared" si="23"/>
        <v>13406</v>
      </c>
      <c r="H65" s="10">
        <v>12360</v>
      </c>
      <c r="I65" s="167">
        <v>24720</v>
      </c>
      <c r="J65" s="10">
        <v>11200</v>
      </c>
      <c r="K65" s="76">
        <f>AVERAGE(H65,J65,G65)</f>
        <v>12322</v>
      </c>
      <c r="L65" s="24">
        <f t="shared" si="182"/>
        <v>-371</v>
      </c>
      <c r="M65" s="281">
        <f t="shared" si="10"/>
        <v>-2.7674175742204984E-2</v>
      </c>
      <c r="N65" s="597">
        <f t="shared" si="24"/>
        <v>12322</v>
      </c>
      <c r="O65" s="410">
        <v>11419</v>
      </c>
      <c r="P65" s="575">
        <f t="shared" si="25"/>
        <v>12061</v>
      </c>
      <c r="Q65" s="10">
        <v>14000</v>
      </c>
      <c r="R65" s="10">
        <v>16000</v>
      </c>
      <c r="S65" s="268">
        <v>15000</v>
      </c>
      <c r="T65" s="10">
        <v>20000</v>
      </c>
      <c r="U65" s="76">
        <f>AVERAGE(O65:Q65,R65,S65,T65)</f>
        <v>14746.666666666666</v>
      </c>
      <c r="V65" s="24">
        <f t="shared" si="11"/>
        <v>2685.6666666666661</v>
      </c>
      <c r="W65" s="281">
        <f t="shared" ref="W65:W73" si="200">+V65/O65</f>
        <v>0.23519280730945494</v>
      </c>
      <c r="X65" s="462">
        <f t="shared" ref="X65:X79" si="201">U65</f>
        <v>14746.666666666666</v>
      </c>
      <c r="Y65" s="410">
        <v>15985</v>
      </c>
      <c r="Z65" s="575">
        <f t="shared" si="13"/>
        <v>16883</v>
      </c>
      <c r="AA65" s="38">
        <v>20790</v>
      </c>
      <c r="AB65" s="31">
        <v>27027</v>
      </c>
      <c r="AC65" s="98">
        <v>18172</v>
      </c>
      <c r="AD65" s="76">
        <f t="shared" si="186"/>
        <v>18615</v>
      </c>
      <c r="AE65" s="24">
        <f t="shared" si="14"/>
        <v>1732</v>
      </c>
      <c r="AF65" s="25">
        <f t="shared" si="187"/>
        <v>0.10835157960588052</v>
      </c>
      <c r="AG65" s="602">
        <f t="shared" si="188"/>
        <v>18615</v>
      </c>
      <c r="AH65" s="601">
        <f t="shared" si="189"/>
        <v>18615</v>
      </c>
      <c r="AI65" s="410">
        <v>12691</v>
      </c>
      <c r="AJ65" s="575">
        <f t="shared" si="15"/>
        <v>13404</v>
      </c>
      <c r="AK65" s="45">
        <v>14000</v>
      </c>
      <c r="AL65" s="45">
        <v>14973</v>
      </c>
      <c r="AM65" s="45">
        <v>17000</v>
      </c>
      <c r="AN65" s="76">
        <f t="shared" si="29"/>
        <v>14844.25</v>
      </c>
      <c r="AO65" s="24">
        <f t="shared" si="190"/>
        <v>2153.25</v>
      </c>
      <c r="AP65" s="281">
        <f t="shared" si="191"/>
        <v>0.1696674808919707</v>
      </c>
      <c r="AQ65" s="601">
        <f t="shared" si="192"/>
        <v>14844.25</v>
      </c>
      <c r="AR65" s="513">
        <v>12691</v>
      </c>
      <c r="AS65" s="575">
        <f t="shared" si="31"/>
        <v>13404</v>
      </c>
      <c r="AT65" s="88">
        <v>13000</v>
      </c>
      <c r="AU65" s="116">
        <v>13000</v>
      </c>
      <c r="AV65" s="74">
        <v>13596.22</v>
      </c>
      <c r="AW65" s="76">
        <f t="shared" si="32"/>
        <v>13250.055</v>
      </c>
      <c r="AX65" s="24">
        <f t="shared" si="193"/>
        <v>559.05500000000029</v>
      </c>
      <c r="AY65" s="25">
        <f t="shared" si="194"/>
        <v>4.4051296194153357E-2</v>
      </c>
      <c r="AZ65" s="309">
        <f t="shared" si="195"/>
        <v>13250.055</v>
      </c>
      <c r="BA65" s="601">
        <f t="shared" si="196"/>
        <v>13250.055</v>
      </c>
      <c r="BB65" s="513">
        <v>12691</v>
      </c>
      <c r="BC65" s="575">
        <f t="shared" si="21"/>
        <v>13404</v>
      </c>
      <c r="BD65" s="74">
        <v>14214.23</v>
      </c>
      <c r="BE65" s="74">
        <v>18000</v>
      </c>
      <c r="BF65" s="75">
        <v>16377.264999999999</v>
      </c>
      <c r="BG65" s="61">
        <v>24494.999999999996</v>
      </c>
      <c r="BH65" s="60">
        <v>14000</v>
      </c>
      <c r="BI65" s="74">
        <v>28169.249999999993</v>
      </c>
      <c r="BJ65" s="79">
        <v>16377.264999999999</v>
      </c>
      <c r="BK65" s="79">
        <f>10748*1.15</f>
        <v>12360.199999999999</v>
      </c>
      <c r="BL65" s="127">
        <v>14832.239999999998</v>
      </c>
      <c r="BM65" s="128">
        <v>11000</v>
      </c>
      <c r="BN65" s="128">
        <v>12000</v>
      </c>
      <c r="BO65" s="76">
        <f>AVERAGE(BC65,BD65,BE65,BF65,BH65,BJ65,BK65,BL65,BM65,BN65)</f>
        <v>14256.519999999999</v>
      </c>
      <c r="BP65" s="24">
        <f t="shared" si="197"/>
        <v>1565.5199999999986</v>
      </c>
      <c r="BQ65" s="25">
        <f t="shared" si="198"/>
        <v>0.12335670947915835</v>
      </c>
      <c r="BR65" s="259">
        <f t="shared" si="199"/>
        <v>14256.519999999999</v>
      </c>
      <c r="BS65" s="607">
        <f t="shared" si="22"/>
        <v>14256.519999999999</v>
      </c>
    </row>
    <row r="66" spans="1:71" ht="33" customHeight="1">
      <c r="A66" s="91" t="s">
        <v>18</v>
      </c>
      <c r="B66" s="358" t="s">
        <v>2257</v>
      </c>
      <c r="C66" s="50" t="s">
        <v>121</v>
      </c>
      <c r="D66" s="99" t="s">
        <v>461</v>
      </c>
      <c r="E66" s="391" t="s">
        <v>10</v>
      </c>
      <c r="F66" s="410">
        <v>47843</v>
      </c>
      <c r="G66" s="589">
        <f t="shared" si="23"/>
        <v>50532</v>
      </c>
      <c r="H66" s="10">
        <v>40336</v>
      </c>
      <c r="I66" s="167">
        <v>80672</v>
      </c>
      <c r="J66" s="10">
        <v>33500</v>
      </c>
      <c r="K66" s="76">
        <f>AVERAGE(H66,J66,G66)</f>
        <v>41456</v>
      </c>
      <c r="L66" s="24">
        <f t="shared" si="182"/>
        <v>-6387</v>
      </c>
      <c r="M66" s="281">
        <f t="shared" si="10"/>
        <v>-0.12639515554500119</v>
      </c>
      <c r="N66" s="597">
        <f t="shared" si="24"/>
        <v>41456</v>
      </c>
      <c r="O66" s="410">
        <v>43057</v>
      </c>
      <c r="P66" s="575">
        <f t="shared" si="25"/>
        <v>45477</v>
      </c>
      <c r="Q66" s="10">
        <v>17000</v>
      </c>
      <c r="R66" s="10">
        <v>20000</v>
      </c>
      <c r="S66" s="268">
        <v>20000</v>
      </c>
      <c r="T66" s="10">
        <v>20000</v>
      </c>
      <c r="U66" s="76">
        <f t="shared" ref="U66:U70" si="202">AVERAGE(Q66,R66,S66,T66)</f>
        <v>19250</v>
      </c>
      <c r="V66" s="24">
        <f t="shared" si="11"/>
        <v>-26227</v>
      </c>
      <c r="W66" s="281">
        <f t="shared" si="200"/>
        <v>-0.60912279071927911</v>
      </c>
      <c r="X66" s="462">
        <f>P66</f>
        <v>45477</v>
      </c>
      <c r="Y66" s="410">
        <v>60266</v>
      </c>
      <c r="Z66" s="575">
        <f t="shared" si="13"/>
        <v>63653</v>
      </c>
      <c r="AA66" s="38">
        <v>78381</v>
      </c>
      <c r="AB66" s="31">
        <v>101895</v>
      </c>
      <c r="AC66" s="98">
        <v>68510.8</v>
      </c>
      <c r="AD66" s="76">
        <f t="shared" si="186"/>
        <v>70181.599999999991</v>
      </c>
      <c r="AE66" s="24">
        <f t="shared" si="14"/>
        <v>6528.5999999999913</v>
      </c>
      <c r="AF66" s="25">
        <f t="shared" si="187"/>
        <v>0.10832973816082021</v>
      </c>
      <c r="AG66" s="602">
        <f t="shared" si="188"/>
        <v>70181.599999999991</v>
      </c>
      <c r="AH66" s="601">
        <f t="shared" si="189"/>
        <v>70181.599999999991</v>
      </c>
      <c r="AI66" s="410">
        <v>47842</v>
      </c>
      <c r="AJ66" s="575">
        <f t="shared" si="15"/>
        <v>50531</v>
      </c>
      <c r="AK66" s="45">
        <v>35000</v>
      </c>
      <c r="AL66" s="45">
        <v>56450</v>
      </c>
      <c r="AM66" s="45">
        <v>17000</v>
      </c>
      <c r="AN66" s="76">
        <f t="shared" ref="AN66:AN71" si="203">AVERAGE(AK66,AL66,AJ66)</f>
        <v>47327</v>
      </c>
      <c r="AO66" s="24">
        <f t="shared" si="190"/>
        <v>-515</v>
      </c>
      <c r="AP66" s="281">
        <f t="shared" si="191"/>
        <v>-1.0764600142134526E-2</v>
      </c>
      <c r="AQ66" s="601">
        <f t="shared" si="192"/>
        <v>47327</v>
      </c>
      <c r="AR66" s="513">
        <v>47842</v>
      </c>
      <c r="AS66" s="575">
        <f t="shared" si="31"/>
        <v>50531</v>
      </c>
      <c r="AT66" s="88">
        <v>43000</v>
      </c>
      <c r="AU66" s="116">
        <v>43000</v>
      </c>
      <c r="AV66" s="74">
        <v>44402.16</v>
      </c>
      <c r="AW66" s="76">
        <f t="shared" si="32"/>
        <v>45233.29</v>
      </c>
      <c r="AX66" s="24">
        <f t="shared" si="193"/>
        <v>-2608.7099999999991</v>
      </c>
      <c r="AY66" s="25">
        <f t="shared" si="194"/>
        <v>-5.452761172191796E-2</v>
      </c>
      <c r="AZ66" s="309">
        <f t="shared" si="195"/>
        <v>45233.29</v>
      </c>
      <c r="BA66" s="601">
        <f t="shared" si="196"/>
        <v>45233.29</v>
      </c>
      <c r="BB66" s="513">
        <v>47842</v>
      </c>
      <c r="BC66" s="575">
        <f t="shared" si="21"/>
        <v>50531</v>
      </c>
      <c r="BD66" s="74">
        <v>46420.44000000001</v>
      </c>
      <c r="BE66" s="74">
        <v>20000</v>
      </c>
      <c r="BF66" s="75">
        <v>53484.420000000006</v>
      </c>
      <c r="BG66" s="61">
        <v>29209.999999999996</v>
      </c>
      <c r="BH66" s="60">
        <v>18000</v>
      </c>
      <c r="BI66" s="74">
        <v>33591.499999999993</v>
      </c>
      <c r="BJ66" s="79">
        <v>53484.420000000006</v>
      </c>
      <c r="BK66" s="79">
        <f>36696*1.1</f>
        <v>40365.600000000006</v>
      </c>
      <c r="BL66" s="127">
        <v>48438.720000000008</v>
      </c>
      <c r="BM66" s="128">
        <v>50000</v>
      </c>
      <c r="BN66" s="128">
        <v>50000</v>
      </c>
      <c r="BO66" s="76">
        <f>AVERAGE(BC66,BD66,BF66,BG66,BI66,BJ66,BK66,BL66,BM66,BN66)</f>
        <v>45552.61</v>
      </c>
      <c r="BP66" s="24">
        <f t="shared" si="197"/>
        <v>-2289.3899999999994</v>
      </c>
      <c r="BQ66" s="25">
        <f t="shared" si="198"/>
        <v>-4.7853141591070597E-2</v>
      </c>
      <c r="BR66" s="259">
        <f t="shared" si="199"/>
        <v>45552.61</v>
      </c>
      <c r="BS66" s="607">
        <f t="shared" si="22"/>
        <v>45552.61</v>
      </c>
    </row>
    <row r="67" spans="1:71" ht="33" customHeight="1">
      <c r="A67" s="91" t="s">
        <v>18</v>
      </c>
      <c r="B67" s="358" t="s">
        <v>2258</v>
      </c>
      <c r="C67" s="50" t="s">
        <v>122</v>
      </c>
      <c r="D67" s="99" t="s">
        <v>462</v>
      </c>
      <c r="E67" s="391" t="s">
        <v>10</v>
      </c>
      <c r="F67" s="410">
        <v>78333</v>
      </c>
      <c r="G67" s="589">
        <f t="shared" si="23"/>
        <v>82735</v>
      </c>
      <c r="H67" s="10">
        <v>65118</v>
      </c>
      <c r="I67" s="167">
        <v>130236</v>
      </c>
      <c r="J67" s="10">
        <v>49566</v>
      </c>
      <c r="K67" s="76">
        <f>AVERAGE(H67,G67)</f>
        <v>73926.5</v>
      </c>
      <c r="L67" s="24">
        <f t="shared" si="182"/>
        <v>-4406.5</v>
      </c>
      <c r="M67" s="281">
        <f t="shared" si="10"/>
        <v>-5.3260409741947179E-2</v>
      </c>
      <c r="N67" s="597">
        <f t="shared" si="24"/>
        <v>73926.5</v>
      </c>
      <c r="O67" s="410">
        <v>70500</v>
      </c>
      <c r="P67" s="575">
        <f t="shared" si="25"/>
        <v>74462</v>
      </c>
      <c r="Q67" s="10">
        <v>38000</v>
      </c>
      <c r="R67" s="10">
        <v>45000</v>
      </c>
      <c r="S67" s="268">
        <v>40000</v>
      </c>
      <c r="T67" s="10">
        <v>45000</v>
      </c>
      <c r="U67" s="76">
        <f t="shared" si="202"/>
        <v>42000</v>
      </c>
      <c r="V67" s="24">
        <f t="shared" si="11"/>
        <v>-32462</v>
      </c>
      <c r="W67" s="281">
        <f t="shared" si="200"/>
        <v>-0.46045390070921988</v>
      </c>
      <c r="X67" s="462">
        <f t="shared" si="201"/>
        <v>42000</v>
      </c>
      <c r="Y67" s="410">
        <v>98683</v>
      </c>
      <c r="Z67" s="575">
        <f t="shared" si="13"/>
        <v>104229</v>
      </c>
      <c r="AA67" s="38">
        <v>128345</v>
      </c>
      <c r="AB67" s="31">
        <v>166848</v>
      </c>
      <c r="AC67" s="98">
        <v>112182.6</v>
      </c>
      <c r="AD67" s="76">
        <f t="shared" si="186"/>
        <v>114918.86666666665</v>
      </c>
      <c r="AE67" s="24">
        <f t="shared" si="14"/>
        <v>10689.866666666654</v>
      </c>
      <c r="AF67" s="25">
        <f t="shared" si="187"/>
        <v>0.10832531101270385</v>
      </c>
      <c r="AG67" s="602">
        <f t="shared" si="188"/>
        <v>114918.86666666665</v>
      </c>
      <c r="AH67" s="601">
        <f t="shared" si="189"/>
        <v>114918.86666666665</v>
      </c>
      <c r="AI67" s="499">
        <v>78331</v>
      </c>
      <c r="AJ67" s="575">
        <f t="shared" si="15"/>
        <v>82733</v>
      </c>
      <c r="AK67" s="317"/>
      <c r="AL67" s="317">
        <v>92426</v>
      </c>
      <c r="AM67" s="45">
        <v>17000</v>
      </c>
      <c r="AN67" s="76">
        <f t="shared" si="203"/>
        <v>87579.5</v>
      </c>
      <c r="AO67" s="24">
        <f t="shared" si="190"/>
        <v>9248.5</v>
      </c>
      <c r="AP67" s="281">
        <f t="shared" si="191"/>
        <v>0.11806947440987604</v>
      </c>
      <c r="AQ67" s="601">
        <f t="shared" si="192"/>
        <v>87579.5</v>
      </c>
      <c r="AR67" s="513">
        <v>78331</v>
      </c>
      <c r="AS67" s="575">
        <f t="shared" si="31"/>
        <v>82733</v>
      </c>
      <c r="AT67" s="88">
        <v>70000</v>
      </c>
      <c r="AU67" s="116">
        <v>70000</v>
      </c>
      <c r="AV67" s="74">
        <v>71629.58</v>
      </c>
      <c r="AW67" s="76">
        <f t="shared" si="32"/>
        <v>73590.645000000004</v>
      </c>
      <c r="AX67" s="24">
        <f t="shared" si="193"/>
        <v>-4740.3549999999959</v>
      </c>
      <c r="AY67" s="25">
        <f t="shared" si="194"/>
        <v>-6.0516972845999613E-2</v>
      </c>
      <c r="AZ67" s="309">
        <f t="shared" si="195"/>
        <v>73590.645000000004</v>
      </c>
      <c r="BA67" s="601">
        <f t="shared" si="196"/>
        <v>73590.645000000004</v>
      </c>
      <c r="BB67" s="513">
        <v>78331</v>
      </c>
      <c r="BC67" s="575">
        <f t="shared" si="21"/>
        <v>82733</v>
      </c>
      <c r="BD67" s="74">
        <v>74885.47</v>
      </c>
      <c r="BE67" s="74">
        <v>25000</v>
      </c>
      <c r="BF67" s="75">
        <v>86281.084999999992</v>
      </c>
      <c r="BG67" s="61">
        <v>74885.47</v>
      </c>
      <c r="BH67" s="60">
        <v>21000</v>
      </c>
      <c r="BI67" s="74">
        <v>86118.290499999988</v>
      </c>
      <c r="BJ67" s="79">
        <v>86281.084999999992</v>
      </c>
      <c r="BK67" s="79">
        <f>59198*1.1</f>
        <v>65117.8</v>
      </c>
      <c r="BL67" s="127">
        <v>78141.36</v>
      </c>
      <c r="BM67" s="128">
        <v>70000</v>
      </c>
      <c r="BN67" s="128">
        <v>65000</v>
      </c>
      <c r="BO67" s="76">
        <f>AVERAGE(BC67,BD67,BF67,BG67,BI67,BJ67,BK67,BL67,BM67,BN67)</f>
        <v>76944.356050000002</v>
      </c>
      <c r="BP67" s="24">
        <f t="shared" si="197"/>
        <v>-1386.6439499999979</v>
      </c>
      <c r="BQ67" s="25">
        <f t="shared" si="198"/>
        <v>-1.7702364964062731E-2</v>
      </c>
      <c r="BR67" s="259">
        <f t="shared" si="199"/>
        <v>76944.356050000002</v>
      </c>
      <c r="BS67" s="607">
        <f t="shared" si="22"/>
        <v>76944.356050000002</v>
      </c>
    </row>
    <row r="68" spans="1:71" ht="33" customHeight="1">
      <c r="A68" s="91" t="s">
        <v>18</v>
      </c>
      <c r="B68" s="358" t="s">
        <v>2259</v>
      </c>
      <c r="C68" s="50" t="s">
        <v>123</v>
      </c>
      <c r="D68" s="99" t="s">
        <v>463</v>
      </c>
      <c r="E68" s="391" t="s">
        <v>10</v>
      </c>
      <c r="F68" s="410">
        <v>8677</v>
      </c>
      <c r="G68" s="589">
        <f t="shared" si="23"/>
        <v>9165</v>
      </c>
      <c r="H68" s="10">
        <v>8956</v>
      </c>
      <c r="I68" s="167">
        <v>17912</v>
      </c>
      <c r="J68" s="10">
        <v>8500</v>
      </c>
      <c r="K68" s="76">
        <f>AVERAGE(H68,J68,G68)</f>
        <v>8873.6666666666661</v>
      </c>
      <c r="L68" s="24">
        <f t="shared" si="182"/>
        <v>196.66666666666606</v>
      </c>
      <c r="M68" s="281">
        <f t="shared" si="10"/>
        <v>2.1458446990361819E-2</v>
      </c>
      <c r="N68" s="597">
        <f t="shared" si="24"/>
        <v>8873.6666666666661</v>
      </c>
      <c r="O68" s="410">
        <v>7812</v>
      </c>
      <c r="P68" s="575">
        <f t="shared" si="25"/>
        <v>8251</v>
      </c>
      <c r="Q68" s="10">
        <v>12000</v>
      </c>
      <c r="R68" s="10">
        <v>17000</v>
      </c>
      <c r="S68" s="268">
        <v>15000</v>
      </c>
      <c r="T68" s="10">
        <v>20000</v>
      </c>
      <c r="U68" s="76">
        <f>AVERAGE(O68:Q68,R68,S68,T68)</f>
        <v>13343.833333333334</v>
      </c>
      <c r="V68" s="24">
        <f t="shared" si="11"/>
        <v>5092.8333333333339</v>
      </c>
      <c r="W68" s="281">
        <f t="shared" si="200"/>
        <v>0.65192438982761569</v>
      </c>
      <c r="X68" s="462">
        <f t="shared" si="201"/>
        <v>13343.833333333334</v>
      </c>
      <c r="Y68" s="410">
        <v>10930</v>
      </c>
      <c r="Z68" s="575">
        <f t="shared" si="13"/>
        <v>11544</v>
      </c>
      <c r="AA68" s="38">
        <v>14216</v>
      </c>
      <c r="AB68" s="33">
        <v>18480</v>
      </c>
      <c r="AC68" s="98">
        <v>12425.4</v>
      </c>
      <c r="AD68" s="76">
        <f t="shared" si="186"/>
        <v>12728.466666666667</v>
      </c>
      <c r="AE68" s="24">
        <f t="shared" si="14"/>
        <v>1184.4666666666672</v>
      </c>
      <c r="AF68" s="25">
        <f t="shared" si="187"/>
        <v>0.10836840500152491</v>
      </c>
      <c r="AG68" s="602">
        <f t="shared" si="188"/>
        <v>12728.466666666667</v>
      </c>
      <c r="AH68" s="601">
        <f t="shared" si="189"/>
        <v>12728.466666666667</v>
      </c>
      <c r="AI68" s="410">
        <v>8676</v>
      </c>
      <c r="AJ68" s="575">
        <f t="shared" si="15"/>
        <v>9164</v>
      </c>
      <c r="AK68" s="45">
        <v>10000</v>
      </c>
      <c r="AL68" s="45">
        <v>10238</v>
      </c>
      <c r="AM68" s="45">
        <v>17000</v>
      </c>
      <c r="AN68" s="76">
        <f t="shared" si="203"/>
        <v>9800.6666666666661</v>
      </c>
      <c r="AO68" s="24">
        <f t="shared" si="190"/>
        <v>1124.6666666666661</v>
      </c>
      <c r="AP68" s="281">
        <f t="shared" si="191"/>
        <v>0.12962962962962957</v>
      </c>
      <c r="AQ68" s="601">
        <f t="shared" si="192"/>
        <v>9800.6666666666661</v>
      </c>
      <c r="AR68" s="513">
        <v>8676</v>
      </c>
      <c r="AS68" s="575">
        <f t="shared" si="31"/>
        <v>9164</v>
      </c>
      <c r="AT68" s="88">
        <v>10000</v>
      </c>
      <c r="AU68" s="116">
        <v>10000</v>
      </c>
      <c r="AV68" s="74">
        <v>9851.82</v>
      </c>
      <c r="AW68" s="76">
        <f t="shared" si="32"/>
        <v>9753.9549999999999</v>
      </c>
      <c r="AX68" s="24">
        <f t="shared" si="193"/>
        <v>1077.9549999999999</v>
      </c>
      <c r="AY68" s="25">
        <f t="shared" si="194"/>
        <v>0.12424562010142923</v>
      </c>
      <c r="AZ68" s="309">
        <f t="shared" si="195"/>
        <v>9753.9549999999999</v>
      </c>
      <c r="BA68" s="601">
        <f t="shared" si="196"/>
        <v>9753.9549999999999</v>
      </c>
      <c r="BB68" s="513">
        <v>8676</v>
      </c>
      <c r="BC68" s="575">
        <f t="shared" si="21"/>
        <v>9164</v>
      </c>
      <c r="BD68" s="74">
        <v>10299.629999999999</v>
      </c>
      <c r="BE68" s="74">
        <v>15000</v>
      </c>
      <c r="BF68" s="75">
        <v>11866.964999999998</v>
      </c>
      <c r="BG68" s="61">
        <v>10299.629999999997</v>
      </c>
      <c r="BH68" s="60">
        <v>14000</v>
      </c>
      <c r="BI68" s="74">
        <v>11844.574499999995</v>
      </c>
      <c r="BJ68" s="79">
        <v>11866.964999999998</v>
      </c>
      <c r="BK68" s="79">
        <f>7788*1.15</f>
        <v>8956.1999999999989</v>
      </c>
      <c r="BL68" s="127">
        <v>10747.439999999999</v>
      </c>
      <c r="BM68" s="128">
        <v>8500</v>
      </c>
      <c r="BN68" s="128">
        <v>9000</v>
      </c>
      <c r="BO68" s="76">
        <f t="shared" si="76"/>
        <v>10962.117041666666</v>
      </c>
      <c r="BP68" s="24">
        <f t="shared" si="197"/>
        <v>2286.1170416666664</v>
      </c>
      <c r="BQ68" s="25">
        <f t="shared" si="198"/>
        <v>0.26349896745812201</v>
      </c>
      <c r="BR68" s="259">
        <f t="shared" si="199"/>
        <v>10962.117041666666</v>
      </c>
      <c r="BS68" s="607">
        <f t="shared" si="22"/>
        <v>10962.117041666666</v>
      </c>
    </row>
    <row r="69" spans="1:71" ht="33" customHeight="1">
      <c r="A69" s="91" t="s">
        <v>18</v>
      </c>
      <c r="B69" s="358" t="s">
        <v>2260</v>
      </c>
      <c r="C69" s="50" t="s">
        <v>124</v>
      </c>
      <c r="D69" s="99" t="s">
        <v>464</v>
      </c>
      <c r="E69" s="391" t="s">
        <v>10</v>
      </c>
      <c r="F69" s="410">
        <v>10386</v>
      </c>
      <c r="G69" s="589">
        <f t="shared" si="23"/>
        <v>10970</v>
      </c>
      <c r="H69" s="10">
        <v>10433</v>
      </c>
      <c r="I69" s="167">
        <v>20866</v>
      </c>
      <c r="J69" s="10">
        <v>33500</v>
      </c>
      <c r="K69" s="76">
        <f>AVERAGE(H69,G69)</f>
        <v>10701.5</v>
      </c>
      <c r="L69" s="24">
        <f t="shared" si="182"/>
        <v>315.5</v>
      </c>
      <c r="M69" s="281">
        <f t="shared" si="10"/>
        <v>2.8760255241567913E-2</v>
      </c>
      <c r="N69" s="597">
        <f t="shared" si="24"/>
        <v>10701.5</v>
      </c>
      <c r="O69" s="410">
        <v>9350</v>
      </c>
      <c r="P69" s="575">
        <f t="shared" si="25"/>
        <v>9875</v>
      </c>
      <c r="Q69" s="10">
        <v>13000</v>
      </c>
      <c r="R69" s="10">
        <v>16000</v>
      </c>
      <c r="S69" s="268">
        <v>15000</v>
      </c>
      <c r="T69" s="10">
        <v>20000</v>
      </c>
      <c r="U69" s="76">
        <f>AVERAGE(P69:Q69,R69,S69,T69)</f>
        <v>14775</v>
      </c>
      <c r="V69" s="24">
        <f t="shared" si="11"/>
        <v>4900</v>
      </c>
      <c r="W69" s="281">
        <f t="shared" si="200"/>
        <v>0.52406417112299464</v>
      </c>
      <c r="X69" s="462">
        <f t="shared" si="201"/>
        <v>14775</v>
      </c>
      <c r="Y69" s="410">
        <v>13079</v>
      </c>
      <c r="Z69" s="575">
        <f t="shared" si="13"/>
        <v>13814</v>
      </c>
      <c r="AA69" s="38">
        <v>17010</v>
      </c>
      <c r="AB69" s="31">
        <v>22113</v>
      </c>
      <c r="AC69" s="98">
        <v>14868</v>
      </c>
      <c r="AD69" s="76">
        <f t="shared" si="186"/>
        <v>15230.666666666666</v>
      </c>
      <c r="AE69" s="24">
        <f t="shared" si="14"/>
        <v>1416.6666666666661</v>
      </c>
      <c r="AF69" s="25">
        <f t="shared" si="187"/>
        <v>0.10831613018324536</v>
      </c>
      <c r="AG69" s="602">
        <f t="shared" si="188"/>
        <v>15230.666666666666</v>
      </c>
      <c r="AH69" s="601">
        <f t="shared" si="189"/>
        <v>15230.666666666666</v>
      </c>
      <c r="AI69" s="410">
        <v>10385</v>
      </c>
      <c r="AJ69" s="575">
        <f t="shared" si="15"/>
        <v>10969</v>
      </c>
      <c r="AK69" s="45">
        <v>15000</v>
      </c>
      <c r="AL69" s="45">
        <v>12252</v>
      </c>
      <c r="AM69" s="45">
        <v>17000</v>
      </c>
      <c r="AN69" s="76">
        <f t="shared" si="203"/>
        <v>12740.333333333334</v>
      </c>
      <c r="AO69" s="24">
        <f t="shared" si="190"/>
        <v>2355.3333333333339</v>
      </c>
      <c r="AP69" s="281">
        <f t="shared" si="191"/>
        <v>0.22680147648852517</v>
      </c>
      <c r="AQ69" s="601">
        <f t="shared" si="192"/>
        <v>12740.333333333334</v>
      </c>
      <c r="AR69" s="513">
        <v>10385</v>
      </c>
      <c r="AS69" s="575">
        <f t="shared" si="31"/>
        <v>10969</v>
      </c>
      <c r="AT69" s="88">
        <v>10900</v>
      </c>
      <c r="AU69" s="116">
        <v>10900</v>
      </c>
      <c r="AV69" s="74">
        <v>11476.08</v>
      </c>
      <c r="AW69" s="76">
        <f t="shared" si="32"/>
        <v>11061.27</v>
      </c>
      <c r="AX69" s="24">
        <f t="shared" si="193"/>
        <v>676.27000000000044</v>
      </c>
      <c r="AY69" s="25">
        <f t="shared" si="194"/>
        <v>6.5119884448724158E-2</v>
      </c>
      <c r="AZ69" s="309">
        <f t="shared" si="195"/>
        <v>11061.27</v>
      </c>
      <c r="BA69" s="601">
        <f t="shared" si="196"/>
        <v>11061.27</v>
      </c>
      <c r="BB69" s="513">
        <v>10385</v>
      </c>
      <c r="BC69" s="575">
        <f t="shared" si="21"/>
        <v>10969</v>
      </c>
      <c r="BD69" s="74">
        <v>11997.72</v>
      </c>
      <c r="BE69" s="74">
        <v>18000</v>
      </c>
      <c r="BF69" s="75">
        <v>13823.46</v>
      </c>
      <c r="BG69" s="61">
        <v>11997.719999999998</v>
      </c>
      <c r="BH69" s="60">
        <v>18000</v>
      </c>
      <c r="BI69" s="74">
        <v>13797.377999999997</v>
      </c>
      <c r="BJ69" s="79">
        <v>13823.46</v>
      </c>
      <c r="BK69" s="79">
        <f>9072*1.15</f>
        <v>10432.799999999999</v>
      </c>
      <c r="BL69" s="127">
        <v>12519.359999999999</v>
      </c>
      <c r="BM69" s="128">
        <v>10900</v>
      </c>
      <c r="BN69" s="128">
        <v>10000</v>
      </c>
      <c r="BO69" s="76">
        <f>AVERAGE(BC69,BD69,BE69,BF69,BG69,BI69,BJ69,BK69,BL69,BM69,BN69)</f>
        <v>12569.172545454545</v>
      </c>
      <c r="BP69" s="24">
        <f t="shared" si="197"/>
        <v>2184.1725454545449</v>
      </c>
      <c r="BQ69" s="25">
        <f t="shared" si="198"/>
        <v>0.21031993697203127</v>
      </c>
      <c r="BR69" s="259">
        <f t="shared" si="199"/>
        <v>12569.172545454545</v>
      </c>
      <c r="BS69" s="607">
        <f t="shared" si="22"/>
        <v>12569.172545454545</v>
      </c>
    </row>
    <row r="70" spans="1:71" ht="33" customHeight="1">
      <c r="A70" s="91" t="s">
        <v>18</v>
      </c>
      <c r="B70" s="358" t="s">
        <v>2261</v>
      </c>
      <c r="C70" s="50" t="s">
        <v>125</v>
      </c>
      <c r="D70" s="99" t="s">
        <v>465</v>
      </c>
      <c r="E70" s="391" t="s">
        <v>10</v>
      </c>
      <c r="F70" s="410">
        <v>12721</v>
      </c>
      <c r="G70" s="589">
        <f t="shared" si="23"/>
        <v>13436</v>
      </c>
      <c r="H70" s="10">
        <v>12437</v>
      </c>
      <c r="I70" s="167">
        <v>37311</v>
      </c>
      <c r="J70" s="10">
        <v>49566</v>
      </c>
      <c r="K70" s="76">
        <f>AVERAGE(H70,G70)</f>
        <v>12936.5</v>
      </c>
      <c r="L70" s="24">
        <f t="shared" si="182"/>
        <v>215.5</v>
      </c>
      <c r="M70" s="281">
        <f t="shared" si="10"/>
        <v>1.6038999702292348E-2</v>
      </c>
      <c r="N70" s="597">
        <f t="shared" si="24"/>
        <v>12936.5</v>
      </c>
      <c r="O70" s="410">
        <v>11447</v>
      </c>
      <c r="P70" s="575">
        <f t="shared" si="25"/>
        <v>12090</v>
      </c>
      <c r="Q70" s="10">
        <v>19000</v>
      </c>
      <c r="R70" s="10">
        <v>22000</v>
      </c>
      <c r="S70" s="268">
        <v>20000</v>
      </c>
      <c r="T70" s="10">
        <v>20000</v>
      </c>
      <c r="U70" s="76">
        <f t="shared" si="202"/>
        <v>20250</v>
      </c>
      <c r="V70" s="24">
        <f t="shared" si="11"/>
        <v>8160</v>
      </c>
      <c r="W70" s="281">
        <f t="shared" si="200"/>
        <v>0.7128505285227571</v>
      </c>
      <c r="X70" s="462">
        <f t="shared" si="201"/>
        <v>20250</v>
      </c>
      <c r="Y70" s="410">
        <v>16027</v>
      </c>
      <c r="Z70" s="575">
        <f t="shared" si="13"/>
        <v>16928</v>
      </c>
      <c r="AA70" s="38">
        <v>20844</v>
      </c>
      <c r="AB70" s="31">
        <v>27097</v>
      </c>
      <c r="AC70" s="98">
        <v>18219.2</v>
      </c>
      <c r="AD70" s="76">
        <f t="shared" si="186"/>
        <v>18663.733333333334</v>
      </c>
      <c r="AE70" s="24">
        <f t="shared" si="14"/>
        <v>1735.7333333333336</v>
      </c>
      <c r="AF70" s="25">
        <f t="shared" si="187"/>
        <v>0.1083005761111458</v>
      </c>
      <c r="AG70" s="602">
        <f t="shared" si="188"/>
        <v>18663.733333333334</v>
      </c>
      <c r="AH70" s="601">
        <f t="shared" si="189"/>
        <v>18663.733333333334</v>
      </c>
      <c r="AI70" s="410">
        <v>12720</v>
      </c>
      <c r="AJ70" s="575">
        <f t="shared" si="15"/>
        <v>13435</v>
      </c>
      <c r="AK70" s="45"/>
      <c r="AL70" s="45">
        <v>15011</v>
      </c>
      <c r="AM70" s="45">
        <v>17000</v>
      </c>
      <c r="AN70" s="76">
        <f t="shared" si="203"/>
        <v>14223</v>
      </c>
      <c r="AO70" s="24">
        <f t="shared" si="190"/>
        <v>1503</v>
      </c>
      <c r="AP70" s="281">
        <f t="shared" si="191"/>
        <v>0.11816037735849057</v>
      </c>
      <c r="AQ70" s="601">
        <f t="shared" si="192"/>
        <v>14223</v>
      </c>
      <c r="AR70" s="513">
        <v>12720</v>
      </c>
      <c r="AS70" s="575">
        <f t="shared" si="31"/>
        <v>13435</v>
      </c>
      <c r="AT70" s="88">
        <v>13000</v>
      </c>
      <c r="AU70" s="116">
        <v>13000</v>
      </c>
      <c r="AV70" s="74">
        <v>13680.974999999999</v>
      </c>
      <c r="AW70" s="76">
        <f t="shared" si="32"/>
        <v>13278.99375</v>
      </c>
      <c r="AX70" s="24">
        <f t="shared" si="193"/>
        <v>558.99374999999964</v>
      </c>
      <c r="AY70" s="25">
        <f t="shared" si="194"/>
        <v>4.3946049528301862E-2</v>
      </c>
      <c r="AZ70" s="309">
        <f t="shared" si="195"/>
        <v>13278.99375</v>
      </c>
      <c r="BA70" s="601">
        <f t="shared" si="196"/>
        <v>13278.99375</v>
      </c>
      <c r="BB70" s="513">
        <v>12720</v>
      </c>
      <c r="BC70" s="575">
        <f t="shared" si="21"/>
        <v>13435</v>
      </c>
      <c r="BD70" s="74">
        <v>14302.837499999998</v>
      </c>
      <c r="BE70" s="74">
        <v>23000</v>
      </c>
      <c r="BF70" s="75">
        <v>16479.356249999997</v>
      </c>
      <c r="BG70" s="61">
        <v>14302.837499999996</v>
      </c>
      <c r="BH70" s="60">
        <v>21000</v>
      </c>
      <c r="BI70" s="74">
        <v>16448.263124999994</v>
      </c>
      <c r="BJ70" s="79">
        <v>16479.356249999997</v>
      </c>
      <c r="BK70" s="79">
        <f>10815*1.15</f>
        <v>12437.249999999998</v>
      </c>
      <c r="BL70" s="127">
        <v>14924.699999999997</v>
      </c>
      <c r="BM70" s="128">
        <v>14800</v>
      </c>
      <c r="BN70" s="128">
        <v>13000</v>
      </c>
      <c r="BO70" s="76">
        <f>AVERAGE(BC70,BD70,BE70,BF70,BG70,BI70,BJ70,BK70,BL70,BM70,BN70)</f>
        <v>15419.054602272723</v>
      </c>
      <c r="BP70" s="24">
        <f t="shared" si="197"/>
        <v>2699.0546022727231</v>
      </c>
      <c r="BQ70" s="25">
        <f t="shared" si="198"/>
        <v>0.21218982722269836</v>
      </c>
      <c r="BR70" s="259">
        <f t="shared" si="199"/>
        <v>15419.054602272723</v>
      </c>
      <c r="BS70" s="607">
        <f t="shared" si="22"/>
        <v>15419.054602272723</v>
      </c>
    </row>
    <row r="71" spans="1:71" ht="33" customHeight="1">
      <c r="A71" s="91" t="s">
        <v>18</v>
      </c>
      <c r="B71" s="358" t="s">
        <v>2262</v>
      </c>
      <c r="C71" s="50" t="s">
        <v>126</v>
      </c>
      <c r="D71" s="99" t="s">
        <v>466</v>
      </c>
      <c r="E71" s="391" t="s">
        <v>14</v>
      </c>
      <c r="F71" s="410">
        <v>23799</v>
      </c>
      <c r="G71" s="589">
        <f t="shared" ref="G71:G134" si="204">ROUND(F71*(100%+$D$1),0)</f>
        <v>25137</v>
      </c>
      <c r="H71" s="10">
        <v>24373</v>
      </c>
      <c r="I71" s="167">
        <v>73119</v>
      </c>
      <c r="J71" s="10">
        <v>18500</v>
      </c>
      <c r="K71" s="76">
        <f>AVERAGE(H71,J71,G71)</f>
        <v>22670</v>
      </c>
      <c r="L71" s="24">
        <f t="shared" si="182"/>
        <v>-1129</v>
      </c>
      <c r="M71" s="281">
        <f t="shared" ref="M71:M133" si="205">+L71/G71</f>
        <v>-4.4913871981541155E-2</v>
      </c>
      <c r="N71" s="597">
        <f>G71</f>
        <v>25137</v>
      </c>
      <c r="O71" s="410">
        <v>21624</v>
      </c>
      <c r="P71" s="575">
        <f t="shared" si="25"/>
        <v>22839</v>
      </c>
      <c r="Q71" s="10">
        <v>92000</v>
      </c>
      <c r="R71" s="10">
        <v>100000</v>
      </c>
      <c r="S71" s="268">
        <v>100000</v>
      </c>
      <c r="T71" s="10">
        <v>100000</v>
      </c>
      <c r="U71" s="76">
        <f>AVERAGE(P71:Q71)</f>
        <v>57419.5</v>
      </c>
      <c r="V71" s="24">
        <f t="shared" ref="V71:V125" si="206">U71-P71</f>
        <v>34580.5</v>
      </c>
      <c r="W71" s="281">
        <f t="shared" si="200"/>
        <v>1.5991722160562338</v>
      </c>
      <c r="X71" s="462">
        <f>AVERAGE(U71,P71)</f>
        <v>40129.25</v>
      </c>
      <c r="Y71" s="410">
        <v>117792</v>
      </c>
      <c r="Z71" s="575">
        <f t="shared" ref="Z71:Z134" si="207">ROUND(Y71*(100%+$D$1),0)</f>
        <v>124412</v>
      </c>
      <c r="AA71" s="38">
        <v>153198</v>
      </c>
      <c r="AB71" s="31">
        <v>153198</v>
      </c>
      <c r="AC71" s="98">
        <v>133906.4</v>
      </c>
      <c r="AD71" s="76">
        <f t="shared" ref="AD71" si="208">AVERAGE(AA71,AB71,AC71,Z71)</f>
        <v>141178.6</v>
      </c>
      <c r="AE71" s="24">
        <f t="shared" ref="AE71:AE134" si="209">AD71-Z71</f>
        <v>16766.600000000006</v>
      </c>
      <c r="AF71" s="25">
        <f t="shared" si="187"/>
        <v>0.14234073621298565</v>
      </c>
      <c r="AG71" s="602">
        <f t="shared" si="188"/>
        <v>141178.6</v>
      </c>
      <c r="AH71" s="601">
        <f>Z71</f>
        <v>124412</v>
      </c>
      <c r="AI71" s="410">
        <v>24149</v>
      </c>
      <c r="AJ71" s="575">
        <f t="shared" ref="AJ71:AJ134" si="210">ROUND(AI71*(100%+$D$1),0)</f>
        <v>25506</v>
      </c>
      <c r="AK71" s="45">
        <v>43000</v>
      </c>
      <c r="AL71" s="45">
        <v>28075</v>
      </c>
      <c r="AM71" s="45">
        <v>60000</v>
      </c>
      <c r="AN71" s="76">
        <f t="shared" si="203"/>
        <v>32193.666666666668</v>
      </c>
      <c r="AO71" s="24">
        <f t="shared" si="190"/>
        <v>8044.6666666666679</v>
      </c>
      <c r="AP71" s="281">
        <f t="shared" si="191"/>
        <v>0.33312628542244682</v>
      </c>
      <c r="AQ71" s="601">
        <f t="shared" si="192"/>
        <v>32193.666666666668</v>
      </c>
      <c r="AR71" s="513">
        <v>24272</v>
      </c>
      <c r="AS71" s="575">
        <f t="shared" si="31"/>
        <v>25636</v>
      </c>
      <c r="AT71" s="88">
        <v>25000</v>
      </c>
      <c r="AU71" s="116">
        <v>25000</v>
      </c>
      <c r="AV71" s="74">
        <v>26810.41</v>
      </c>
      <c r="AW71" s="76">
        <f>AVERAGE(AS71,AT71,AV71)</f>
        <v>25815.47</v>
      </c>
      <c r="AX71" s="24">
        <f t="shared" si="193"/>
        <v>1543.4700000000012</v>
      </c>
      <c r="AY71" s="25">
        <f t="shared" si="194"/>
        <v>6.3590557020435118E-2</v>
      </c>
      <c r="AZ71" s="309">
        <f t="shared" si="195"/>
        <v>25815.47</v>
      </c>
      <c r="BA71" s="601">
        <f t="shared" si="196"/>
        <v>25815.47</v>
      </c>
      <c r="BB71" s="513">
        <v>24272</v>
      </c>
      <c r="BC71" s="575">
        <f t="shared" ref="BC71:BC134" si="211">ROUND(BB71*(100%+$D$1),0)</f>
        <v>25636</v>
      </c>
      <c r="BD71" s="74">
        <v>28029.064999999999</v>
      </c>
      <c r="BE71" s="74">
        <v>80000</v>
      </c>
      <c r="BF71" s="75">
        <v>32294.357499999998</v>
      </c>
      <c r="BG71" s="61">
        <v>69000</v>
      </c>
      <c r="BH71" s="60">
        <v>28000</v>
      </c>
      <c r="BI71" s="74">
        <v>79350</v>
      </c>
      <c r="BJ71" s="79">
        <v>32294.357499999998</v>
      </c>
      <c r="BK71" s="79">
        <f>21194*1.15</f>
        <v>24373.1</v>
      </c>
      <c r="BL71" s="127">
        <v>29247.719999999998</v>
      </c>
      <c r="BM71" s="128">
        <v>25200</v>
      </c>
      <c r="BN71" s="128">
        <v>25000</v>
      </c>
      <c r="BO71" s="76">
        <f>AVERAGE(BC71,BD71,BE71,BF71,BH71,BJ71,BK71,BL71,BM71,BN71)</f>
        <v>33007.46</v>
      </c>
      <c r="BP71" s="24">
        <f t="shared" si="197"/>
        <v>8735.4599999999991</v>
      </c>
      <c r="BQ71" s="25">
        <f t="shared" si="198"/>
        <v>0.35989864864864862</v>
      </c>
      <c r="BR71" s="259" t="str">
        <f t="shared" si="199"/>
        <v>REVISAR PRECIO</v>
      </c>
      <c r="BS71" s="607">
        <f t="shared" ref="BS71:BS134" si="212">BO71</f>
        <v>33007.46</v>
      </c>
    </row>
    <row r="72" spans="1:71" ht="33" customHeight="1">
      <c r="A72" s="91" t="s">
        <v>18</v>
      </c>
      <c r="B72" s="358" t="s">
        <v>2263</v>
      </c>
      <c r="C72" s="50" t="s">
        <v>127</v>
      </c>
      <c r="D72" s="99" t="s">
        <v>467</v>
      </c>
      <c r="E72" s="391" t="s">
        <v>14</v>
      </c>
      <c r="F72" s="410">
        <v>35692</v>
      </c>
      <c r="G72" s="589">
        <f t="shared" si="204"/>
        <v>37698</v>
      </c>
      <c r="H72" s="10">
        <v>33100</v>
      </c>
      <c r="I72" s="167">
        <v>99300</v>
      </c>
      <c r="J72" s="10">
        <v>18500</v>
      </c>
      <c r="K72" s="76">
        <f>AVERAGE(H72,G72)</f>
        <v>35399</v>
      </c>
      <c r="L72" s="24">
        <f t="shared" si="182"/>
        <v>-293</v>
      </c>
      <c r="M72" s="281">
        <f t="shared" si="205"/>
        <v>-7.7722956124993371E-3</v>
      </c>
      <c r="N72" s="597">
        <f t="shared" ref="N72:N135" si="213">+K72</f>
        <v>35399</v>
      </c>
      <c r="O72" s="410">
        <v>32122</v>
      </c>
      <c r="P72" s="575">
        <f t="shared" ref="P72:P135" si="214">ROUND(O72*(100%+$D$1),0)</f>
        <v>33927</v>
      </c>
      <c r="Q72" s="10">
        <v>92000</v>
      </c>
      <c r="R72" s="10">
        <v>100000</v>
      </c>
      <c r="S72" s="268">
        <v>100000</v>
      </c>
      <c r="T72" s="10">
        <v>100000</v>
      </c>
      <c r="U72" s="76">
        <f>AVERAGE(P72:Q72)</f>
        <v>62963.5</v>
      </c>
      <c r="V72" s="24">
        <f t="shared" si="206"/>
        <v>29036.5</v>
      </c>
      <c r="W72" s="281">
        <f t="shared" si="200"/>
        <v>0.90394433721437017</v>
      </c>
      <c r="X72" s="462">
        <f>AVERAGE(U72,P72)</f>
        <v>48445.25</v>
      </c>
      <c r="Y72" s="410">
        <v>133476</v>
      </c>
      <c r="Z72" s="575">
        <f t="shared" si="207"/>
        <v>140977</v>
      </c>
      <c r="AA72" s="38">
        <v>173597</v>
      </c>
      <c r="AB72" s="33">
        <v>225675</v>
      </c>
      <c r="AC72" s="98">
        <v>151736.20000000001</v>
      </c>
      <c r="AD72" s="76">
        <f t="shared" ref="AD72:AD78" si="215">AVERAGE(AA72,AC72,Z72)</f>
        <v>155436.73333333334</v>
      </c>
      <c r="AE72" s="24">
        <f t="shared" si="209"/>
        <v>14459.733333333337</v>
      </c>
      <c r="AF72" s="25">
        <f t="shared" si="187"/>
        <v>0.10833208466940376</v>
      </c>
      <c r="AG72" s="602">
        <f t="shared" si="188"/>
        <v>155436.73333333334</v>
      </c>
      <c r="AH72" s="601">
        <f t="shared" si="189"/>
        <v>155436.73333333334</v>
      </c>
      <c r="AI72" s="410">
        <v>35692</v>
      </c>
      <c r="AJ72" s="575">
        <f t="shared" si="210"/>
        <v>37698</v>
      </c>
      <c r="AK72" s="45">
        <v>43000</v>
      </c>
      <c r="AL72" s="45">
        <v>42110</v>
      </c>
      <c r="AM72" s="45">
        <v>60000</v>
      </c>
      <c r="AN72" s="76">
        <f>AVERAGE(AK72,AL72,AJ72)</f>
        <v>40936</v>
      </c>
      <c r="AO72" s="24">
        <f t="shared" si="190"/>
        <v>5244</v>
      </c>
      <c r="AP72" s="281">
        <f t="shared" si="191"/>
        <v>0.14692368037655498</v>
      </c>
      <c r="AQ72" s="601">
        <f t="shared" si="192"/>
        <v>40936</v>
      </c>
      <c r="AR72" s="513">
        <v>35692</v>
      </c>
      <c r="AS72" s="575">
        <f t="shared" ref="AS72:AS135" si="216">ROUND(AR72*(100%+$D$1),0)</f>
        <v>37698</v>
      </c>
      <c r="AT72" s="88">
        <v>35000</v>
      </c>
      <c r="AU72" s="116">
        <v>35000</v>
      </c>
      <c r="AV72" s="74">
        <v>36410.494999999995</v>
      </c>
      <c r="AW72" s="76">
        <f t="shared" ref="AW72:AW134" si="217">AVERAGE(AS72,AT72,AU72,AV72)</f>
        <v>36027.123749999999</v>
      </c>
      <c r="AX72" s="24">
        <f t="shared" si="193"/>
        <v>335.12374999999884</v>
      </c>
      <c r="AY72" s="25">
        <f t="shared" si="194"/>
        <v>9.3893239381373644E-3</v>
      </c>
      <c r="AZ72" s="309">
        <f t="shared" si="195"/>
        <v>36027.123749999999</v>
      </c>
      <c r="BA72" s="601">
        <f t="shared" si="196"/>
        <v>36027.123749999999</v>
      </c>
      <c r="BB72" s="513">
        <v>35692</v>
      </c>
      <c r="BC72" s="575">
        <f t="shared" si="211"/>
        <v>37698</v>
      </c>
      <c r="BD72" s="74">
        <v>38065.517499999994</v>
      </c>
      <c r="BE72" s="74">
        <v>100000</v>
      </c>
      <c r="BF72" s="75">
        <v>43858.096249999995</v>
      </c>
      <c r="BG72" s="61">
        <v>69000</v>
      </c>
      <c r="BH72" s="60">
        <v>28000</v>
      </c>
      <c r="BI72" s="74">
        <v>79350</v>
      </c>
      <c r="BJ72" s="79">
        <v>43858.096249999995</v>
      </c>
      <c r="BK72" s="79">
        <f>28783*1.15</f>
        <v>33100.449999999997</v>
      </c>
      <c r="BL72" s="127">
        <v>39720.539999999994</v>
      </c>
      <c r="BM72" s="128">
        <v>327000</v>
      </c>
      <c r="BN72" s="128">
        <v>35000</v>
      </c>
      <c r="BO72" s="76">
        <f>AVERAGE(BC72,BD72,BF72,BH72,BJ72,BK72,BL72,BN72,BE72)</f>
        <v>44366.744444444441</v>
      </c>
      <c r="BP72" s="24">
        <f t="shared" si="197"/>
        <v>8674.7444444444409</v>
      </c>
      <c r="BQ72" s="25">
        <f t="shared" si="198"/>
        <v>0.24304450421507456</v>
      </c>
      <c r="BR72" s="259">
        <f t="shared" si="199"/>
        <v>44366.744444444441</v>
      </c>
      <c r="BS72" s="607">
        <f t="shared" si="212"/>
        <v>44366.744444444441</v>
      </c>
    </row>
    <row r="73" spans="1:71" ht="33" customHeight="1">
      <c r="A73" s="91" t="s">
        <v>18</v>
      </c>
      <c r="B73" s="358" t="s">
        <v>2264</v>
      </c>
      <c r="C73" s="50" t="s">
        <v>128</v>
      </c>
      <c r="D73" s="99" t="s">
        <v>468</v>
      </c>
      <c r="E73" s="391" t="s">
        <v>14</v>
      </c>
      <c r="F73" s="410">
        <v>24302</v>
      </c>
      <c r="G73" s="589">
        <f t="shared" si="204"/>
        <v>25668</v>
      </c>
      <c r="H73" s="10">
        <v>26302</v>
      </c>
      <c r="I73" s="167">
        <v>78906</v>
      </c>
      <c r="J73" s="10">
        <v>18500</v>
      </c>
      <c r="K73" s="76">
        <f t="shared" ref="K73:K84" si="218">AVERAGE(H73,J73,G73)</f>
        <v>23490</v>
      </c>
      <c r="L73" s="24">
        <f t="shared" si="182"/>
        <v>-812</v>
      </c>
      <c r="M73" s="281">
        <f t="shared" si="205"/>
        <v>-3.1634720274271465E-2</v>
      </c>
      <c r="N73" s="597">
        <f t="shared" si="213"/>
        <v>23490</v>
      </c>
      <c r="O73" s="410">
        <v>21871</v>
      </c>
      <c r="P73" s="575">
        <f t="shared" si="214"/>
        <v>23100</v>
      </c>
      <c r="Q73" s="10">
        <v>92000</v>
      </c>
      <c r="R73" s="10">
        <v>100000</v>
      </c>
      <c r="S73" s="268">
        <v>100000</v>
      </c>
      <c r="T73" s="10">
        <v>100000</v>
      </c>
      <c r="U73" s="76">
        <f>AVERAGE(P73:Q73)</f>
        <v>57550</v>
      </c>
      <c r="V73" s="24">
        <f t="shared" si="206"/>
        <v>34450</v>
      </c>
      <c r="W73" s="281">
        <f t="shared" si="200"/>
        <v>1.575145169402405</v>
      </c>
      <c r="X73" s="462">
        <f>AVERAGE(U73,P73)</f>
        <v>40325</v>
      </c>
      <c r="Y73" s="410">
        <v>90887</v>
      </c>
      <c r="Z73" s="575">
        <f t="shared" si="207"/>
        <v>95995</v>
      </c>
      <c r="AA73" s="38">
        <v>118206</v>
      </c>
      <c r="AB73" s="31">
        <v>153668</v>
      </c>
      <c r="AC73" s="98">
        <v>103320.8</v>
      </c>
      <c r="AD73" s="76">
        <f t="shared" si="215"/>
        <v>105840.59999999999</v>
      </c>
      <c r="AE73" s="24">
        <f t="shared" si="209"/>
        <v>9845.5999999999913</v>
      </c>
      <c r="AF73" s="25">
        <f t="shared" si="187"/>
        <v>0.10832792368545546</v>
      </c>
      <c r="AG73" s="602">
        <f t="shared" si="188"/>
        <v>105840.59999999999</v>
      </c>
      <c r="AH73" s="601">
        <f t="shared" si="189"/>
        <v>105840.59999999999</v>
      </c>
      <c r="AI73" s="410">
        <v>24301</v>
      </c>
      <c r="AJ73" s="575">
        <f t="shared" si="210"/>
        <v>25667</v>
      </c>
      <c r="AK73" s="45">
        <v>43000</v>
      </c>
      <c r="AL73" s="45">
        <v>28674</v>
      </c>
      <c r="AM73" s="45">
        <v>60000</v>
      </c>
      <c r="AN73" s="76">
        <f>AVERAGE(AK73,AL73,AJ73)</f>
        <v>32447</v>
      </c>
      <c r="AO73" s="24">
        <f t="shared" si="190"/>
        <v>8146</v>
      </c>
      <c r="AP73" s="281">
        <f t="shared" si="191"/>
        <v>0.33521254269371631</v>
      </c>
      <c r="AQ73" s="601">
        <f t="shared" si="192"/>
        <v>32447</v>
      </c>
      <c r="AR73" s="513">
        <v>24301</v>
      </c>
      <c r="AS73" s="575">
        <f t="shared" si="216"/>
        <v>25667</v>
      </c>
      <c r="AT73" s="88">
        <v>30000</v>
      </c>
      <c r="AU73" s="116">
        <v>30000</v>
      </c>
      <c r="AV73" s="74">
        <v>28932.2</v>
      </c>
      <c r="AW73" s="76">
        <f t="shared" si="217"/>
        <v>28649.8</v>
      </c>
      <c r="AX73" s="24">
        <f t="shared" si="193"/>
        <v>4348.7999999999993</v>
      </c>
      <c r="AY73" s="25">
        <f t="shared" si="194"/>
        <v>0.17895559853503967</v>
      </c>
      <c r="AZ73" s="309">
        <f t="shared" si="195"/>
        <v>28649.8</v>
      </c>
      <c r="BA73" s="601">
        <f t="shared" si="196"/>
        <v>28649.8</v>
      </c>
      <c r="BB73" s="513">
        <v>24301</v>
      </c>
      <c r="BC73" s="575">
        <f t="shared" si="211"/>
        <v>25667</v>
      </c>
      <c r="BD73" s="74">
        <v>30247.3</v>
      </c>
      <c r="BE73" s="74">
        <v>80000</v>
      </c>
      <c r="BF73" s="75">
        <v>34850.149999999994</v>
      </c>
      <c r="BG73" s="61">
        <v>69000</v>
      </c>
      <c r="BH73" s="60">
        <v>28000</v>
      </c>
      <c r="BI73" s="74">
        <v>79350</v>
      </c>
      <c r="BJ73" s="79">
        <v>34850.149999999994</v>
      </c>
      <c r="BK73" s="79">
        <v>26302</v>
      </c>
      <c r="BL73" s="127">
        <v>31562.400000000001</v>
      </c>
      <c r="BM73" s="128">
        <v>25900</v>
      </c>
      <c r="BN73" s="128">
        <v>30000</v>
      </c>
      <c r="BO73" s="76">
        <f>AVERAGE(BC73,BD73,BE73,BF73,BH73,BJ73,BK73,BL73,BM73,BN73)</f>
        <v>34737.9</v>
      </c>
      <c r="BP73" s="24">
        <f t="shared" si="197"/>
        <v>10436.900000000001</v>
      </c>
      <c r="BQ73" s="25">
        <f t="shared" si="198"/>
        <v>0.42948438335870959</v>
      </c>
      <c r="BR73" s="259" t="str">
        <f t="shared" si="199"/>
        <v>REVISAR PRECIO</v>
      </c>
      <c r="BS73" s="607">
        <f t="shared" si="212"/>
        <v>34737.9</v>
      </c>
    </row>
    <row r="74" spans="1:71" ht="33" customHeight="1">
      <c r="A74" s="91" t="s">
        <v>18</v>
      </c>
      <c r="B74" s="358" t="s">
        <v>2265</v>
      </c>
      <c r="C74" s="50" t="s">
        <v>129</v>
      </c>
      <c r="D74" s="99" t="s">
        <v>469</v>
      </c>
      <c r="E74" s="391" t="s">
        <v>14</v>
      </c>
      <c r="F74" s="410">
        <v>23855</v>
      </c>
      <c r="G74" s="589">
        <f t="shared" si="204"/>
        <v>25196</v>
      </c>
      <c r="H74" s="10">
        <v>34254</v>
      </c>
      <c r="I74" s="167">
        <v>102762</v>
      </c>
      <c r="J74" s="10">
        <v>32655</v>
      </c>
      <c r="K74" s="76">
        <f t="shared" si="218"/>
        <v>30701.666666666668</v>
      </c>
      <c r="L74" s="24">
        <f t="shared" si="182"/>
        <v>6846.6666666666679</v>
      </c>
      <c r="M74" s="281">
        <f t="shared" si="205"/>
        <v>0.27173625443192045</v>
      </c>
      <c r="N74" s="597">
        <f t="shared" si="213"/>
        <v>30701.666666666668</v>
      </c>
      <c r="O74" s="410">
        <v>21681</v>
      </c>
      <c r="P74" s="575">
        <f t="shared" si="214"/>
        <v>22899</v>
      </c>
      <c r="Q74" s="10">
        <v>68000</v>
      </c>
      <c r="R74" s="10">
        <v>75000</v>
      </c>
      <c r="S74" s="268">
        <v>70000</v>
      </c>
      <c r="T74" s="10">
        <v>80000</v>
      </c>
      <c r="U74" s="76">
        <f>AVERAGE(O74:Q74,S74)</f>
        <v>45645</v>
      </c>
      <c r="V74" s="24">
        <f t="shared" si="206"/>
        <v>22746</v>
      </c>
      <c r="W74" s="281">
        <f t="shared" ref="W74" si="219">+V74/O74</f>
        <v>1.0491213504912136</v>
      </c>
      <c r="X74" s="462">
        <f t="shared" ref="X74" si="220">U74</f>
        <v>45645</v>
      </c>
      <c r="Y74" s="410">
        <v>45506</v>
      </c>
      <c r="Z74" s="575">
        <f t="shared" si="207"/>
        <v>48063</v>
      </c>
      <c r="AA74" s="38">
        <v>59184</v>
      </c>
      <c r="AB74" s="31">
        <v>76939</v>
      </c>
      <c r="AC74" s="98">
        <v>51731.199999999997</v>
      </c>
      <c r="AD74" s="76">
        <f t="shared" si="215"/>
        <v>52992.733333333337</v>
      </c>
      <c r="AE74" s="24">
        <f t="shared" si="209"/>
        <v>4929.7333333333372</v>
      </c>
      <c r="AF74" s="25">
        <f t="shared" si="187"/>
        <v>0.10833150207298679</v>
      </c>
      <c r="AG74" s="602">
        <f t="shared" si="188"/>
        <v>52992.733333333337</v>
      </c>
      <c r="AH74" s="601">
        <f t="shared" si="189"/>
        <v>52992.733333333337</v>
      </c>
      <c r="AI74" s="410">
        <v>24215</v>
      </c>
      <c r="AJ74" s="575">
        <f t="shared" si="210"/>
        <v>25576</v>
      </c>
      <c r="AK74" s="45">
        <v>65000</v>
      </c>
      <c r="AL74" s="45">
        <v>28148</v>
      </c>
      <c r="AM74" s="45">
        <v>60000</v>
      </c>
      <c r="AN74" s="76">
        <f>AVERAGE(AM74,AL74,AJ74)</f>
        <v>37908</v>
      </c>
      <c r="AO74" s="24">
        <f t="shared" si="190"/>
        <v>13693</v>
      </c>
      <c r="AP74" s="281">
        <f t="shared" si="191"/>
        <v>0.56547594466239937</v>
      </c>
      <c r="AQ74" s="601">
        <f t="shared" si="192"/>
        <v>37908</v>
      </c>
      <c r="AR74" s="513">
        <v>24329</v>
      </c>
      <c r="AS74" s="575">
        <f t="shared" si="216"/>
        <v>25696</v>
      </c>
      <c r="AT74" s="88">
        <v>38000</v>
      </c>
      <c r="AU74" s="116">
        <v>38000</v>
      </c>
      <c r="AV74" s="74">
        <v>37679.4</v>
      </c>
      <c r="AW74" s="76">
        <f t="shared" si="217"/>
        <v>34843.85</v>
      </c>
      <c r="AX74" s="24">
        <f t="shared" si="193"/>
        <v>10514.849999999999</v>
      </c>
      <c r="AY74" s="25">
        <f t="shared" si="194"/>
        <v>0.43219408935837883</v>
      </c>
      <c r="AZ74" s="309" t="str">
        <f t="shared" si="195"/>
        <v>REVISAR PRECIO</v>
      </c>
      <c r="BA74" s="604">
        <f t="shared" si="196"/>
        <v>34843.85</v>
      </c>
      <c r="BB74" s="513">
        <v>24329</v>
      </c>
      <c r="BC74" s="575">
        <f t="shared" si="211"/>
        <v>25696</v>
      </c>
      <c r="BD74" s="74">
        <v>39392.1</v>
      </c>
      <c r="BE74" s="74">
        <v>50000</v>
      </c>
      <c r="BF74" s="75">
        <v>45386.55</v>
      </c>
      <c r="BG74" s="61">
        <v>39392.1</v>
      </c>
      <c r="BH74" s="60">
        <v>28000</v>
      </c>
      <c r="BI74" s="74">
        <v>45300.914999999994</v>
      </c>
      <c r="BJ74" s="79">
        <v>45386.55</v>
      </c>
      <c r="BK74" s="79">
        <f>31140*1.1</f>
        <v>34254</v>
      </c>
      <c r="BL74" s="127">
        <v>41104.800000000003</v>
      </c>
      <c r="BM74" s="128">
        <v>40850</v>
      </c>
      <c r="BN74" s="128">
        <v>35000</v>
      </c>
      <c r="BO74" s="76">
        <f>AVERAGE(BC74,BD74,BE74,BG74,BH74,BJ74,BK74,BL74,BM74,BN74)</f>
        <v>37907.555</v>
      </c>
      <c r="BP74" s="24">
        <f t="shared" si="197"/>
        <v>13578.555</v>
      </c>
      <c r="BQ74" s="25">
        <f t="shared" si="198"/>
        <v>0.55812219984380784</v>
      </c>
      <c r="BR74" s="259" t="str">
        <f t="shared" si="199"/>
        <v>REVISAR PRECIO</v>
      </c>
      <c r="BS74" s="607">
        <f t="shared" si="212"/>
        <v>37907.555</v>
      </c>
    </row>
    <row r="75" spans="1:71" ht="33" customHeight="1">
      <c r="A75" s="91" t="s">
        <v>18</v>
      </c>
      <c r="B75" s="358" t="s">
        <v>2266</v>
      </c>
      <c r="C75" s="50" t="s">
        <v>130</v>
      </c>
      <c r="D75" s="99" t="s">
        <v>470</v>
      </c>
      <c r="E75" s="391" t="s">
        <v>14</v>
      </c>
      <c r="F75" s="410">
        <v>28346</v>
      </c>
      <c r="G75" s="589">
        <f t="shared" si="204"/>
        <v>29939</v>
      </c>
      <c r="H75" s="10">
        <v>49651</v>
      </c>
      <c r="I75" s="167">
        <v>148953</v>
      </c>
      <c r="J75" s="10">
        <v>39680</v>
      </c>
      <c r="K75" s="76">
        <f t="shared" si="218"/>
        <v>39756.666666666664</v>
      </c>
      <c r="L75" s="24">
        <f t="shared" si="182"/>
        <v>11410.666666666664</v>
      </c>
      <c r="M75" s="281">
        <f t="shared" si="205"/>
        <v>0.38113052094815003</v>
      </c>
      <c r="N75" s="597">
        <f t="shared" si="213"/>
        <v>39756.666666666664</v>
      </c>
      <c r="O75" s="410">
        <v>25762</v>
      </c>
      <c r="P75" s="575">
        <f t="shared" si="214"/>
        <v>27210</v>
      </c>
      <c r="Q75" s="10">
        <v>142000</v>
      </c>
      <c r="R75" s="10">
        <v>150000</v>
      </c>
      <c r="S75" s="268">
        <v>150000</v>
      </c>
      <c r="T75" s="10">
        <v>150000</v>
      </c>
      <c r="U75" s="76">
        <f>AVERAGE(Q75,P75)</f>
        <v>84605</v>
      </c>
      <c r="V75" s="24">
        <f t="shared" si="206"/>
        <v>57395</v>
      </c>
      <c r="W75" s="281">
        <f t="shared" ref="W75:W82" si="221">+V75/O75</f>
        <v>2.2278937970654451</v>
      </c>
      <c r="X75" s="462">
        <f>AVERAGE(P75,U75)</f>
        <v>55907.5</v>
      </c>
      <c r="Y75" s="410">
        <v>54049</v>
      </c>
      <c r="Z75" s="575">
        <f t="shared" si="207"/>
        <v>57087</v>
      </c>
      <c r="AA75" s="38">
        <v>70295</v>
      </c>
      <c r="AB75" s="33">
        <v>91383</v>
      </c>
      <c r="AC75" s="98">
        <v>61442.6</v>
      </c>
      <c r="AD75" s="76">
        <f t="shared" si="215"/>
        <v>62941.533333333333</v>
      </c>
      <c r="AE75" s="24">
        <f t="shared" si="209"/>
        <v>5854.5333333333328</v>
      </c>
      <c r="AF75" s="25">
        <f t="shared" si="187"/>
        <v>0.10831899449265173</v>
      </c>
      <c r="AG75" s="309">
        <f t="shared" si="188"/>
        <v>62941.533333333333</v>
      </c>
      <c r="AH75" s="601">
        <f t="shared" si="189"/>
        <v>62941.533333333333</v>
      </c>
      <c r="AI75" s="410">
        <v>28762</v>
      </c>
      <c r="AJ75" s="575">
        <f t="shared" si="210"/>
        <v>30378</v>
      </c>
      <c r="AK75" s="45">
        <v>52000</v>
      </c>
      <c r="AL75" s="45">
        <v>33438</v>
      </c>
      <c r="AM75" s="45">
        <v>60000</v>
      </c>
      <c r="AN75" s="76">
        <f>AVERAGE(AK75,AL75,AJ75)</f>
        <v>38605.333333333336</v>
      </c>
      <c r="AO75" s="24">
        <f t="shared" si="190"/>
        <v>9843.3333333333358</v>
      </c>
      <c r="AP75" s="281">
        <f t="shared" si="191"/>
        <v>0.34223396611269508</v>
      </c>
      <c r="AQ75" s="601">
        <f t="shared" si="192"/>
        <v>38605.333333333336</v>
      </c>
      <c r="AR75" s="513">
        <v>28904</v>
      </c>
      <c r="AS75" s="575">
        <f t="shared" si="216"/>
        <v>30528</v>
      </c>
      <c r="AT75" s="88">
        <v>50000</v>
      </c>
      <c r="AU75" s="116">
        <v>50000</v>
      </c>
      <c r="AV75" s="74">
        <v>54615.742499999993</v>
      </c>
      <c r="AW75" s="76">
        <f t="shared" si="217"/>
        <v>46285.935624999998</v>
      </c>
      <c r="AX75" s="24">
        <f t="shared" si="193"/>
        <v>17381.935624999998</v>
      </c>
      <c r="AY75" s="25">
        <f t="shared" si="194"/>
        <v>0.60136782538748956</v>
      </c>
      <c r="AZ75" s="309" t="str">
        <f t="shared" si="195"/>
        <v>REVISAR PRECIO</v>
      </c>
      <c r="BA75" s="604">
        <f t="shared" si="196"/>
        <v>46285.935624999998</v>
      </c>
      <c r="BB75" s="513">
        <v>28904</v>
      </c>
      <c r="BC75" s="575">
        <f t="shared" si="211"/>
        <v>30528</v>
      </c>
      <c r="BD75" s="74">
        <v>57098.276249999995</v>
      </c>
      <c r="BE75" s="74">
        <v>100000</v>
      </c>
      <c r="BF75" s="75">
        <v>65787.144374999989</v>
      </c>
      <c r="BG75" s="61">
        <v>77050</v>
      </c>
      <c r="BH75" s="60">
        <v>35000</v>
      </c>
      <c r="BI75" s="74">
        <v>88607.5</v>
      </c>
      <c r="BJ75" s="79">
        <v>65787.144374999989</v>
      </c>
      <c r="BK75" s="79">
        <f>+BK72*1.5</f>
        <v>49650.674999999996</v>
      </c>
      <c r="BL75" s="127">
        <v>59580.81</v>
      </c>
      <c r="BM75" s="128">
        <v>50200</v>
      </c>
      <c r="BN75" s="128">
        <v>50000</v>
      </c>
      <c r="BO75" s="76">
        <f>AVERAGE(BC75,BD75,BE75,BF75,BH75,BJ75,BK75,BL75,BM75,BN75)</f>
        <v>56363.204999999994</v>
      </c>
      <c r="BP75" s="24">
        <f t="shared" si="197"/>
        <v>27459.204999999994</v>
      </c>
      <c r="BQ75" s="25">
        <f t="shared" si="198"/>
        <v>0.95001401190146673</v>
      </c>
      <c r="BR75" s="259" t="str">
        <f t="shared" si="199"/>
        <v>REVISAR PRECIO</v>
      </c>
      <c r="BS75" s="607">
        <f t="shared" si="212"/>
        <v>56363.204999999994</v>
      </c>
    </row>
    <row r="76" spans="1:71" ht="33" customHeight="1">
      <c r="A76" s="91" t="s">
        <v>18</v>
      </c>
      <c r="B76" s="358" t="s">
        <v>2267</v>
      </c>
      <c r="C76" s="50" t="s">
        <v>131</v>
      </c>
      <c r="D76" s="99" t="s">
        <v>471</v>
      </c>
      <c r="E76" s="391" t="s">
        <v>14</v>
      </c>
      <c r="F76" s="410">
        <v>19840</v>
      </c>
      <c r="G76" s="589">
        <f t="shared" si="204"/>
        <v>20955</v>
      </c>
      <c r="H76" s="10">
        <v>34250</v>
      </c>
      <c r="I76" s="167">
        <v>137000</v>
      </c>
      <c r="J76" s="10">
        <v>33500</v>
      </c>
      <c r="K76" s="76">
        <f t="shared" si="218"/>
        <v>29568.333333333332</v>
      </c>
      <c r="L76" s="24">
        <f t="shared" si="182"/>
        <v>9728.3333333333321</v>
      </c>
      <c r="M76" s="281">
        <f t="shared" si="205"/>
        <v>0.4642487870834327</v>
      </c>
      <c r="N76" s="597">
        <f t="shared" si="213"/>
        <v>29568.333333333332</v>
      </c>
      <c r="O76" s="410">
        <v>18036</v>
      </c>
      <c r="P76" s="575">
        <f t="shared" si="214"/>
        <v>19050</v>
      </c>
      <c r="Q76" s="10">
        <v>48000</v>
      </c>
      <c r="R76" s="10">
        <v>55000</v>
      </c>
      <c r="S76" s="268">
        <v>55000</v>
      </c>
      <c r="T76" s="10">
        <v>55000</v>
      </c>
      <c r="U76" s="76">
        <f>AVERAGE(P76:Q76,R76)</f>
        <v>40683.333333333336</v>
      </c>
      <c r="V76" s="24">
        <f t="shared" si="206"/>
        <v>21633.333333333336</v>
      </c>
      <c r="W76" s="281">
        <f t="shared" si="221"/>
        <v>1.1994529459599321</v>
      </c>
      <c r="X76" s="462">
        <f t="shared" si="201"/>
        <v>40683.333333333336</v>
      </c>
      <c r="Y76" s="410">
        <v>37845</v>
      </c>
      <c r="Z76" s="575">
        <f t="shared" si="207"/>
        <v>39972</v>
      </c>
      <c r="AA76" s="38">
        <v>49221</v>
      </c>
      <c r="AB76" s="33">
        <v>63987</v>
      </c>
      <c r="AC76" s="98">
        <v>43022.8</v>
      </c>
      <c r="AD76" s="76">
        <f t="shared" si="215"/>
        <v>44071.933333333327</v>
      </c>
      <c r="AE76" s="24">
        <f t="shared" si="209"/>
        <v>4099.933333333327</v>
      </c>
      <c r="AF76" s="25">
        <f t="shared" si="187"/>
        <v>0.10833487470823959</v>
      </c>
      <c r="AG76" s="309">
        <f t="shared" si="188"/>
        <v>44071.933333333327</v>
      </c>
      <c r="AH76" s="601">
        <f t="shared" si="189"/>
        <v>44071.933333333327</v>
      </c>
      <c r="AI76" s="410">
        <v>20133</v>
      </c>
      <c r="AJ76" s="575">
        <f t="shared" si="210"/>
        <v>21264</v>
      </c>
      <c r="AK76" s="45">
        <v>42000</v>
      </c>
      <c r="AL76" s="45">
        <v>23408</v>
      </c>
      <c r="AM76" s="45">
        <v>60000</v>
      </c>
      <c r="AN76" s="76">
        <f>AVERAGE(AK76,AL76,AJ76)</f>
        <v>28890.666666666668</v>
      </c>
      <c r="AO76" s="24">
        <f t="shared" si="190"/>
        <v>8757.6666666666679</v>
      </c>
      <c r="AP76" s="281">
        <f t="shared" si="191"/>
        <v>0.43499064554048916</v>
      </c>
      <c r="AQ76" s="601">
        <f t="shared" si="192"/>
        <v>28890.666666666668</v>
      </c>
      <c r="AR76" s="513">
        <v>20238</v>
      </c>
      <c r="AS76" s="575">
        <f t="shared" si="216"/>
        <v>21375</v>
      </c>
      <c r="AT76" s="88">
        <v>35000</v>
      </c>
      <c r="AU76" s="116">
        <v>35000</v>
      </c>
      <c r="AV76" s="74">
        <v>37674.560000000005</v>
      </c>
      <c r="AW76" s="76">
        <f t="shared" si="217"/>
        <v>32262.39</v>
      </c>
      <c r="AX76" s="24">
        <f t="shared" si="193"/>
        <v>12024.39</v>
      </c>
      <c r="AY76" s="25">
        <f t="shared" si="194"/>
        <v>0.59414912540764897</v>
      </c>
      <c r="AZ76" s="309" t="str">
        <f t="shared" si="195"/>
        <v>REVISAR PRECIO</v>
      </c>
      <c r="BA76" s="604">
        <f t="shared" si="196"/>
        <v>32262.39</v>
      </c>
      <c r="BB76" s="513">
        <v>20238</v>
      </c>
      <c r="BC76" s="575">
        <f t="shared" si="211"/>
        <v>21375</v>
      </c>
      <c r="BD76" s="74">
        <v>39387.040000000008</v>
      </c>
      <c r="BE76" s="74">
        <v>50000</v>
      </c>
      <c r="BF76" s="75">
        <v>45380.72</v>
      </c>
      <c r="BG76" s="61">
        <v>43700</v>
      </c>
      <c r="BH76" s="60">
        <v>50000</v>
      </c>
      <c r="BI76" s="74">
        <v>50254.999999999993</v>
      </c>
      <c r="BJ76" s="79">
        <v>45380.72</v>
      </c>
      <c r="BK76" s="79">
        <f>31136*1.1</f>
        <v>34249.600000000006</v>
      </c>
      <c r="BL76" s="127">
        <v>41099.520000000004</v>
      </c>
      <c r="BM76" s="128">
        <v>35600</v>
      </c>
      <c r="BN76" s="128">
        <v>35000</v>
      </c>
      <c r="BO76" s="76">
        <f t="shared" ref="BO76:BO120" si="222">AVERAGE(BC76,BD76,BE76,BF76,BG76,BH76,BI76,BJ76,BK76,BL76,BM76,BN76)</f>
        <v>40952.299999999996</v>
      </c>
      <c r="BP76" s="24">
        <f t="shared" si="197"/>
        <v>20714.299999999996</v>
      </c>
      <c r="BQ76" s="25">
        <f t="shared" si="198"/>
        <v>1.0235349342820435</v>
      </c>
      <c r="BR76" s="259" t="str">
        <f t="shared" si="199"/>
        <v>REVISAR PRECIO</v>
      </c>
      <c r="BS76" s="607">
        <f t="shared" si="212"/>
        <v>40952.299999999996</v>
      </c>
    </row>
    <row r="77" spans="1:71" ht="33" customHeight="1">
      <c r="A77" s="91" t="s">
        <v>18</v>
      </c>
      <c r="B77" s="358" t="s">
        <v>2268</v>
      </c>
      <c r="C77" s="50" t="s">
        <v>132</v>
      </c>
      <c r="D77" s="99" t="s">
        <v>472</v>
      </c>
      <c r="E77" s="391" t="s">
        <v>14</v>
      </c>
      <c r="F77" s="410">
        <v>87255</v>
      </c>
      <c r="G77" s="589">
        <f t="shared" si="204"/>
        <v>92159</v>
      </c>
      <c r="H77" s="10">
        <v>83775</v>
      </c>
      <c r="I77" s="167">
        <v>418875</v>
      </c>
      <c r="J77" s="10">
        <v>75500</v>
      </c>
      <c r="K77" s="76">
        <f t="shared" si="218"/>
        <v>83811.333333333328</v>
      </c>
      <c r="L77" s="24">
        <f t="shared" si="182"/>
        <v>-3443.6666666666715</v>
      </c>
      <c r="M77" s="281">
        <f t="shared" si="205"/>
        <v>-3.736658022186299E-2</v>
      </c>
      <c r="N77" s="597">
        <f t="shared" si="213"/>
        <v>83811.333333333328</v>
      </c>
      <c r="O77" s="410">
        <v>79309</v>
      </c>
      <c r="P77" s="575">
        <f t="shared" si="214"/>
        <v>83766</v>
      </c>
      <c r="Q77" s="10">
        <v>192000</v>
      </c>
      <c r="R77" s="10">
        <v>200000</v>
      </c>
      <c r="S77" s="268">
        <v>200000</v>
      </c>
      <c r="T77" s="10">
        <v>200000</v>
      </c>
      <c r="U77" s="76">
        <f>AVERAGE(Q77,R77,S77,T77,P77)</f>
        <v>175153.2</v>
      </c>
      <c r="V77" s="24">
        <f t="shared" si="206"/>
        <v>91387.200000000012</v>
      </c>
      <c r="W77" s="281">
        <f t="shared" si="221"/>
        <v>1.1522929301844684</v>
      </c>
      <c r="X77" s="462">
        <f t="shared" si="201"/>
        <v>175153.2</v>
      </c>
      <c r="Y77" s="410">
        <v>166423</v>
      </c>
      <c r="Z77" s="575">
        <f t="shared" si="207"/>
        <v>175776</v>
      </c>
      <c r="AA77" s="38">
        <v>216446</v>
      </c>
      <c r="AB77" s="31">
        <v>281379</v>
      </c>
      <c r="AC77" s="98">
        <v>189189.4</v>
      </c>
      <c r="AD77" s="76">
        <f t="shared" si="215"/>
        <v>193803.80000000002</v>
      </c>
      <c r="AE77" s="24">
        <f t="shared" si="209"/>
        <v>18027.800000000017</v>
      </c>
      <c r="AF77" s="25">
        <f t="shared" si="187"/>
        <v>0.10832517140058777</v>
      </c>
      <c r="AG77" s="309">
        <f t="shared" si="188"/>
        <v>193803.80000000002</v>
      </c>
      <c r="AH77" s="601">
        <f t="shared" si="189"/>
        <v>193803.80000000002</v>
      </c>
      <c r="AI77" s="410">
        <v>88555</v>
      </c>
      <c r="AJ77" s="575">
        <f t="shared" si="210"/>
        <v>93532</v>
      </c>
      <c r="AK77" s="45">
        <v>75000</v>
      </c>
      <c r="AL77" s="45">
        <v>102949</v>
      </c>
      <c r="AM77" s="45">
        <v>75000</v>
      </c>
      <c r="AN77" s="76">
        <f t="shared" ref="AN77:AN133" si="223">AVERAGE(AK77,AL77,AM77,AJ77)</f>
        <v>86620.25</v>
      </c>
      <c r="AO77" s="24">
        <f t="shared" si="190"/>
        <v>-1934.75</v>
      </c>
      <c r="AP77" s="281">
        <f t="shared" si="191"/>
        <v>-2.1848004065270172E-2</v>
      </c>
      <c r="AQ77" s="601">
        <f t="shared" si="192"/>
        <v>86620.25</v>
      </c>
      <c r="AR77" s="513">
        <v>89001</v>
      </c>
      <c r="AS77" s="575">
        <f t="shared" si="216"/>
        <v>94003</v>
      </c>
      <c r="AT77" s="88">
        <v>90000</v>
      </c>
      <c r="AU77" s="116">
        <v>90000</v>
      </c>
      <c r="AV77" s="74">
        <v>92152.390000000014</v>
      </c>
      <c r="AW77" s="76">
        <f t="shared" si="217"/>
        <v>91538.847500000003</v>
      </c>
      <c r="AX77" s="24">
        <f t="shared" si="193"/>
        <v>2537.8475000000035</v>
      </c>
      <c r="AY77" s="25">
        <f t="shared" si="194"/>
        <v>2.8514820058201631E-2</v>
      </c>
      <c r="AZ77" s="309">
        <f t="shared" si="195"/>
        <v>91538.847500000003</v>
      </c>
      <c r="BA77" s="601">
        <f t="shared" si="196"/>
        <v>91538.847500000003</v>
      </c>
      <c r="BB77" s="513">
        <v>89001</v>
      </c>
      <c r="BC77" s="575">
        <f t="shared" si="211"/>
        <v>94003</v>
      </c>
      <c r="BD77" s="74">
        <v>96341.135000000009</v>
      </c>
      <c r="BE77" s="74">
        <v>140000</v>
      </c>
      <c r="BF77" s="75">
        <v>111001.74250000002</v>
      </c>
      <c r="BG77" s="61">
        <v>96341.135000000009</v>
      </c>
      <c r="BH77" s="60">
        <v>60000</v>
      </c>
      <c r="BI77" s="74">
        <v>110792.30525</v>
      </c>
      <c r="BJ77" s="79">
        <v>111001.74250000002</v>
      </c>
      <c r="BK77" s="79">
        <f>76159*1.1</f>
        <v>83774.900000000009</v>
      </c>
      <c r="BL77" s="127">
        <v>100529.88</v>
      </c>
      <c r="BM77" s="128">
        <v>85200</v>
      </c>
      <c r="BN77" s="128">
        <v>90000</v>
      </c>
      <c r="BO77" s="76">
        <f>AVERAGE(BC77,BD77,BE77,BG77,BH77,BJ77,BK77,BL77,BM77,BN77)</f>
        <v>95719.179250000016</v>
      </c>
      <c r="BP77" s="24">
        <f t="shared" si="197"/>
        <v>6718.1792500000156</v>
      </c>
      <c r="BQ77" s="25">
        <f t="shared" si="198"/>
        <v>7.5484311974022944E-2</v>
      </c>
      <c r="BR77" s="259">
        <f t="shared" si="199"/>
        <v>95719.179250000016</v>
      </c>
      <c r="BS77" s="607">
        <f t="shared" si="212"/>
        <v>95719.179250000016</v>
      </c>
    </row>
    <row r="78" spans="1:71" ht="33" customHeight="1">
      <c r="A78" s="91" t="s">
        <v>18</v>
      </c>
      <c r="B78" s="358" t="s">
        <v>2269</v>
      </c>
      <c r="C78" s="50" t="s">
        <v>133</v>
      </c>
      <c r="D78" s="99" t="s">
        <v>473</v>
      </c>
      <c r="E78" s="391" t="s">
        <v>10</v>
      </c>
      <c r="F78" s="410">
        <v>48592</v>
      </c>
      <c r="G78" s="589">
        <f t="shared" si="204"/>
        <v>51323</v>
      </c>
      <c r="H78" s="10">
        <v>34760</v>
      </c>
      <c r="I78" s="167">
        <v>173800</v>
      </c>
      <c r="J78" s="10">
        <v>34000</v>
      </c>
      <c r="K78" s="76">
        <f t="shared" si="218"/>
        <v>40027.666666666664</v>
      </c>
      <c r="L78" s="24">
        <f t="shared" si="182"/>
        <v>-8564.3333333333358</v>
      </c>
      <c r="M78" s="281">
        <f t="shared" si="205"/>
        <v>-0.16687125330423661</v>
      </c>
      <c r="N78" s="597">
        <f t="shared" si="213"/>
        <v>40027.666666666664</v>
      </c>
      <c r="O78" s="410">
        <v>44168</v>
      </c>
      <c r="P78" s="575">
        <f t="shared" si="214"/>
        <v>46650</v>
      </c>
      <c r="Q78" s="10">
        <v>72000</v>
      </c>
      <c r="R78" s="10">
        <v>78000</v>
      </c>
      <c r="S78" s="268">
        <v>75000</v>
      </c>
      <c r="T78" s="10">
        <v>90000</v>
      </c>
      <c r="U78" s="76">
        <f>AVERAGE(P78:Q78,R78,S78,T78)</f>
        <v>72330</v>
      </c>
      <c r="V78" s="24">
        <f t="shared" si="206"/>
        <v>25680</v>
      </c>
      <c r="W78" s="281">
        <f t="shared" si="221"/>
        <v>0.58141641007063938</v>
      </c>
      <c r="X78" s="462">
        <f t="shared" si="201"/>
        <v>72330</v>
      </c>
      <c r="Y78" s="410">
        <v>92683</v>
      </c>
      <c r="Z78" s="575">
        <f t="shared" si="207"/>
        <v>97892</v>
      </c>
      <c r="AA78" s="38">
        <v>120542</v>
      </c>
      <c r="AB78" s="31">
        <v>156704</v>
      </c>
      <c r="AC78" s="98">
        <v>105362.2</v>
      </c>
      <c r="AD78" s="76">
        <f t="shared" si="215"/>
        <v>107932.06666666667</v>
      </c>
      <c r="AE78" s="24">
        <f t="shared" si="209"/>
        <v>10040.066666666666</v>
      </c>
      <c r="AF78" s="25">
        <f t="shared" si="187"/>
        <v>0.10832694956644331</v>
      </c>
      <c r="AG78" s="309">
        <f t="shared" si="188"/>
        <v>107932.06666666667</v>
      </c>
      <c r="AH78" s="601">
        <f t="shared" si="189"/>
        <v>107932.06666666667</v>
      </c>
      <c r="AI78" s="410">
        <v>49323</v>
      </c>
      <c r="AJ78" s="575">
        <f t="shared" si="210"/>
        <v>52095</v>
      </c>
      <c r="AK78" s="45">
        <v>37000</v>
      </c>
      <c r="AL78" s="45">
        <v>57337</v>
      </c>
      <c r="AM78" s="45">
        <v>40000</v>
      </c>
      <c r="AN78" s="76">
        <f>AVERAGE(AL78,AM78,AJ78)</f>
        <v>49810.666666666664</v>
      </c>
      <c r="AO78" s="24">
        <f t="shared" si="190"/>
        <v>487.66666666666424</v>
      </c>
      <c r="AP78" s="281">
        <f t="shared" si="191"/>
        <v>9.8872061039811908E-3</v>
      </c>
      <c r="AQ78" s="601">
        <f t="shared" si="192"/>
        <v>49810.666666666664</v>
      </c>
      <c r="AR78" s="513">
        <v>49569</v>
      </c>
      <c r="AS78" s="575">
        <f t="shared" si="216"/>
        <v>52355</v>
      </c>
      <c r="AT78" s="88">
        <v>40000</v>
      </c>
      <c r="AU78" s="116">
        <v>40000</v>
      </c>
      <c r="AV78" s="74">
        <v>38236</v>
      </c>
      <c r="AW78" s="76">
        <f>AVERAGE(AS78,AT78,AU78)</f>
        <v>44118.333333333336</v>
      </c>
      <c r="AX78" s="24">
        <f t="shared" si="193"/>
        <v>-5450.6666666666642</v>
      </c>
      <c r="AY78" s="25">
        <f t="shared" si="194"/>
        <v>-0.10996119886757175</v>
      </c>
      <c r="AZ78" s="309">
        <f t="shared" si="195"/>
        <v>44118.333333333336</v>
      </c>
      <c r="BA78" s="601">
        <f t="shared" si="196"/>
        <v>44118.333333333336</v>
      </c>
      <c r="BB78" s="513">
        <v>49569</v>
      </c>
      <c r="BC78" s="575">
        <f t="shared" si="211"/>
        <v>52355</v>
      </c>
      <c r="BD78" s="74">
        <v>39974</v>
      </c>
      <c r="BE78" s="74">
        <v>65000</v>
      </c>
      <c r="BF78" s="75">
        <v>46057</v>
      </c>
      <c r="BG78" s="61">
        <v>109249.99999999999</v>
      </c>
      <c r="BH78" s="60">
        <v>90000</v>
      </c>
      <c r="BI78" s="74">
        <v>125637.49999999997</v>
      </c>
      <c r="BJ78" s="79">
        <v>46057</v>
      </c>
      <c r="BK78" s="79">
        <f>31600*1.1</f>
        <v>34760</v>
      </c>
      <c r="BL78" s="127">
        <v>41712</v>
      </c>
      <c r="BM78" s="128">
        <v>40100</v>
      </c>
      <c r="BN78" s="128">
        <v>35000</v>
      </c>
      <c r="BO78" s="76">
        <f>AVERAGE(BC78,BD78,BE78,BF78,BH78,BJ78,BL78,BM78,BN78)</f>
        <v>50695</v>
      </c>
      <c r="BP78" s="24">
        <f t="shared" si="197"/>
        <v>1126</v>
      </c>
      <c r="BQ78" s="25">
        <f t="shared" si="198"/>
        <v>2.2715810284653717E-2</v>
      </c>
      <c r="BR78" s="259">
        <f t="shared" si="199"/>
        <v>50695</v>
      </c>
      <c r="BS78" s="607">
        <f t="shared" si="212"/>
        <v>50695</v>
      </c>
    </row>
    <row r="79" spans="1:71" ht="33.6" customHeight="1">
      <c r="A79" s="91" t="s">
        <v>18</v>
      </c>
      <c r="B79" s="358" t="s">
        <v>2270</v>
      </c>
      <c r="C79" s="50" t="s">
        <v>134</v>
      </c>
      <c r="D79" s="99" t="s">
        <v>474</v>
      </c>
      <c r="E79" s="391" t="s">
        <v>12</v>
      </c>
      <c r="F79" s="410">
        <v>40847</v>
      </c>
      <c r="G79" s="589">
        <f t="shared" si="204"/>
        <v>43143</v>
      </c>
      <c r="H79" s="10">
        <v>40864</v>
      </c>
      <c r="I79" s="167">
        <v>204320</v>
      </c>
      <c r="J79" s="10">
        <v>38500</v>
      </c>
      <c r="K79" s="76">
        <f t="shared" si="218"/>
        <v>40835.666666666664</v>
      </c>
      <c r="L79" s="24">
        <f t="shared" si="182"/>
        <v>-11.333333333335759</v>
      </c>
      <c r="M79" s="281">
        <f t="shared" si="205"/>
        <v>-2.6269228689093849E-4</v>
      </c>
      <c r="N79" s="597">
        <f t="shared" si="213"/>
        <v>40835.666666666664</v>
      </c>
      <c r="O79" s="410">
        <v>37125</v>
      </c>
      <c r="P79" s="575">
        <f t="shared" si="214"/>
        <v>39211</v>
      </c>
      <c r="Q79" s="10">
        <v>72000</v>
      </c>
      <c r="R79" s="10">
        <v>75000</v>
      </c>
      <c r="S79" s="268">
        <v>75000</v>
      </c>
      <c r="T79" s="10">
        <v>90000</v>
      </c>
      <c r="U79" s="76">
        <f>AVERAGE(P79:Q79,R79,S79,T79)</f>
        <v>70242.2</v>
      </c>
      <c r="V79" s="24">
        <f t="shared" si="206"/>
        <v>31031.199999999997</v>
      </c>
      <c r="W79" s="281">
        <f t="shared" si="221"/>
        <v>0.83585723905723897</v>
      </c>
      <c r="X79" s="462">
        <f t="shared" si="201"/>
        <v>70242.2</v>
      </c>
      <c r="Y79" s="410">
        <v>77902</v>
      </c>
      <c r="Z79" s="575">
        <f t="shared" si="207"/>
        <v>82280</v>
      </c>
      <c r="AA79" s="38">
        <v>101318</v>
      </c>
      <c r="AB79" s="31">
        <v>131713</v>
      </c>
      <c r="AC79" s="98">
        <v>88559</v>
      </c>
      <c r="AD79" s="76">
        <f t="shared" ref="AD79:AD142" si="224">AVERAGE(AA79,AC79,Z79)</f>
        <v>90719</v>
      </c>
      <c r="AE79" s="24">
        <f t="shared" si="209"/>
        <v>8439</v>
      </c>
      <c r="AF79" s="25">
        <f t="shared" si="187"/>
        <v>0.10832841262098535</v>
      </c>
      <c r="AG79" s="309">
        <f t="shared" si="188"/>
        <v>90719</v>
      </c>
      <c r="AH79" s="601">
        <f t="shared" si="189"/>
        <v>90719</v>
      </c>
      <c r="AI79" s="410">
        <v>41454</v>
      </c>
      <c r="AJ79" s="575">
        <f t="shared" si="210"/>
        <v>43784</v>
      </c>
      <c r="AK79" s="45">
        <v>43000</v>
      </c>
      <c r="AL79" s="45">
        <v>48192</v>
      </c>
      <c r="AM79" s="45">
        <v>40000</v>
      </c>
      <c r="AN79" s="76">
        <f t="shared" si="223"/>
        <v>43744</v>
      </c>
      <c r="AO79" s="24">
        <f t="shared" si="190"/>
        <v>2290</v>
      </c>
      <c r="AP79" s="281">
        <f t="shared" si="191"/>
        <v>5.5241954938003573E-2</v>
      </c>
      <c r="AQ79" s="601">
        <f t="shared" si="192"/>
        <v>43744</v>
      </c>
      <c r="AR79" s="513">
        <v>41662</v>
      </c>
      <c r="AS79" s="575">
        <f t="shared" si="216"/>
        <v>44003</v>
      </c>
      <c r="AT79" s="88">
        <v>45000</v>
      </c>
      <c r="AU79" s="116">
        <v>45000</v>
      </c>
      <c r="AV79" s="74">
        <v>44950.29</v>
      </c>
      <c r="AW79" s="76">
        <f t="shared" si="217"/>
        <v>44738.322500000002</v>
      </c>
      <c r="AX79" s="24">
        <f t="shared" si="193"/>
        <v>3076.322500000002</v>
      </c>
      <c r="AY79" s="25">
        <f t="shared" si="194"/>
        <v>7.3840010081129129E-2</v>
      </c>
      <c r="AZ79" s="309">
        <f t="shared" si="195"/>
        <v>44738.322500000002</v>
      </c>
      <c r="BA79" s="601">
        <f t="shared" si="196"/>
        <v>44738.322500000002</v>
      </c>
      <c r="BB79" s="513">
        <v>41662</v>
      </c>
      <c r="BC79" s="575">
        <f t="shared" si="211"/>
        <v>44003</v>
      </c>
      <c r="BD79" s="74">
        <v>46993.485000000001</v>
      </c>
      <c r="BE79" s="74">
        <v>75000</v>
      </c>
      <c r="BF79" s="75">
        <v>54144.667499999996</v>
      </c>
      <c r="BG79" s="61">
        <v>46993.485000000001</v>
      </c>
      <c r="BH79" s="60">
        <v>90000</v>
      </c>
      <c r="BI79" s="74">
        <v>54042.507749999997</v>
      </c>
      <c r="BJ79" s="79">
        <v>54144.667499999996</v>
      </c>
      <c r="BK79" s="79">
        <f>37149*1.1</f>
        <v>40863.9</v>
      </c>
      <c r="BL79" s="127">
        <v>49036.68</v>
      </c>
      <c r="BM79" s="128">
        <v>40100</v>
      </c>
      <c r="BN79" s="128">
        <v>45000</v>
      </c>
      <c r="BO79" s="76">
        <f>AVERAGE(BC79,BD79,BE79,BF79,BG79,BI79,BJ79,BK79,BL79,BM79,BN79)</f>
        <v>50029.308431818172</v>
      </c>
      <c r="BP79" s="24">
        <f t="shared" si="197"/>
        <v>8367.3084318181718</v>
      </c>
      <c r="BQ79" s="25">
        <f t="shared" si="198"/>
        <v>0.20083789620801143</v>
      </c>
      <c r="BR79" s="259">
        <f t="shared" si="199"/>
        <v>50029.308431818172</v>
      </c>
      <c r="BS79" s="607">
        <f t="shared" si="212"/>
        <v>50029.308431818172</v>
      </c>
    </row>
    <row r="80" spans="1:71" ht="33.6" customHeight="1">
      <c r="A80" s="91" t="s">
        <v>18</v>
      </c>
      <c r="B80" s="358" t="s">
        <v>2271</v>
      </c>
      <c r="C80" s="50" t="s">
        <v>135</v>
      </c>
      <c r="D80" s="99" t="s">
        <v>475</v>
      </c>
      <c r="E80" s="391" t="s">
        <v>14</v>
      </c>
      <c r="F80" s="410">
        <v>9493</v>
      </c>
      <c r="G80" s="589">
        <f t="shared" si="204"/>
        <v>10027</v>
      </c>
      <c r="H80" s="10">
        <v>18500</v>
      </c>
      <c r="I80" s="167">
        <v>92500</v>
      </c>
      <c r="J80" s="10">
        <v>25500</v>
      </c>
      <c r="K80" s="76">
        <f t="shared" si="218"/>
        <v>18009</v>
      </c>
      <c r="L80" s="24">
        <f t="shared" si="182"/>
        <v>8516</v>
      </c>
      <c r="M80" s="281">
        <f t="shared" si="205"/>
        <v>0.84930687144709283</v>
      </c>
      <c r="N80" s="597">
        <f t="shared" si="213"/>
        <v>18009</v>
      </c>
      <c r="O80" s="410">
        <v>8543</v>
      </c>
      <c r="P80" s="575">
        <f t="shared" si="214"/>
        <v>9023</v>
      </c>
      <c r="Q80" s="10">
        <v>38000</v>
      </c>
      <c r="R80" s="10">
        <v>45000</v>
      </c>
      <c r="S80" s="268">
        <v>41000</v>
      </c>
      <c r="T80" s="10">
        <v>45000</v>
      </c>
      <c r="U80" s="76">
        <f>AVERAGE(Q80,S80,P80)</f>
        <v>29341</v>
      </c>
      <c r="V80" s="24">
        <f t="shared" si="206"/>
        <v>20318</v>
      </c>
      <c r="W80" s="281">
        <f t="shared" si="221"/>
        <v>2.3783214327519606</v>
      </c>
      <c r="X80" s="462">
        <f>++AVERAGE(P80,U80)</f>
        <v>19182</v>
      </c>
      <c r="Y80" s="410">
        <v>14947</v>
      </c>
      <c r="Z80" s="575">
        <f t="shared" si="207"/>
        <v>15787</v>
      </c>
      <c r="AA80" s="38">
        <v>19440</v>
      </c>
      <c r="AB80" s="31">
        <v>19440</v>
      </c>
      <c r="AC80" s="98">
        <v>16992</v>
      </c>
      <c r="AD80" s="76">
        <f>AVERAGE(AA80,AC80,Z80,AB80)</f>
        <v>17914.75</v>
      </c>
      <c r="AE80" s="24">
        <f t="shared" si="209"/>
        <v>2127.75</v>
      </c>
      <c r="AF80" s="25">
        <f t="shared" si="187"/>
        <v>0.14235298053121029</v>
      </c>
      <c r="AG80" s="309">
        <f t="shared" si="188"/>
        <v>17914.75</v>
      </c>
      <c r="AH80" s="601">
        <f t="shared" si="189"/>
        <v>17914.75</v>
      </c>
      <c r="AI80" s="410">
        <v>9492</v>
      </c>
      <c r="AJ80" s="575">
        <f t="shared" si="210"/>
        <v>10025</v>
      </c>
      <c r="AK80" s="45">
        <v>18000</v>
      </c>
      <c r="AL80" s="45">
        <v>11200</v>
      </c>
      <c r="AM80" s="45">
        <v>57000</v>
      </c>
      <c r="AN80" s="76">
        <f>AVERAGE(AK80,AL80,AJ80)</f>
        <v>13075</v>
      </c>
      <c r="AO80" s="24">
        <f t="shared" si="190"/>
        <v>3583</v>
      </c>
      <c r="AP80" s="281">
        <f t="shared" si="191"/>
        <v>0.3774757690686894</v>
      </c>
      <c r="AQ80" s="601">
        <f t="shared" si="192"/>
        <v>13075</v>
      </c>
      <c r="AR80" s="513">
        <v>9492</v>
      </c>
      <c r="AS80" s="575">
        <f t="shared" si="216"/>
        <v>10025</v>
      </c>
      <c r="AT80" s="88">
        <v>20000</v>
      </c>
      <c r="AU80" s="116">
        <v>20000</v>
      </c>
      <c r="AV80" s="74">
        <v>20350</v>
      </c>
      <c r="AW80" s="76">
        <f t="shared" si="217"/>
        <v>17593.75</v>
      </c>
      <c r="AX80" s="24">
        <f t="shared" si="193"/>
        <v>8101.75</v>
      </c>
      <c r="AY80" s="25">
        <f t="shared" si="194"/>
        <v>0.85353455541508638</v>
      </c>
      <c r="AZ80" s="309" t="str">
        <f t="shared" si="195"/>
        <v>REVISAR PRECIO</v>
      </c>
      <c r="BA80" s="604">
        <f t="shared" si="196"/>
        <v>17593.75</v>
      </c>
      <c r="BB80" s="513">
        <v>9492</v>
      </c>
      <c r="BC80" s="575">
        <f t="shared" si="211"/>
        <v>10025</v>
      </c>
      <c r="BD80" s="74">
        <v>21275</v>
      </c>
      <c r="BE80" s="74">
        <v>35000</v>
      </c>
      <c r="BF80" s="75">
        <v>24512.5</v>
      </c>
      <c r="BG80" s="61">
        <v>21275</v>
      </c>
      <c r="BH80" s="60">
        <v>45000</v>
      </c>
      <c r="BI80" s="74">
        <v>24466.249999999996</v>
      </c>
      <c r="BJ80" s="79">
        <v>24512.5</v>
      </c>
      <c r="BK80" s="79">
        <v>18500</v>
      </c>
      <c r="BL80" s="127">
        <v>22200</v>
      </c>
      <c r="BM80" s="128">
        <v>15900</v>
      </c>
      <c r="BN80" s="128">
        <v>18000</v>
      </c>
      <c r="BO80" s="76">
        <f>AVERAGE(BC80,BD80,BE80,BF80,BG80,BI80,BJ80,BK80,BL80,BM80,BN80)</f>
        <v>21424.204545454544</v>
      </c>
      <c r="BP80" s="24">
        <f t="shared" si="197"/>
        <v>11932.204545454544</v>
      </c>
      <c r="BQ80" s="25">
        <f t="shared" si="198"/>
        <v>1.2570801248898593</v>
      </c>
      <c r="BR80" s="259" t="str">
        <f t="shared" si="199"/>
        <v>REVISAR PRECIO</v>
      </c>
      <c r="BS80" s="607">
        <f t="shared" si="212"/>
        <v>21424.204545454544</v>
      </c>
    </row>
    <row r="81" spans="1:71" ht="33.6" customHeight="1">
      <c r="A81" s="91" t="s">
        <v>18</v>
      </c>
      <c r="B81" s="358" t="s">
        <v>2272</v>
      </c>
      <c r="C81" s="50" t="s">
        <v>136</v>
      </c>
      <c r="D81" s="99" t="s">
        <v>476</v>
      </c>
      <c r="E81" s="391" t="s">
        <v>14</v>
      </c>
      <c r="F81" s="410">
        <v>28972</v>
      </c>
      <c r="G81" s="589">
        <f t="shared" si="204"/>
        <v>30600</v>
      </c>
      <c r="H81" s="10">
        <v>10100</v>
      </c>
      <c r="I81" s="167">
        <v>20200</v>
      </c>
      <c r="J81" s="10">
        <v>13600</v>
      </c>
      <c r="K81" s="76">
        <f>AVERAGE(J81,G81,I81)</f>
        <v>21466.666666666668</v>
      </c>
      <c r="L81" s="24">
        <f t="shared" si="182"/>
        <v>-7505.3333333333321</v>
      </c>
      <c r="M81" s="281">
        <f t="shared" si="205"/>
        <v>-0.24527233115468405</v>
      </c>
      <c r="N81" s="597">
        <f t="shared" si="213"/>
        <v>21466.666666666668</v>
      </c>
      <c r="O81" s="410">
        <v>26332</v>
      </c>
      <c r="P81" s="575">
        <f t="shared" si="214"/>
        <v>27812</v>
      </c>
      <c r="Q81" s="10">
        <v>38000</v>
      </c>
      <c r="R81" s="10">
        <v>45000</v>
      </c>
      <c r="S81" s="268">
        <v>41000</v>
      </c>
      <c r="T81" s="10">
        <v>50000</v>
      </c>
      <c r="U81" s="76">
        <f>AVERAGE(P81:Q81,R81,S81,T81)</f>
        <v>40362.400000000001</v>
      </c>
      <c r="V81" s="24">
        <f t="shared" si="206"/>
        <v>12550.400000000001</v>
      </c>
      <c r="W81" s="281">
        <f t="shared" si="221"/>
        <v>0.47662160109372631</v>
      </c>
      <c r="X81" s="462">
        <f>P81</f>
        <v>27812</v>
      </c>
      <c r="Y81" s="410">
        <v>46523</v>
      </c>
      <c r="Z81" s="575">
        <f t="shared" si="207"/>
        <v>49138</v>
      </c>
      <c r="AA81" s="38">
        <v>60507</v>
      </c>
      <c r="AB81" s="31">
        <v>78659</v>
      </c>
      <c r="AC81" s="98">
        <v>52887.6</v>
      </c>
      <c r="AD81" s="76">
        <f t="shared" si="224"/>
        <v>54177.533333333333</v>
      </c>
      <c r="AE81" s="24">
        <f t="shared" si="209"/>
        <v>5039.5333333333328</v>
      </c>
      <c r="AF81" s="25">
        <f t="shared" si="187"/>
        <v>0.10832348157542146</v>
      </c>
      <c r="AG81" s="309">
        <f t="shared" si="188"/>
        <v>54177.533333333333</v>
      </c>
      <c r="AH81" s="601">
        <f t="shared" si="189"/>
        <v>54177.533333333333</v>
      </c>
      <c r="AI81" s="410">
        <v>29398</v>
      </c>
      <c r="AJ81" s="575">
        <f t="shared" si="210"/>
        <v>31050</v>
      </c>
      <c r="AK81" s="45">
        <v>9000</v>
      </c>
      <c r="AL81" s="45">
        <v>34179</v>
      </c>
      <c r="AM81" s="45">
        <v>57000</v>
      </c>
      <c r="AN81" s="76">
        <f>AVERAGE(AL81,AJ81,AK81,AM81)</f>
        <v>32807.25</v>
      </c>
      <c r="AO81" s="24">
        <f t="shared" si="190"/>
        <v>3409.25</v>
      </c>
      <c r="AP81" s="281">
        <f t="shared" si="191"/>
        <v>0.11596877338594462</v>
      </c>
      <c r="AQ81" s="601">
        <f t="shared" si="192"/>
        <v>32807.25</v>
      </c>
      <c r="AR81" s="513">
        <v>29550</v>
      </c>
      <c r="AS81" s="575">
        <f t="shared" si="216"/>
        <v>31211</v>
      </c>
      <c r="AT81" s="88">
        <v>13000</v>
      </c>
      <c r="AU81" s="116">
        <v>13000</v>
      </c>
      <c r="AV81" s="74">
        <v>11110</v>
      </c>
      <c r="AW81" s="76">
        <f t="shared" si="217"/>
        <v>17080.25</v>
      </c>
      <c r="AX81" s="24">
        <f t="shared" si="193"/>
        <v>-12469.75</v>
      </c>
      <c r="AY81" s="25">
        <f t="shared" si="194"/>
        <v>-0.42198815566835873</v>
      </c>
      <c r="AZ81" s="309">
        <f t="shared" si="195"/>
        <v>17080.25</v>
      </c>
      <c r="BA81" s="490">
        <f>AVERAGE(AS81,AW81)</f>
        <v>24145.625</v>
      </c>
      <c r="BB81" s="513">
        <v>29550</v>
      </c>
      <c r="BC81" s="575">
        <f t="shared" si="211"/>
        <v>31211</v>
      </c>
      <c r="BD81" s="74">
        <v>11615</v>
      </c>
      <c r="BE81" s="74">
        <v>30000</v>
      </c>
      <c r="BF81" s="75">
        <v>13382.5</v>
      </c>
      <c r="BG81" s="61">
        <v>29439.999999999996</v>
      </c>
      <c r="BH81" s="60">
        <v>56000</v>
      </c>
      <c r="BI81" s="74">
        <v>33855.999999999993</v>
      </c>
      <c r="BJ81" s="79">
        <v>13382.5</v>
      </c>
      <c r="BK81" s="79">
        <v>10100</v>
      </c>
      <c r="BL81" s="127">
        <v>12120</v>
      </c>
      <c r="BM81" s="128">
        <v>9800</v>
      </c>
      <c r="BN81" s="128">
        <v>10000</v>
      </c>
      <c r="BO81" s="76">
        <f>AVERAGE(BC81,BD81,BE81,BF81,BG81,BH81,BI81,BJ81,BL81)</f>
        <v>25667.444444444445</v>
      </c>
      <c r="BP81" s="24">
        <f t="shared" si="197"/>
        <v>-3882.5555555555547</v>
      </c>
      <c r="BQ81" s="25">
        <f t="shared" si="198"/>
        <v>-0.13138935890204922</v>
      </c>
      <c r="BR81" s="259">
        <f t="shared" si="199"/>
        <v>25667.444444444445</v>
      </c>
      <c r="BS81" s="607">
        <f>+BO81</f>
        <v>25667.444444444445</v>
      </c>
    </row>
    <row r="82" spans="1:71" ht="33.6" customHeight="1">
      <c r="A82" s="91" t="s">
        <v>18</v>
      </c>
      <c r="B82" s="358" t="s">
        <v>2273</v>
      </c>
      <c r="C82" s="50" t="s">
        <v>137</v>
      </c>
      <c r="D82" s="99" t="s">
        <v>477</v>
      </c>
      <c r="E82" s="391" t="s">
        <v>14</v>
      </c>
      <c r="F82" s="410">
        <v>13746</v>
      </c>
      <c r="G82" s="589">
        <f t="shared" si="204"/>
        <v>14519</v>
      </c>
      <c r="H82" s="10">
        <v>16500</v>
      </c>
      <c r="I82" s="167">
        <v>33000</v>
      </c>
      <c r="J82" s="10">
        <v>20050</v>
      </c>
      <c r="K82" s="76">
        <f t="shared" si="218"/>
        <v>17023</v>
      </c>
      <c r="L82" s="24">
        <f t="shared" si="182"/>
        <v>3277</v>
      </c>
      <c r="M82" s="281">
        <f t="shared" si="205"/>
        <v>0.22570424960396721</v>
      </c>
      <c r="N82" s="597">
        <f t="shared" si="213"/>
        <v>17023</v>
      </c>
      <c r="O82" s="410">
        <v>12492</v>
      </c>
      <c r="P82" s="575">
        <f t="shared" si="214"/>
        <v>13194</v>
      </c>
      <c r="Q82" s="10">
        <v>56000</v>
      </c>
      <c r="R82" s="10">
        <v>60000</v>
      </c>
      <c r="S82" s="268">
        <v>60000</v>
      </c>
      <c r="T82" s="10">
        <v>80000</v>
      </c>
      <c r="U82" s="76">
        <f>AVERAGE(Q82,R82,S82,P82)</f>
        <v>47298.5</v>
      </c>
      <c r="V82" s="24">
        <f t="shared" si="206"/>
        <v>34104.5</v>
      </c>
      <c r="W82" s="281">
        <f t="shared" si="221"/>
        <v>2.7301072686519374</v>
      </c>
      <c r="X82" s="462">
        <f>AVERAGE(U82,P82)</f>
        <v>30246.25</v>
      </c>
      <c r="Y82" s="410">
        <v>22078</v>
      </c>
      <c r="Z82" s="575">
        <f t="shared" si="207"/>
        <v>23319</v>
      </c>
      <c r="AA82" s="38">
        <v>28715</v>
      </c>
      <c r="AB82" s="31">
        <v>37329</v>
      </c>
      <c r="AC82" s="98">
        <v>25098.6</v>
      </c>
      <c r="AD82" s="76">
        <f t="shared" si="224"/>
        <v>25710.866666666669</v>
      </c>
      <c r="AE82" s="24">
        <f t="shared" si="209"/>
        <v>2391.8666666666686</v>
      </c>
      <c r="AF82" s="25">
        <f t="shared" si="187"/>
        <v>0.10833710782981559</v>
      </c>
      <c r="AG82" s="309">
        <f t="shared" si="188"/>
        <v>25710.866666666669</v>
      </c>
      <c r="AH82" s="601">
        <f t="shared" si="189"/>
        <v>25710.866666666669</v>
      </c>
      <c r="AI82" s="410">
        <v>13954</v>
      </c>
      <c r="AJ82" s="575">
        <f t="shared" si="210"/>
        <v>14738</v>
      </c>
      <c r="AK82" s="45">
        <v>15000</v>
      </c>
      <c r="AL82" s="45">
        <v>16220</v>
      </c>
      <c r="AM82" s="45">
        <v>57000</v>
      </c>
      <c r="AN82" s="76">
        <f>AVERAGE(AK82,AL82,AJ82)</f>
        <v>15319.333333333334</v>
      </c>
      <c r="AO82" s="24">
        <f t="shared" si="190"/>
        <v>1365.3333333333339</v>
      </c>
      <c r="AP82" s="281">
        <f t="shared" si="191"/>
        <v>9.7845301227843906E-2</v>
      </c>
      <c r="AQ82" s="601">
        <f t="shared" si="192"/>
        <v>15319.333333333334</v>
      </c>
      <c r="AR82" s="513">
        <v>14020</v>
      </c>
      <c r="AS82" s="575">
        <f t="shared" si="216"/>
        <v>14808</v>
      </c>
      <c r="AT82" s="88">
        <v>20000</v>
      </c>
      <c r="AU82" s="116">
        <v>20000</v>
      </c>
      <c r="AV82" s="74">
        <v>18150</v>
      </c>
      <c r="AW82" s="76">
        <f t="shared" si="217"/>
        <v>18239.5</v>
      </c>
      <c r="AX82" s="24">
        <f t="shared" si="193"/>
        <v>4219.5</v>
      </c>
      <c r="AY82" s="25">
        <f t="shared" si="194"/>
        <v>0.30096291012838799</v>
      </c>
      <c r="AZ82" s="309">
        <f t="shared" si="195"/>
        <v>18239.5</v>
      </c>
      <c r="BA82" s="601">
        <f t="shared" si="196"/>
        <v>18239.5</v>
      </c>
      <c r="BB82" s="513">
        <v>14020</v>
      </c>
      <c r="BC82" s="575">
        <f t="shared" si="211"/>
        <v>14808</v>
      </c>
      <c r="BD82" s="74">
        <v>18975</v>
      </c>
      <c r="BE82" s="74">
        <v>24000</v>
      </c>
      <c r="BF82" s="75">
        <v>21862.5</v>
      </c>
      <c r="BG82" s="61">
        <v>18975</v>
      </c>
      <c r="BH82" s="60">
        <v>45000</v>
      </c>
      <c r="BI82" s="74">
        <v>21821.25</v>
      </c>
      <c r="BJ82" s="79">
        <v>21862.5</v>
      </c>
      <c r="BK82" s="79">
        <v>16500</v>
      </c>
      <c r="BL82" s="127">
        <v>19800</v>
      </c>
      <c r="BM82" s="128">
        <v>20000</v>
      </c>
      <c r="BN82" s="128">
        <v>15000</v>
      </c>
      <c r="BO82" s="76">
        <f>AVERAGE(BC82,BD82,BE82,BF82,BG82,BI82,BJ82,BK82,BL82,BM82,BN82)</f>
        <v>19418.56818181818</v>
      </c>
      <c r="BP82" s="24">
        <f t="shared" si="197"/>
        <v>5398.5681818181802</v>
      </c>
      <c r="BQ82" s="25">
        <f t="shared" si="198"/>
        <v>0.38506192452340798</v>
      </c>
      <c r="BR82" s="259" t="str">
        <f t="shared" si="199"/>
        <v>REVISAR PRECIO</v>
      </c>
      <c r="BS82" s="607">
        <f t="shared" si="212"/>
        <v>19418.56818181818</v>
      </c>
    </row>
    <row r="83" spans="1:71" ht="33.6" customHeight="1">
      <c r="A83" s="91" t="s">
        <v>18</v>
      </c>
      <c r="B83" s="358" t="s">
        <v>2274</v>
      </c>
      <c r="C83" s="50" t="s">
        <v>138</v>
      </c>
      <c r="D83" s="99" t="s">
        <v>479</v>
      </c>
      <c r="E83" s="391" t="s">
        <v>14</v>
      </c>
      <c r="F83" s="410">
        <v>50529</v>
      </c>
      <c r="G83" s="589">
        <f t="shared" si="204"/>
        <v>53369</v>
      </c>
      <c r="H83" s="10">
        <v>51810</v>
      </c>
      <c r="I83" s="167">
        <v>103620</v>
      </c>
      <c r="J83" s="10">
        <v>50006</v>
      </c>
      <c r="K83" s="76">
        <f t="shared" si="218"/>
        <v>51728.333333333336</v>
      </c>
      <c r="L83" s="24">
        <f t="shared" si="182"/>
        <v>1199.3333333333358</v>
      </c>
      <c r="M83" s="281">
        <f t="shared" si="205"/>
        <v>2.247247153466124E-2</v>
      </c>
      <c r="N83" s="597">
        <f t="shared" si="213"/>
        <v>51728.333333333336</v>
      </c>
      <c r="O83" s="410">
        <v>45925</v>
      </c>
      <c r="P83" s="575">
        <f t="shared" si="214"/>
        <v>48506</v>
      </c>
      <c r="Q83" s="10">
        <v>72000</v>
      </c>
      <c r="R83" s="10">
        <v>78000</v>
      </c>
      <c r="S83" s="268">
        <v>75000</v>
      </c>
      <c r="T83" s="10" t="s">
        <v>1421</v>
      </c>
      <c r="U83" s="76">
        <f>AVERAGE(O83:Q83,R83,S83,T83)</f>
        <v>63886.2</v>
      </c>
      <c r="V83" s="24">
        <f t="shared" si="206"/>
        <v>15380.199999999997</v>
      </c>
      <c r="W83" s="281">
        <f t="shared" ref="W83:W96" si="225">+V83/O83</f>
        <v>0.3348982035928143</v>
      </c>
      <c r="X83" s="462">
        <f t="shared" ref="X83:X91" si="226">U83</f>
        <v>63886.2</v>
      </c>
      <c r="Y83" s="410">
        <v>96368</v>
      </c>
      <c r="Z83" s="575">
        <f t="shared" si="207"/>
        <v>101784</v>
      </c>
      <c r="AA83" s="38">
        <v>125334</v>
      </c>
      <c r="AB83" s="31">
        <v>162934</v>
      </c>
      <c r="AC83" s="98">
        <v>109551.2</v>
      </c>
      <c r="AD83" s="76">
        <f t="shared" si="224"/>
        <v>112223.06666666667</v>
      </c>
      <c r="AE83" s="24">
        <f t="shared" si="209"/>
        <v>10439.066666666666</v>
      </c>
      <c r="AF83" s="25">
        <f t="shared" si="187"/>
        <v>0.10832503182245834</v>
      </c>
      <c r="AG83" s="309">
        <f t="shared" si="188"/>
        <v>112223.06666666667</v>
      </c>
      <c r="AH83" s="601">
        <f t="shared" si="189"/>
        <v>112223.06666666667</v>
      </c>
      <c r="AI83" s="410">
        <v>51277</v>
      </c>
      <c r="AJ83" s="575">
        <f t="shared" si="210"/>
        <v>54159</v>
      </c>
      <c r="AK83" s="45">
        <v>45000</v>
      </c>
      <c r="AL83" s="45">
        <v>59613</v>
      </c>
      <c r="AM83" s="45">
        <v>60000</v>
      </c>
      <c r="AN83" s="76">
        <f t="shared" si="223"/>
        <v>54693</v>
      </c>
      <c r="AO83" s="24">
        <f t="shared" si="190"/>
        <v>3416</v>
      </c>
      <c r="AP83" s="281">
        <f t="shared" si="191"/>
        <v>6.6618561928349945E-2</v>
      </c>
      <c r="AQ83" s="601">
        <f t="shared" si="192"/>
        <v>54693</v>
      </c>
      <c r="AR83" s="513">
        <v>51535</v>
      </c>
      <c r="AS83" s="575">
        <f t="shared" si="216"/>
        <v>54431</v>
      </c>
      <c r="AT83" s="88">
        <v>54400</v>
      </c>
      <c r="AU83" s="116">
        <v>54400</v>
      </c>
      <c r="AV83" s="74">
        <v>56991.000000000007</v>
      </c>
      <c r="AW83" s="76">
        <f t="shared" si="217"/>
        <v>55055.5</v>
      </c>
      <c r="AX83" s="24">
        <f t="shared" ref="AX83:AX91" si="227">AW83-AR83</f>
        <v>3520.5</v>
      </c>
      <c r="AY83" s="25">
        <f t="shared" ref="AY83:AY91" si="228">+AX83/AR83</f>
        <v>6.831279712816532E-2</v>
      </c>
      <c r="AZ83" s="309">
        <f t="shared" ref="AZ83:AZ91" si="229">+IF(AY83&lt;35%,AW83,"REVISAR PRECIO")</f>
        <v>55055.5</v>
      </c>
      <c r="BA83" s="601">
        <f t="shared" ref="BA83:BA91" si="230">AW83</f>
        <v>55055.5</v>
      </c>
      <c r="BB83" s="513">
        <v>51535</v>
      </c>
      <c r="BC83" s="575">
        <f t="shared" si="211"/>
        <v>54431</v>
      </c>
      <c r="BD83" s="74">
        <v>59581.500000000007</v>
      </c>
      <c r="BE83" s="74">
        <v>80000</v>
      </c>
      <c r="BF83" s="75">
        <v>68648.250000000015</v>
      </c>
      <c r="BG83" s="61">
        <v>82800</v>
      </c>
      <c r="BH83" s="60">
        <v>38000</v>
      </c>
      <c r="BI83" s="74">
        <v>95219.999999999985</v>
      </c>
      <c r="BJ83" s="79">
        <v>68648.250000000015</v>
      </c>
      <c r="BK83" s="79">
        <f>47100*1.1</f>
        <v>51810.000000000007</v>
      </c>
      <c r="BL83" s="127">
        <v>62172.000000000007</v>
      </c>
      <c r="BM83" s="128">
        <v>49800</v>
      </c>
      <c r="BN83" s="128">
        <v>50000</v>
      </c>
      <c r="BO83" s="76">
        <f>AVERAGE(BC83,BD83,BE83,BF83,BH83,BJ83,BK83,BL83,BM83,BN83)</f>
        <v>58309.1</v>
      </c>
      <c r="BP83" s="24">
        <f t="shared" si="197"/>
        <v>6774.0999999999985</v>
      </c>
      <c r="BQ83" s="25">
        <f t="shared" si="198"/>
        <v>0.13144658969632286</v>
      </c>
      <c r="BR83" s="259">
        <f t="shared" si="199"/>
        <v>58309.1</v>
      </c>
      <c r="BS83" s="607">
        <f t="shared" si="212"/>
        <v>58309.1</v>
      </c>
    </row>
    <row r="84" spans="1:71" ht="33.6" customHeight="1">
      <c r="A84" s="91" t="s">
        <v>18</v>
      </c>
      <c r="B84" s="358" t="s">
        <v>2275</v>
      </c>
      <c r="C84" s="50" t="s">
        <v>139</v>
      </c>
      <c r="D84" s="99" t="s">
        <v>480</v>
      </c>
      <c r="E84" s="391" t="s">
        <v>14</v>
      </c>
      <c r="F84" s="410">
        <v>52427</v>
      </c>
      <c r="G84" s="589">
        <f t="shared" si="204"/>
        <v>55373</v>
      </c>
      <c r="H84" s="10">
        <v>54955</v>
      </c>
      <c r="I84" s="167">
        <v>109910</v>
      </c>
      <c r="J84" s="10">
        <v>50006</v>
      </c>
      <c r="K84" s="76">
        <f t="shared" si="218"/>
        <v>53444.666666666664</v>
      </c>
      <c r="L84" s="24">
        <f t="shared" si="182"/>
        <v>1017.6666666666642</v>
      </c>
      <c r="M84" s="281">
        <f t="shared" si="205"/>
        <v>1.8378391394121039E-2</v>
      </c>
      <c r="N84" s="597">
        <f t="shared" si="213"/>
        <v>53444.666666666664</v>
      </c>
      <c r="O84" s="410">
        <v>47652</v>
      </c>
      <c r="P84" s="575">
        <f t="shared" si="214"/>
        <v>50330</v>
      </c>
      <c r="Q84" s="10">
        <v>72000</v>
      </c>
      <c r="R84" s="10">
        <v>78000</v>
      </c>
      <c r="S84" s="268">
        <v>75000</v>
      </c>
      <c r="T84" s="10" t="s">
        <v>1421</v>
      </c>
      <c r="U84" s="76">
        <f>AVERAGE(Q84,R84,S84,P84)</f>
        <v>68832.5</v>
      </c>
      <c r="V84" s="24">
        <f t="shared" si="206"/>
        <v>18502.5</v>
      </c>
      <c r="W84" s="281">
        <f t="shared" si="225"/>
        <v>0.38828380760513725</v>
      </c>
      <c r="X84" s="462">
        <f t="shared" si="226"/>
        <v>68832.5</v>
      </c>
      <c r="Y84" s="410">
        <v>100001</v>
      </c>
      <c r="Z84" s="575">
        <f t="shared" si="207"/>
        <v>105621</v>
      </c>
      <c r="AA84" s="38">
        <v>130059</v>
      </c>
      <c r="AB84" s="31">
        <v>169077</v>
      </c>
      <c r="AC84" s="98">
        <v>113681.2</v>
      </c>
      <c r="AD84" s="76">
        <f t="shared" si="224"/>
        <v>116453.73333333334</v>
      </c>
      <c r="AE84" s="24">
        <f t="shared" si="209"/>
        <v>10832.733333333337</v>
      </c>
      <c r="AF84" s="25">
        <f t="shared" si="187"/>
        <v>0.10832625007083266</v>
      </c>
      <c r="AG84" s="309">
        <f t="shared" si="188"/>
        <v>116453.73333333334</v>
      </c>
      <c r="AH84" s="601">
        <f t="shared" si="189"/>
        <v>116453.73333333334</v>
      </c>
      <c r="AI84" s="410">
        <v>53214</v>
      </c>
      <c r="AJ84" s="575">
        <f t="shared" si="210"/>
        <v>56205</v>
      </c>
      <c r="AK84" s="45">
        <v>45000</v>
      </c>
      <c r="AL84" s="45">
        <v>61861</v>
      </c>
      <c r="AM84" s="45">
        <v>60000</v>
      </c>
      <c r="AN84" s="76">
        <f>AVERAGE(AL84,AM84,AJ84)</f>
        <v>59355.333333333336</v>
      </c>
      <c r="AO84" s="24">
        <f t="shared" si="190"/>
        <v>6141.3333333333358</v>
      </c>
      <c r="AP84" s="281">
        <f t="shared" si="191"/>
        <v>0.11540822590546353</v>
      </c>
      <c r="AQ84" s="601">
        <f t="shared" si="192"/>
        <v>59355.333333333336</v>
      </c>
      <c r="AR84" s="513">
        <v>53480</v>
      </c>
      <c r="AS84" s="575">
        <f t="shared" si="216"/>
        <v>56486</v>
      </c>
      <c r="AT84" s="88">
        <v>58000</v>
      </c>
      <c r="AU84" s="116">
        <v>58000</v>
      </c>
      <c r="AV84" s="74">
        <v>60450.39</v>
      </c>
      <c r="AW84" s="76">
        <f t="shared" si="217"/>
        <v>58234.097500000003</v>
      </c>
      <c r="AX84" s="24">
        <f t="shared" si="227"/>
        <v>4754.0975000000035</v>
      </c>
      <c r="AY84" s="25">
        <f t="shared" si="228"/>
        <v>8.8894867240089812E-2</v>
      </c>
      <c r="AZ84" s="309">
        <f t="shared" si="229"/>
        <v>58234.097500000003</v>
      </c>
      <c r="BA84" s="601">
        <f t="shared" si="230"/>
        <v>58234.097500000003</v>
      </c>
      <c r="BB84" s="513">
        <v>53480</v>
      </c>
      <c r="BC84" s="575">
        <f t="shared" si="211"/>
        <v>56486</v>
      </c>
      <c r="BD84" s="74">
        <v>63198.135000000002</v>
      </c>
      <c r="BE84" s="74">
        <v>80000</v>
      </c>
      <c r="BF84" s="75">
        <v>72815.242499999993</v>
      </c>
      <c r="BG84" s="61">
        <v>82800</v>
      </c>
      <c r="BH84" s="60">
        <v>38000</v>
      </c>
      <c r="BI84" s="74">
        <v>95219.999999999985</v>
      </c>
      <c r="BJ84" s="79">
        <v>72815.242499999993</v>
      </c>
      <c r="BK84" s="79">
        <f>49959*1.1</f>
        <v>54954.9</v>
      </c>
      <c r="BL84" s="127">
        <v>65945.88</v>
      </c>
      <c r="BM84" s="128">
        <v>56500</v>
      </c>
      <c r="BN84" s="128">
        <v>55000</v>
      </c>
      <c r="BO84" s="76">
        <f>AVERAGE(BC84,BD84,BE84,BF84,BH84,BJ84,BK84,BL84,BM84,BN84)</f>
        <v>61571.54</v>
      </c>
      <c r="BP84" s="24">
        <f t="shared" si="197"/>
        <v>8091.5400000000009</v>
      </c>
      <c r="BQ84" s="25">
        <f t="shared" si="198"/>
        <v>0.15130029917726254</v>
      </c>
      <c r="BR84" s="259">
        <f t="shared" si="199"/>
        <v>61571.54</v>
      </c>
      <c r="BS84" s="607">
        <f t="shared" si="212"/>
        <v>61571.54</v>
      </c>
    </row>
    <row r="85" spans="1:71" ht="37.35" customHeight="1">
      <c r="A85" s="91" t="s">
        <v>18</v>
      </c>
      <c r="B85" s="358" t="s">
        <v>2276</v>
      </c>
      <c r="C85" s="50" t="s">
        <v>140</v>
      </c>
      <c r="D85" s="99" t="s">
        <v>481</v>
      </c>
      <c r="E85" s="391" t="s">
        <v>10</v>
      </c>
      <c r="F85" s="410">
        <v>33424</v>
      </c>
      <c r="G85" s="589">
        <f t="shared" si="204"/>
        <v>35302</v>
      </c>
      <c r="H85" s="10">
        <v>19195</v>
      </c>
      <c r="I85" s="167">
        <v>57585</v>
      </c>
      <c r="J85" s="10">
        <v>17800</v>
      </c>
      <c r="K85" s="76">
        <f>AVERAGE(H85,G85)</f>
        <v>27248.5</v>
      </c>
      <c r="L85" s="24">
        <f t="shared" si="182"/>
        <v>-6175.5</v>
      </c>
      <c r="M85" s="281">
        <f t="shared" si="205"/>
        <v>-0.17493343153362415</v>
      </c>
      <c r="N85" s="597">
        <f t="shared" si="213"/>
        <v>27248.5</v>
      </c>
      <c r="O85" s="410">
        <v>30375</v>
      </c>
      <c r="P85" s="575">
        <f t="shared" si="214"/>
        <v>32082</v>
      </c>
      <c r="Q85" s="10">
        <v>72000</v>
      </c>
      <c r="R85" s="10">
        <v>78000</v>
      </c>
      <c r="S85" s="268">
        <v>75000</v>
      </c>
      <c r="T85" s="10">
        <v>90000</v>
      </c>
      <c r="U85" s="76">
        <f>AVERAGE(O85:Q85,R85,S85,T85)</f>
        <v>62909.5</v>
      </c>
      <c r="V85" s="24">
        <f t="shared" si="206"/>
        <v>30827.5</v>
      </c>
      <c r="W85" s="281">
        <f t="shared" si="225"/>
        <v>1.0148971193415637</v>
      </c>
      <c r="X85" s="462">
        <f>P85</f>
        <v>32082</v>
      </c>
      <c r="Y85" s="410">
        <v>63754</v>
      </c>
      <c r="Z85" s="575">
        <f t="shared" si="207"/>
        <v>67337</v>
      </c>
      <c r="AA85" s="38">
        <v>82917</v>
      </c>
      <c r="AB85" s="31">
        <v>107792</v>
      </c>
      <c r="AC85" s="98">
        <v>72475.600000000006</v>
      </c>
      <c r="AD85" s="76">
        <f t="shared" si="224"/>
        <v>74243.199999999997</v>
      </c>
      <c r="AE85" s="24">
        <f t="shared" si="209"/>
        <v>6906.1999999999971</v>
      </c>
      <c r="AF85" s="25">
        <f t="shared" si="187"/>
        <v>0.10832575210967151</v>
      </c>
      <c r="AG85" s="309">
        <f t="shared" si="188"/>
        <v>74243.199999999997</v>
      </c>
      <c r="AH85" s="601">
        <f t="shared" si="189"/>
        <v>74243.199999999997</v>
      </c>
      <c r="AI85" s="410">
        <v>33926</v>
      </c>
      <c r="AJ85" s="575">
        <f t="shared" si="210"/>
        <v>35833</v>
      </c>
      <c r="AK85" s="45">
        <v>18000</v>
      </c>
      <c r="AL85" s="45">
        <v>39436</v>
      </c>
      <c r="AM85" s="45">
        <v>35000</v>
      </c>
      <c r="AN85" s="76">
        <f>AVERAGE(AL85,AM85,AJ85,AK85)</f>
        <v>32067.25</v>
      </c>
      <c r="AO85" s="24">
        <f t="shared" si="190"/>
        <v>-1858.75</v>
      </c>
      <c r="AP85" s="281">
        <f t="shared" si="191"/>
        <v>-5.4788362907504572E-2</v>
      </c>
      <c r="AQ85" s="601">
        <f t="shared" si="192"/>
        <v>32067.25</v>
      </c>
      <c r="AR85" s="513">
        <v>34096</v>
      </c>
      <c r="AS85" s="575">
        <f t="shared" si="216"/>
        <v>36012</v>
      </c>
      <c r="AT85" s="88">
        <v>20200</v>
      </c>
      <c r="AU85" s="116">
        <v>23000</v>
      </c>
      <c r="AV85" s="74">
        <v>21114.114999999998</v>
      </c>
      <c r="AW85" s="76">
        <f t="shared" si="217"/>
        <v>25081.528749999998</v>
      </c>
      <c r="AX85" s="24">
        <f t="shared" si="227"/>
        <v>-9014.4712500000023</v>
      </c>
      <c r="AY85" s="25">
        <f t="shared" si="228"/>
        <v>-0.26438500850539659</v>
      </c>
      <c r="AZ85" s="309">
        <f t="shared" si="229"/>
        <v>25081.528749999998</v>
      </c>
      <c r="BA85" s="490">
        <f>AW85</f>
        <v>25081.528749999998</v>
      </c>
      <c r="BB85" s="513">
        <v>34096</v>
      </c>
      <c r="BC85" s="575">
        <f t="shared" si="211"/>
        <v>36012</v>
      </c>
      <c r="BD85" s="74">
        <v>22073.847499999996</v>
      </c>
      <c r="BE85" s="74">
        <v>28000</v>
      </c>
      <c r="BF85" s="75">
        <v>25432.911249999997</v>
      </c>
      <c r="BG85" s="61">
        <v>29209.999999999996</v>
      </c>
      <c r="BH85" s="60">
        <v>30000</v>
      </c>
      <c r="BI85" s="74">
        <v>33591.499999999993</v>
      </c>
      <c r="BJ85" s="79">
        <v>25432.911249999997</v>
      </c>
      <c r="BK85" s="79">
        <f>16691*1.15</f>
        <v>19194.649999999998</v>
      </c>
      <c r="BL85" s="127">
        <v>23033.579999999998</v>
      </c>
      <c r="BM85" s="128">
        <v>20000</v>
      </c>
      <c r="BN85" s="128">
        <v>20000</v>
      </c>
      <c r="BO85" s="76">
        <f>AVERAGE(BC85,BD85,BE85,BF85,BG85,BH85,BI85,BJ85,BL85,BM85,BN85)</f>
        <v>26616.977272727272</v>
      </c>
      <c r="BP85" s="24">
        <f t="shared" si="197"/>
        <v>-7479.0227272727279</v>
      </c>
      <c r="BQ85" s="25">
        <f t="shared" si="198"/>
        <v>-0.21935191011475622</v>
      </c>
      <c r="BR85" s="259">
        <f t="shared" si="199"/>
        <v>26616.977272727272</v>
      </c>
      <c r="BS85" s="607">
        <f>+BO85</f>
        <v>26616.977272727272</v>
      </c>
    </row>
    <row r="86" spans="1:71" ht="37.35" customHeight="1">
      <c r="A86" s="91" t="s">
        <v>18</v>
      </c>
      <c r="B86" s="358" t="s">
        <v>2277</v>
      </c>
      <c r="C86" s="50" t="s">
        <v>141</v>
      </c>
      <c r="D86" s="99" t="s">
        <v>482</v>
      </c>
      <c r="E86" s="391" t="s">
        <v>14</v>
      </c>
      <c r="F86" s="410">
        <v>141647</v>
      </c>
      <c r="G86" s="589">
        <f t="shared" si="204"/>
        <v>149608</v>
      </c>
      <c r="H86" s="10">
        <v>125000</v>
      </c>
      <c r="I86" s="167">
        <v>375000</v>
      </c>
      <c r="J86" s="10">
        <v>118655</v>
      </c>
      <c r="K86" s="76">
        <f>AVERAGE(H86,J86,G86)</f>
        <v>131087.66666666666</v>
      </c>
      <c r="L86" s="24">
        <f t="shared" si="182"/>
        <v>-10559.333333333343</v>
      </c>
      <c r="M86" s="281">
        <f t="shared" si="205"/>
        <v>-7.0580004634333351E-2</v>
      </c>
      <c r="N86" s="597">
        <f t="shared" si="213"/>
        <v>131087.66666666666</v>
      </c>
      <c r="O86" s="410">
        <v>128746</v>
      </c>
      <c r="P86" s="575">
        <f t="shared" si="214"/>
        <v>135982</v>
      </c>
      <c r="Q86" s="10">
        <v>812000</v>
      </c>
      <c r="R86" s="10">
        <v>840000</v>
      </c>
      <c r="S86" s="268">
        <v>820000</v>
      </c>
      <c r="T86" s="10">
        <v>1200000</v>
      </c>
      <c r="U86" s="76">
        <f t="shared" ref="U86:U96" si="231">AVERAGE(Q86,R86,S86,T86)</f>
        <v>918000</v>
      </c>
      <c r="V86" s="24">
        <f t="shared" si="206"/>
        <v>782018</v>
      </c>
      <c r="W86" s="281">
        <f t="shared" si="225"/>
        <v>6.0741149239588026</v>
      </c>
      <c r="X86" s="462">
        <f>+P86</f>
        <v>135982</v>
      </c>
      <c r="Y86" s="410">
        <v>270150</v>
      </c>
      <c r="Z86" s="575">
        <f t="shared" si="207"/>
        <v>285332</v>
      </c>
      <c r="AA86" s="38">
        <v>351351</v>
      </c>
      <c r="AB86" s="31">
        <v>456756</v>
      </c>
      <c r="AC86" s="98">
        <v>307106.8</v>
      </c>
      <c r="AD86" s="76">
        <f t="shared" si="224"/>
        <v>314596.60000000003</v>
      </c>
      <c r="AE86" s="24">
        <f t="shared" si="209"/>
        <v>29264.600000000035</v>
      </c>
      <c r="AF86" s="25">
        <f t="shared" si="187"/>
        <v>0.10832722561539898</v>
      </c>
      <c r="AG86" s="309">
        <f t="shared" si="188"/>
        <v>314596.60000000003</v>
      </c>
      <c r="AH86" s="601">
        <f t="shared" si="189"/>
        <v>314596.60000000003</v>
      </c>
      <c r="AI86" s="410">
        <v>143753</v>
      </c>
      <c r="AJ86" s="575">
        <f t="shared" si="210"/>
        <v>151832</v>
      </c>
      <c r="AK86" s="45">
        <v>120000</v>
      </c>
      <c r="AL86" s="45">
        <v>167123</v>
      </c>
      <c r="AM86" s="45">
        <v>130000</v>
      </c>
      <c r="AN86" s="76">
        <f>AVERAGE(AL86,AM86,AJ86)</f>
        <v>149651.66666666666</v>
      </c>
      <c r="AO86" s="24">
        <f t="shared" si="190"/>
        <v>5898.666666666657</v>
      </c>
      <c r="AP86" s="281">
        <f t="shared" si="191"/>
        <v>4.1033346550448734E-2</v>
      </c>
      <c r="AQ86" s="601">
        <f t="shared" si="192"/>
        <v>149651.66666666666</v>
      </c>
      <c r="AR86" s="513">
        <v>144474</v>
      </c>
      <c r="AS86" s="575">
        <f t="shared" si="216"/>
        <v>152593</v>
      </c>
      <c r="AT86" s="88">
        <v>138000</v>
      </c>
      <c r="AU86" s="116">
        <v>145000</v>
      </c>
      <c r="AV86" s="74">
        <v>137500</v>
      </c>
      <c r="AW86" s="76">
        <f>AVERAGE(AS86,AU86,AV86)</f>
        <v>145031</v>
      </c>
      <c r="AX86" s="24">
        <f t="shared" si="227"/>
        <v>557</v>
      </c>
      <c r="AY86" s="25">
        <f t="shared" si="228"/>
        <v>3.8553649791658014E-3</v>
      </c>
      <c r="AZ86" s="309">
        <f t="shared" si="229"/>
        <v>145031</v>
      </c>
      <c r="BA86" s="601">
        <f t="shared" si="230"/>
        <v>145031</v>
      </c>
      <c r="BB86" s="513">
        <v>144474</v>
      </c>
      <c r="BC86" s="575">
        <f t="shared" si="211"/>
        <v>152593</v>
      </c>
      <c r="BD86" s="74">
        <v>143750</v>
      </c>
      <c r="BE86" s="74">
        <v>160000</v>
      </c>
      <c r="BF86" s="75">
        <v>165625</v>
      </c>
      <c r="BG86" s="61">
        <v>143750</v>
      </c>
      <c r="BH86" s="60">
        <v>520000</v>
      </c>
      <c r="BI86" s="74">
        <v>165312.5</v>
      </c>
      <c r="BJ86" s="79">
        <v>165625</v>
      </c>
      <c r="BK86" s="79">
        <v>125000</v>
      </c>
      <c r="BL86" s="127">
        <v>150000</v>
      </c>
      <c r="BM86" s="128">
        <v>148700</v>
      </c>
      <c r="BN86" s="128">
        <v>130000</v>
      </c>
      <c r="BO86" s="76">
        <f>AVERAGE(BC86,BD86,BE86,BF86,BG86,BI86,BJ86,BK86,BL86,BM86,BN86)</f>
        <v>150032.31818181818</v>
      </c>
      <c r="BP86" s="24">
        <f t="shared" si="197"/>
        <v>5558.3181818181765</v>
      </c>
      <c r="BQ86" s="25">
        <f t="shared" si="198"/>
        <v>3.8472792210488924E-2</v>
      </c>
      <c r="BR86" s="259">
        <f t="shared" si="199"/>
        <v>150032.31818181818</v>
      </c>
      <c r="BS86" s="607">
        <f t="shared" si="212"/>
        <v>150032.31818181818</v>
      </c>
    </row>
    <row r="87" spans="1:71" ht="37.35" customHeight="1">
      <c r="A87" s="91" t="s">
        <v>18</v>
      </c>
      <c r="B87" s="358" t="s">
        <v>2278</v>
      </c>
      <c r="C87" s="50" t="s">
        <v>142</v>
      </c>
      <c r="D87" s="99" t="s">
        <v>483</v>
      </c>
      <c r="E87" s="391" t="s">
        <v>10</v>
      </c>
      <c r="F87" s="410">
        <v>33604</v>
      </c>
      <c r="G87" s="589">
        <f t="shared" si="204"/>
        <v>35493</v>
      </c>
      <c r="H87" s="10">
        <v>9358</v>
      </c>
      <c r="I87" s="167">
        <v>28074</v>
      </c>
      <c r="J87" s="10">
        <v>22560</v>
      </c>
      <c r="K87" s="76">
        <f>AVERAGE(J87,G87,I87)</f>
        <v>28709</v>
      </c>
      <c r="L87" s="24">
        <f t="shared" si="182"/>
        <v>-4895</v>
      </c>
      <c r="M87" s="281">
        <f t="shared" si="205"/>
        <v>-0.13791451835573212</v>
      </c>
      <c r="N87" s="597">
        <f>AVERAGE(+K87,G87)</f>
        <v>32101</v>
      </c>
      <c r="O87" s="410">
        <v>30547</v>
      </c>
      <c r="P87" s="575">
        <f t="shared" si="214"/>
        <v>32264</v>
      </c>
      <c r="Q87" s="10">
        <v>82000</v>
      </c>
      <c r="R87" s="10">
        <v>88000</v>
      </c>
      <c r="S87" s="268">
        <v>85000</v>
      </c>
      <c r="T87" s="10">
        <v>90000</v>
      </c>
      <c r="U87" s="76">
        <f>AVERAGE(P87:Q87,R87,S87,T87)</f>
        <v>75452.800000000003</v>
      </c>
      <c r="V87" s="24">
        <f t="shared" si="206"/>
        <v>43188.800000000003</v>
      </c>
      <c r="W87" s="281">
        <f t="shared" si="225"/>
        <v>1.4138475136674633</v>
      </c>
      <c r="X87" s="462">
        <f>P87</f>
        <v>32264</v>
      </c>
      <c r="Y87" s="410">
        <v>64097</v>
      </c>
      <c r="Z87" s="575">
        <f t="shared" si="207"/>
        <v>67699</v>
      </c>
      <c r="AA87" s="38">
        <v>83363</v>
      </c>
      <c r="AB87" s="33">
        <v>108371</v>
      </c>
      <c r="AC87" s="98">
        <v>72865</v>
      </c>
      <c r="AD87" s="76">
        <f>AVERAGE(AA87,AC87,Z87)</f>
        <v>74642.333333333328</v>
      </c>
      <c r="AE87" s="24">
        <f t="shared" si="209"/>
        <v>6943.3333333333285</v>
      </c>
      <c r="AF87" s="25">
        <f t="shared" si="187"/>
        <v>0.10832540264494951</v>
      </c>
      <c r="AG87" s="309">
        <f t="shared" si="188"/>
        <v>74642.333333333328</v>
      </c>
      <c r="AH87" s="601">
        <f>Z87</f>
        <v>67699</v>
      </c>
      <c r="AI87" s="410">
        <v>34106</v>
      </c>
      <c r="AJ87" s="575">
        <f t="shared" si="210"/>
        <v>36023</v>
      </c>
      <c r="AK87" s="45"/>
      <c r="AL87" s="45">
        <v>39651</v>
      </c>
      <c r="AM87" s="45">
        <v>30000</v>
      </c>
      <c r="AN87" s="76">
        <f t="shared" si="223"/>
        <v>35224.666666666664</v>
      </c>
      <c r="AO87" s="24">
        <f t="shared" si="190"/>
        <v>1118.6666666666642</v>
      </c>
      <c r="AP87" s="281">
        <f t="shared" si="191"/>
        <v>3.2799702887077474E-2</v>
      </c>
      <c r="AQ87" s="601">
        <f t="shared" si="192"/>
        <v>35224.666666666664</v>
      </c>
      <c r="AR87" s="513">
        <v>34277</v>
      </c>
      <c r="AS87" s="575">
        <f t="shared" si="216"/>
        <v>36203</v>
      </c>
      <c r="AT87" s="88">
        <v>11000</v>
      </c>
      <c r="AU87" s="116">
        <v>11000</v>
      </c>
      <c r="AV87" s="74">
        <v>10293.36</v>
      </c>
      <c r="AW87" s="76">
        <f t="shared" si="217"/>
        <v>17124.09</v>
      </c>
      <c r="AX87" s="24">
        <f t="shared" si="227"/>
        <v>-17152.91</v>
      </c>
      <c r="AY87" s="25">
        <f t="shared" si="228"/>
        <v>-0.50042039851795661</v>
      </c>
      <c r="AZ87" s="309">
        <f t="shared" si="229"/>
        <v>17124.09</v>
      </c>
      <c r="BA87" s="490">
        <f>AS87</f>
        <v>36203</v>
      </c>
      <c r="BB87" s="513">
        <v>34277</v>
      </c>
      <c r="BC87" s="575">
        <f t="shared" si="211"/>
        <v>36203</v>
      </c>
      <c r="BD87" s="74">
        <v>10761.24</v>
      </c>
      <c r="BE87" s="74">
        <v>17000</v>
      </c>
      <c r="BF87" s="75">
        <v>12398.82</v>
      </c>
      <c r="BG87" s="61">
        <v>39675</v>
      </c>
      <c r="BH87" s="60">
        <v>35000</v>
      </c>
      <c r="BI87" s="74">
        <v>45626.25</v>
      </c>
      <c r="BJ87" s="79">
        <v>12398.82</v>
      </c>
      <c r="BK87" s="79">
        <f>7798*1.2</f>
        <v>9357.6</v>
      </c>
      <c r="BL87" s="127">
        <v>11229.12</v>
      </c>
      <c r="BM87" s="128">
        <v>8800</v>
      </c>
      <c r="BN87" s="128">
        <v>10000</v>
      </c>
      <c r="BO87" s="76">
        <f>AVERAGE(BC87,BE87,BF87,BG87,BH87,BI87,BJ87,BK87,BL87)</f>
        <v>24320.956666666669</v>
      </c>
      <c r="BP87" s="24">
        <f t="shared" si="197"/>
        <v>-9956.0433333333312</v>
      </c>
      <c r="BQ87" s="25">
        <f t="shared" si="198"/>
        <v>-0.29045842207116523</v>
      </c>
      <c r="BR87" s="259">
        <f t="shared" si="199"/>
        <v>24320.956666666669</v>
      </c>
      <c r="BS87" s="607">
        <f>AVERAGE(BC87,BO87)</f>
        <v>30261.978333333333</v>
      </c>
    </row>
    <row r="88" spans="1:71" ht="37.35" customHeight="1">
      <c r="A88" s="91" t="s">
        <v>18</v>
      </c>
      <c r="B88" s="358" t="s">
        <v>2279</v>
      </c>
      <c r="C88" s="50" t="s">
        <v>143</v>
      </c>
      <c r="D88" s="99" t="s">
        <v>484</v>
      </c>
      <c r="E88" s="391" t="s">
        <v>10</v>
      </c>
      <c r="F88" s="410">
        <v>18150</v>
      </c>
      <c r="G88" s="589">
        <f t="shared" si="204"/>
        <v>19170</v>
      </c>
      <c r="H88" s="10">
        <v>18157</v>
      </c>
      <c r="I88" s="167">
        <v>54471</v>
      </c>
      <c r="J88" s="10">
        <v>16500</v>
      </c>
      <c r="K88" s="76">
        <f>AVERAGE(H88,J88,G88)</f>
        <v>17942.333333333332</v>
      </c>
      <c r="L88" s="24">
        <f t="shared" si="182"/>
        <v>-207.66666666666788</v>
      </c>
      <c r="M88" s="281">
        <f t="shared" si="205"/>
        <v>-1.083289862632592E-2</v>
      </c>
      <c r="N88" s="597">
        <f t="shared" si="213"/>
        <v>17942.333333333332</v>
      </c>
      <c r="O88" s="410">
        <v>16337</v>
      </c>
      <c r="P88" s="575">
        <f t="shared" si="214"/>
        <v>17255</v>
      </c>
      <c r="Q88" s="10">
        <v>63000</v>
      </c>
      <c r="R88" s="10">
        <v>68000</v>
      </c>
      <c r="S88" s="268">
        <v>65000</v>
      </c>
      <c r="T88" s="10">
        <v>75000</v>
      </c>
      <c r="U88" s="76">
        <f>AVERAGE(P88:Q88,R88,S88,T88)</f>
        <v>57651</v>
      </c>
      <c r="V88" s="24">
        <f t="shared" si="206"/>
        <v>40396</v>
      </c>
      <c r="W88" s="281">
        <f t="shared" si="225"/>
        <v>2.4726694007467711</v>
      </c>
      <c r="X88" s="462">
        <f t="shared" si="226"/>
        <v>57651</v>
      </c>
      <c r="Y88" s="410">
        <v>33943</v>
      </c>
      <c r="Z88" s="575">
        <f t="shared" si="207"/>
        <v>35851</v>
      </c>
      <c r="AA88" s="38">
        <v>44145</v>
      </c>
      <c r="AB88" s="31">
        <v>44145</v>
      </c>
      <c r="AC88" s="98">
        <v>38586</v>
      </c>
      <c r="AD88" s="76">
        <f>AVERAGE(AA88,AC88,Z88,AB88)</f>
        <v>40681.75</v>
      </c>
      <c r="AE88" s="24">
        <f t="shared" si="209"/>
        <v>4830.75</v>
      </c>
      <c r="AF88" s="25">
        <f t="shared" si="187"/>
        <v>0.14231947676987891</v>
      </c>
      <c r="AG88" s="309">
        <f t="shared" si="188"/>
        <v>40681.75</v>
      </c>
      <c r="AH88" s="601">
        <f t="shared" si="189"/>
        <v>40681.75</v>
      </c>
      <c r="AI88" s="410">
        <v>18150</v>
      </c>
      <c r="AJ88" s="575">
        <f t="shared" si="210"/>
        <v>19170</v>
      </c>
      <c r="AK88" s="45">
        <v>15000</v>
      </c>
      <c r="AL88" s="45">
        <v>21418</v>
      </c>
      <c r="AM88" s="45">
        <v>30000</v>
      </c>
      <c r="AN88" s="76">
        <f t="shared" si="223"/>
        <v>21397</v>
      </c>
      <c r="AO88" s="24">
        <f t="shared" si="190"/>
        <v>3247</v>
      </c>
      <c r="AP88" s="281">
        <f t="shared" si="191"/>
        <v>0.17889807162534435</v>
      </c>
      <c r="AQ88" s="601">
        <f t="shared" si="192"/>
        <v>21397</v>
      </c>
      <c r="AR88" s="513">
        <v>18150</v>
      </c>
      <c r="AS88" s="575">
        <f t="shared" si="216"/>
        <v>19170</v>
      </c>
      <c r="AT88" s="88">
        <v>20000</v>
      </c>
      <c r="AU88" s="116">
        <v>20000</v>
      </c>
      <c r="AV88" s="74">
        <v>19973.084999999999</v>
      </c>
      <c r="AW88" s="76">
        <f t="shared" si="217"/>
        <v>19785.771249999998</v>
      </c>
      <c r="AX88" s="24">
        <f t="shared" si="227"/>
        <v>1635.771249999998</v>
      </c>
      <c r="AY88" s="25">
        <f t="shared" si="228"/>
        <v>9.0125137741046718E-2</v>
      </c>
      <c r="AZ88" s="309">
        <f t="shared" si="229"/>
        <v>19785.771249999998</v>
      </c>
      <c r="BA88" s="601">
        <f t="shared" si="230"/>
        <v>19785.771249999998</v>
      </c>
      <c r="BB88" s="513">
        <v>18150</v>
      </c>
      <c r="BC88" s="575">
        <f t="shared" si="211"/>
        <v>19170</v>
      </c>
      <c r="BD88" s="74">
        <v>20880.952499999999</v>
      </c>
      <c r="BE88" s="74">
        <v>24000</v>
      </c>
      <c r="BF88" s="75">
        <v>24058.488749999997</v>
      </c>
      <c r="BG88" s="61">
        <v>27024.999999999996</v>
      </c>
      <c r="BH88" s="60">
        <v>30000</v>
      </c>
      <c r="BI88" s="74">
        <v>31078.749999999993</v>
      </c>
      <c r="BJ88" s="79">
        <v>24058.488749999997</v>
      </c>
      <c r="BK88" s="79">
        <f>15789*1.15</f>
        <v>18157.349999999999</v>
      </c>
      <c r="BL88" s="127">
        <v>21788.82</v>
      </c>
      <c r="BM88" s="128">
        <v>18900</v>
      </c>
      <c r="BN88" s="128">
        <v>20000</v>
      </c>
      <c r="BO88" s="76">
        <f>AVERAGE(BC88,BD88,BE88,BF88,BG88,BH88,BJ88,BK88,BL88,BM88,BN88)</f>
        <v>22549.00909090909</v>
      </c>
      <c r="BP88" s="24">
        <f t="shared" si="197"/>
        <v>4399.0090909090904</v>
      </c>
      <c r="BQ88" s="25">
        <f t="shared" si="198"/>
        <v>0.24236964688204354</v>
      </c>
      <c r="BR88" s="259">
        <f t="shared" si="199"/>
        <v>22549.00909090909</v>
      </c>
      <c r="BS88" s="607">
        <f t="shared" si="212"/>
        <v>22549.00909090909</v>
      </c>
    </row>
    <row r="89" spans="1:71" ht="37.35" customHeight="1">
      <c r="A89" s="91" t="s">
        <v>18</v>
      </c>
      <c r="B89" s="358" t="s">
        <v>2280</v>
      </c>
      <c r="C89" s="50" t="s">
        <v>144</v>
      </c>
      <c r="D89" s="99" t="s">
        <v>485</v>
      </c>
      <c r="E89" s="391" t="s">
        <v>10</v>
      </c>
      <c r="F89" s="410">
        <v>42603</v>
      </c>
      <c r="G89" s="589">
        <f t="shared" si="204"/>
        <v>44997</v>
      </c>
      <c r="H89" s="10">
        <v>26500</v>
      </c>
      <c r="I89" s="167">
        <v>79500</v>
      </c>
      <c r="J89" s="10">
        <v>22560</v>
      </c>
      <c r="K89" s="76">
        <f>AVERAGE(H89,J89,G89)</f>
        <v>31352.333333333332</v>
      </c>
      <c r="L89" s="24">
        <f t="shared" si="182"/>
        <v>-11250.666666666668</v>
      </c>
      <c r="M89" s="281">
        <f t="shared" si="205"/>
        <v>-0.25003148358038685</v>
      </c>
      <c r="N89" s="597">
        <f t="shared" si="213"/>
        <v>31352.333333333332</v>
      </c>
      <c r="O89" s="410">
        <v>38720</v>
      </c>
      <c r="P89" s="575">
        <f t="shared" si="214"/>
        <v>40896</v>
      </c>
      <c r="Q89" s="10">
        <v>90000</v>
      </c>
      <c r="R89" s="10">
        <v>95000</v>
      </c>
      <c r="S89" s="268">
        <v>95000</v>
      </c>
      <c r="T89" s="10">
        <v>130000</v>
      </c>
      <c r="U89" s="76">
        <f>AVERAGE(P89:Q89,R89,S89,T89)</f>
        <v>90179.199999999997</v>
      </c>
      <c r="V89" s="24">
        <f t="shared" si="206"/>
        <v>49283.199999999997</v>
      </c>
      <c r="W89" s="281">
        <f t="shared" si="225"/>
        <v>1.2728099173553717</v>
      </c>
      <c r="X89" s="462">
        <f t="shared" si="226"/>
        <v>90179.199999999997</v>
      </c>
      <c r="Y89" s="410">
        <v>81255</v>
      </c>
      <c r="Z89" s="575">
        <f t="shared" si="207"/>
        <v>85822</v>
      </c>
      <c r="AA89" s="38">
        <v>105678</v>
      </c>
      <c r="AB89" s="31">
        <v>137381</v>
      </c>
      <c r="AC89" s="98">
        <v>92370.4</v>
      </c>
      <c r="AD89" s="76">
        <f t="shared" si="224"/>
        <v>94623.466666666674</v>
      </c>
      <c r="AE89" s="24">
        <f t="shared" si="209"/>
        <v>8801.4666666666744</v>
      </c>
      <c r="AF89" s="25">
        <f t="shared" si="187"/>
        <v>0.10831907780034059</v>
      </c>
      <c r="AG89" s="309">
        <f t="shared" si="188"/>
        <v>94623.466666666674</v>
      </c>
      <c r="AH89" s="601">
        <f t="shared" si="189"/>
        <v>94623.466666666674</v>
      </c>
      <c r="AI89" s="410">
        <v>43238</v>
      </c>
      <c r="AJ89" s="575">
        <f t="shared" si="210"/>
        <v>45668</v>
      </c>
      <c r="AK89" s="45">
        <v>23000</v>
      </c>
      <c r="AL89" s="45">
        <v>50268</v>
      </c>
      <c r="AM89" s="45">
        <v>30000</v>
      </c>
      <c r="AN89" s="76">
        <f t="shared" si="223"/>
        <v>37234</v>
      </c>
      <c r="AO89" s="24">
        <f t="shared" si="190"/>
        <v>-6004</v>
      </c>
      <c r="AP89" s="281">
        <f t="shared" si="191"/>
        <v>-0.1388593366945742</v>
      </c>
      <c r="AQ89" s="601">
        <f>AJ89</f>
        <v>45668</v>
      </c>
      <c r="AR89" s="513">
        <v>43457</v>
      </c>
      <c r="AS89" s="575">
        <f t="shared" si="216"/>
        <v>45899</v>
      </c>
      <c r="AT89" s="88">
        <v>30000</v>
      </c>
      <c r="AU89" s="116">
        <v>30000</v>
      </c>
      <c r="AV89" s="74">
        <v>29150</v>
      </c>
      <c r="AW89" s="76">
        <f t="shared" si="217"/>
        <v>33762.25</v>
      </c>
      <c r="AX89" s="24">
        <f t="shared" si="227"/>
        <v>-9694.75</v>
      </c>
      <c r="AY89" s="25">
        <f t="shared" si="228"/>
        <v>-0.22308834019835699</v>
      </c>
      <c r="AZ89" s="309">
        <f t="shared" si="229"/>
        <v>33762.25</v>
      </c>
      <c r="BA89" s="601">
        <f t="shared" si="230"/>
        <v>33762.25</v>
      </c>
      <c r="BB89" s="513">
        <v>43457</v>
      </c>
      <c r="BC89" s="575">
        <f t="shared" si="211"/>
        <v>45899</v>
      </c>
      <c r="BD89" s="74">
        <v>30475</v>
      </c>
      <c r="BE89" s="74">
        <v>35000</v>
      </c>
      <c r="BF89" s="75">
        <v>35112.5</v>
      </c>
      <c r="BG89" s="61">
        <v>40940</v>
      </c>
      <c r="BH89" s="60">
        <v>38000</v>
      </c>
      <c r="BI89" s="74">
        <v>47081</v>
      </c>
      <c r="BJ89" s="79">
        <v>35112.5</v>
      </c>
      <c r="BK89" s="79">
        <v>26500</v>
      </c>
      <c r="BL89" s="127">
        <v>31800</v>
      </c>
      <c r="BM89" s="128">
        <v>28700</v>
      </c>
      <c r="BN89" s="128">
        <v>25000</v>
      </c>
      <c r="BO89" s="76">
        <f t="shared" si="222"/>
        <v>34968.333333333336</v>
      </c>
      <c r="BP89" s="24">
        <f t="shared" si="197"/>
        <v>-8488.6666666666642</v>
      </c>
      <c r="BQ89" s="25">
        <f t="shared" si="198"/>
        <v>-0.19533485207599843</v>
      </c>
      <c r="BR89" s="259">
        <f t="shared" si="199"/>
        <v>34968.333333333336</v>
      </c>
      <c r="BS89" s="607">
        <f>+BO89</f>
        <v>34968.333333333336</v>
      </c>
    </row>
    <row r="90" spans="1:71" ht="37.35" customHeight="1">
      <c r="A90" s="91" t="s">
        <v>18</v>
      </c>
      <c r="B90" s="358" t="s">
        <v>2281</v>
      </c>
      <c r="C90" s="50" t="s">
        <v>145</v>
      </c>
      <c r="D90" s="99" t="s">
        <v>486</v>
      </c>
      <c r="E90" s="391" t="s">
        <v>14</v>
      </c>
      <c r="F90" s="410">
        <v>74944</v>
      </c>
      <c r="G90" s="589">
        <f t="shared" si="204"/>
        <v>79156</v>
      </c>
      <c r="H90" s="10">
        <v>64300</v>
      </c>
      <c r="I90" s="167">
        <v>192900</v>
      </c>
      <c r="J90" s="10">
        <v>52680</v>
      </c>
      <c r="K90" s="76">
        <f>AVERAGE(H90,G90)</f>
        <v>71728</v>
      </c>
      <c r="L90" s="24">
        <f t="shared" si="182"/>
        <v>-3216</v>
      </c>
      <c r="M90" s="281">
        <f t="shared" si="205"/>
        <v>-4.0628632068320784E-2</v>
      </c>
      <c r="N90" s="597">
        <f t="shared" si="213"/>
        <v>71728</v>
      </c>
      <c r="O90" s="410">
        <v>68117</v>
      </c>
      <c r="P90" s="575">
        <f t="shared" si="214"/>
        <v>71945</v>
      </c>
      <c r="Q90" s="10">
        <v>123000</v>
      </c>
      <c r="R90" s="10">
        <v>128000</v>
      </c>
      <c r="S90" s="268">
        <v>125000</v>
      </c>
      <c r="T90" s="10">
        <v>130000</v>
      </c>
      <c r="U90" s="76">
        <f>AVERAGE(P90:Q90,R90,S90,T90)</f>
        <v>115589</v>
      </c>
      <c r="V90" s="24">
        <f t="shared" si="206"/>
        <v>43644</v>
      </c>
      <c r="W90" s="281">
        <f t="shared" si="225"/>
        <v>0.64072111220400196</v>
      </c>
      <c r="X90" s="462">
        <f t="shared" si="226"/>
        <v>115589</v>
      </c>
      <c r="Y90" s="410">
        <v>142933</v>
      </c>
      <c r="Z90" s="575">
        <f t="shared" si="207"/>
        <v>150966</v>
      </c>
      <c r="AA90" s="38">
        <v>185895</v>
      </c>
      <c r="AB90" s="33">
        <v>241664</v>
      </c>
      <c r="AC90" s="98">
        <v>162486</v>
      </c>
      <c r="AD90" s="76">
        <f t="shared" si="224"/>
        <v>166449</v>
      </c>
      <c r="AE90" s="24">
        <f t="shared" si="209"/>
        <v>15483</v>
      </c>
      <c r="AF90" s="25">
        <f t="shared" si="187"/>
        <v>0.10832348023199681</v>
      </c>
      <c r="AG90" s="309">
        <f t="shared" si="188"/>
        <v>166449</v>
      </c>
      <c r="AH90" s="601">
        <f t="shared" si="189"/>
        <v>166449</v>
      </c>
      <c r="AI90" s="410">
        <v>76062</v>
      </c>
      <c r="AJ90" s="575">
        <f t="shared" si="210"/>
        <v>80337</v>
      </c>
      <c r="AK90" s="45">
        <v>55000</v>
      </c>
      <c r="AL90" s="45">
        <v>88422</v>
      </c>
      <c r="AM90" s="45">
        <v>75000</v>
      </c>
      <c r="AN90" s="76">
        <f>AVERAGE(AL90,AM90,AJ90)</f>
        <v>81253</v>
      </c>
      <c r="AO90" s="24">
        <f t="shared" si="190"/>
        <v>5191</v>
      </c>
      <c r="AP90" s="281">
        <f t="shared" si="191"/>
        <v>6.8246956430280559E-2</v>
      </c>
      <c r="AQ90" s="601">
        <f t="shared" si="192"/>
        <v>81253</v>
      </c>
      <c r="AR90" s="513">
        <v>76442</v>
      </c>
      <c r="AS90" s="575">
        <f t="shared" si="216"/>
        <v>80738</v>
      </c>
      <c r="AT90" s="88">
        <v>75000</v>
      </c>
      <c r="AU90" s="116">
        <v>75000</v>
      </c>
      <c r="AV90" s="74">
        <v>70730</v>
      </c>
      <c r="AW90" s="76">
        <f t="shared" si="217"/>
        <v>75367</v>
      </c>
      <c r="AX90" s="24">
        <f t="shared" si="227"/>
        <v>-1075</v>
      </c>
      <c r="AY90" s="25">
        <f t="shared" si="228"/>
        <v>-1.4062949687344653E-2</v>
      </c>
      <c r="AZ90" s="309">
        <f t="shared" si="229"/>
        <v>75367</v>
      </c>
      <c r="BA90" s="601">
        <f t="shared" si="230"/>
        <v>75367</v>
      </c>
      <c r="BB90" s="513">
        <v>76442</v>
      </c>
      <c r="BC90" s="575">
        <f t="shared" si="211"/>
        <v>80738</v>
      </c>
      <c r="BD90" s="74">
        <v>73945</v>
      </c>
      <c r="BE90" s="74">
        <v>65000</v>
      </c>
      <c r="BF90" s="75">
        <v>85197.5</v>
      </c>
      <c r="BG90" s="61">
        <v>59799.999999999993</v>
      </c>
      <c r="BH90" s="60">
        <v>48000</v>
      </c>
      <c r="BI90" s="74">
        <v>68769.999999999985</v>
      </c>
      <c r="BJ90" s="79">
        <v>85197.5</v>
      </c>
      <c r="BK90" s="79">
        <v>64300</v>
      </c>
      <c r="BL90" s="127">
        <v>77160</v>
      </c>
      <c r="BM90" s="128">
        <v>65000</v>
      </c>
      <c r="BN90" s="128">
        <v>65000</v>
      </c>
      <c r="BO90" s="76">
        <f t="shared" si="222"/>
        <v>69842.333333333328</v>
      </c>
      <c r="BP90" s="24">
        <f t="shared" si="197"/>
        <v>-6599.6666666666715</v>
      </c>
      <c r="BQ90" s="25">
        <f t="shared" si="198"/>
        <v>-8.6335609568910704E-2</v>
      </c>
      <c r="BR90" s="259">
        <f t="shared" si="199"/>
        <v>69842.333333333328</v>
      </c>
      <c r="BS90" s="607">
        <f>+BO90</f>
        <v>69842.333333333328</v>
      </c>
    </row>
    <row r="91" spans="1:71" ht="37.35" customHeight="1">
      <c r="A91" s="91" t="s">
        <v>18</v>
      </c>
      <c r="B91" s="358" t="s">
        <v>2282</v>
      </c>
      <c r="C91" s="50" t="s">
        <v>146</v>
      </c>
      <c r="D91" s="99" t="s">
        <v>487</v>
      </c>
      <c r="E91" s="391" t="s">
        <v>10</v>
      </c>
      <c r="F91" s="410">
        <v>26096</v>
      </c>
      <c r="G91" s="589">
        <f t="shared" si="204"/>
        <v>27563</v>
      </c>
      <c r="H91" s="10">
        <v>25936</v>
      </c>
      <c r="I91" s="167">
        <v>77808</v>
      </c>
      <c r="J91" s="10">
        <v>26355</v>
      </c>
      <c r="K91" s="76">
        <f>AVERAGE(H91,J91,G91)</f>
        <v>26618</v>
      </c>
      <c r="L91" s="24">
        <f t="shared" si="182"/>
        <v>522</v>
      </c>
      <c r="M91" s="281">
        <f t="shared" si="205"/>
        <v>1.8938431955882885E-2</v>
      </c>
      <c r="N91" s="597">
        <f t="shared" si="213"/>
        <v>26618</v>
      </c>
      <c r="O91" s="410">
        <v>234823</v>
      </c>
      <c r="P91" s="575">
        <f t="shared" si="214"/>
        <v>248020</v>
      </c>
      <c r="Q91" s="10">
        <v>38000</v>
      </c>
      <c r="R91" s="10">
        <v>45000</v>
      </c>
      <c r="S91" s="268">
        <v>42000</v>
      </c>
      <c r="T91" s="10">
        <v>130000</v>
      </c>
      <c r="U91" s="76">
        <f>AVERAGE(Q91,R91,S91)</f>
        <v>41666.666666666664</v>
      </c>
      <c r="V91" s="24">
        <f t="shared" si="206"/>
        <v>-206353.33333333334</v>
      </c>
      <c r="W91" s="281">
        <f t="shared" si="225"/>
        <v>-0.87876116621171407</v>
      </c>
      <c r="X91" s="462">
        <f t="shared" si="226"/>
        <v>41666.666666666664</v>
      </c>
      <c r="Y91" s="410">
        <v>48786</v>
      </c>
      <c r="Z91" s="575">
        <f t="shared" si="207"/>
        <v>51528</v>
      </c>
      <c r="AA91" s="38">
        <v>63450</v>
      </c>
      <c r="AB91" s="33">
        <v>82485</v>
      </c>
      <c r="AC91" s="98">
        <v>55460</v>
      </c>
      <c r="AD91" s="76">
        <f t="shared" si="224"/>
        <v>56812.666666666664</v>
      </c>
      <c r="AE91" s="24">
        <f t="shared" si="209"/>
        <v>5284.6666666666642</v>
      </c>
      <c r="AF91" s="25">
        <f t="shared" si="187"/>
        <v>0.10832342611951511</v>
      </c>
      <c r="AG91" s="309">
        <f t="shared" si="188"/>
        <v>56812.666666666664</v>
      </c>
      <c r="AH91" s="601">
        <f t="shared" si="189"/>
        <v>56812.666666666664</v>
      </c>
      <c r="AI91" s="410">
        <v>26094</v>
      </c>
      <c r="AJ91" s="575">
        <f t="shared" si="210"/>
        <v>27560</v>
      </c>
      <c r="AK91" s="45">
        <v>22000</v>
      </c>
      <c r="AL91" s="45">
        <v>30784</v>
      </c>
      <c r="AM91" s="45">
        <v>35000</v>
      </c>
      <c r="AN91" s="76">
        <f t="shared" si="223"/>
        <v>28836</v>
      </c>
      <c r="AO91" s="24">
        <f t="shared" si="190"/>
        <v>2742</v>
      </c>
      <c r="AP91" s="281">
        <f t="shared" si="191"/>
        <v>0.10508162796045067</v>
      </c>
      <c r="AQ91" s="601">
        <f t="shared" si="192"/>
        <v>28836</v>
      </c>
      <c r="AR91" s="513">
        <v>26094</v>
      </c>
      <c r="AS91" s="575">
        <f t="shared" si="216"/>
        <v>27560</v>
      </c>
      <c r="AT91" s="88">
        <v>30000</v>
      </c>
      <c r="AU91" s="116">
        <v>30000</v>
      </c>
      <c r="AV91" s="74">
        <v>28529.544999999998</v>
      </c>
      <c r="AW91" s="76">
        <f t="shared" si="217"/>
        <v>29022.38625</v>
      </c>
      <c r="AX91" s="24">
        <f t="shared" si="227"/>
        <v>2928.3862499999996</v>
      </c>
      <c r="AY91" s="25">
        <f t="shared" si="228"/>
        <v>0.11222450563347894</v>
      </c>
      <c r="AZ91" s="309">
        <f t="shared" si="229"/>
        <v>29022.38625</v>
      </c>
      <c r="BA91" s="601">
        <f t="shared" si="230"/>
        <v>29022.38625</v>
      </c>
      <c r="BB91" s="513">
        <v>26094</v>
      </c>
      <c r="BC91" s="575">
        <f t="shared" si="211"/>
        <v>27560</v>
      </c>
      <c r="BD91" s="74">
        <v>29826.342499999995</v>
      </c>
      <c r="BE91" s="74">
        <v>35000</v>
      </c>
      <c r="BF91" s="75">
        <v>34365.133749999994</v>
      </c>
      <c r="BG91" s="61">
        <v>29826.342499999995</v>
      </c>
      <c r="BH91" s="60">
        <v>42000</v>
      </c>
      <c r="BI91" s="74">
        <v>34300.293874999988</v>
      </c>
      <c r="BJ91" s="79">
        <v>34365.133749999994</v>
      </c>
      <c r="BK91" s="79">
        <f>22553*1.15</f>
        <v>25935.949999999997</v>
      </c>
      <c r="BL91" s="127">
        <v>31123.139999999996</v>
      </c>
      <c r="BM91" s="128">
        <v>29800</v>
      </c>
      <c r="BN91" s="128">
        <v>27000</v>
      </c>
      <c r="BO91" s="76">
        <f>AVERAGE(BC91,BD91,BE91,BG91,BI91,BJ91,BK91,BL91,BM91,BN91)</f>
        <v>30473.720262499992</v>
      </c>
      <c r="BP91" s="24">
        <f t="shared" si="197"/>
        <v>4379.7202624999918</v>
      </c>
      <c r="BQ91" s="25">
        <f t="shared" si="198"/>
        <v>0.16784395886027409</v>
      </c>
      <c r="BR91" s="259">
        <f t="shared" si="199"/>
        <v>30473.720262499992</v>
      </c>
      <c r="BS91" s="607">
        <f t="shared" si="212"/>
        <v>30473.720262499992</v>
      </c>
    </row>
    <row r="92" spans="1:71" ht="37.35" customHeight="1">
      <c r="A92" s="91" t="s">
        <v>18</v>
      </c>
      <c r="B92" s="358" t="s">
        <v>2283</v>
      </c>
      <c r="C92" s="50" t="s">
        <v>147</v>
      </c>
      <c r="D92" s="99" t="s">
        <v>489</v>
      </c>
      <c r="E92" s="391" t="s">
        <v>14</v>
      </c>
      <c r="F92" s="410">
        <v>181078</v>
      </c>
      <c r="G92" s="589">
        <f t="shared" si="204"/>
        <v>191255</v>
      </c>
      <c r="H92" s="10">
        <v>35364</v>
      </c>
      <c r="I92" s="167">
        <v>106092</v>
      </c>
      <c r="J92" s="10">
        <v>30000</v>
      </c>
      <c r="K92" s="76">
        <f>AVERAGE(H92,J92,I92)</f>
        <v>57152</v>
      </c>
      <c r="L92" s="24">
        <f t="shared" si="182"/>
        <v>-123926</v>
      </c>
      <c r="M92" s="281">
        <f t="shared" si="205"/>
        <v>-0.6479621447805286</v>
      </c>
      <c r="N92" s="597">
        <f>AVERAGE(K92,G92)</f>
        <v>124203.5</v>
      </c>
      <c r="O92" s="410">
        <v>162975</v>
      </c>
      <c r="P92" s="575">
        <f t="shared" si="214"/>
        <v>172134</v>
      </c>
      <c r="Q92" s="10">
        <v>90000</v>
      </c>
      <c r="R92" s="10">
        <v>98000</v>
      </c>
      <c r="S92" s="268">
        <v>95000</v>
      </c>
      <c r="T92" s="10">
        <v>100000</v>
      </c>
      <c r="U92" s="76">
        <f t="shared" si="231"/>
        <v>95750</v>
      </c>
      <c r="V92" s="24">
        <f t="shared" si="206"/>
        <v>-76384</v>
      </c>
      <c r="W92" s="281">
        <f t="shared" si="225"/>
        <v>-0.46868538119343456</v>
      </c>
      <c r="X92" s="462">
        <f>AVERAGE(U92,P92)</f>
        <v>133942</v>
      </c>
      <c r="Y92" s="410">
        <v>328070</v>
      </c>
      <c r="Z92" s="575">
        <f t="shared" si="207"/>
        <v>346508</v>
      </c>
      <c r="AA92" s="38">
        <v>426681</v>
      </c>
      <c r="AB92" s="31">
        <v>554685</v>
      </c>
      <c r="AC92" s="98">
        <v>372950.8</v>
      </c>
      <c r="AD92" s="76">
        <f t="shared" si="224"/>
        <v>382046.60000000003</v>
      </c>
      <c r="AE92" s="24">
        <f t="shared" si="209"/>
        <v>35538.600000000035</v>
      </c>
      <c r="AF92" s="25">
        <f t="shared" si="187"/>
        <v>0.10832627183223104</v>
      </c>
      <c r="AG92" s="309">
        <f t="shared" si="188"/>
        <v>382046.60000000003</v>
      </c>
      <c r="AH92" s="601">
        <f t="shared" si="189"/>
        <v>382046.60000000003</v>
      </c>
      <c r="AI92" s="410">
        <v>181077</v>
      </c>
      <c r="AJ92" s="575">
        <f t="shared" si="210"/>
        <v>191254</v>
      </c>
      <c r="AK92" s="45">
        <v>35000</v>
      </c>
      <c r="AL92" s="45">
        <v>35364</v>
      </c>
      <c r="AM92" s="45">
        <v>85000</v>
      </c>
      <c r="AN92" s="76">
        <f t="shared" si="223"/>
        <v>86654.5</v>
      </c>
      <c r="AO92" s="24">
        <f t="shared" si="190"/>
        <v>-94422.5</v>
      </c>
      <c r="AP92" s="281">
        <f t="shared" si="191"/>
        <v>-0.52144943863660209</v>
      </c>
      <c r="AQ92" s="601">
        <f>AVERAGE(AJ92,AN92)</f>
        <v>138954.25</v>
      </c>
      <c r="AR92" s="513">
        <v>185196</v>
      </c>
      <c r="AS92" s="575">
        <f t="shared" si="216"/>
        <v>195604</v>
      </c>
      <c r="AT92" s="88">
        <v>40000</v>
      </c>
      <c r="AU92" s="116">
        <v>40000</v>
      </c>
      <c r="AV92" s="74">
        <v>38900.928</v>
      </c>
      <c r="AW92" s="76">
        <f t="shared" si="217"/>
        <v>78626.232000000004</v>
      </c>
      <c r="AX92" s="24">
        <f t="shared" ref="AX92" si="232">AW92-AR92</f>
        <v>-106569.768</v>
      </c>
      <c r="AY92" s="25">
        <f t="shared" ref="AY92" si="233">+AX92/AR92</f>
        <v>-0.57544314132054686</v>
      </c>
      <c r="AZ92" s="309">
        <f t="shared" ref="AZ92" si="234">+IF(AY92&lt;35%,AW92,"REVISAR PRECIO")</f>
        <v>78626.232000000004</v>
      </c>
      <c r="BA92" s="604">
        <f>AVERAGE(AS92,AW92)</f>
        <v>137115.11600000001</v>
      </c>
      <c r="BB92" s="513">
        <v>185196</v>
      </c>
      <c r="BC92" s="575">
        <f t="shared" si="211"/>
        <v>195604</v>
      </c>
      <c r="BD92" s="74">
        <v>40669.152000000002</v>
      </c>
      <c r="BE92" s="74">
        <v>100000</v>
      </c>
      <c r="BF92" s="75">
        <v>46857.936000000002</v>
      </c>
      <c r="BG92" s="61">
        <v>40669.152000000002</v>
      </c>
      <c r="BH92" s="60">
        <v>90000</v>
      </c>
      <c r="BI92" s="74">
        <v>46769.524799999999</v>
      </c>
      <c r="BJ92" s="79">
        <v>46857.936000000002</v>
      </c>
      <c r="BK92" s="79">
        <f>73676*1.2*0.4</f>
        <v>35364.480000000003</v>
      </c>
      <c r="BL92" s="127">
        <v>42437.376000000004</v>
      </c>
      <c r="BM92" s="128">
        <v>33200</v>
      </c>
      <c r="BN92" s="128">
        <v>36000</v>
      </c>
      <c r="BO92" s="76">
        <f t="shared" si="222"/>
        <v>62869.129733333335</v>
      </c>
      <c r="BP92" s="24">
        <f t="shared" si="197"/>
        <v>-122326.87026666666</v>
      </c>
      <c r="BQ92" s="25">
        <f t="shared" si="198"/>
        <v>-0.66052652469095807</v>
      </c>
      <c r="BR92" s="259">
        <f t="shared" ref="BR92" si="235">+IF(BQ92&lt;35%,BO92,"REVISAR PRECIO")</f>
        <v>62869.129733333335</v>
      </c>
      <c r="BS92" s="607">
        <f>AVERAGE(BO92,BC92)</f>
        <v>129236.56486666667</v>
      </c>
    </row>
    <row r="93" spans="1:71" ht="37.35" customHeight="1">
      <c r="A93" s="91" t="s">
        <v>18</v>
      </c>
      <c r="B93" s="358" t="s">
        <v>2284</v>
      </c>
      <c r="C93" s="50" t="s">
        <v>148</v>
      </c>
      <c r="D93" s="99" t="s">
        <v>491</v>
      </c>
      <c r="E93" s="391" t="s">
        <v>14</v>
      </c>
      <c r="F93" s="410">
        <v>617358</v>
      </c>
      <c r="G93" s="589">
        <f t="shared" si="204"/>
        <v>652054</v>
      </c>
      <c r="H93" s="10">
        <v>660054</v>
      </c>
      <c r="I93" s="167">
        <v>1320108</v>
      </c>
      <c r="J93" s="10">
        <v>505200</v>
      </c>
      <c r="K93" s="76">
        <f>AVERAGE(H93,G93)</f>
        <v>656054</v>
      </c>
      <c r="L93" s="24">
        <f t="shared" si="182"/>
        <v>38696</v>
      </c>
      <c r="M93" s="281">
        <f t="shared" si="205"/>
        <v>5.9344778193217124E-2</v>
      </c>
      <c r="N93" s="597">
        <f t="shared" si="213"/>
        <v>656054</v>
      </c>
      <c r="O93" s="410">
        <v>561125</v>
      </c>
      <c r="P93" s="575">
        <f t="shared" si="214"/>
        <v>592660</v>
      </c>
      <c r="Q93" s="10">
        <v>1250000</v>
      </c>
      <c r="R93" s="10">
        <v>1320000</v>
      </c>
      <c r="S93" s="268">
        <v>1300000</v>
      </c>
      <c r="T93" s="10">
        <v>1250000</v>
      </c>
      <c r="U93" s="76">
        <f>AVERAGE(P93:Q93,R93,S93,T93)</f>
        <v>1142532</v>
      </c>
      <c r="V93" s="24">
        <f t="shared" si="206"/>
        <v>549872</v>
      </c>
      <c r="W93" s="281">
        <f t="shared" si="225"/>
        <v>0.97994564490977942</v>
      </c>
      <c r="X93" s="462">
        <f>+P93</f>
        <v>592660</v>
      </c>
      <c r="Y93" s="410">
        <v>1216536</v>
      </c>
      <c r="Z93" s="575">
        <f t="shared" si="207"/>
        <v>1284905</v>
      </c>
      <c r="AA93" s="38">
        <v>1582200</v>
      </c>
      <c r="AB93" s="33">
        <v>2056860</v>
      </c>
      <c r="AC93" s="98">
        <v>1382960</v>
      </c>
      <c r="AD93" s="76">
        <f t="shared" si="224"/>
        <v>1416688.3333333333</v>
      </c>
      <c r="AE93" s="24">
        <f t="shared" si="209"/>
        <v>131783.33333333326</v>
      </c>
      <c r="AF93" s="25">
        <f t="shared" si="187"/>
        <v>0.10832670248421195</v>
      </c>
      <c r="AG93" s="309">
        <f t="shared" si="188"/>
        <v>1416688.3333333333</v>
      </c>
      <c r="AH93" s="601">
        <f t="shared" si="189"/>
        <v>1416688.3333333333</v>
      </c>
      <c r="AI93" s="410">
        <v>626565</v>
      </c>
      <c r="AJ93" s="575">
        <f t="shared" si="210"/>
        <v>661778</v>
      </c>
      <c r="AK93" s="45">
        <v>550000</v>
      </c>
      <c r="AL93" s="45">
        <v>728410</v>
      </c>
      <c r="AM93" s="45">
        <v>450000</v>
      </c>
      <c r="AN93" s="76">
        <f>AVERAGE(AL93,AJ93)</f>
        <v>695094</v>
      </c>
      <c r="AO93" s="24">
        <f t="shared" si="190"/>
        <v>68529</v>
      </c>
      <c r="AP93" s="281">
        <f t="shared" si="191"/>
        <v>0.10937253118192047</v>
      </c>
      <c r="AQ93" s="601">
        <f t="shared" si="192"/>
        <v>695094</v>
      </c>
      <c r="AR93" s="513">
        <v>629697</v>
      </c>
      <c r="AS93" s="575">
        <f t="shared" si="216"/>
        <v>665086</v>
      </c>
      <c r="AT93" s="88">
        <v>750000</v>
      </c>
      <c r="AU93" s="116">
        <v>750000</v>
      </c>
      <c r="AV93" s="74">
        <v>726059.34499999997</v>
      </c>
      <c r="AW93" s="76">
        <f t="shared" si="217"/>
        <v>722786.33624999993</v>
      </c>
      <c r="AX93" s="24">
        <f t="shared" ref="AX93:AX105" si="236">AW93-AR93</f>
        <v>93089.336249999935</v>
      </c>
      <c r="AY93" s="25">
        <f t="shared" ref="AY93:AY105" si="237">+AX93/AR93</f>
        <v>0.14783195131944402</v>
      </c>
      <c r="AZ93" s="309">
        <f t="shared" ref="AZ93:AZ105" si="238">+IF(AY93&lt;35%,AW93,"REVISAR PRECIO")</f>
        <v>722786.33624999993</v>
      </c>
      <c r="BA93" s="601">
        <f t="shared" ref="BA93:BA105" si="239">AW93</f>
        <v>722786.33624999993</v>
      </c>
      <c r="BB93" s="513">
        <v>629697</v>
      </c>
      <c r="BC93" s="575">
        <f t="shared" si="211"/>
        <v>665086</v>
      </c>
      <c r="BD93" s="74">
        <v>759062.04249999998</v>
      </c>
      <c r="BE93" s="74">
        <v>660000</v>
      </c>
      <c r="BF93" s="75">
        <v>874571.4837499999</v>
      </c>
      <c r="BG93" s="61">
        <v>759062.04249999986</v>
      </c>
      <c r="BH93" s="60">
        <v>480000</v>
      </c>
      <c r="BI93" s="74">
        <v>872921.34887499979</v>
      </c>
      <c r="BJ93" s="79">
        <v>874571.4837499999</v>
      </c>
      <c r="BK93" s="79">
        <v>660053.94999999995</v>
      </c>
      <c r="BL93" s="127">
        <v>726059.34499999997</v>
      </c>
      <c r="BM93" s="128">
        <v>659000</v>
      </c>
      <c r="BN93" s="128">
        <v>670000</v>
      </c>
      <c r="BO93" s="76">
        <f>AVERAGE(BC93,BD93,BE93,BG93,BH93,BI93,BJ93,BK93,BL93,BM93,BN93)</f>
        <v>707801.47387500003</v>
      </c>
      <c r="BP93" s="24">
        <f t="shared" si="197"/>
        <v>78104.473875000025</v>
      </c>
      <c r="BQ93" s="25">
        <f t="shared" si="198"/>
        <v>0.12403501029066365</v>
      </c>
      <c r="BR93" s="259">
        <f t="shared" ref="BR93:BR105" si="240">+IF(BQ93&lt;35%,BO93,"REVISAR PRECIO")</f>
        <v>707801.47387500003</v>
      </c>
      <c r="BS93" s="607">
        <f t="shared" si="212"/>
        <v>707801.47387500003</v>
      </c>
    </row>
    <row r="94" spans="1:71" ht="37.35" customHeight="1">
      <c r="A94" s="91" t="s">
        <v>18</v>
      </c>
      <c r="B94" s="358" t="s">
        <v>2285</v>
      </c>
      <c r="C94" s="50" t="s">
        <v>149</v>
      </c>
      <c r="D94" s="99" t="s">
        <v>492</v>
      </c>
      <c r="E94" s="391" t="s">
        <v>14</v>
      </c>
      <c r="F94" s="410">
        <v>776337</v>
      </c>
      <c r="G94" s="589">
        <f t="shared" si="204"/>
        <v>819967</v>
      </c>
      <c r="H94" s="10">
        <v>788500</v>
      </c>
      <c r="I94" s="167">
        <v>1577000</v>
      </c>
      <c r="J94" s="10">
        <v>650550</v>
      </c>
      <c r="K94" s="76">
        <f>AVERAGE(H94,G94)</f>
        <v>804233.5</v>
      </c>
      <c r="L94" s="24">
        <f t="shared" si="182"/>
        <v>27896.5</v>
      </c>
      <c r="M94" s="281">
        <f t="shared" si="205"/>
        <v>3.4021491108788528E-2</v>
      </c>
      <c r="N94" s="597">
        <f t="shared" si="213"/>
        <v>804233.5</v>
      </c>
      <c r="O94" s="410">
        <v>705618</v>
      </c>
      <c r="P94" s="575">
        <f t="shared" si="214"/>
        <v>745274</v>
      </c>
      <c r="Q94" s="10">
        <v>1850000</v>
      </c>
      <c r="R94" s="10">
        <v>2100000</v>
      </c>
      <c r="S94" s="268">
        <v>2050000</v>
      </c>
      <c r="T94" s="10">
        <v>1850000</v>
      </c>
      <c r="U94" s="76">
        <f t="shared" si="231"/>
        <v>1962500</v>
      </c>
      <c r="V94" s="24">
        <f t="shared" si="206"/>
        <v>1217226</v>
      </c>
      <c r="W94" s="281">
        <f t="shared" si="225"/>
        <v>1.7250495310493781</v>
      </c>
      <c r="X94" s="462">
        <f>+P94</f>
        <v>745274</v>
      </c>
      <c r="Y94" s="410">
        <v>1246908</v>
      </c>
      <c r="Z94" s="575">
        <f t="shared" si="207"/>
        <v>1316984</v>
      </c>
      <c r="AA94" s="38">
        <v>1621701</v>
      </c>
      <c r="AB94" s="31">
        <v>2108211</v>
      </c>
      <c r="AC94" s="98">
        <v>1417486.8</v>
      </c>
      <c r="AD94" s="76">
        <f t="shared" si="224"/>
        <v>1452057.2666666666</v>
      </c>
      <c r="AE94" s="24">
        <f t="shared" si="209"/>
        <v>135073.2666666666</v>
      </c>
      <c r="AF94" s="25">
        <f t="shared" si="187"/>
        <v>0.10832656993672878</v>
      </c>
      <c r="AG94" s="309">
        <f t="shared" si="188"/>
        <v>1452057.2666666666</v>
      </c>
      <c r="AH94" s="601">
        <f t="shared" si="189"/>
        <v>1452057.2666666666</v>
      </c>
      <c r="AI94" s="410">
        <v>787927</v>
      </c>
      <c r="AJ94" s="575">
        <f t="shared" si="210"/>
        <v>832208</v>
      </c>
      <c r="AK94" s="45">
        <v>750000</v>
      </c>
      <c r="AL94" s="45">
        <v>915991</v>
      </c>
      <c r="AM94" s="45">
        <v>700000</v>
      </c>
      <c r="AN94" s="76">
        <f>AVERAGE(AK94,AL94,AJ94)</f>
        <v>832733</v>
      </c>
      <c r="AO94" s="24">
        <f t="shared" si="190"/>
        <v>44806</v>
      </c>
      <c r="AP94" s="281">
        <f t="shared" si="191"/>
        <v>5.6865674104326927E-2</v>
      </c>
      <c r="AQ94" s="601">
        <f t="shared" si="192"/>
        <v>832733</v>
      </c>
      <c r="AR94" s="513">
        <v>791866</v>
      </c>
      <c r="AS94" s="575">
        <f t="shared" si="216"/>
        <v>836369</v>
      </c>
      <c r="AT94" s="88">
        <v>900000</v>
      </c>
      <c r="AU94" s="116">
        <v>900000</v>
      </c>
      <c r="AV94" s="74">
        <v>867350</v>
      </c>
      <c r="AW94" s="76">
        <f t="shared" si="217"/>
        <v>875929.75</v>
      </c>
      <c r="AX94" s="24">
        <f t="shared" si="236"/>
        <v>84063.75</v>
      </c>
      <c r="AY94" s="25">
        <f t="shared" si="237"/>
        <v>0.10615905973990548</v>
      </c>
      <c r="AZ94" s="309">
        <f t="shared" si="238"/>
        <v>875929.75</v>
      </c>
      <c r="BA94" s="601">
        <f t="shared" si="239"/>
        <v>875929.75</v>
      </c>
      <c r="BB94" s="513">
        <v>791866</v>
      </c>
      <c r="BC94" s="575">
        <f t="shared" si="211"/>
        <v>836369</v>
      </c>
      <c r="BD94" s="74">
        <v>906775</v>
      </c>
      <c r="BE94" s="74">
        <v>800000</v>
      </c>
      <c r="BF94" s="75">
        <v>1044762.5</v>
      </c>
      <c r="BG94" s="61">
        <v>906774.99999999988</v>
      </c>
      <c r="BH94" s="60">
        <v>650000</v>
      </c>
      <c r="BI94" s="74">
        <v>1042791.2499999998</v>
      </c>
      <c r="BJ94" s="79">
        <v>1044762.5</v>
      </c>
      <c r="BK94" s="79">
        <v>788500</v>
      </c>
      <c r="BL94" s="127">
        <v>946200</v>
      </c>
      <c r="BM94" s="128">
        <v>862000</v>
      </c>
      <c r="BN94" s="128">
        <v>790000</v>
      </c>
      <c r="BO94" s="76">
        <f t="shared" si="222"/>
        <v>884911.27083333337</v>
      </c>
      <c r="BP94" s="24">
        <f t="shared" si="197"/>
        <v>93045.270833333372</v>
      </c>
      <c r="BQ94" s="25">
        <f t="shared" si="198"/>
        <v>0.11750128283489046</v>
      </c>
      <c r="BR94" s="259">
        <f t="shared" si="240"/>
        <v>884911.27083333337</v>
      </c>
      <c r="BS94" s="607">
        <f t="shared" si="212"/>
        <v>884911.27083333337</v>
      </c>
    </row>
    <row r="95" spans="1:71" ht="44.1" customHeight="1">
      <c r="A95" s="91" t="s">
        <v>18</v>
      </c>
      <c r="B95" s="358" t="s">
        <v>2286</v>
      </c>
      <c r="C95" s="50" t="s">
        <v>150</v>
      </c>
      <c r="D95" s="99" t="s">
        <v>493</v>
      </c>
      <c r="E95" s="391" t="s">
        <v>14</v>
      </c>
      <c r="F95" s="410">
        <v>402308</v>
      </c>
      <c r="G95" s="589">
        <f t="shared" si="204"/>
        <v>424918</v>
      </c>
      <c r="H95" s="10">
        <v>241500</v>
      </c>
      <c r="I95" s="167">
        <v>483000</v>
      </c>
      <c r="J95" s="10">
        <v>225650</v>
      </c>
      <c r="K95" s="76">
        <f>AVERAGE(H95,J95,G95)</f>
        <v>297356</v>
      </c>
      <c r="L95" s="24">
        <f t="shared" si="182"/>
        <v>-104952</v>
      </c>
      <c r="M95" s="281">
        <f t="shared" si="205"/>
        <v>-0.24699353757666184</v>
      </c>
      <c r="N95" s="597">
        <f t="shared" si="213"/>
        <v>297356</v>
      </c>
      <c r="O95" s="410">
        <v>358396</v>
      </c>
      <c r="P95" s="575">
        <f t="shared" si="214"/>
        <v>378538</v>
      </c>
      <c r="Q95" s="10">
        <v>60000</v>
      </c>
      <c r="R95" s="10">
        <v>68000</v>
      </c>
      <c r="S95" s="268">
        <v>65000</v>
      </c>
      <c r="T95" s="10">
        <v>80000</v>
      </c>
      <c r="U95" s="76">
        <f t="shared" si="231"/>
        <v>68250</v>
      </c>
      <c r="V95" s="24">
        <f t="shared" si="206"/>
        <v>-310288</v>
      </c>
      <c r="W95" s="281">
        <f t="shared" si="225"/>
        <v>-0.86576859116731208</v>
      </c>
      <c r="X95" s="462">
        <f>+P95</f>
        <v>378538</v>
      </c>
      <c r="Y95" s="410">
        <v>433012</v>
      </c>
      <c r="Z95" s="575">
        <f t="shared" si="207"/>
        <v>457347</v>
      </c>
      <c r="AA95" s="38">
        <v>563166</v>
      </c>
      <c r="AB95" s="31">
        <v>563166</v>
      </c>
      <c r="AC95" s="98">
        <v>492248.8</v>
      </c>
      <c r="AD95" s="76">
        <f>AVERAGE(AA95,AC95,Z95,AB95)</f>
        <v>518981.95</v>
      </c>
      <c r="AE95" s="24">
        <f t="shared" si="209"/>
        <v>61634.950000000012</v>
      </c>
      <c r="AF95" s="25">
        <f t="shared" si="187"/>
        <v>0.14234005062215369</v>
      </c>
      <c r="AG95" s="309">
        <f t="shared" si="188"/>
        <v>518981.95</v>
      </c>
      <c r="AH95" s="601">
        <f t="shared" si="189"/>
        <v>518981.95</v>
      </c>
      <c r="AI95" s="410">
        <v>385800</v>
      </c>
      <c r="AJ95" s="575">
        <f t="shared" si="210"/>
        <v>407482</v>
      </c>
      <c r="AK95" s="45">
        <v>310000</v>
      </c>
      <c r="AL95" s="45">
        <v>474673</v>
      </c>
      <c r="AM95" s="45">
        <v>236000</v>
      </c>
      <c r="AN95" s="76">
        <f>AVERAGE(AL95,AJ95,AK95)</f>
        <v>397385</v>
      </c>
      <c r="AO95" s="24">
        <f t="shared" si="190"/>
        <v>11585</v>
      </c>
      <c r="AP95" s="281">
        <f t="shared" si="191"/>
        <v>3.0028512182477967E-2</v>
      </c>
      <c r="AQ95" s="601">
        <f t="shared" si="192"/>
        <v>397385</v>
      </c>
      <c r="AR95" s="513">
        <v>366654</v>
      </c>
      <c r="AS95" s="575">
        <f t="shared" si="216"/>
        <v>387260</v>
      </c>
      <c r="AT95" s="88">
        <v>280000</v>
      </c>
      <c r="AU95" s="116">
        <v>280000</v>
      </c>
      <c r="AV95" s="74">
        <v>265650</v>
      </c>
      <c r="AW95" s="76">
        <f t="shared" si="217"/>
        <v>303227.5</v>
      </c>
      <c r="AX95" s="24">
        <f t="shared" si="236"/>
        <v>-63426.5</v>
      </c>
      <c r="AY95" s="25">
        <f t="shared" si="237"/>
        <v>-0.17298733956263943</v>
      </c>
      <c r="AZ95" s="309">
        <f t="shared" si="238"/>
        <v>303227.5</v>
      </c>
      <c r="BA95" s="604">
        <f t="shared" ref="BA95:BA100" si="241">AS95</f>
        <v>387260</v>
      </c>
      <c r="BB95" s="513">
        <v>366654</v>
      </c>
      <c r="BC95" s="575">
        <f t="shared" si="211"/>
        <v>387260</v>
      </c>
      <c r="BD95" s="74">
        <v>277725</v>
      </c>
      <c r="BE95" s="74">
        <v>450000</v>
      </c>
      <c r="BF95" s="75">
        <v>319987.5</v>
      </c>
      <c r="BG95" s="61">
        <v>540500</v>
      </c>
      <c r="BH95" s="60">
        <v>460000</v>
      </c>
      <c r="BI95" s="74">
        <v>621575</v>
      </c>
      <c r="BJ95" s="79">
        <v>319987.5</v>
      </c>
      <c r="BK95" s="79">
        <v>241500</v>
      </c>
      <c r="BL95" s="127">
        <v>289800</v>
      </c>
      <c r="BM95" s="128">
        <v>240800</v>
      </c>
      <c r="BN95" s="128">
        <v>250000</v>
      </c>
      <c r="BO95" s="76">
        <f>AVERAGE(BC95,BD95,BE95,BF95,BG95,BH95,BI95,BJ95,BK95,BL95)</f>
        <v>390833.5</v>
      </c>
      <c r="BP95" s="24">
        <f t="shared" si="197"/>
        <v>24179.5</v>
      </c>
      <c r="BQ95" s="25">
        <f t="shared" si="198"/>
        <v>6.5946369056385581E-2</v>
      </c>
      <c r="BR95" s="259">
        <f t="shared" si="240"/>
        <v>390833.5</v>
      </c>
      <c r="BS95" s="607">
        <f t="shared" si="212"/>
        <v>390833.5</v>
      </c>
    </row>
    <row r="96" spans="1:71" ht="44.1" customHeight="1">
      <c r="A96" s="91" t="s">
        <v>18</v>
      </c>
      <c r="B96" s="358" t="s">
        <v>2287</v>
      </c>
      <c r="C96" s="50" t="s">
        <v>151</v>
      </c>
      <c r="D96" s="99" t="s">
        <v>494</v>
      </c>
      <c r="E96" s="391" t="s">
        <v>14</v>
      </c>
      <c r="F96" s="410">
        <v>402308</v>
      </c>
      <c r="G96" s="589">
        <f t="shared" si="204"/>
        <v>424918</v>
      </c>
      <c r="H96" s="10">
        <v>375300</v>
      </c>
      <c r="I96" s="167">
        <v>750600</v>
      </c>
      <c r="J96" s="10">
        <v>325680</v>
      </c>
      <c r="K96" s="76">
        <f>AVERAGE(H96,J96,G96,I96)</f>
        <v>469124.5</v>
      </c>
      <c r="L96" s="24">
        <f t="shared" si="182"/>
        <v>66816.5</v>
      </c>
      <c r="M96" s="281">
        <f t="shared" si="205"/>
        <v>0.15724563327512603</v>
      </c>
      <c r="N96" s="597">
        <f t="shared" si="213"/>
        <v>469124.5</v>
      </c>
      <c r="O96" s="410">
        <v>516634</v>
      </c>
      <c r="P96" s="619">
        <f t="shared" si="214"/>
        <v>545669</v>
      </c>
      <c r="Q96" s="620">
        <v>90000</v>
      </c>
      <c r="R96" s="10">
        <v>96000</v>
      </c>
      <c r="S96" s="268">
        <v>95000</v>
      </c>
      <c r="T96" s="10">
        <v>100000</v>
      </c>
      <c r="U96" s="76">
        <f t="shared" si="231"/>
        <v>95250</v>
      </c>
      <c r="V96" s="24">
        <f t="shared" si="206"/>
        <v>-450419</v>
      </c>
      <c r="W96" s="281">
        <f t="shared" si="225"/>
        <v>-0.87183383207454401</v>
      </c>
      <c r="X96" s="462">
        <f>+P96</f>
        <v>545669</v>
      </c>
      <c r="Y96" s="410">
        <v>620330</v>
      </c>
      <c r="Z96" s="575">
        <f t="shared" si="207"/>
        <v>655193</v>
      </c>
      <c r="AA96" s="38">
        <v>806787</v>
      </c>
      <c r="AB96" s="31">
        <v>1048823</v>
      </c>
      <c r="AC96" s="98">
        <v>705191.6</v>
      </c>
      <c r="AD96" s="76">
        <f t="shared" si="224"/>
        <v>722390.53333333333</v>
      </c>
      <c r="AE96" s="24">
        <f t="shared" si="209"/>
        <v>67197.533333333326</v>
      </c>
      <c r="AF96" s="25">
        <f t="shared" si="187"/>
        <v>0.10832546117926478</v>
      </c>
      <c r="AG96" s="309">
        <f t="shared" si="188"/>
        <v>722390.53333333333</v>
      </c>
      <c r="AH96" s="601">
        <f t="shared" si="189"/>
        <v>722390.53333333333</v>
      </c>
      <c r="AI96" s="410">
        <v>554404</v>
      </c>
      <c r="AJ96" s="575">
        <f t="shared" si="210"/>
        <v>585562</v>
      </c>
      <c r="AK96" s="45">
        <v>380000</v>
      </c>
      <c r="AL96" s="45">
        <v>474673</v>
      </c>
      <c r="AM96" s="45">
        <v>360000</v>
      </c>
      <c r="AN96" s="76">
        <f t="shared" si="223"/>
        <v>450058.75</v>
      </c>
      <c r="AO96" s="24">
        <f t="shared" si="190"/>
        <v>-104345.25</v>
      </c>
      <c r="AP96" s="281">
        <f t="shared" si="191"/>
        <v>-0.18821157495256166</v>
      </c>
      <c r="AQ96" s="601">
        <f>AJ96</f>
        <v>585562</v>
      </c>
      <c r="AR96" s="513">
        <v>525263</v>
      </c>
      <c r="AS96" s="575">
        <f t="shared" si="216"/>
        <v>554783</v>
      </c>
      <c r="AT96" s="88">
        <v>430000</v>
      </c>
      <c r="AU96" s="116">
        <v>430000</v>
      </c>
      <c r="AV96" s="74">
        <v>412830</v>
      </c>
      <c r="AW96" s="76">
        <f t="shared" si="217"/>
        <v>456903.25</v>
      </c>
      <c r="AX96" s="24">
        <f t="shared" si="236"/>
        <v>-68359.75</v>
      </c>
      <c r="AY96" s="25">
        <f t="shared" si="237"/>
        <v>-0.13014385174664883</v>
      </c>
      <c r="AZ96" s="309">
        <f t="shared" si="238"/>
        <v>456903.25</v>
      </c>
      <c r="BA96" s="604">
        <f t="shared" si="241"/>
        <v>554783</v>
      </c>
      <c r="BB96" s="513">
        <v>525263</v>
      </c>
      <c r="BC96" s="575">
        <f t="shared" si="211"/>
        <v>554783</v>
      </c>
      <c r="BD96" s="74">
        <v>431595</v>
      </c>
      <c r="BE96" s="74">
        <v>750000</v>
      </c>
      <c r="BF96" s="75">
        <v>497272.5</v>
      </c>
      <c r="BG96" s="61">
        <v>736000</v>
      </c>
      <c r="BH96" s="60">
        <v>520000</v>
      </c>
      <c r="BI96" s="74">
        <v>846399.99999999988</v>
      </c>
      <c r="BJ96" s="79">
        <v>497272.5</v>
      </c>
      <c r="BK96" s="79">
        <v>375300</v>
      </c>
      <c r="BL96" s="127">
        <v>450360</v>
      </c>
      <c r="BM96" s="128">
        <v>461200</v>
      </c>
      <c r="BN96" s="128">
        <v>400000</v>
      </c>
      <c r="BO96" s="76">
        <f t="shared" si="222"/>
        <v>543348.58333333337</v>
      </c>
      <c r="BP96" s="24">
        <f t="shared" si="197"/>
        <v>18085.583333333372</v>
      </c>
      <c r="BQ96" s="25">
        <f t="shared" si="198"/>
        <v>3.4431481626029957E-2</v>
      </c>
      <c r="BR96" s="259">
        <f t="shared" si="240"/>
        <v>543348.58333333337</v>
      </c>
      <c r="BS96" s="607">
        <f t="shared" si="212"/>
        <v>543348.58333333337</v>
      </c>
    </row>
    <row r="97" spans="1:71" ht="45.6" customHeight="1">
      <c r="A97" s="91" t="s">
        <v>18</v>
      </c>
      <c r="B97" s="358" t="s">
        <v>2288</v>
      </c>
      <c r="C97" s="50" t="s">
        <v>152</v>
      </c>
      <c r="D97" s="99" t="s">
        <v>495</v>
      </c>
      <c r="E97" s="391" t="s">
        <v>14</v>
      </c>
      <c r="F97" s="410">
        <v>402308</v>
      </c>
      <c r="G97" s="589">
        <f t="shared" si="204"/>
        <v>424918</v>
      </c>
      <c r="H97" s="10">
        <v>275200</v>
      </c>
      <c r="I97" s="167">
        <v>550400</v>
      </c>
      <c r="J97" s="10">
        <v>225650</v>
      </c>
      <c r="K97" s="76">
        <f>AVERAGE(H97,J97,G97,I97)</f>
        <v>369042</v>
      </c>
      <c r="L97" s="24">
        <f t="shared" si="182"/>
        <v>-33266</v>
      </c>
      <c r="M97" s="281">
        <f t="shared" si="205"/>
        <v>-7.8288046164201097E-2</v>
      </c>
      <c r="N97" s="615">
        <f t="shared" si="213"/>
        <v>369042</v>
      </c>
      <c r="O97" s="616"/>
      <c r="P97" s="622">
        <f t="shared" si="214"/>
        <v>0</v>
      </c>
      <c r="Q97" s="623">
        <v>364640</v>
      </c>
      <c r="R97" s="618">
        <v>275200</v>
      </c>
      <c r="S97" s="572">
        <v>330240</v>
      </c>
      <c r="T97" s="570">
        <v>271000</v>
      </c>
      <c r="U97" s="560">
        <f t="shared" ref="U97:U98" si="242">AVERAGE(Q97,R97,S97,T97)</f>
        <v>310270</v>
      </c>
      <c r="V97" s="561">
        <f t="shared" ref="V97:V98" si="243">U97-P97</f>
        <v>310270</v>
      </c>
      <c r="W97" s="281"/>
      <c r="X97" s="462">
        <f>+U97</f>
        <v>310270</v>
      </c>
      <c r="Y97" s="410">
        <v>433012</v>
      </c>
      <c r="Z97" s="575">
        <f t="shared" si="207"/>
        <v>457347</v>
      </c>
      <c r="AA97" s="38">
        <v>563166</v>
      </c>
      <c r="AB97" s="31">
        <v>732116</v>
      </c>
      <c r="AC97" s="98">
        <v>492248.8</v>
      </c>
      <c r="AD97" s="76">
        <f t="shared" si="224"/>
        <v>504253.93333333335</v>
      </c>
      <c r="AE97" s="24">
        <f t="shared" si="209"/>
        <v>46906.933333333349</v>
      </c>
      <c r="AF97" s="25">
        <f t="shared" si="187"/>
        <v>0.10832709794031886</v>
      </c>
      <c r="AG97" s="309">
        <f t="shared" si="188"/>
        <v>504253.93333333335</v>
      </c>
      <c r="AH97" s="601">
        <f t="shared" si="189"/>
        <v>504253.93333333335</v>
      </c>
      <c r="AI97" s="410">
        <v>385800</v>
      </c>
      <c r="AJ97" s="575">
        <f t="shared" si="210"/>
        <v>407482</v>
      </c>
      <c r="AK97" s="45">
        <v>320000</v>
      </c>
      <c r="AL97" s="45">
        <v>474673</v>
      </c>
      <c r="AM97" s="45">
        <v>245000</v>
      </c>
      <c r="AN97" s="76">
        <f>AVERAGE(AL97,AJ97,AK97)</f>
        <v>400718.33333333331</v>
      </c>
      <c r="AO97" s="24">
        <f t="shared" si="190"/>
        <v>14918.333333333314</v>
      </c>
      <c r="AP97" s="281">
        <f t="shared" si="191"/>
        <v>3.8668567478831815E-2</v>
      </c>
      <c r="AQ97" s="601">
        <f t="shared" si="192"/>
        <v>400718.33333333331</v>
      </c>
      <c r="AR97" s="513">
        <v>366654</v>
      </c>
      <c r="AS97" s="575">
        <f t="shared" si="216"/>
        <v>387260</v>
      </c>
      <c r="AT97" s="88">
        <v>310000</v>
      </c>
      <c r="AU97" s="116">
        <v>310000</v>
      </c>
      <c r="AV97" s="74">
        <v>302720</v>
      </c>
      <c r="AW97" s="76">
        <f t="shared" si="217"/>
        <v>327495</v>
      </c>
      <c r="AX97" s="24">
        <f t="shared" si="236"/>
        <v>-39159</v>
      </c>
      <c r="AY97" s="25">
        <f t="shared" si="237"/>
        <v>-0.10680096221505833</v>
      </c>
      <c r="AZ97" s="309">
        <f t="shared" si="238"/>
        <v>327495</v>
      </c>
      <c r="BA97" s="490">
        <f t="shared" si="241"/>
        <v>387260</v>
      </c>
      <c r="BB97" s="513">
        <v>366654</v>
      </c>
      <c r="BC97" s="575">
        <f t="shared" si="211"/>
        <v>387260</v>
      </c>
      <c r="BD97" s="74">
        <v>316480</v>
      </c>
      <c r="BE97" s="74">
        <v>650000</v>
      </c>
      <c r="BF97" s="75">
        <v>364640</v>
      </c>
      <c r="BG97" s="61">
        <v>540500</v>
      </c>
      <c r="BH97" s="60">
        <v>460000</v>
      </c>
      <c r="BI97" s="74">
        <v>621575</v>
      </c>
      <c r="BJ97" s="79">
        <v>364640</v>
      </c>
      <c r="BK97" s="79">
        <v>275200</v>
      </c>
      <c r="BL97" s="127">
        <v>330240</v>
      </c>
      <c r="BM97" s="128">
        <v>271000</v>
      </c>
      <c r="BN97" s="128">
        <v>275000</v>
      </c>
      <c r="BO97" s="76">
        <f t="shared" si="222"/>
        <v>404711.25</v>
      </c>
      <c r="BP97" s="24">
        <f t="shared" si="197"/>
        <v>38057.25</v>
      </c>
      <c r="BQ97" s="25">
        <f t="shared" si="198"/>
        <v>0.10379608568295996</v>
      </c>
      <c r="BR97" s="259">
        <f t="shared" si="240"/>
        <v>404711.25</v>
      </c>
      <c r="BS97" s="607">
        <f t="shared" si="212"/>
        <v>404711.25</v>
      </c>
    </row>
    <row r="98" spans="1:71" ht="45" customHeight="1">
      <c r="A98" s="91" t="s">
        <v>18</v>
      </c>
      <c r="B98" s="358" t="s">
        <v>2289</v>
      </c>
      <c r="C98" s="50" t="s">
        <v>153</v>
      </c>
      <c r="D98" s="99" t="s">
        <v>496</v>
      </c>
      <c r="E98" s="391" t="s">
        <v>14</v>
      </c>
      <c r="F98" s="410">
        <v>581192</v>
      </c>
      <c r="G98" s="589">
        <f t="shared" si="204"/>
        <v>613855</v>
      </c>
      <c r="H98" s="10">
        <v>406300</v>
      </c>
      <c r="I98" s="167">
        <v>406300</v>
      </c>
      <c r="J98" s="10">
        <v>325680</v>
      </c>
      <c r="K98" s="76">
        <f>AVERAGE(H98,G98)</f>
        <v>510077.5</v>
      </c>
      <c r="L98" s="24">
        <f t="shared" si="182"/>
        <v>-71114.5</v>
      </c>
      <c r="M98" s="281">
        <f t="shared" si="205"/>
        <v>-0.11584901971964064</v>
      </c>
      <c r="N98" s="615">
        <f t="shared" si="213"/>
        <v>510077.5</v>
      </c>
      <c r="O98" s="617"/>
      <c r="P98" s="622">
        <f t="shared" si="214"/>
        <v>0</v>
      </c>
      <c r="Q98" s="623">
        <v>538347.5</v>
      </c>
      <c r="R98" s="618">
        <v>406300</v>
      </c>
      <c r="S98" s="572">
        <v>487560</v>
      </c>
      <c r="T98" s="570">
        <v>500200</v>
      </c>
      <c r="U98" s="560">
        <f t="shared" si="242"/>
        <v>483101.875</v>
      </c>
      <c r="V98" s="561">
        <f t="shared" si="243"/>
        <v>483101.875</v>
      </c>
      <c r="W98" s="281"/>
      <c r="X98" s="462">
        <f>+U98</f>
        <v>483101.875</v>
      </c>
      <c r="Y98" s="410">
        <v>620330</v>
      </c>
      <c r="Z98" s="575">
        <f t="shared" si="207"/>
        <v>655193</v>
      </c>
      <c r="AA98" s="38">
        <v>806787</v>
      </c>
      <c r="AB98" s="31">
        <v>1048823</v>
      </c>
      <c r="AC98" s="98">
        <v>705191.6</v>
      </c>
      <c r="AD98" s="76">
        <f t="shared" si="224"/>
        <v>722390.53333333333</v>
      </c>
      <c r="AE98" s="24">
        <f t="shared" si="209"/>
        <v>67197.533333333326</v>
      </c>
      <c r="AF98" s="25">
        <f t="shared" si="187"/>
        <v>0.10832546117926478</v>
      </c>
      <c r="AG98" s="309">
        <f t="shared" si="188"/>
        <v>722390.53333333333</v>
      </c>
      <c r="AH98" s="601">
        <f t="shared" si="189"/>
        <v>722390.53333333333</v>
      </c>
      <c r="AI98" s="410">
        <v>554404</v>
      </c>
      <c r="AJ98" s="575">
        <f t="shared" si="210"/>
        <v>585562</v>
      </c>
      <c r="AK98" s="45">
        <v>390000</v>
      </c>
      <c r="AL98" s="45">
        <v>685737</v>
      </c>
      <c r="AM98" s="45">
        <v>360000</v>
      </c>
      <c r="AN98" s="76">
        <f>AVERAGE(AK98,AL98,AJ98)</f>
        <v>553766.33333333337</v>
      </c>
      <c r="AO98" s="24">
        <f t="shared" si="190"/>
        <v>-637.66666666662786</v>
      </c>
      <c r="AP98" s="281">
        <f t="shared" si="191"/>
        <v>-1.1501841016057384E-3</v>
      </c>
      <c r="AQ98" s="601">
        <f t="shared" si="192"/>
        <v>553766.33333333337</v>
      </c>
      <c r="AR98" s="513">
        <v>525263</v>
      </c>
      <c r="AS98" s="575">
        <f t="shared" si="216"/>
        <v>554783</v>
      </c>
      <c r="AT98" s="88">
        <v>430000</v>
      </c>
      <c r="AU98" s="116">
        <v>430000</v>
      </c>
      <c r="AV98" s="74">
        <v>446930</v>
      </c>
      <c r="AW98" s="76">
        <f t="shared" si="217"/>
        <v>465428.25</v>
      </c>
      <c r="AX98" s="24">
        <f t="shared" si="236"/>
        <v>-59834.75</v>
      </c>
      <c r="AY98" s="25">
        <f t="shared" si="237"/>
        <v>-0.1139138869480622</v>
      </c>
      <c r="AZ98" s="309">
        <f t="shared" si="238"/>
        <v>465428.25</v>
      </c>
      <c r="BA98" s="604">
        <f t="shared" si="241"/>
        <v>554783</v>
      </c>
      <c r="BB98" s="513">
        <v>525263</v>
      </c>
      <c r="BC98" s="575">
        <f t="shared" si="211"/>
        <v>554783</v>
      </c>
      <c r="BD98" s="74">
        <v>467245</v>
      </c>
      <c r="BE98" s="74">
        <v>800000</v>
      </c>
      <c r="BF98" s="75">
        <v>538347.5</v>
      </c>
      <c r="BG98" s="61">
        <v>736000</v>
      </c>
      <c r="BH98" s="60">
        <v>520000</v>
      </c>
      <c r="BI98" s="74">
        <v>846399.99999999988</v>
      </c>
      <c r="BJ98" s="79">
        <v>538347.5</v>
      </c>
      <c r="BK98" s="79">
        <v>406300</v>
      </c>
      <c r="BL98" s="127">
        <v>487560</v>
      </c>
      <c r="BM98" s="128">
        <v>500200</v>
      </c>
      <c r="BN98" s="128">
        <v>420000</v>
      </c>
      <c r="BO98" s="76">
        <f t="shared" si="222"/>
        <v>567931.91666666663</v>
      </c>
      <c r="BP98" s="24">
        <f t="shared" si="197"/>
        <v>42668.916666666628</v>
      </c>
      <c r="BQ98" s="25">
        <f t="shared" si="198"/>
        <v>8.1233432902501471E-2</v>
      </c>
      <c r="BR98" s="259">
        <f t="shared" si="240"/>
        <v>567931.91666666663</v>
      </c>
      <c r="BS98" s="607">
        <f t="shared" si="212"/>
        <v>567931.91666666663</v>
      </c>
    </row>
    <row r="99" spans="1:71" ht="34.35" customHeight="1">
      <c r="A99" s="91" t="s">
        <v>18</v>
      </c>
      <c r="B99" s="358" t="s">
        <v>2290</v>
      </c>
      <c r="C99" s="50" t="s">
        <v>154</v>
      </c>
      <c r="D99" s="99" t="s">
        <v>498</v>
      </c>
      <c r="E99" s="391" t="s">
        <v>14</v>
      </c>
      <c r="F99" s="410">
        <v>64834</v>
      </c>
      <c r="G99" s="589">
        <f t="shared" si="204"/>
        <v>68478</v>
      </c>
      <c r="H99" s="10">
        <v>30029</v>
      </c>
      <c r="I99" s="167">
        <v>60058</v>
      </c>
      <c r="J99" s="10">
        <v>29650</v>
      </c>
      <c r="K99" s="76">
        <f>AVERAGE(G99,I99)</f>
        <v>64268</v>
      </c>
      <c r="L99" s="24">
        <f t="shared" ref="L99:L105" si="244">K99-F99</f>
        <v>-566</v>
      </c>
      <c r="M99" s="281">
        <f t="shared" si="205"/>
        <v>-8.2654283127427779E-3</v>
      </c>
      <c r="N99" s="597">
        <f t="shared" si="213"/>
        <v>64268</v>
      </c>
      <c r="O99" s="446">
        <v>58350</v>
      </c>
      <c r="P99" s="621">
        <f t="shared" si="214"/>
        <v>61629</v>
      </c>
      <c r="Q99" s="213">
        <v>72000</v>
      </c>
      <c r="R99" s="208">
        <v>78000</v>
      </c>
      <c r="S99" s="275">
        <v>75000</v>
      </c>
      <c r="T99" s="208">
        <v>150000</v>
      </c>
      <c r="U99" s="86">
        <f>AVERAGE(Q99,R99,S99,P99)</f>
        <v>71657.25</v>
      </c>
      <c r="V99" s="24">
        <f t="shared" si="206"/>
        <v>10028.25</v>
      </c>
      <c r="W99" s="452">
        <v>0.61</v>
      </c>
      <c r="X99" s="465">
        <f>+U99</f>
        <v>71657.25</v>
      </c>
      <c r="Y99" s="410">
        <v>163246</v>
      </c>
      <c r="Z99" s="575">
        <f t="shared" si="207"/>
        <v>172420</v>
      </c>
      <c r="AA99" s="38">
        <v>212315</v>
      </c>
      <c r="AB99" s="31">
        <v>276009</v>
      </c>
      <c r="AC99" s="98">
        <v>185578.6</v>
      </c>
      <c r="AD99" s="76">
        <f t="shared" si="224"/>
        <v>190104.53333333333</v>
      </c>
      <c r="AE99" s="24">
        <f t="shared" si="209"/>
        <v>17684.533333333326</v>
      </c>
      <c r="AF99" s="25">
        <f t="shared" si="187"/>
        <v>0.10833057675736818</v>
      </c>
      <c r="AG99" s="309">
        <f t="shared" si="188"/>
        <v>190104.53333333333</v>
      </c>
      <c r="AH99" s="601">
        <f t="shared" si="189"/>
        <v>190104.53333333333</v>
      </c>
      <c r="AI99" s="410">
        <v>64833</v>
      </c>
      <c r="AJ99" s="575">
        <f t="shared" si="210"/>
        <v>68477</v>
      </c>
      <c r="AK99" s="45">
        <v>45000</v>
      </c>
      <c r="AL99" s="45">
        <v>76499</v>
      </c>
      <c r="AM99" s="45">
        <v>55000</v>
      </c>
      <c r="AN99" s="76">
        <f>AVERAGE(AL99,AM99,AJ99,AK99)</f>
        <v>61244</v>
      </c>
      <c r="AO99" s="24">
        <f t="shared" si="190"/>
        <v>-3589</v>
      </c>
      <c r="AP99" s="281">
        <f t="shared" si="191"/>
        <v>-5.5357611093116162E-2</v>
      </c>
      <c r="AQ99" s="601">
        <f t="shared" si="192"/>
        <v>61244</v>
      </c>
      <c r="AR99" s="513">
        <v>64833</v>
      </c>
      <c r="AS99" s="575">
        <f t="shared" si="216"/>
        <v>68477</v>
      </c>
      <c r="AT99" s="88">
        <v>31200</v>
      </c>
      <c r="AU99" s="116">
        <v>31200</v>
      </c>
      <c r="AV99" s="74">
        <v>33031.625</v>
      </c>
      <c r="AW99" s="76">
        <f t="shared" si="217"/>
        <v>40977.15625</v>
      </c>
      <c r="AX99" s="24">
        <f t="shared" si="236"/>
        <v>-23855.84375</v>
      </c>
      <c r="AY99" s="25">
        <f t="shared" si="237"/>
        <v>-0.36795835068560762</v>
      </c>
      <c r="AZ99" s="309">
        <f t="shared" si="238"/>
        <v>40977.15625</v>
      </c>
      <c r="BA99" s="604">
        <f>AVERAGE(AS99,AW99)</f>
        <v>54727.078125</v>
      </c>
      <c r="BB99" s="513">
        <v>64833</v>
      </c>
      <c r="BC99" s="575">
        <f t="shared" si="211"/>
        <v>68477</v>
      </c>
      <c r="BD99" s="74">
        <v>34533.0625</v>
      </c>
      <c r="BE99" s="74">
        <v>70000</v>
      </c>
      <c r="BF99" s="75">
        <v>39788.09375</v>
      </c>
      <c r="BG99" s="61">
        <v>34533.0625</v>
      </c>
      <c r="BH99" s="60">
        <v>38000</v>
      </c>
      <c r="BI99" s="74">
        <v>39713.021874999999</v>
      </c>
      <c r="BJ99" s="79">
        <v>39788.09375</v>
      </c>
      <c r="BK99" s="79">
        <f>24023*1.25</f>
        <v>30028.75</v>
      </c>
      <c r="BL99" s="127">
        <v>36034.5</v>
      </c>
      <c r="BM99" s="128">
        <v>28900</v>
      </c>
      <c r="BN99" s="128">
        <v>30000</v>
      </c>
      <c r="BO99" s="76">
        <f t="shared" si="222"/>
        <v>40816.298697916667</v>
      </c>
      <c r="BP99" s="24">
        <f t="shared" si="197"/>
        <v>-24016.701302083333</v>
      </c>
      <c r="BQ99" s="25">
        <f t="shared" si="198"/>
        <v>-0.37043945679026624</v>
      </c>
      <c r="BR99" s="259">
        <f t="shared" si="240"/>
        <v>40816.298697916667</v>
      </c>
      <c r="BS99" s="607">
        <f>AVERAGE(BC99,BO99)</f>
        <v>54646.649348958337</v>
      </c>
    </row>
    <row r="100" spans="1:71" ht="34.35" customHeight="1">
      <c r="A100" s="91" t="s">
        <v>18</v>
      </c>
      <c r="B100" s="358" t="s">
        <v>2291</v>
      </c>
      <c r="C100" s="50" t="s">
        <v>155</v>
      </c>
      <c r="D100" s="99" t="s">
        <v>499</v>
      </c>
      <c r="E100" s="391" t="s">
        <v>14</v>
      </c>
      <c r="F100" s="410">
        <v>94593</v>
      </c>
      <c r="G100" s="589">
        <f t="shared" si="204"/>
        <v>99909</v>
      </c>
      <c r="H100" s="10">
        <v>81044</v>
      </c>
      <c r="I100" s="167">
        <v>162088</v>
      </c>
      <c r="J100" s="10">
        <v>78950</v>
      </c>
      <c r="K100" s="76">
        <f>AVERAGE(H100,J100,G100)</f>
        <v>86634.333333333328</v>
      </c>
      <c r="L100" s="24">
        <f t="shared" si="244"/>
        <v>-7958.6666666666715</v>
      </c>
      <c r="M100" s="281">
        <f t="shared" si="205"/>
        <v>-7.9659156499080883E-2</v>
      </c>
      <c r="N100" s="597">
        <f>G100</f>
        <v>99909</v>
      </c>
      <c r="O100" s="446">
        <v>85137</v>
      </c>
      <c r="P100" s="575">
        <f t="shared" si="214"/>
        <v>89922</v>
      </c>
      <c r="Q100" s="213">
        <v>140000</v>
      </c>
      <c r="R100" s="213">
        <v>148000</v>
      </c>
      <c r="S100" s="277">
        <v>145000</v>
      </c>
      <c r="T100" s="213">
        <v>250000</v>
      </c>
      <c r="U100" s="86">
        <f t="shared" ref="U100:U104" si="245">AVERAGE(Q100,R100,S100,P100)</f>
        <v>130730.5</v>
      </c>
      <c r="V100" s="24">
        <f t="shared" ref="V100:V105" si="246">U100-P100</f>
        <v>40808.5</v>
      </c>
      <c r="W100" s="452">
        <v>1.61</v>
      </c>
      <c r="X100" s="465">
        <f t="shared" ref="X100:X104" si="247">+U100</f>
        <v>130730.5</v>
      </c>
      <c r="Y100" s="410">
        <v>176875</v>
      </c>
      <c r="Z100" s="575">
        <f t="shared" si="207"/>
        <v>186815</v>
      </c>
      <c r="AA100" s="38">
        <v>230040</v>
      </c>
      <c r="AB100" s="31">
        <v>299052</v>
      </c>
      <c r="AC100" s="98">
        <v>201072</v>
      </c>
      <c r="AD100" s="76">
        <f t="shared" si="224"/>
        <v>205975.66666666666</v>
      </c>
      <c r="AE100" s="24">
        <f t="shared" si="209"/>
        <v>19160.666666666657</v>
      </c>
      <c r="AF100" s="25">
        <f t="shared" si="187"/>
        <v>0.10832885747938746</v>
      </c>
      <c r="AG100" s="309">
        <f t="shared" si="188"/>
        <v>205975.66666666666</v>
      </c>
      <c r="AH100" s="601">
        <f t="shared" si="189"/>
        <v>205975.66666666666</v>
      </c>
      <c r="AI100" s="410">
        <v>94592</v>
      </c>
      <c r="AJ100" s="575">
        <f t="shared" si="210"/>
        <v>99908</v>
      </c>
      <c r="AK100" s="45">
        <v>75000</v>
      </c>
      <c r="AL100" s="45">
        <v>111608</v>
      </c>
      <c r="AM100" s="45">
        <v>75000</v>
      </c>
      <c r="AN100" s="76">
        <f>AVERAGE(AK100,AL100,AJ100)</f>
        <v>95505.333333333328</v>
      </c>
      <c r="AO100" s="24">
        <f t="shared" si="190"/>
        <v>913.33333333332848</v>
      </c>
      <c r="AP100" s="281">
        <f t="shared" si="191"/>
        <v>9.6555029318898897E-3</v>
      </c>
      <c r="AQ100" s="601">
        <f t="shared" si="192"/>
        <v>95505.333333333328</v>
      </c>
      <c r="AR100" s="513">
        <v>94592</v>
      </c>
      <c r="AS100" s="575">
        <f t="shared" si="216"/>
        <v>99908</v>
      </c>
      <c r="AT100" s="88">
        <v>85000</v>
      </c>
      <c r="AU100" s="116">
        <v>85000</v>
      </c>
      <c r="AV100" s="74">
        <v>89147.96</v>
      </c>
      <c r="AW100" s="76">
        <f t="shared" si="217"/>
        <v>89763.99</v>
      </c>
      <c r="AX100" s="24">
        <f t="shared" si="236"/>
        <v>-4828.0099999999948</v>
      </c>
      <c r="AY100" s="25">
        <f t="shared" si="237"/>
        <v>-5.1040362821380185E-2</v>
      </c>
      <c r="AZ100" s="309">
        <f t="shared" si="238"/>
        <v>89763.99</v>
      </c>
      <c r="BA100" s="604">
        <f t="shared" si="241"/>
        <v>99908</v>
      </c>
      <c r="BB100" s="513">
        <v>94592</v>
      </c>
      <c r="BC100" s="575">
        <f t="shared" si="211"/>
        <v>99908</v>
      </c>
      <c r="BD100" s="74">
        <v>93200.140000000014</v>
      </c>
      <c r="BE100" s="74">
        <v>100000</v>
      </c>
      <c r="BF100" s="75">
        <v>107382.77</v>
      </c>
      <c r="BG100" s="61">
        <v>93200.14</v>
      </c>
      <c r="BH100" s="60">
        <v>60000</v>
      </c>
      <c r="BI100" s="74">
        <v>107180.16099999999</v>
      </c>
      <c r="BJ100" s="79">
        <v>107382.77</v>
      </c>
      <c r="BK100" s="79">
        <f>73676*1.1</f>
        <v>81043.600000000006</v>
      </c>
      <c r="BL100" s="127">
        <v>97252.32</v>
      </c>
      <c r="BM100" s="128">
        <v>85000</v>
      </c>
      <c r="BN100" s="128">
        <v>83000</v>
      </c>
      <c r="BO100" s="76">
        <f>AVERAGE(BC100,BD100,BE100,BF100,BG100,BI100,BJ100,BL100,BM100)</f>
        <v>98945.144555555555</v>
      </c>
      <c r="BP100" s="24">
        <f t="shared" si="197"/>
        <v>4353.1445555555547</v>
      </c>
      <c r="BQ100" s="25">
        <f t="shared" si="198"/>
        <v>4.6020218999022693E-2</v>
      </c>
      <c r="BR100" s="259">
        <f t="shared" si="240"/>
        <v>98945.144555555555</v>
      </c>
      <c r="BS100" s="607">
        <f t="shared" si="212"/>
        <v>98945.144555555555</v>
      </c>
    </row>
    <row r="101" spans="1:71" ht="34.35" customHeight="1">
      <c r="A101" s="91" t="s">
        <v>18</v>
      </c>
      <c r="B101" s="358" t="s">
        <v>2292</v>
      </c>
      <c r="C101" s="50" t="s">
        <v>156</v>
      </c>
      <c r="D101" s="99" t="s">
        <v>500</v>
      </c>
      <c r="E101" s="391" t="s">
        <v>14</v>
      </c>
      <c r="F101" s="410">
        <v>96387</v>
      </c>
      <c r="G101" s="589">
        <f t="shared" si="204"/>
        <v>101804</v>
      </c>
      <c r="H101" s="10">
        <v>83775</v>
      </c>
      <c r="I101" s="167">
        <v>251325</v>
      </c>
      <c r="J101" s="10">
        <v>85000</v>
      </c>
      <c r="K101" s="76">
        <f>AVERAGE(H101,J101,G101)</f>
        <v>90193</v>
      </c>
      <c r="L101" s="24">
        <f t="shared" si="244"/>
        <v>-6194</v>
      </c>
      <c r="M101" s="281">
        <f t="shared" si="205"/>
        <v>-6.0842403048996109E-2</v>
      </c>
      <c r="N101" s="597">
        <f t="shared" si="213"/>
        <v>90193</v>
      </c>
      <c r="O101" s="446">
        <v>86752</v>
      </c>
      <c r="P101" s="575">
        <f t="shared" si="214"/>
        <v>91627</v>
      </c>
      <c r="Q101" s="213">
        <v>72000</v>
      </c>
      <c r="R101" s="213">
        <v>78000</v>
      </c>
      <c r="S101" s="277">
        <v>75000</v>
      </c>
      <c r="T101" s="213">
        <v>250000</v>
      </c>
      <c r="U101" s="86">
        <f t="shared" si="245"/>
        <v>79156.75</v>
      </c>
      <c r="V101" s="24">
        <f t="shared" si="246"/>
        <v>-12470.25</v>
      </c>
      <c r="W101" s="452">
        <v>2.61</v>
      </c>
      <c r="X101" s="465">
        <f t="shared" si="247"/>
        <v>79156.75</v>
      </c>
      <c r="Y101" s="410">
        <v>180238</v>
      </c>
      <c r="Z101" s="575">
        <f t="shared" si="207"/>
        <v>190367</v>
      </c>
      <c r="AA101" s="38">
        <v>234414</v>
      </c>
      <c r="AB101" s="31">
        <v>304738</v>
      </c>
      <c r="AC101" s="98">
        <v>204895.2</v>
      </c>
      <c r="AD101" s="76">
        <f t="shared" si="224"/>
        <v>209892.06666666665</v>
      </c>
      <c r="AE101" s="24">
        <f t="shared" si="209"/>
        <v>19525.066666666651</v>
      </c>
      <c r="AF101" s="25">
        <f t="shared" si="187"/>
        <v>0.10832935710930354</v>
      </c>
      <c r="AG101" s="309">
        <f t="shared" si="188"/>
        <v>209892.06666666665</v>
      </c>
      <c r="AH101" s="601">
        <f t="shared" si="189"/>
        <v>209892.06666666665</v>
      </c>
      <c r="AI101" s="410">
        <v>96386</v>
      </c>
      <c r="AJ101" s="575">
        <f t="shared" si="210"/>
        <v>101803</v>
      </c>
      <c r="AK101" s="45">
        <v>80000</v>
      </c>
      <c r="AL101" s="45">
        <v>113726</v>
      </c>
      <c r="AM101" s="45">
        <v>55000</v>
      </c>
      <c r="AN101" s="76">
        <f>AVERAGE(AK101,AL101,AJ101,AM101)</f>
        <v>87632.25</v>
      </c>
      <c r="AO101" s="24">
        <f t="shared" si="190"/>
        <v>-8753.75</v>
      </c>
      <c r="AP101" s="281">
        <f t="shared" si="191"/>
        <v>-9.0819724856306933E-2</v>
      </c>
      <c r="AQ101" s="601">
        <f t="shared" si="192"/>
        <v>87632.25</v>
      </c>
      <c r="AR101" s="513">
        <v>96386</v>
      </c>
      <c r="AS101" s="575">
        <f t="shared" si="216"/>
        <v>101803</v>
      </c>
      <c r="AT101" s="88">
        <v>95000</v>
      </c>
      <c r="AU101" s="116">
        <v>95000</v>
      </c>
      <c r="AV101" s="74">
        <v>92152.390000000014</v>
      </c>
      <c r="AW101" s="76">
        <f t="shared" si="217"/>
        <v>95988.847500000003</v>
      </c>
      <c r="AX101" s="24">
        <f t="shared" si="236"/>
        <v>-397.15249999999651</v>
      </c>
      <c r="AY101" s="25">
        <f t="shared" si="237"/>
        <v>-4.1204376154212905E-3</v>
      </c>
      <c r="AZ101" s="309">
        <f t="shared" si="238"/>
        <v>95988.847500000003</v>
      </c>
      <c r="BA101" s="604">
        <f>AW101</f>
        <v>95988.847500000003</v>
      </c>
      <c r="BB101" s="513">
        <v>96386</v>
      </c>
      <c r="BC101" s="575">
        <f t="shared" si="211"/>
        <v>101803</v>
      </c>
      <c r="BD101" s="74">
        <v>96341.135000000009</v>
      </c>
      <c r="BE101" s="74">
        <v>100000</v>
      </c>
      <c r="BF101" s="75">
        <v>111001.74250000002</v>
      </c>
      <c r="BG101" s="61">
        <v>96341.135000000009</v>
      </c>
      <c r="BH101" s="60">
        <v>38000</v>
      </c>
      <c r="BI101" s="74">
        <v>110792.30525</v>
      </c>
      <c r="BJ101" s="79">
        <v>111001.74250000002</v>
      </c>
      <c r="BK101" s="79">
        <f>76159*1.1</f>
        <v>83774.900000000009</v>
      </c>
      <c r="BL101" s="127">
        <v>100529.88</v>
      </c>
      <c r="BM101" s="128">
        <v>82100</v>
      </c>
      <c r="BN101" s="128">
        <v>85000</v>
      </c>
      <c r="BO101" s="76">
        <f>AVERAGE(BC101,BD101,BE101,BF101,BG101,BI101,BJ101,BL101,BN101,BK101,BM101)</f>
        <v>98062.349113636374</v>
      </c>
      <c r="BP101" s="24">
        <f t="shared" si="197"/>
        <v>1676.3491136363737</v>
      </c>
      <c r="BQ101" s="25">
        <f t="shared" si="198"/>
        <v>1.739203944179003E-2</v>
      </c>
      <c r="BR101" s="259">
        <f t="shared" si="240"/>
        <v>98062.349113636374</v>
      </c>
      <c r="BS101" s="607">
        <f t="shared" si="212"/>
        <v>98062.349113636374</v>
      </c>
    </row>
    <row r="102" spans="1:71" ht="34.35" customHeight="1">
      <c r="A102" s="91" t="s">
        <v>18</v>
      </c>
      <c r="B102" s="358" t="s">
        <v>2293</v>
      </c>
      <c r="C102" s="50" t="s">
        <v>157</v>
      </c>
      <c r="D102" s="99" t="s">
        <v>501</v>
      </c>
      <c r="E102" s="391" t="s">
        <v>14</v>
      </c>
      <c r="F102" s="410">
        <v>72846</v>
      </c>
      <c r="G102" s="589">
        <f t="shared" si="204"/>
        <v>76940</v>
      </c>
      <c r="H102" s="10">
        <v>71797</v>
      </c>
      <c r="I102" s="167">
        <v>215391</v>
      </c>
      <c r="J102" s="10">
        <v>70000</v>
      </c>
      <c r="K102" s="76">
        <f>AVERAGE(H102,J102,G102)</f>
        <v>72912.333333333328</v>
      </c>
      <c r="L102" s="24">
        <f t="shared" si="244"/>
        <v>66.333333333328483</v>
      </c>
      <c r="M102" s="281">
        <f t="shared" si="205"/>
        <v>8.6214366172769022E-4</v>
      </c>
      <c r="N102" s="597">
        <f t="shared" si="213"/>
        <v>72912.333333333328</v>
      </c>
      <c r="O102" s="446">
        <v>65555</v>
      </c>
      <c r="P102" s="575">
        <f t="shared" si="214"/>
        <v>69239</v>
      </c>
      <c r="Q102" s="213">
        <v>72000</v>
      </c>
      <c r="R102" s="213">
        <v>78000</v>
      </c>
      <c r="S102" s="277">
        <v>75000</v>
      </c>
      <c r="T102" s="213">
        <v>150000</v>
      </c>
      <c r="U102" s="86">
        <f t="shared" si="245"/>
        <v>73559.75</v>
      </c>
      <c r="V102" s="24">
        <f t="shared" si="246"/>
        <v>4320.75</v>
      </c>
      <c r="W102" s="452">
        <v>3.61</v>
      </c>
      <c r="X102" s="465">
        <f t="shared" si="247"/>
        <v>73559.75</v>
      </c>
      <c r="Y102" s="410">
        <v>136206</v>
      </c>
      <c r="Z102" s="575">
        <f t="shared" si="207"/>
        <v>143861</v>
      </c>
      <c r="AA102" s="38">
        <v>177147</v>
      </c>
      <c r="AB102" s="31">
        <v>230291</v>
      </c>
      <c r="AC102" s="98">
        <v>154839.6</v>
      </c>
      <c r="AD102" s="76">
        <f t="shared" si="224"/>
        <v>158615.86666666667</v>
      </c>
      <c r="AE102" s="24">
        <f t="shared" si="209"/>
        <v>14754.866666666669</v>
      </c>
      <c r="AF102" s="25">
        <f t="shared" si="187"/>
        <v>0.10832758224062573</v>
      </c>
      <c r="AG102" s="309">
        <f t="shared" si="188"/>
        <v>158615.86666666667</v>
      </c>
      <c r="AH102" s="601">
        <f t="shared" si="189"/>
        <v>158615.86666666667</v>
      </c>
      <c r="AI102" s="410">
        <v>72845</v>
      </c>
      <c r="AJ102" s="575">
        <f t="shared" si="210"/>
        <v>76939</v>
      </c>
      <c r="AK102" s="45">
        <v>45000</v>
      </c>
      <c r="AL102" s="45">
        <v>85944</v>
      </c>
      <c r="AM102" s="45">
        <v>55000</v>
      </c>
      <c r="AN102" s="76">
        <f>AVERAGE(AL102,AM102,AJ102)</f>
        <v>72627.666666666672</v>
      </c>
      <c r="AO102" s="24">
        <f t="shared" si="190"/>
        <v>-217.33333333332848</v>
      </c>
      <c r="AP102" s="281">
        <f t="shared" si="191"/>
        <v>-2.9835037865787424E-3</v>
      </c>
      <c r="AQ102" s="601">
        <f t="shared" si="192"/>
        <v>72627.666666666672</v>
      </c>
      <c r="AR102" s="513">
        <v>72845</v>
      </c>
      <c r="AS102" s="575">
        <f t="shared" si="216"/>
        <v>76939</v>
      </c>
      <c r="AT102" s="88">
        <v>95000</v>
      </c>
      <c r="AU102" s="116">
        <v>95000</v>
      </c>
      <c r="AV102" s="74">
        <v>78976.7</v>
      </c>
      <c r="AW102" s="76">
        <f t="shared" si="217"/>
        <v>86478.925000000003</v>
      </c>
      <c r="AX102" s="24">
        <f t="shared" si="236"/>
        <v>13633.925000000003</v>
      </c>
      <c r="AY102" s="25">
        <f t="shared" si="237"/>
        <v>0.18716349783787498</v>
      </c>
      <c r="AZ102" s="309">
        <f t="shared" si="238"/>
        <v>86478.925000000003</v>
      </c>
      <c r="BA102" s="601">
        <f t="shared" si="239"/>
        <v>86478.925000000003</v>
      </c>
      <c r="BB102" s="513">
        <v>72845</v>
      </c>
      <c r="BC102" s="575">
        <f t="shared" si="211"/>
        <v>76939</v>
      </c>
      <c r="BD102" s="74">
        <v>82566.55</v>
      </c>
      <c r="BE102" s="74">
        <v>100000</v>
      </c>
      <c r="BF102" s="75">
        <v>95131.024999999994</v>
      </c>
      <c r="BG102" s="61">
        <v>82566.549999999988</v>
      </c>
      <c r="BH102" s="60">
        <v>38000</v>
      </c>
      <c r="BI102" s="74">
        <v>94951.532499999972</v>
      </c>
      <c r="BJ102" s="79">
        <v>95131.024999999994</v>
      </c>
      <c r="BK102" s="79">
        <f>65270*1.1</f>
        <v>71797</v>
      </c>
      <c r="BL102" s="127">
        <v>86156.4</v>
      </c>
      <c r="BM102" s="128">
        <v>83500</v>
      </c>
      <c r="BN102" s="128">
        <v>75000</v>
      </c>
      <c r="BO102" s="76">
        <f t="shared" si="222"/>
        <v>81811.590208333335</v>
      </c>
      <c r="BP102" s="24">
        <f t="shared" si="197"/>
        <v>8966.5902083333349</v>
      </c>
      <c r="BQ102" s="25">
        <f t="shared" si="198"/>
        <v>0.12309136122360265</v>
      </c>
      <c r="BR102" s="259">
        <f t="shared" si="240"/>
        <v>81811.590208333335</v>
      </c>
      <c r="BS102" s="607">
        <f t="shared" si="212"/>
        <v>81811.590208333335</v>
      </c>
    </row>
    <row r="103" spans="1:71" ht="33" customHeight="1">
      <c r="A103" s="91" t="s">
        <v>18</v>
      </c>
      <c r="B103" s="358" t="s">
        <v>2294</v>
      </c>
      <c r="C103" s="50" t="s">
        <v>158</v>
      </c>
      <c r="D103" s="99" t="s">
        <v>502</v>
      </c>
      <c r="E103" s="391" t="s">
        <v>14</v>
      </c>
      <c r="F103" s="410">
        <v>47520</v>
      </c>
      <c r="G103" s="589">
        <f t="shared" si="204"/>
        <v>50191</v>
      </c>
      <c r="H103" s="10">
        <v>41163</v>
      </c>
      <c r="I103" s="167">
        <v>123489</v>
      </c>
      <c r="J103" s="10">
        <v>38950</v>
      </c>
      <c r="K103" s="76">
        <f>AVERAGE(H103,G103)</f>
        <v>45677</v>
      </c>
      <c r="L103" s="24">
        <f t="shared" si="244"/>
        <v>-1843</v>
      </c>
      <c r="M103" s="281">
        <f t="shared" si="205"/>
        <v>-3.6719730628997228E-2</v>
      </c>
      <c r="N103" s="597">
        <f t="shared" si="213"/>
        <v>45677</v>
      </c>
      <c r="O103" s="446">
        <v>42764</v>
      </c>
      <c r="P103" s="575">
        <f t="shared" si="214"/>
        <v>45167</v>
      </c>
      <c r="Q103" s="213">
        <v>72000</v>
      </c>
      <c r="R103" s="213">
        <v>78000</v>
      </c>
      <c r="S103" s="277">
        <v>75000</v>
      </c>
      <c r="T103" s="213">
        <v>250000</v>
      </c>
      <c r="U103" s="86">
        <f t="shared" si="245"/>
        <v>67541.75</v>
      </c>
      <c r="V103" s="24">
        <f t="shared" si="246"/>
        <v>22374.75</v>
      </c>
      <c r="W103" s="452">
        <v>4.6100000000000003</v>
      </c>
      <c r="X103" s="465">
        <f t="shared" si="247"/>
        <v>67541.75</v>
      </c>
      <c r="Y103" s="410">
        <v>88853</v>
      </c>
      <c r="Z103" s="575">
        <f t="shared" si="207"/>
        <v>93847</v>
      </c>
      <c r="AA103" s="38">
        <v>115560</v>
      </c>
      <c r="AB103" s="31">
        <v>115560</v>
      </c>
      <c r="AC103" s="31">
        <v>101008</v>
      </c>
      <c r="AD103" s="76">
        <f>AVERAGE(AA103,AC103,Z103,AB103)</f>
        <v>106493.75</v>
      </c>
      <c r="AE103" s="24">
        <f t="shared" si="209"/>
        <v>12646.75</v>
      </c>
      <c r="AF103" s="25">
        <f t="shared" si="187"/>
        <v>0.14233340461211214</v>
      </c>
      <c r="AG103" s="309">
        <f t="shared" si="188"/>
        <v>106493.75</v>
      </c>
      <c r="AH103" s="601">
        <f t="shared" si="189"/>
        <v>106493.75</v>
      </c>
      <c r="AI103" s="410">
        <v>47519</v>
      </c>
      <c r="AJ103" s="575">
        <f t="shared" si="210"/>
        <v>50190</v>
      </c>
      <c r="AK103" s="45">
        <v>45000</v>
      </c>
      <c r="AL103" s="45">
        <v>56062</v>
      </c>
      <c r="AM103" s="45">
        <v>55000</v>
      </c>
      <c r="AN103" s="76">
        <f t="shared" si="223"/>
        <v>51563</v>
      </c>
      <c r="AO103" s="24">
        <f t="shared" si="190"/>
        <v>4044</v>
      </c>
      <c r="AP103" s="281">
        <f t="shared" si="191"/>
        <v>8.5102800984869206E-2</v>
      </c>
      <c r="AQ103" s="601">
        <f t="shared" si="192"/>
        <v>51563</v>
      </c>
      <c r="AR103" s="513">
        <v>47519</v>
      </c>
      <c r="AS103" s="575">
        <f t="shared" si="216"/>
        <v>50190</v>
      </c>
      <c r="AT103" s="88">
        <v>50000</v>
      </c>
      <c r="AU103" s="116">
        <v>50000</v>
      </c>
      <c r="AV103" s="74">
        <v>45279.41</v>
      </c>
      <c r="AW103" s="76">
        <f>AVERAGE(AS103,AT103,AU103)</f>
        <v>50063.333333333336</v>
      </c>
      <c r="AX103" s="24">
        <f t="shared" si="236"/>
        <v>2544.3333333333358</v>
      </c>
      <c r="AY103" s="25">
        <f t="shared" si="237"/>
        <v>5.3543494882748704E-2</v>
      </c>
      <c r="AZ103" s="309">
        <f t="shared" si="238"/>
        <v>50063.333333333336</v>
      </c>
      <c r="BA103" s="601">
        <f t="shared" si="239"/>
        <v>50063.333333333336</v>
      </c>
      <c r="BB103" s="513">
        <v>47519</v>
      </c>
      <c r="BC103" s="575">
        <f t="shared" si="211"/>
        <v>50190</v>
      </c>
      <c r="BD103" s="74">
        <v>47337.56500000001</v>
      </c>
      <c r="BE103" s="74">
        <v>70000</v>
      </c>
      <c r="BF103" s="75">
        <v>54541.107500000006</v>
      </c>
      <c r="BG103" s="61">
        <v>47337.565000000002</v>
      </c>
      <c r="BH103" s="60">
        <v>38000</v>
      </c>
      <c r="BI103" s="74">
        <v>54438.19975</v>
      </c>
      <c r="BJ103" s="79">
        <v>54541.107500000006</v>
      </c>
      <c r="BK103" s="79">
        <f>37421*1.1</f>
        <v>41163.100000000006</v>
      </c>
      <c r="BL103" s="127">
        <v>49395.720000000008</v>
      </c>
      <c r="BM103" s="128">
        <v>38900</v>
      </c>
      <c r="BN103" s="128">
        <v>42000</v>
      </c>
      <c r="BO103" s="76">
        <f t="shared" si="222"/>
        <v>48987.030395833346</v>
      </c>
      <c r="BP103" s="24">
        <f t="shared" si="197"/>
        <v>1468.0303958333461</v>
      </c>
      <c r="BQ103" s="25">
        <f t="shared" si="198"/>
        <v>3.089354565191494E-2</v>
      </c>
      <c r="BR103" s="259">
        <f t="shared" si="240"/>
        <v>48987.030395833346</v>
      </c>
      <c r="BS103" s="607">
        <f t="shared" si="212"/>
        <v>48987.030395833346</v>
      </c>
    </row>
    <row r="104" spans="1:71" ht="32.1" customHeight="1">
      <c r="A104" s="91" t="s">
        <v>18</v>
      </c>
      <c r="B104" s="358" t="s">
        <v>2295</v>
      </c>
      <c r="C104" s="50" t="s">
        <v>159</v>
      </c>
      <c r="D104" s="99" t="s">
        <v>503</v>
      </c>
      <c r="E104" s="391" t="s">
        <v>14</v>
      </c>
      <c r="F104" s="410">
        <v>70672</v>
      </c>
      <c r="G104" s="589">
        <f t="shared" si="204"/>
        <v>74644</v>
      </c>
      <c r="H104" s="10">
        <v>59950</v>
      </c>
      <c r="I104" s="167">
        <v>239800</v>
      </c>
      <c r="J104" s="10">
        <v>60050</v>
      </c>
      <c r="K104" s="76">
        <f>AVERAGE(H104,J104,G104)</f>
        <v>64881.333333333336</v>
      </c>
      <c r="L104" s="24">
        <f t="shared" si="244"/>
        <v>-5790.6666666666642</v>
      </c>
      <c r="M104" s="281">
        <f t="shared" si="205"/>
        <v>-7.7577121626207918E-2</v>
      </c>
      <c r="N104" s="597">
        <f t="shared" si="213"/>
        <v>64881.333333333336</v>
      </c>
      <c r="O104" s="446">
        <v>63609</v>
      </c>
      <c r="P104" s="575">
        <f t="shared" si="214"/>
        <v>67184</v>
      </c>
      <c r="Q104" s="213">
        <v>72000</v>
      </c>
      <c r="R104" s="213">
        <v>78000</v>
      </c>
      <c r="S104" s="277">
        <v>75000</v>
      </c>
      <c r="T104" s="213">
        <v>250000</v>
      </c>
      <c r="U104" s="86">
        <f t="shared" si="245"/>
        <v>73046</v>
      </c>
      <c r="V104" s="24">
        <f t="shared" si="246"/>
        <v>5862</v>
      </c>
      <c r="W104" s="452">
        <v>5.61</v>
      </c>
      <c r="X104" s="465">
        <f t="shared" si="247"/>
        <v>73046</v>
      </c>
      <c r="Y104" s="410">
        <v>132158</v>
      </c>
      <c r="Z104" s="575">
        <f t="shared" si="207"/>
        <v>139585</v>
      </c>
      <c r="AA104" s="38">
        <v>171882</v>
      </c>
      <c r="AB104" s="31">
        <v>223447</v>
      </c>
      <c r="AC104" s="31">
        <v>150237.6</v>
      </c>
      <c r="AD104" s="76">
        <f t="shared" si="224"/>
        <v>153901.53333333333</v>
      </c>
      <c r="AE104" s="24">
        <f t="shared" si="209"/>
        <v>14316.533333333326</v>
      </c>
      <c r="AF104" s="25">
        <f t="shared" si="187"/>
        <v>0.10832891942472893</v>
      </c>
      <c r="AG104" s="309">
        <f t="shared" si="188"/>
        <v>153901.53333333333</v>
      </c>
      <c r="AH104" s="601">
        <f t="shared" si="189"/>
        <v>153901.53333333333</v>
      </c>
      <c r="AI104" s="410">
        <v>70671</v>
      </c>
      <c r="AJ104" s="575">
        <f t="shared" si="210"/>
        <v>74643</v>
      </c>
      <c r="AK104" s="45">
        <v>45000</v>
      </c>
      <c r="AL104" s="45">
        <v>83388</v>
      </c>
      <c r="AM104" s="45">
        <v>55000</v>
      </c>
      <c r="AN104" s="76">
        <f>AVERAGE(AL104,AM104,AJ104)</f>
        <v>71010.333333333328</v>
      </c>
      <c r="AO104" s="24">
        <f t="shared" si="190"/>
        <v>339.33333333332848</v>
      </c>
      <c r="AP104" s="281">
        <f t="shared" si="191"/>
        <v>4.8015923551856981E-3</v>
      </c>
      <c r="AQ104" s="601">
        <f t="shared" si="192"/>
        <v>71010.333333333328</v>
      </c>
      <c r="AR104" s="513">
        <v>70671</v>
      </c>
      <c r="AS104" s="575">
        <f t="shared" si="216"/>
        <v>74643</v>
      </c>
      <c r="AT104" s="88">
        <v>70000</v>
      </c>
      <c r="AU104" s="116">
        <v>70000</v>
      </c>
      <c r="AV104" s="74">
        <v>65945.000000000015</v>
      </c>
      <c r="AW104" s="76">
        <f>AVERAGE(AS104,AT104,AU104)</f>
        <v>71547.666666666672</v>
      </c>
      <c r="AX104" s="24">
        <f t="shared" si="236"/>
        <v>876.66666666667152</v>
      </c>
      <c r="AY104" s="25">
        <f t="shared" si="237"/>
        <v>1.2404899699546794E-2</v>
      </c>
      <c r="AZ104" s="309">
        <f t="shared" si="238"/>
        <v>71547.666666666672</v>
      </c>
      <c r="BA104" s="601">
        <f t="shared" si="239"/>
        <v>71547.666666666672</v>
      </c>
      <c r="BB104" s="513">
        <v>70671</v>
      </c>
      <c r="BC104" s="575">
        <f t="shared" si="211"/>
        <v>74643</v>
      </c>
      <c r="BD104" s="74">
        <v>68942.5</v>
      </c>
      <c r="BE104" s="74">
        <v>70000</v>
      </c>
      <c r="BF104" s="75">
        <v>79433.75</v>
      </c>
      <c r="BG104" s="61">
        <v>68942.5</v>
      </c>
      <c r="BH104" s="60">
        <v>38000</v>
      </c>
      <c r="BI104" s="74">
        <v>79283.875</v>
      </c>
      <c r="BJ104" s="79">
        <v>79433.75</v>
      </c>
      <c r="BK104" s="79">
        <f>54500*1.1</f>
        <v>59950.000000000007</v>
      </c>
      <c r="BL104" s="127">
        <v>71940.000000000015</v>
      </c>
      <c r="BM104" s="128">
        <v>55500</v>
      </c>
      <c r="BN104" s="128">
        <v>60000</v>
      </c>
      <c r="BO104" s="76">
        <f t="shared" si="222"/>
        <v>67172.447916666672</v>
      </c>
      <c r="BP104" s="24">
        <f t="shared" si="197"/>
        <v>-3498.5520833333285</v>
      </c>
      <c r="BQ104" s="25">
        <f t="shared" si="198"/>
        <v>-4.9504776829722638E-2</v>
      </c>
      <c r="BR104" s="259">
        <f t="shared" si="240"/>
        <v>67172.447916666672</v>
      </c>
      <c r="BS104" s="607">
        <f>BC104</f>
        <v>74643</v>
      </c>
    </row>
    <row r="105" spans="1:71" ht="32.450000000000003" customHeight="1">
      <c r="A105" s="91" t="s">
        <v>18</v>
      </c>
      <c r="B105" s="358" t="s">
        <v>2296</v>
      </c>
      <c r="C105" s="50" t="s">
        <v>160</v>
      </c>
      <c r="D105" s="99" t="s">
        <v>504</v>
      </c>
      <c r="E105" s="391" t="s">
        <v>10</v>
      </c>
      <c r="F105" s="410">
        <v>35617</v>
      </c>
      <c r="G105" s="589">
        <f t="shared" si="204"/>
        <v>37619</v>
      </c>
      <c r="H105" s="10">
        <v>90000</v>
      </c>
      <c r="I105" s="167">
        <v>180000</v>
      </c>
      <c r="J105" s="10">
        <v>82560</v>
      </c>
      <c r="K105" s="76">
        <f>AVERAGE(H105,J105,G105)</f>
        <v>70059.666666666672</v>
      </c>
      <c r="L105" s="24">
        <f t="shared" si="244"/>
        <v>34442.666666666672</v>
      </c>
      <c r="M105" s="281">
        <f t="shared" si="205"/>
        <v>0.91556571590596958</v>
      </c>
      <c r="N105" s="609">
        <f t="shared" si="213"/>
        <v>70059.666666666672</v>
      </c>
      <c r="O105" s="446">
        <v>32056</v>
      </c>
      <c r="P105" s="575">
        <f t="shared" si="214"/>
        <v>33858</v>
      </c>
      <c r="Q105" s="213">
        <v>190000</v>
      </c>
      <c r="R105" s="213">
        <v>205000</v>
      </c>
      <c r="S105" s="277">
        <v>200000</v>
      </c>
      <c r="T105" s="213">
        <v>200000</v>
      </c>
      <c r="U105" s="86">
        <f>AVERAGE(Q105,R105,R105:S105,P105)</f>
        <v>166771.6</v>
      </c>
      <c r="V105" s="24">
        <f t="shared" si="246"/>
        <v>132913.60000000001</v>
      </c>
      <c r="W105" s="452">
        <v>6.61</v>
      </c>
      <c r="X105" s="465">
        <f>AVERAGE(U105,P105)</f>
        <v>100314.8</v>
      </c>
      <c r="Y105" s="410">
        <v>66598</v>
      </c>
      <c r="Z105" s="575">
        <f t="shared" si="207"/>
        <v>70341</v>
      </c>
      <c r="AA105" s="38">
        <v>86616</v>
      </c>
      <c r="AB105" s="31">
        <v>112601</v>
      </c>
      <c r="AC105" s="31">
        <v>75708.800000000003</v>
      </c>
      <c r="AD105" s="76">
        <f t="shared" si="224"/>
        <v>77555.266666666663</v>
      </c>
      <c r="AE105" s="24">
        <f t="shared" si="209"/>
        <v>7214.2666666666628</v>
      </c>
      <c r="AF105" s="25">
        <f t="shared" si="187"/>
        <v>0.10832557534260283</v>
      </c>
      <c r="AG105" s="309">
        <f t="shared" si="188"/>
        <v>77555.266666666663</v>
      </c>
      <c r="AH105" s="601">
        <f t="shared" si="189"/>
        <v>77555.266666666663</v>
      </c>
      <c r="AI105" s="410">
        <v>35615</v>
      </c>
      <c r="AJ105" s="575">
        <f t="shared" si="210"/>
        <v>37617</v>
      </c>
      <c r="AK105" s="45">
        <v>90000</v>
      </c>
      <c r="AL105" s="45">
        <v>42020</v>
      </c>
      <c r="AM105" s="45">
        <v>85000</v>
      </c>
      <c r="AN105" s="76">
        <f>AVERAGE(AL105,AM105,AJ105)</f>
        <v>54879</v>
      </c>
      <c r="AO105" s="24">
        <f t="shared" si="190"/>
        <v>19264</v>
      </c>
      <c r="AP105" s="281">
        <f t="shared" si="191"/>
        <v>0.54089569001825077</v>
      </c>
      <c r="AQ105" s="601">
        <f t="shared" si="192"/>
        <v>54879</v>
      </c>
      <c r="AR105" s="513">
        <v>35615</v>
      </c>
      <c r="AS105" s="575">
        <f t="shared" si="216"/>
        <v>37617</v>
      </c>
      <c r="AT105" s="88">
        <v>110000</v>
      </c>
      <c r="AU105" s="116">
        <v>110000</v>
      </c>
      <c r="AV105" s="74">
        <v>99000</v>
      </c>
      <c r="AW105" s="76">
        <f t="shared" si="217"/>
        <v>89154.25</v>
      </c>
      <c r="AX105" s="24">
        <f t="shared" si="236"/>
        <v>53539.25</v>
      </c>
      <c r="AY105" s="25">
        <f t="shared" si="237"/>
        <v>1.5032781131545696</v>
      </c>
      <c r="AZ105" s="309" t="str">
        <f t="shared" si="238"/>
        <v>REVISAR PRECIO</v>
      </c>
      <c r="BA105" s="601">
        <f t="shared" si="239"/>
        <v>89154.25</v>
      </c>
      <c r="BB105" s="513">
        <v>35615</v>
      </c>
      <c r="BC105" s="575">
        <f t="shared" si="211"/>
        <v>37617</v>
      </c>
      <c r="BD105" s="74">
        <v>103500</v>
      </c>
      <c r="BE105" s="74">
        <v>140000</v>
      </c>
      <c r="BF105" s="75">
        <v>119250</v>
      </c>
      <c r="BG105" s="61">
        <v>103499.99999999999</v>
      </c>
      <c r="BH105" s="60">
        <v>70000</v>
      </c>
      <c r="BI105" s="74">
        <v>119024.99999999997</v>
      </c>
      <c r="BJ105" s="79">
        <v>119250</v>
      </c>
      <c r="BK105" s="79">
        <v>90000</v>
      </c>
      <c r="BL105" s="127">
        <v>108000</v>
      </c>
      <c r="BM105" s="128">
        <v>100200</v>
      </c>
      <c r="BN105" s="128">
        <v>95000</v>
      </c>
      <c r="BO105" s="76">
        <f t="shared" si="222"/>
        <v>100445.16666666667</v>
      </c>
      <c r="BP105" s="24">
        <f t="shared" si="197"/>
        <v>64830.166666666672</v>
      </c>
      <c r="BQ105" s="25">
        <f t="shared" si="198"/>
        <v>1.8203051148860501</v>
      </c>
      <c r="BR105" s="259" t="str">
        <f t="shared" si="240"/>
        <v>REVISAR PRECIO</v>
      </c>
      <c r="BS105" s="607">
        <f t="shared" si="212"/>
        <v>100445.16666666667</v>
      </c>
    </row>
    <row r="106" spans="1:71" ht="24.6" customHeight="1">
      <c r="A106" s="91" t="s">
        <v>514</v>
      </c>
      <c r="B106" s="358" t="s">
        <v>2297</v>
      </c>
      <c r="C106" s="252" t="s">
        <v>753</v>
      </c>
      <c r="D106" s="100" t="s">
        <v>514</v>
      </c>
      <c r="E106" s="91"/>
      <c r="F106" s="411"/>
      <c r="G106" s="574"/>
      <c r="H106" s="173"/>
      <c r="I106" s="174"/>
      <c r="J106" s="173"/>
      <c r="K106" s="173"/>
      <c r="L106" s="173"/>
      <c r="M106" s="173"/>
      <c r="N106" s="173"/>
      <c r="O106" s="411"/>
      <c r="P106" s="173"/>
      <c r="Q106" s="173"/>
      <c r="R106" s="173"/>
      <c r="S106" s="274"/>
      <c r="T106" s="266"/>
      <c r="U106" s="266"/>
      <c r="V106" s="266"/>
      <c r="W106" s="266"/>
      <c r="X106" s="266"/>
      <c r="Y106" s="413"/>
      <c r="Z106" s="47"/>
      <c r="AA106" s="47"/>
      <c r="AB106" s="47"/>
      <c r="AC106" s="47"/>
      <c r="AD106" s="47"/>
      <c r="AE106" s="47"/>
      <c r="AF106" s="47"/>
      <c r="AG106" s="91"/>
      <c r="AH106" s="467"/>
      <c r="AI106" s="501"/>
      <c r="AJ106" s="324"/>
      <c r="AK106" s="324"/>
      <c r="AL106" s="324"/>
      <c r="AM106" s="323"/>
      <c r="AN106" s="323"/>
      <c r="AO106" s="323"/>
      <c r="AP106" s="323"/>
      <c r="AQ106" s="323"/>
      <c r="AR106" s="413"/>
      <c r="AS106" s="47"/>
      <c r="AT106" s="47"/>
      <c r="AU106" s="47"/>
      <c r="AV106" s="47"/>
      <c r="AW106" s="47"/>
      <c r="AX106" s="47"/>
      <c r="AY106" s="47"/>
      <c r="AZ106" s="91"/>
      <c r="BA106" s="467"/>
      <c r="BB106" s="413"/>
      <c r="BC106" s="47"/>
      <c r="BD106" s="47"/>
      <c r="BE106" s="47"/>
      <c r="BF106" s="47"/>
      <c r="BG106" s="47"/>
      <c r="BH106" s="47"/>
      <c r="BI106" s="47"/>
      <c r="BJ106" s="148"/>
      <c r="BK106" s="148"/>
      <c r="BL106" s="149"/>
      <c r="BM106" s="148"/>
      <c r="BN106" s="148"/>
      <c r="BO106" s="47"/>
      <c r="BP106" s="47"/>
      <c r="BQ106" s="47"/>
      <c r="BR106" s="414"/>
      <c r="BS106" s="414"/>
    </row>
    <row r="107" spans="1:71" ht="45.6" customHeight="1">
      <c r="A107" s="91" t="s">
        <v>514</v>
      </c>
      <c r="B107" s="358" t="s">
        <v>2298</v>
      </c>
      <c r="C107" s="50" t="s">
        <v>173</v>
      </c>
      <c r="D107" s="99" t="s">
        <v>515</v>
      </c>
      <c r="E107" s="391" t="s">
        <v>14</v>
      </c>
      <c r="F107" s="410">
        <v>117650</v>
      </c>
      <c r="G107" s="589">
        <f t="shared" si="204"/>
        <v>124262</v>
      </c>
      <c r="H107" s="10">
        <v>148391</v>
      </c>
      <c r="I107" s="167">
        <v>296782</v>
      </c>
      <c r="J107" s="10">
        <v>112500</v>
      </c>
      <c r="K107" s="76">
        <f t="shared" ref="K107:K116" si="248">AVERAGE(H107,J107,G107)</f>
        <v>128384.33333333333</v>
      </c>
      <c r="L107" s="24">
        <f t="shared" ref="L107:L125" si="249">K107-F107</f>
        <v>10734.333333333328</v>
      </c>
      <c r="M107" s="281">
        <f t="shared" si="205"/>
        <v>8.638468182818021E-2</v>
      </c>
      <c r="N107" s="597">
        <f t="shared" si="213"/>
        <v>128384.33333333333</v>
      </c>
      <c r="O107" s="410">
        <v>106172</v>
      </c>
      <c r="P107" s="575">
        <f t="shared" si="214"/>
        <v>112139</v>
      </c>
      <c r="Q107" s="10">
        <v>80000</v>
      </c>
      <c r="R107" s="10">
        <v>87000</v>
      </c>
      <c r="S107" s="268">
        <v>85000</v>
      </c>
      <c r="T107" s="10" t="s">
        <v>1421</v>
      </c>
      <c r="U107" s="76">
        <f t="shared" ref="U107:U112" si="250">AVERAGE(Q107,R107,S107,P107)</f>
        <v>91034.75</v>
      </c>
      <c r="V107" s="24">
        <f t="shared" si="206"/>
        <v>-21104.25</v>
      </c>
      <c r="W107" s="281">
        <f t="shared" ref="W107:W125" si="251">+V107/O107</f>
        <v>-0.19877415891195419</v>
      </c>
      <c r="X107" s="462">
        <f t="shared" ref="X107:X124" si="252">U107</f>
        <v>91034.75</v>
      </c>
      <c r="Y107" s="410">
        <v>131992</v>
      </c>
      <c r="Z107" s="575">
        <f t="shared" si="207"/>
        <v>139410</v>
      </c>
      <c r="AA107" s="31">
        <v>171666</v>
      </c>
      <c r="AB107" s="31">
        <v>223166</v>
      </c>
      <c r="AC107" s="472">
        <v>150048.79999999999</v>
      </c>
      <c r="AD107" s="76">
        <f t="shared" si="224"/>
        <v>153708.26666666666</v>
      </c>
      <c r="AE107" s="24">
        <f t="shared" si="209"/>
        <v>14298.266666666663</v>
      </c>
      <c r="AF107" s="25">
        <f t="shared" ref="AF107:AF125" si="253">+AE107/Y107</f>
        <v>0.10832676727882495</v>
      </c>
      <c r="AG107" s="309">
        <f t="shared" ref="AG107:AG125" si="254">+IF(AF107&lt;35%,AD107,"REVISAR PRECIO")</f>
        <v>153708.26666666666</v>
      </c>
      <c r="AH107" s="601">
        <f t="shared" ref="AH107:AH125" si="255">AD107</f>
        <v>153708.26666666666</v>
      </c>
      <c r="AI107" s="410">
        <v>117649</v>
      </c>
      <c r="AJ107" s="575">
        <f t="shared" si="210"/>
        <v>124261</v>
      </c>
      <c r="AK107" s="45"/>
      <c r="AL107" s="45">
        <v>138809</v>
      </c>
      <c r="AM107" s="45">
        <v>140000</v>
      </c>
      <c r="AN107" s="76">
        <f t="shared" si="223"/>
        <v>134356.66666666666</v>
      </c>
      <c r="AO107" s="24">
        <f t="shared" ref="AO107:AO125" si="256">AN107-AI107</f>
        <v>16707.666666666657</v>
      </c>
      <c r="AP107" s="281">
        <f t="shared" ref="AP107:AP125" si="257">+AO107/AI107</f>
        <v>0.14201282345507957</v>
      </c>
      <c r="AQ107" s="601">
        <f t="shared" ref="AQ107:AQ125" si="258">AN107</f>
        <v>134356.66666666666</v>
      </c>
      <c r="AR107" s="513">
        <v>117649</v>
      </c>
      <c r="AS107" s="575">
        <f t="shared" si="216"/>
        <v>124261</v>
      </c>
      <c r="AT107" s="88">
        <v>165000</v>
      </c>
      <c r="AU107" s="116">
        <v>165000</v>
      </c>
      <c r="AV107" s="74">
        <v>163230.21000000002</v>
      </c>
      <c r="AW107" s="76">
        <f t="shared" si="217"/>
        <v>154372.80249999999</v>
      </c>
      <c r="AX107" s="24">
        <f t="shared" ref="AX107:AX125" si="259">AW107-AR107</f>
        <v>36723.802499999991</v>
      </c>
      <c r="AY107" s="25">
        <f t="shared" ref="AY107:AY125" si="260">+AX107/AR107</f>
        <v>0.31214717082168136</v>
      </c>
      <c r="AZ107" s="309">
        <f t="shared" ref="AZ107:AZ125" si="261">+IF(AY107&lt;35%,AW107,"REVISAR PRECIO")</f>
        <v>154372.80249999999</v>
      </c>
      <c r="BA107" s="601">
        <f t="shared" ref="BA107:BA125" si="262">AW107</f>
        <v>154372.80249999999</v>
      </c>
      <c r="BB107" s="513">
        <v>117649</v>
      </c>
      <c r="BC107" s="575">
        <f t="shared" si="211"/>
        <v>124261</v>
      </c>
      <c r="BD107" s="74">
        <v>170649.76500000001</v>
      </c>
      <c r="BE107" s="74">
        <v>160000</v>
      </c>
      <c r="BF107" s="75">
        <v>196618.20750000002</v>
      </c>
      <c r="BG107" s="61">
        <v>170649.76499999998</v>
      </c>
      <c r="BH107" s="60">
        <v>23000</v>
      </c>
      <c r="BI107" s="74">
        <v>196247.22974999997</v>
      </c>
      <c r="BJ107" s="79">
        <v>196618.20750000002</v>
      </c>
      <c r="BK107" s="79">
        <f>134901*1.1</f>
        <v>148391.1</v>
      </c>
      <c r="BL107" s="127">
        <v>155810.655</v>
      </c>
      <c r="BM107" s="128">
        <v>180900</v>
      </c>
      <c r="BN107" s="128">
        <v>160000</v>
      </c>
      <c r="BO107" s="76">
        <f>AVERAGE(BC107,BD107,BE107,BG107,BI107,BJ107,BK107,BL107,BM107,BN107)</f>
        <v>166352.77222500002</v>
      </c>
      <c r="BP107" s="24">
        <f t="shared" ref="BP107:BP125" si="263">BO107-BB107</f>
        <v>48703.772225000022</v>
      </c>
      <c r="BQ107" s="25">
        <f t="shared" ref="BQ107:BQ125" si="264">+BP107/BB107</f>
        <v>0.41397523332115038</v>
      </c>
      <c r="BR107" s="259" t="str">
        <f t="shared" ref="BR107:BR125" si="265">+IF(BQ107&lt;35%,BO107,"REVISAR PRECIO")</f>
        <v>REVISAR PRECIO</v>
      </c>
      <c r="BS107" s="607">
        <f t="shared" si="212"/>
        <v>166352.77222500002</v>
      </c>
    </row>
    <row r="108" spans="1:71" ht="45.6" customHeight="1">
      <c r="A108" s="91" t="s">
        <v>514</v>
      </c>
      <c r="B108" s="358" t="s">
        <v>2299</v>
      </c>
      <c r="C108" s="50" t="s">
        <v>174</v>
      </c>
      <c r="D108" s="99" t="s">
        <v>516</v>
      </c>
      <c r="E108" s="391" t="s">
        <v>14</v>
      </c>
      <c r="F108" s="410">
        <v>206166</v>
      </c>
      <c r="G108" s="589">
        <f t="shared" si="204"/>
        <v>217753</v>
      </c>
      <c r="H108" s="10">
        <v>269095</v>
      </c>
      <c r="I108" s="167">
        <v>538190</v>
      </c>
      <c r="J108" s="10">
        <v>202670</v>
      </c>
      <c r="K108" s="76">
        <f t="shared" si="248"/>
        <v>229839.33333333334</v>
      </c>
      <c r="L108" s="24">
        <f t="shared" si="249"/>
        <v>23673.333333333343</v>
      </c>
      <c r="M108" s="281">
        <f t="shared" si="205"/>
        <v>0.1087164509023221</v>
      </c>
      <c r="N108" s="597">
        <f t="shared" si="213"/>
        <v>229839.33333333334</v>
      </c>
      <c r="O108" s="410">
        <v>172040</v>
      </c>
      <c r="P108" s="575">
        <f t="shared" si="214"/>
        <v>181709</v>
      </c>
      <c r="Q108" s="10">
        <v>147000</v>
      </c>
      <c r="R108" s="10">
        <v>160000</v>
      </c>
      <c r="S108" s="268">
        <v>155000</v>
      </c>
      <c r="T108" s="10" t="s">
        <v>1421</v>
      </c>
      <c r="U108" s="76">
        <f t="shared" si="250"/>
        <v>160927.25</v>
      </c>
      <c r="V108" s="24">
        <f t="shared" si="206"/>
        <v>-20781.75</v>
      </c>
      <c r="W108" s="281">
        <f t="shared" si="251"/>
        <v>-0.1207960358056266</v>
      </c>
      <c r="X108" s="462">
        <f>P108</f>
        <v>181709</v>
      </c>
      <c r="Y108" s="410">
        <v>231339</v>
      </c>
      <c r="Z108" s="575">
        <f t="shared" si="207"/>
        <v>244340</v>
      </c>
      <c r="AA108" s="31">
        <v>300875</v>
      </c>
      <c r="AB108" s="31">
        <v>391137</v>
      </c>
      <c r="AC108" s="472">
        <v>262986.59999999998</v>
      </c>
      <c r="AD108" s="76">
        <f t="shared" si="224"/>
        <v>269400.53333333333</v>
      </c>
      <c r="AE108" s="24">
        <f t="shared" si="209"/>
        <v>25060.533333333326</v>
      </c>
      <c r="AF108" s="25">
        <f t="shared" si="253"/>
        <v>0.10832818216268474</v>
      </c>
      <c r="AG108" s="309">
        <f t="shared" si="254"/>
        <v>269400.53333333333</v>
      </c>
      <c r="AH108" s="601">
        <f t="shared" si="255"/>
        <v>269400.53333333333</v>
      </c>
      <c r="AI108" s="410">
        <v>206279</v>
      </c>
      <c r="AJ108" s="575">
        <f t="shared" si="210"/>
        <v>217872</v>
      </c>
      <c r="AK108" s="45"/>
      <c r="AL108" s="45">
        <v>243251</v>
      </c>
      <c r="AM108" s="45">
        <v>260000</v>
      </c>
      <c r="AN108" s="76">
        <f t="shared" si="223"/>
        <v>240374.33333333334</v>
      </c>
      <c r="AO108" s="24">
        <f t="shared" si="256"/>
        <v>34095.333333333343</v>
      </c>
      <c r="AP108" s="281">
        <f t="shared" si="257"/>
        <v>0.16528746665115374</v>
      </c>
      <c r="AQ108" s="601">
        <f t="shared" si="258"/>
        <v>240374.33333333334</v>
      </c>
      <c r="AR108" s="513">
        <v>206194</v>
      </c>
      <c r="AS108" s="575">
        <f t="shared" si="216"/>
        <v>217782</v>
      </c>
      <c r="AT108" s="88">
        <v>300000</v>
      </c>
      <c r="AU108" s="116">
        <v>300000</v>
      </c>
      <c r="AV108" s="74">
        <v>296004.72000000003</v>
      </c>
      <c r="AW108" s="76">
        <f t="shared" si="217"/>
        <v>278446.68</v>
      </c>
      <c r="AX108" s="24">
        <f t="shared" si="259"/>
        <v>72252.679999999993</v>
      </c>
      <c r="AY108" s="25">
        <f t="shared" si="260"/>
        <v>0.35041116618330309</v>
      </c>
      <c r="AZ108" s="309" t="str">
        <f t="shared" si="261"/>
        <v>REVISAR PRECIO</v>
      </c>
      <c r="BA108" s="601">
        <f t="shared" si="262"/>
        <v>278446.68</v>
      </c>
      <c r="BB108" s="513">
        <v>206194</v>
      </c>
      <c r="BC108" s="575">
        <f t="shared" si="211"/>
        <v>217782</v>
      </c>
      <c r="BD108" s="74">
        <v>309459.48</v>
      </c>
      <c r="BE108" s="74">
        <v>280000</v>
      </c>
      <c r="BF108" s="75">
        <v>356551.14</v>
      </c>
      <c r="BG108" s="61">
        <v>309459.48</v>
      </c>
      <c r="BH108" s="60">
        <v>190000</v>
      </c>
      <c r="BI108" s="74">
        <v>355878.40199999994</v>
      </c>
      <c r="BJ108" s="79">
        <v>356551.14</v>
      </c>
      <c r="BK108" s="79">
        <f>244632*1.1</f>
        <v>269095.2</v>
      </c>
      <c r="BL108" s="127">
        <v>322914.24</v>
      </c>
      <c r="BM108" s="128">
        <v>3259000</v>
      </c>
      <c r="BN108" s="128">
        <v>300000</v>
      </c>
      <c r="BO108" s="76">
        <f>AVERAGE(BC108,BD108,BE108,BG108,BH108,BI108,BJ108,BK108,BL108,BN108)</f>
        <v>291113.99419999996</v>
      </c>
      <c r="BP108" s="24">
        <f t="shared" si="263"/>
        <v>84919.994199999957</v>
      </c>
      <c r="BQ108" s="25">
        <f t="shared" si="264"/>
        <v>0.41184512740428897</v>
      </c>
      <c r="BR108" s="259" t="str">
        <f t="shared" si="265"/>
        <v>REVISAR PRECIO</v>
      </c>
      <c r="BS108" s="607">
        <f t="shared" si="212"/>
        <v>291113.99419999996</v>
      </c>
    </row>
    <row r="109" spans="1:71" ht="58.35" customHeight="1">
      <c r="A109" s="91" t="s">
        <v>514</v>
      </c>
      <c r="B109" s="358" t="s">
        <v>2300</v>
      </c>
      <c r="C109" s="50" t="s">
        <v>175</v>
      </c>
      <c r="D109" s="99" t="s">
        <v>517</v>
      </c>
      <c r="E109" s="391" t="s">
        <v>14</v>
      </c>
      <c r="F109" s="410">
        <v>110549</v>
      </c>
      <c r="G109" s="589">
        <f t="shared" si="204"/>
        <v>116762</v>
      </c>
      <c r="H109" s="10">
        <v>137734</v>
      </c>
      <c r="I109" s="167">
        <v>275468</v>
      </c>
      <c r="J109" s="10">
        <v>115000</v>
      </c>
      <c r="K109" s="76">
        <f t="shared" si="248"/>
        <v>123165.33333333333</v>
      </c>
      <c r="L109" s="24">
        <f t="shared" si="249"/>
        <v>12616.333333333328</v>
      </c>
      <c r="M109" s="281">
        <f t="shared" si="205"/>
        <v>0.10805170631997849</v>
      </c>
      <c r="N109" s="597">
        <f t="shared" si="213"/>
        <v>123165.33333333333</v>
      </c>
      <c r="O109" s="410">
        <v>99500</v>
      </c>
      <c r="P109" s="575">
        <f t="shared" si="214"/>
        <v>105092</v>
      </c>
      <c r="Q109" s="10">
        <v>110200</v>
      </c>
      <c r="R109" s="10">
        <v>115500</v>
      </c>
      <c r="S109" s="268">
        <v>113000</v>
      </c>
      <c r="T109" s="10" t="s">
        <v>1421</v>
      </c>
      <c r="U109" s="76">
        <f t="shared" si="250"/>
        <v>110948</v>
      </c>
      <c r="V109" s="24">
        <f t="shared" si="206"/>
        <v>5856</v>
      </c>
      <c r="W109" s="281">
        <f t="shared" si="251"/>
        <v>5.8854271356783922E-2</v>
      </c>
      <c r="X109" s="462">
        <f t="shared" si="252"/>
        <v>110948</v>
      </c>
      <c r="Y109" s="410">
        <v>126812</v>
      </c>
      <c r="Z109" s="575">
        <f t="shared" si="207"/>
        <v>133939</v>
      </c>
      <c r="AA109" s="31">
        <v>164930</v>
      </c>
      <c r="AB109" s="31">
        <v>214408</v>
      </c>
      <c r="AC109" s="472">
        <v>144160.6</v>
      </c>
      <c r="AD109" s="76">
        <f t="shared" si="224"/>
        <v>147676.53333333333</v>
      </c>
      <c r="AE109" s="24">
        <f t="shared" si="209"/>
        <v>13737.533333333326</v>
      </c>
      <c r="AF109" s="25">
        <f t="shared" si="253"/>
        <v>0.10832991620141096</v>
      </c>
      <c r="AG109" s="309">
        <f t="shared" si="254"/>
        <v>147676.53333333333</v>
      </c>
      <c r="AH109" s="601">
        <f t="shared" si="255"/>
        <v>147676.53333333333</v>
      </c>
      <c r="AI109" s="410">
        <v>110549</v>
      </c>
      <c r="AJ109" s="575">
        <f t="shared" si="210"/>
        <v>116762</v>
      </c>
      <c r="AK109" s="45"/>
      <c r="AL109" s="45">
        <v>130436</v>
      </c>
      <c r="AM109" s="45">
        <v>160000</v>
      </c>
      <c r="AN109" s="76">
        <f t="shared" si="223"/>
        <v>135732.66666666666</v>
      </c>
      <c r="AO109" s="24">
        <f t="shared" si="256"/>
        <v>25183.666666666657</v>
      </c>
      <c r="AP109" s="281">
        <f t="shared" si="257"/>
        <v>0.22780546786191333</v>
      </c>
      <c r="AQ109" s="601">
        <f t="shared" si="258"/>
        <v>135732.66666666666</v>
      </c>
      <c r="AR109" s="513">
        <v>110549</v>
      </c>
      <c r="AS109" s="575">
        <f t="shared" si="216"/>
        <v>116762</v>
      </c>
      <c r="AT109" s="88">
        <v>144600</v>
      </c>
      <c r="AU109" s="116">
        <v>144600</v>
      </c>
      <c r="AV109" s="74">
        <v>151507.73000000001</v>
      </c>
      <c r="AW109" s="76">
        <f t="shared" si="217"/>
        <v>139367.4325</v>
      </c>
      <c r="AX109" s="24">
        <f t="shared" si="259"/>
        <v>28818.432499999995</v>
      </c>
      <c r="AY109" s="25">
        <f t="shared" si="260"/>
        <v>0.26068469637898123</v>
      </c>
      <c r="AZ109" s="309">
        <f t="shared" si="261"/>
        <v>139367.4325</v>
      </c>
      <c r="BA109" s="601">
        <f t="shared" si="262"/>
        <v>139367.4325</v>
      </c>
      <c r="BB109" s="513">
        <v>110549</v>
      </c>
      <c r="BC109" s="575">
        <f t="shared" si="211"/>
        <v>116762</v>
      </c>
      <c r="BD109" s="74">
        <v>158394.44500000001</v>
      </c>
      <c r="BE109" s="74">
        <v>160000</v>
      </c>
      <c r="BF109" s="75">
        <v>182497.94750000001</v>
      </c>
      <c r="BG109" s="61">
        <v>158394.44500000001</v>
      </c>
      <c r="BH109" s="60">
        <v>170000</v>
      </c>
      <c r="BI109" s="74">
        <v>182153.61174999998</v>
      </c>
      <c r="BJ109" s="79">
        <v>182497.94750000001</v>
      </c>
      <c r="BK109" s="79">
        <f>125213*1.1</f>
        <v>137734.30000000002</v>
      </c>
      <c r="BL109" s="127">
        <v>165281.16000000003</v>
      </c>
      <c r="BM109" s="128">
        <v>165700</v>
      </c>
      <c r="BN109" s="128">
        <v>150000</v>
      </c>
      <c r="BO109" s="76">
        <f>AVERAGE(BC109,BD109,BE109,BG109,BH109,BJ109,BK109,BL109,BM109,BN109)</f>
        <v>156476.42974999998</v>
      </c>
      <c r="BP109" s="24">
        <f t="shared" si="263"/>
        <v>45927.429749999981</v>
      </c>
      <c r="BQ109" s="25">
        <f t="shared" si="264"/>
        <v>0.41544862233036917</v>
      </c>
      <c r="BR109" s="259" t="str">
        <f t="shared" si="265"/>
        <v>REVISAR PRECIO</v>
      </c>
      <c r="BS109" s="607">
        <f t="shared" si="212"/>
        <v>156476.42974999998</v>
      </c>
    </row>
    <row r="110" spans="1:71" ht="58.35" customHeight="1">
      <c r="A110" s="91" t="s">
        <v>514</v>
      </c>
      <c r="B110" s="358" t="s">
        <v>2301</v>
      </c>
      <c r="C110" s="50" t="s">
        <v>176</v>
      </c>
      <c r="D110" s="99" t="s">
        <v>518</v>
      </c>
      <c r="E110" s="391" t="s">
        <v>14</v>
      </c>
      <c r="F110" s="410">
        <v>104646</v>
      </c>
      <c r="G110" s="589">
        <f t="shared" si="204"/>
        <v>110527</v>
      </c>
      <c r="H110" s="10">
        <v>125012</v>
      </c>
      <c r="I110" s="167">
        <v>250024</v>
      </c>
      <c r="J110" s="10">
        <v>115000</v>
      </c>
      <c r="K110" s="76">
        <f t="shared" si="248"/>
        <v>116846.33333333333</v>
      </c>
      <c r="L110" s="24">
        <f t="shared" si="249"/>
        <v>12200.333333333328</v>
      </c>
      <c r="M110" s="281">
        <f t="shared" si="205"/>
        <v>0.11038328492887103</v>
      </c>
      <c r="N110" s="597">
        <f t="shared" si="213"/>
        <v>116846.33333333333</v>
      </c>
      <c r="O110" s="410">
        <v>95114</v>
      </c>
      <c r="P110" s="575">
        <f t="shared" si="214"/>
        <v>100459</v>
      </c>
      <c r="Q110" s="10">
        <v>120000</v>
      </c>
      <c r="R110" s="10">
        <v>126000</v>
      </c>
      <c r="S110" s="268">
        <v>125000</v>
      </c>
      <c r="T110" s="10" t="s">
        <v>1421</v>
      </c>
      <c r="U110" s="76">
        <f t="shared" si="250"/>
        <v>117864.75</v>
      </c>
      <c r="V110" s="24">
        <f t="shared" si="206"/>
        <v>17405.75</v>
      </c>
      <c r="W110" s="281">
        <f t="shared" si="251"/>
        <v>0.18299882246567278</v>
      </c>
      <c r="X110" s="462">
        <f t="shared" si="252"/>
        <v>117864.75</v>
      </c>
      <c r="Y110" s="410">
        <v>119754</v>
      </c>
      <c r="Z110" s="575">
        <f t="shared" si="207"/>
        <v>126484</v>
      </c>
      <c r="AA110" s="31">
        <v>155750</v>
      </c>
      <c r="AB110" s="31">
        <v>202474</v>
      </c>
      <c r="AC110" s="472">
        <v>136136.6</v>
      </c>
      <c r="AD110" s="76">
        <f t="shared" si="224"/>
        <v>139456.86666666667</v>
      </c>
      <c r="AE110" s="24">
        <f t="shared" si="209"/>
        <v>12972.866666666669</v>
      </c>
      <c r="AF110" s="25">
        <f t="shared" si="253"/>
        <v>0.10832929728164963</v>
      </c>
      <c r="AG110" s="309">
        <f t="shared" si="254"/>
        <v>139456.86666666667</v>
      </c>
      <c r="AH110" s="601">
        <f t="shared" si="255"/>
        <v>139456.86666666667</v>
      </c>
      <c r="AI110" s="410">
        <v>106201</v>
      </c>
      <c r="AJ110" s="575">
        <f t="shared" si="210"/>
        <v>112169</v>
      </c>
      <c r="AK110" s="45"/>
      <c r="AL110" s="45">
        <v>123468</v>
      </c>
      <c r="AM110" s="45">
        <v>180000</v>
      </c>
      <c r="AN110" s="76">
        <f t="shared" si="223"/>
        <v>138545.66666666666</v>
      </c>
      <c r="AO110" s="24">
        <f t="shared" si="256"/>
        <v>32344.666666666657</v>
      </c>
      <c r="AP110" s="281">
        <f t="shared" si="257"/>
        <v>0.30456084845403203</v>
      </c>
      <c r="AQ110" s="601">
        <f t="shared" si="258"/>
        <v>138545.66666666666</v>
      </c>
      <c r="AR110" s="513">
        <v>115295</v>
      </c>
      <c r="AS110" s="575">
        <f t="shared" si="216"/>
        <v>121775</v>
      </c>
      <c r="AT110" s="88">
        <v>131300</v>
      </c>
      <c r="AU110" s="116">
        <v>131300</v>
      </c>
      <c r="AV110" s="74">
        <v>137512.87000000002</v>
      </c>
      <c r="AW110" s="76">
        <f t="shared" si="217"/>
        <v>130471.9675</v>
      </c>
      <c r="AX110" s="24">
        <f t="shared" si="259"/>
        <v>15176.967499999999</v>
      </c>
      <c r="AY110" s="25">
        <f t="shared" si="260"/>
        <v>0.13163595559217658</v>
      </c>
      <c r="AZ110" s="309">
        <f t="shared" si="261"/>
        <v>130471.9675</v>
      </c>
      <c r="BA110" s="601">
        <f t="shared" si="262"/>
        <v>130471.9675</v>
      </c>
      <c r="BB110" s="513">
        <v>115295</v>
      </c>
      <c r="BC110" s="575">
        <f t="shared" si="211"/>
        <v>121775</v>
      </c>
      <c r="BD110" s="74">
        <v>143763.45500000002</v>
      </c>
      <c r="BE110" s="74">
        <v>160000</v>
      </c>
      <c r="BF110" s="75">
        <v>165640.5025</v>
      </c>
      <c r="BG110" s="61">
        <v>143763.45500000002</v>
      </c>
      <c r="BH110" s="60">
        <v>38000</v>
      </c>
      <c r="BI110" s="74">
        <v>165327.97325000001</v>
      </c>
      <c r="BJ110" s="79">
        <v>165640.5025</v>
      </c>
      <c r="BK110" s="79">
        <f>113647*1.1</f>
        <v>125011.70000000001</v>
      </c>
      <c r="BL110" s="127">
        <v>150014.04</v>
      </c>
      <c r="BM110" s="128">
        <v>125600</v>
      </c>
      <c r="BN110" s="128">
        <v>130000</v>
      </c>
      <c r="BO110" s="76">
        <f t="shared" si="222"/>
        <v>136211.38568750001</v>
      </c>
      <c r="BP110" s="24">
        <f t="shared" si="263"/>
        <v>20916.385687500006</v>
      </c>
      <c r="BQ110" s="25">
        <f t="shared" si="264"/>
        <v>0.18141624257339872</v>
      </c>
      <c r="BR110" s="259">
        <f t="shared" si="265"/>
        <v>136211.38568750001</v>
      </c>
      <c r="BS110" s="607">
        <f t="shared" si="212"/>
        <v>136211.38568750001</v>
      </c>
    </row>
    <row r="111" spans="1:71" ht="34.35" customHeight="1">
      <c r="A111" s="91" t="s">
        <v>514</v>
      </c>
      <c r="B111" s="358" t="s">
        <v>2302</v>
      </c>
      <c r="C111" s="50" t="s">
        <v>177</v>
      </c>
      <c r="D111" s="99" t="s">
        <v>519</v>
      </c>
      <c r="E111" s="391" t="s">
        <v>14</v>
      </c>
      <c r="F111" s="410">
        <v>84758</v>
      </c>
      <c r="G111" s="589">
        <f t="shared" si="204"/>
        <v>89521</v>
      </c>
      <c r="H111" s="10">
        <v>120010</v>
      </c>
      <c r="I111" s="167">
        <v>360030</v>
      </c>
      <c r="J111" s="10">
        <v>108900</v>
      </c>
      <c r="K111" s="76">
        <f t="shared" si="248"/>
        <v>106143.66666666667</v>
      </c>
      <c r="L111" s="24">
        <f t="shared" si="249"/>
        <v>21385.666666666672</v>
      </c>
      <c r="M111" s="281">
        <f t="shared" si="205"/>
        <v>0.23888994388653692</v>
      </c>
      <c r="N111" s="597">
        <f t="shared" si="213"/>
        <v>106143.66666666667</v>
      </c>
      <c r="O111" s="410">
        <v>77041</v>
      </c>
      <c r="P111" s="575">
        <f t="shared" si="214"/>
        <v>81371</v>
      </c>
      <c r="Q111" s="10">
        <v>78200</v>
      </c>
      <c r="R111" s="10">
        <v>85000</v>
      </c>
      <c r="S111" s="268">
        <v>85000</v>
      </c>
      <c r="T111" s="10" t="s">
        <v>1421</v>
      </c>
      <c r="U111" s="76">
        <f t="shared" si="250"/>
        <v>82392.75</v>
      </c>
      <c r="V111" s="24">
        <f t="shared" si="206"/>
        <v>1021.75</v>
      </c>
      <c r="W111" s="281">
        <f t="shared" si="251"/>
        <v>1.3262418712114329E-2</v>
      </c>
      <c r="X111" s="462">
        <f t="shared" si="252"/>
        <v>82392.75</v>
      </c>
      <c r="Y111" s="410">
        <v>97001</v>
      </c>
      <c r="Z111" s="575">
        <f t="shared" si="207"/>
        <v>102452</v>
      </c>
      <c r="AA111" s="31">
        <v>126158</v>
      </c>
      <c r="AB111" s="31">
        <v>126158</v>
      </c>
      <c r="AC111" s="472">
        <v>110271</v>
      </c>
      <c r="AD111" s="76">
        <f>AVERAGE(AA111,AC111,Z111,AB111)</f>
        <v>116259.75</v>
      </c>
      <c r="AE111" s="24">
        <f t="shared" si="209"/>
        <v>13807.75</v>
      </c>
      <c r="AF111" s="25">
        <f t="shared" si="253"/>
        <v>0.14234647065494171</v>
      </c>
      <c r="AG111" s="309">
        <f t="shared" si="254"/>
        <v>116259.75</v>
      </c>
      <c r="AH111" s="601">
        <f t="shared" si="255"/>
        <v>116259.75</v>
      </c>
      <c r="AI111" s="410">
        <v>86030</v>
      </c>
      <c r="AJ111" s="575">
        <f t="shared" si="210"/>
        <v>90865</v>
      </c>
      <c r="AK111" s="45"/>
      <c r="AL111" s="45">
        <v>100008</v>
      </c>
      <c r="AM111" s="45">
        <v>140000</v>
      </c>
      <c r="AN111" s="76">
        <f t="shared" si="223"/>
        <v>110291</v>
      </c>
      <c r="AO111" s="24">
        <f t="shared" si="256"/>
        <v>24261</v>
      </c>
      <c r="AP111" s="281">
        <f t="shared" si="257"/>
        <v>0.28200627688015806</v>
      </c>
      <c r="AQ111" s="601">
        <f t="shared" si="258"/>
        <v>110291</v>
      </c>
      <c r="AR111" s="513">
        <v>86457</v>
      </c>
      <c r="AS111" s="575">
        <f t="shared" si="216"/>
        <v>91316</v>
      </c>
      <c r="AT111" s="88">
        <v>125000</v>
      </c>
      <c r="AU111" s="116">
        <v>125000</v>
      </c>
      <c r="AV111" s="74">
        <v>132011.00000000003</v>
      </c>
      <c r="AW111" s="76">
        <f t="shared" si="217"/>
        <v>118331.75</v>
      </c>
      <c r="AX111" s="24">
        <f t="shared" si="259"/>
        <v>31874.75</v>
      </c>
      <c r="AY111" s="25">
        <f t="shared" si="260"/>
        <v>0.36867749285772117</v>
      </c>
      <c r="AZ111" s="309" t="str">
        <f t="shared" si="261"/>
        <v>REVISAR PRECIO</v>
      </c>
      <c r="BA111" s="601">
        <f t="shared" si="262"/>
        <v>118331.75</v>
      </c>
      <c r="BB111" s="513">
        <v>86457</v>
      </c>
      <c r="BC111" s="575">
        <f t="shared" si="211"/>
        <v>91316</v>
      </c>
      <c r="BD111" s="74">
        <v>138011.5</v>
      </c>
      <c r="BE111" s="74">
        <v>150000</v>
      </c>
      <c r="BF111" s="75">
        <v>159013.25</v>
      </c>
      <c r="BG111" s="61">
        <v>138011.5</v>
      </c>
      <c r="BH111" s="60">
        <v>230000</v>
      </c>
      <c r="BI111" s="74">
        <v>158713.22499999998</v>
      </c>
      <c r="BJ111" s="79">
        <v>159013.25</v>
      </c>
      <c r="BK111" s="79">
        <f>109100*1.1</f>
        <v>120010.00000000001</v>
      </c>
      <c r="BL111" s="127">
        <v>144012.00000000003</v>
      </c>
      <c r="BM111" s="128">
        <v>130000</v>
      </c>
      <c r="BN111" s="128">
        <v>130000</v>
      </c>
      <c r="BO111" s="76">
        <f>AVERAGE(BC111,BD111,BE111,BG111,BI111,BJ111,BK111,BL111,BM111,BN111)</f>
        <v>135908.7475</v>
      </c>
      <c r="BP111" s="24">
        <f t="shared" si="263"/>
        <v>49451.747499999998</v>
      </c>
      <c r="BQ111" s="25">
        <f t="shared" si="264"/>
        <v>0.57198084018645101</v>
      </c>
      <c r="BR111" s="259" t="str">
        <f t="shared" si="265"/>
        <v>REVISAR PRECIO</v>
      </c>
      <c r="BS111" s="607">
        <f t="shared" si="212"/>
        <v>135908.7475</v>
      </c>
    </row>
    <row r="112" spans="1:71" ht="34.35" customHeight="1">
      <c r="A112" s="91" t="s">
        <v>514</v>
      </c>
      <c r="B112" s="358" t="s">
        <v>2303</v>
      </c>
      <c r="C112" s="50" t="s">
        <v>178</v>
      </c>
      <c r="D112" s="99" t="s">
        <v>520</v>
      </c>
      <c r="E112" s="391" t="s">
        <v>14</v>
      </c>
      <c r="F112" s="410">
        <v>88442</v>
      </c>
      <c r="G112" s="589">
        <f t="shared" si="204"/>
        <v>93412</v>
      </c>
      <c r="H112" s="10">
        <v>103463</v>
      </c>
      <c r="I112" s="167">
        <v>310389</v>
      </c>
      <c r="J112" s="10">
        <v>105000</v>
      </c>
      <c r="K112" s="76">
        <f t="shared" si="248"/>
        <v>100625</v>
      </c>
      <c r="L112" s="24">
        <f t="shared" si="249"/>
        <v>12183</v>
      </c>
      <c r="M112" s="281">
        <f t="shared" si="205"/>
        <v>0.13042221556116987</v>
      </c>
      <c r="N112" s="597">
        <f t="shared" si="213"/>
        <v>100625</v>
      </c>
      <c r="O112" s="410">
        <v>80382</v>
      </c>
      <c r="P112" s="575">
        <f t="shared" si="214"/>
        <v>84899</v>
      </c>
      <c r="Q112" s="10">
        <v>79400</v>
      </c>
      <c r="R112" s="10">
        <v>86000</v>
      </c>
      <c r="S112" s="268">
        <v>82000</v>
      </c>
      <c r="T112" s="10" t="s">
        <v>1421</v>
      </c>
      <c r="U112" s="76">
        <f t="shared" si="250"/>
        <v>83074.75</v>
      </c>
      <c r="V112" s="24">
        <f t="shared" si="206"/>
        <v>-1824.25</v>
      </c>
      <c r="W112" s="281">
        <f t="shared" si="251"/>
        <v>-2.2694757532780972E-2</v>
      </c>
      <c r="X112" s="462">
        <f t="shared" si="252"/>
        <v>83074.75</v>
      </c>
      <c r="Y112" s="410">
        <v>101205</v>
      </c>
      <c r="Z112" s="575">
        <f t="shared" si="207"/>
        <v>106893</v>
      </c>
      <c r="AA112" s="31">
        <v>131625</v>
      </c>
      <c r="AB112" s="31">
        <v>171113</v>
      </c>
      <c r="AC112" s="472">
        <v>115050</v>
      </c>
      <c r="AD112" s="76">
        <f t="shared" si="224"/>
        <v>117856</v>
      </c>
      <c r="AE112" s="24">
        <f t="shared" si="209"/>
        <v>10963</v>
      </c>
      <c r="AF112" s="25">
        <f t="shared" si="253"/>
        <v>0.10832468751543896</v>
      </c>
      <c r="AG112" s="309">
        <f t="shared" si="254"/>
        <v>117856</v>
      </c>
      <c r="AH112" s="601">
        <f t="shared" si="255"/>
        <v>117856</v>
      </c>
      <c r="AI112" s="499">
        <v>89760</v>
      </c>
      <c r="AJ112" s="575">
        <f t="shared" si="210"/>
        <v>94805</v>
      </c>
      <c r="AK112" s="317"/>
      <c r="AL112" s="317">
        <v>104350</v>
      </c>
      <c r="AM112" s="45">
        <v>100000</v>
      </c>
      <c r="AN112" s="76">
        <f t="shared" si="223"/>
        <v>99718.333333333328</v>
      </c>
      <c r="AO112" s="24">
        <f t="shared" si="256"/>
        <v>9958.3333333333285</v>
      </c>
      <c r="AP112" s="281">
        <f t="shared" si="257"/>
        <v>0.11094399881164582</v>
      </c>
      <c r="AQ112" s="601">
        <f t="shared" si="258"/>
        <v>99718.333333333328</v>
      </c>
      <c r="AR112" s="513">
        <v>90206</v>
      </c>
      <c r="AS112" s="575">
        <f t="shared" si="216"/>
        <v>95276</v>
      </c>
      <c r="AT112" s="88">
        <v>108000</v>
      </c>
      <c r="AU112" s="116">
        <v>108000</v>
      </c>
      <c r="AV112" s="74">
        <v>113808.97000000002</v>
      </c>
      <c r="AW112" s="76">
        <f t="shared" si="217"/>
        <v>106271.24250000001</v>
      </c>
      <c r="AX112" s="24">
        <f t="shared" si="259"/>
        <v>16065.242500000008</v>
      </c>
      <c r="AY112" s="25">
        <f t="shared" si="260"/>
        <v>0.17809505465268394</v>
      </c>
      <c r="AZ112" s="309">
        <f t="shared" si="261"/>
        <v>106271.24250000001</v>
      </c>
      <c r="BA112" s="601">
        <f t="shared" si="262"/>
        <v>106271.24250000001</v>
      </c>
      <c r="BB112" s="513">
        <v>90206</v>
      </c>
      <c r="BC112" s="575">
        <f t="shared" si="211"/>
        <v>95276</v>
      </c>
      <c r="BD112" s="74">
        <v>118982.10500000001</v>
      </c>
      <c r="BE112" s="74">
        <v>140000</v>
      </c>
      <c r="BF112" s="75">
        <v>137088.07750000001</v>
      </c>
      <c r="BG112" s="61">
        <v>118982.10500000001</v>
      </c>
      <c r="BH112" s="60">
        <v>260000</v>
      </c>
      <c r="BI112" s="74">
        <v>136829.42074999999</v>
      </c>
      <c r="BJ112" s="79">
        <v>137088.07750000001</v>
      </c>
      <c r="BK112" s="79">
        <f>94057*1.1</f>
        <v>103462.70000000001</v>
      </c>
      <c r="BL112" s="127">
        <v>124155.24000000002</v>
      </c>
      <c r="BM112" s="128">
        <v>105600</v>
      </c>
      <c r="BN112" s="128">
        <v>105000</v>
      </c>
      <c r="BO112" s="76">
        <f>AVERAGE(BC112,BD112,BE112,BF112,BG112,BI112,BJ112,BK112,BL112,BM112,BN112)</f>
        <v>120223.97506818181</v>
      </c>
      <c r="BP112" s="24">
        <f t="shared" si="263"/>
        <v>30017.975068181811</v>
      </c>
      <c r="BQ112" s="25">
        <f t="shared" si="264"/>
        <v>0.33277137959982495</v>
      </c>
      <c r="BR112" s="259">
        <f t="shared" si="265"/>
        <v>120223.97506818181</v>
      </c>
      <c r="BS112" s="607">
        <f t="shared" si="212"/>
        <v>120223.97506818181</v>
      </c>
    </row>
    <row r="113" spans="1:71" ht="45" customHeight="1">
      <c r="A113" s="91" t="s">
        <v>514</v>
      </c>
      <c r="B113" s="358" t="s">
        <v>2304</v>
      </c>
      <c r="C113" s="50" t="s">
        <v>179</v>
      </c>
      <c r="D113" s="99" t="s">
        <v>521</v>
      </c>
      <c r="E113" s="391" t="s">
        <v>10</v>
      </c>
      <c r="F113" s="410">
        <v>4624</v>
      </c>
      <c r="G113" s="589">
        <f t="shared" si="204"/>
        <v>4884</v>
      </c>
      <c r="H113" s="10">
        <v>19214</v>
      </c>
      <c r="I113" s="167">
        <v>57642</v>
      </c>
      <c r="J113" s="10">
        <v>22300</v>
      </c>
      <c r="K113" s="76">
        <f t="shared" si="248"/>
        <v>15466</v>
      </c>
      <c r="L113" s="24">
        <f t="shared" si="249"/>
        <v>10842</v>
      </c>
      <c r="M113" s="281">
        <f t="shared" si="205"/>
        <v>2.2199017199017197</v>
      </c>
      <c r="N113" s="609">
        <f t="shared" si="213"/>
        <v>15466</v>
      </c>
      <c r="O113" s="410">
        <v>4206</v>
      </c>
      <c r="P113" s="575">
        <f t="shared" si="214"/>
        <v>4442</v>
      </c>
      <c r="Q113" s="10">
        <v>78200</v>
      </c>
      <c r="R113" s="10">
        <v>85500</v>
      </c>
      <c r="S113" s="268">
        <v>85500</v>
      </c>
      <c r="T113" s="10">
        <v>85000</v>
      </c>
      <c r="U113" s="76">
        <f>AVERAGE(Q113,R113,S113,T113,P113)</f>
        <v>67728.399999999994</v>
      </c>
      <c r="V113" s="24">
        <f t="shared" si="206"/>
        <v>63286.399999999994</v>
      </c>
      <c r="W113" s="281">
        <f t="shared" si="251"/>
        <v>15.046695197337137</v>
      </c>
      <c r="X113" s="462">
        <f>AVERAGE(P113,U113,,)</f>
        <v>18042.599999999999</v>
      </c>
      <c r="Y113" s="410">
        <v>5294</v>
      </c>
      <c r="Z113" s="575">
        <f t="shared" si="207"/>
        <v>5592</v>
      </c>
      <c r="AA113" s="31">
        <v>6885</v>
      </c>
      <c r="AB113" s="31">
        <v>8951</v>
      </c>
      <c r="AC113" s="472">
        <v>6018</v>
      </c>
      <c r="AD113" s="76">
        <f t="shared" si="224"/>
        <v>6165</v>
      </c>
      <c r="AE113" s="24">
        <f t="shared" si="209"/>
        <v>573</v>
      </c>
      <c r="AF113" s="25">
        <f t="shared" si="253"/>
        <v>0.10823573857196826</v>
      </c>
      <c r="AG113" s="309">
        <f t="shared" si="254"/>
        <v>6165</v>
      </c>
      <c r="AH113" s="601">
        <f t="shared" si="255"/>
        <v>6165</v>
      </c>
      <c r="AI113" s="410">
        <v>4698</v>
      </c>
      <c r="AJ113" s="575">
        <f t="shared" si="210"/>
        <v>4962</v>
      </c>
      <c r="AK113" s="45"/>
      <c r="AL113" s="45">
        <v>19214</v>
      </c>
      <c r="AM113" s="45">
        <v>25000</v>
      </c>
      <c r="AN113" s="76">
        <f>AVERAGE(AK113,AL113,AJ113)</f>
        <v>12088</v>
      </c>
      <c r="AO113" s="24">
        <f t="shared" si="256"/>
        <v>7390</v>
      </c>
      <c r="AP113" s="281">
        <f t="shared" si="257"/>
        <v>1.573009791400596</v>
      </c>
      <c r="AQ113" s="604">
        <f t="shared" si="258"/>
        <v>12088</v>
      </c>
      <c r="AR113" s="513">
        <v>4718</v>
      </c>
      <c r="AS113" s="575">
        <f t="shared" si="216"/>
        <v>4983</v>
      </c>
      <c r="AT113" s="88">
        <v>22000</v>
      </c>
      <c r="AU113" s="116">
        <v>22000</v>
      </c>
      <c r="AV113" s="74">
        <v>21135.113999999998</v>
      </c>
      <c r="AW113" s="76">
        <f t="shared" si="217"/>
        <v>17529.5285</v>
      </c>
      <c r="AX113" s="24">
        <f t="shared" si="259"/>
        <v>12811.5285</v>
      </c>
      <c r="AY113" s="25">
        <f t="shared" si="260"/>
        <v>2.7154575031793136</v>
      </c>
      <c r="AZ113" s="309" t="str">
        <f t="shared" si="261"/>
        <v>REVISAR PRECIO</v>
      </c>
      <c r="BA113" s="604">
        <f t="shared" si="262"/>
        <v>17529.5285</v>
      </c>
      <c r="BB113" s="513">
        <v>4718</v>
      </c>
      <c r="BC113" s="575">
        <f t="shared" si="211"/>
        <v>4983</v>
      </c>
      <c r="BD113" s="74">
        <v>22095.800999999999</v>
      </c>
      <c r="BE113" s="74">
        <v>30000</v>
      </c>
      <c r="BF113" s="75">
        <v>25458.205499999996</v>
      </c>
      <c r="BG113" s="61">
        <v>22095.800999999996</v>
      </c>
      <c r="BH113" s="60">
        <v>190000</v>
      </c>
      <c r="BI113" s="74">
        <v>25410.171149999995</v>
      </c>
      <c r="BJ113" s="79">
        <v>25458.205499999996</v>
      </c>
      <c r="BK113" s="79">
        <f>16146*1.19</f>
        <v>19213.739999999998</v>
      </c>
      <c r="BL113" s="127">
        <v>23056.487999999998</v>
      </c>
      <c r="BM113" s="128">
        <v>21900</v>
      </c>
      <c r="BN113" s="128">
        <v>20000</v>
      </c>
      <c r="BO113" s="76">
        <f>AVERAGE(BC113,BD113,BE113,BF113,BG113,BI113,BJ113,BK113,BL113,BM113,BN113)</f>
        <v>21788.310195454545</v>
      </c>
      <c r="BP113" s="24">
        <f t="shared" si="263"/>
        <v>17070.310195454545</v>
      </c>
      <c r="BQ113" s="25">
        <f t="shared" si="264"/>
        <v>3.6181242465990984</v>
      </c>
      <c r="BR113" s="259" t="str">
        <f t="shared" si="265"/>
        <v>REVISAR PRECIO</v>
      </c>
      <c r="BS113" s="607">
        <f t="shared" si="212"/>
        <v>21788.310195454545</v>
      </c>
    </row>
    <row r="114" spans="1:71" ht="56.1" customHeight="1">
      <c r="A114" s="91" t="s">
        <v>514</v>
      </c>
      <c r="B114" s="358" t="s">
        <v>2305</v>
      </c>
      <c r="C114" s="50" t="s">
        <v>180</v>
      </c>
      <c r="D114" s="99" t="s">
        <v>522</v>
      </c>
      <c r="E114" s="391" t="s">
        <v>14</v>
      </c>
      <c r="F114" s="410">
        <v>37287</v>
      </c>
      <c r="G114" s="589">
        <f t="shared" si="204"/>
        <v>39383</v>
      </c>
      <c r="H114" s="10">
        <v>268365</v>
      </c>
      <c r="I114" s="167">
        <v>1073460</v>
      </c>
      <c r="J114" s="10">
        <v>265000</v>
      </c>
      <c r="K114" s="76">
        <f t="shared" si="248"/>
        <v>190916</v>
      </c>
      <c r="L114" s="24">
        <f t="shared" si="249"/>
        <v>153629</v>
      </c>
      <c r="M114" s="281">
        <f t="shared" si="205"/>
        <v>3.900896325825864</v>
      </c>
      <c r="N114" s="609">
        <f t="shared" si="213"/>
        <v>190916</v>
      </c>
      <c r="O114" s="410">
        <v>33897</v>
      </c>
      <c r="P114" s="575">
        <f t="shared" si="214"/>
        <v>35802</v>
      </c>
      <c r="Q114" s="10">
        <v>136000</v>
      </c>
      <c r="R114" s="10">
        <v>145000</v>
      </c>
      <c r="S114" s="268">
        <v>140000</v>
      </c>
      <c r="T114" s="10">
        <v>145000</v>
      </c>
      <c r="U114" s="76">
        <f>AVERAGE(Q114,R114,S114,T114,P114)</f>
        <v>120360.4</v>
      </c>
      <c r="V114" s="24">
        <f t="shared" si="206"/>
        <v>84558.399999999994</v>
      </c>
      <c r="W114" s="281">
        <f t="shared" si="251"/>
        <v>2.4945688409003743</v>
      </c>
      <c r="X114" s="462">
        <f t="shared" si="252"/>
        <v>120360.4</v>
      </c>
      <c r="Y114" s="410">
        <v>42672</v>
      </c>
      <c r="Z114" s="575">
        <f t="shared" si="207"/>
        <v>45070</v>
      </c>
      <c r="AA114" s="31">
        <v>55499</v>
      </c>
      <c r="AB114" s="31">
        <v>72148</v>
      </c>
      <c r="AC114" s="472">
        <v>48509.8</v>
      </c>
      <c r="AD114" s="76">
        <f>AVERAGE(AA114,AC114,Z114,AB114)</f>
        <v>55306.7</v>
      </c>
      <c r="AE114" s="24">
        <f t="shared" si="209"/>
        <v>10236.699999999997</v>
      </c>
      <c r="AF114" s="25">
        <f t="shared" si="253"/>
        <v>0.23989266966629164</v>
      </c>
      <c r="AG114" s="309">
        <f t="shared" si="254"/>
        <v>55306.7</v>
      </c>
      <c r="AH114" s="601">
        <f t="shared" si="255"/>
        <v>55306.7</v>
      </c>
      <c r="AI114" s="410">
        <v>37847</v>
      </c>
      <c r="AJ114" s="575">
        <f t="shared" si="210"/>
        <v>39974</v>
      </c>
      <c r="AK114" s="45"/>
      <c r="AL114" s="45">
        <v>268365</v>
      </c>
      <c r="AM114" s="45">
        <v>260000</v>
      </c>
      <c r="AN114" s="76">
        <f t="shared" si="223"/>
        <v>189446.33333333334</v>
      </c>
      <c r="AO114" s="24">
        <f t="shared" si="256"/>
        <v>151599.33333333334</v>
      </c>
      <c r="AP114" s="281">
        <f t="shared" si="257"/>
        <v>4.0055838859971287</v>
      </c>
      <c r="AQ114" s="604">
        <f t="shared" si="258"/>
        <v>189446.33333333334</v>
      </c>
      <c r="AR114" s="513">
        <v>38036</v>
      </c>
      <c r="AS114" s="575">
        <f t="shared" si="216"/>
        <v>40174</v>
      </c>
      <c r="AT114" s="88">
        <v>298000</v>
      </c>
      <c r="AU114" s="116">
        <v>320000</v>
      </c>
      <c r="AV114" s="74">
        <v>295201.82999999996</v>
      </c>
      <c r="AW114" s="76">
        <f t="shared" si="217"/>
        <v>238343.95749999999</v>
      </c>
      <c r="AX114" s="24">
        <f t="shared" si="259"/>
        <v>200307.95749999999</v>
      </c>
      <c r="AY114" s="25">
        <f t="shared" si="260"/>
        <v>5.2662729387948257</v>
      </c>
      <c r="AZ114" s="309" t="str">
        <f t="shared" si="261"/>
        <v>REVISAR PRECIO</v>
      </c>
      <c r="BA114" s="604">
        <f t="shared" si="262"/>
        <v>238343.95749999999</v>
      </c>
      <c r="BB114" s="513">
        <v>38036</v>
      </c>
      <c r="BC114" s="575">
        <f t="shared" si="211"/>
        <v>40174</v>
      </c>
      <c r="BD114" s="74">
        <v>308620.09499999997</v>
      </c>
      <c r="BE114" s="74">
        <v>290000</v>
      </c>
      <c r="BF114" s="75">
        <v>355584.02249999996</v>
      </c>
      <c r="BG114" s="61">
        <v>308620.09499999997</v>
      </c>
      <c r="BH114" s="60">
        <v>360000</v>
      </c>
      <c r="BI114" s="74">
        <v>354913.10924999992</v>
      </c>
      <c r="BJ114" s="79">
        <v>355584.02249999996</v>
      </c>
      <c r="BK114" s="79">
        <f>255586*1.05</f>
        <v>268365.3</v>
      </c>
      <c r="BL114" s="127">
        <v>322038.36</v>
      </c>
      <c r="BM114" s="128">
        <v>259600</v>
      </c>
      <c r="BN114" s="128">
        <v>300000</v>
      </c>
      <c r="BO114" s="76">
        <f>AVERAGE(BC114,BD114,BE114,BG114,BH114,BJ114,BK114,BL114,BM114,BN114)</f>
        <v>281300.18725000002</v>
      </c>
      <c r="BP114" s="24">
        <f t="shared" si="263"/>
        <v>243264.18725000002</v>
      </c>
      <c r="BQ114" s="25">
        <f t="shared" si="264"/>
        <v>6.3956301201493329</v>
      </c>
      <c r="BR114" s="259" t="str">
        <f t="shared" si="265"/>
        <v>REVISAR PRECIO</v>
      </c>
      <c r="BS114" s="607">
        <f t="shared" si="212"/>
        <v>281300.18725000002</v>
      </c>
    </row>
    <row r="115" spans="1:71" ht="43.35" customHeight="1">
      <c r="A115" s="91" t="s">
        <v>514</v>
      </c>
      <c r="B115" s="358" t="s">
        <v>2306</v>
      </c>
      <c r="C115" s="50" t="s">
        <v>181</v>
      </c>
      <c r="D115" s="99" t="s">
        <v>523</v>
      </c>
      <c r="E115" s="391" t="s">
        <v>14</v>
      </c>
      <c r="F115" s="410">
        <v>162131</v>
      </c>
      <c r="G115" s="589">
        <f t="shared" si="204"/>
        <v>171243</v>
      </c>
      <c r="H115" s="10">
        <v>190852</v>
      </c>
      <c r="I115" s="167">
        <v>954260</v>
      </c>
      <c r="J115" s="10">
        <v>201500</v>
      </c>
      <c r="K115" s="76">
        <f t="shared" si="248"/>
        <v>187865</v>
      </c>
      <c r="L115" s="24">
        <f t="shared" si="249"/>
        <v>25734</v>
      </c>
      <c r="M115" s="281">
        <f t="shared" si="205"/>
        <v>0.15027767558381949</v>
      </c>
      <c r="N115" s="597">
        <f t="shared" si="213"/>
        <v>187865</v>
      </c>
      <c r="O115" s="410">
        <v>146212</v>
      </c>
      <c r="P115" s="575">
        <f t="shared" si="214"/>
        <v>154429</v>
      </c>
      <c r="Q115" s="10">
        <v>99000</v>
      </c>
      <c r="R115" s="10">
        <v>106000</v>
      </c>
      <c r="S115" s="268">
        <v>100000</v>
      </c>
      <c r="T115" s="10">
        <v>100000</v>
      </c>
      <c r="U115" s="76">
        <f>AVERAGE(Q115,R115,S115,T115,P115)</f>
        <v>111885.8</v>
      </c>
      <c r="V115" s="24">
        <f t="shared" si="206"/>
        <v>-42543.199999999997</v>
      </c>
      <c r="W115" s="281">
        <f t="shared" si="251"/>
        <v>-0.29096927748748391</v>
      </c>
      <c r="X115" s="462">
        <f t="shared" si="252"/>
        <v>111885.8</v>
      </c>
      <c r="Y115" s="410">
        <v>181899</v>
      </c>
      <c r="Z115" s="575">
        <f t="shared" si="207"/>
        <v>192122</v>
      </c>
      <c r="AA115" s="31">
        <v>236574</v>
      </c>
      <c r="AB115" s="31">
        <v>307546</v>
      </c>
      <c r="AC115" s="472">
        <v>206783.2</v>
      </c>
      <c r="AD115" s="76">
        <f t="shared" si="224"/>
        <v>211826.4</v>
      </c>
      <c r="AE115" s="24">
        <f t="shared" si="209"/>
        <v>19704.399999999994</v>
      </c>
      <c r="AF115" s="25">
        <f t="shared" si="253"/>
        <v>0.10832604907118783</v>
      </c>
      <c r="AG115" s="309">
        <f t="shared" si="254"/>
        <v>211826.4</v>
      </c>
      <c r="AH115" s="601">
        <f t="shared" si="255"/>
        <v>211826.4</v>
      </c>
      <c r="AI115" s="410">
        <v>162130</v>
      </c>
      <c r="AJ115" s="575">
        <f t="shared" si="210"/>
        <v>171242</v>
      </c>
      <c r="AK115" s="45"/>
      <c r="AL115" s="45">
        <v>191295</v>
      </c>
      <c r="AM115" s="45">
        <v>95000</v>
      </c>
      <c r="AN115" s="76">
        <f>AVERAGE(AK115,AL115,AJ115)</f>
        <v>181268.5</v>
      </c>
      <c r="AO115" s="24">
        <f t="shared" si="256"/>
        <v>19138.5</v>
      </c>
      <c r="AP115" s="281">
        <f t="shared" si="257"/>
        <v>0.11804416209214827</v>
      </c>
      <c r="AQ115" s="601">
        <f t="shared" si="258"/>
        <v>181268.5</v>
      </c>
      <c r="AR115" s="513">
        <v>162130</v>
      </c>
      <c r="AS115" s="575">
        <f t="shared" si="216"/>
        <v>171242</v>
      </c>
      <c r="AT115" s="88">
        <v>210000</v>
      </c>
      <c r="AU115" s="116">
        <v>210000</v>
      </c>
      <c r="AV115" s="74">
        <v>209937.42</v>
      </c>
      <c r="AW115" s="76">
        <f t="shared" si="217"/>
        <v>200294.85500000001</v>
      </c>
      <c r="AX115" s="24">
        <f t="shared" si="259"/>
        <v>38164.85500000001</v>
      </c>
      <c r="AY115" s="25">
        <f t="shared" si="260"/>
        <v>0.2353966261641893</v>
      </c>
      <c r="AZ115" s="309">
        <f t="shared" si="261"/>
        <v>200294.85500000001</v>
      </c>
      <c r="BA115" s="601">
        <f t="shared" si="262"/>
        <v>200294.85500000001</v>
      </c>
      <c r="BB115" s="513">
        <v>162130</v>
      </c>
      <c r="BC115" s="575">
        <f t="shared" si="211"/>
        <v>171242</v>
      </c>
      <c r="BD115" s="74">
        <v>219480.03000000003</v>
      </c>
      <c r="BE115" s="74">
        <v>230000</v>
      </c>
      <c r="BF115" s="75">
        <v>252879.16500000001</v>
      </c>
      <c r="BG115" s="61">
        <v>219480.03</v>
      </c>
      <c r="BH115" s="60">
        <v>140000</v>
      </c>
      <c r="BI115" s="74">
        <v>252402.03449999998</v>
      </c>
      <c r="BJ115" s="79">
        <v>252879.16500000001</v>
      </c>
      <c r="BK115" s="79">
        <f>181764*1.05</f>
        <v>190852.2</v>
      </c>
      <c r="BL115" s="127">
        <v>229022.64</v>
      </c>
      <c r="BM115" s="128">
        <v>234200</v>
      </c>
      <c r="BN115" s="128">
        <v>210000</v>
      </c>
      <c r="BO115" s="76">
        <f t="shared" si="222"/>
        <v>216869.77204166667</v>
      </c>
      <c r="BP115" s="24">
        <f t="shared" si="263"/>
        <v>54739.772041666671</v>
      </c>
      <c r="BQ115" s="25">
        <f t="shared" si="264"/>
        <v>0.33762889065359075</v>
      </c>
      <c r="BR115" s="259">
        <f t="shared" si="265"/>
        <v>216869.77204166667</v>
      </c>
      <c r="BS115" s="607">
        <f t="shared" si="212"/>
        <v>216869.77204166667</v>
      </c>
    </row>
    <row r="116" spans="1:71" ht="35.1" customHeight="1">
      <c r="A116" s="91" t="s">
        <v>514</v>
      </c>
      <c r="B116" s="358" t="s">
        <v>2307</v>
      </c>
      <c r="C116" s="50" t="s">
        <v>182</v>
      </c>
      <c r="D116" s="99" t="s">
        <v>524</v>
      </c>
      <c r="E116" s="391" t="s">
        <v>14</v>
      </c>
      <c r="F116" s="410">
        <v>14847</v>
      </c>
      <c r="G116" s="589">
        <f t="shared" si="204"/>
        <v>15681</v>
      </c>
      <c r="H116" s="10">
        <v>85000</v>
      </c>
      <c r="I116" s="167">
        <v>9000</v>
      </c>
      <c r="J116" s="10">
        <v>65000</v>
      </c>
      <c r="K116" s="76">
        <f t="shared" si="248"/>
        <v>55227</v>
      </c>
      <c r="L116" s="24">
        <f t="shared" si="249"/>
        <v>40380</v>
      </c>
      <c r="M116" s="281">
        <f t="shared" si="205"/>
        <v>2.5750908743064858</v>
      </c>
      <c r="N116" s="609">
        <f>AVERAGE(K116,G116)</f>
        <v>35454</v>
      </c>
      <c r="O116" s="410">
        <v>13489</v>
      </c>
      <c r="P116" s="575">
        <f t="shared" si="214"/>
        <v>14247</v>
      </c>
      <c r="Q116" s="10">
        <v>40000</v>
      </c>
      <c r="R116" s="10">
        <v>47000</v>
      </c>
      <c r="S116" s="268">
        <v>45000</v>
      </c>
      <c r="T116" s="10">
        <v>45000</v>
      </c>
      <c r="U116" s="76">
        <f>AVERAGE(Q116,R116,S116,T116,P116)</f>
        <v>38249.4</v>
      </c>
      <c r="V116" s="24">
        <f t="shared" si="206"/>
        <v>24002.400000000001</v>
      </c>
      <c r="W116" s="281">
        <f t="shared" si="251"/>
        <v>1.7794054414708282</v>
      </c>
      <c r="X116" s="462">
        <f t="shared" si="252"/>
        <v>38249.4</v>
      </c>
      <c r="Y116" s="410">
        <v>16992</v>
      </c>
      <c r="Z116" s="575">
        <f t="shared" si="207"/>
        <v>17947</v>
      </c>
      <c r="AA116" s="31">
        <v>22100</v>
      </c>
      <c r="AB116" s="31">
        <v>28729</v>
      </c>
      <c r="AC116" s="472">
        <v>19316.599999999999</v>
      </c>
      <c r="AD116" s="76">
        <f t="shared" si="224"/>
        <v>19787.866666666665</v>
      </c>
      <c r="AE116" s="24">
        <f t="shared" si="209"/>
        <v>1840.866666666665</v>
      </c>
      <c r="AF116" s="25">
        <f t="shared" si="253"/>
        <v>0.1083372567482736</v>
      </c>
      <c r="AG116" s="309">
        <f t="shared" si="254"/>
        <v>19787.866666666665</v>
      </c>
      <c r="AH116" s="601">
        <f t="shared" si="255"/>
        <v>19787.866666666665</v>
      </c>
      <c r="AI116" s="410">
        <v>15065</v>
      </c>
      <c r="AJ116" s="575">
        <f t="shared" si="210"/>
        <v>15912</v>
      </c>
      <c r="AK116" s="45"/>
      <c r="AL116" s="45">
        <v>17516</v>
      </c>
      <c r="AM116" s="45">
        <v>45000</v>
      </c>
      <c r="AN116" s="76">
        <f>AVERAGE(AK116,AL116,AJ116,AM116)</f>
        <v>26142.666666666668</v>
      </c>
      <c r="AO116" s="24">
        <f t="shared" si="256"/>
        <v>11077.666666666668</v>
      </c>
      <c r="AP116" s="281">
        <f t="shared" si="257"/>
        <v>0.73532470406018369</v>
      </c>
      <c r="AQ116" s="601">
        <f t="shared" si="258"/>
        <v>26142.666666666668</v>
      </c>
      <c r="AR116" s="513">
        <v>15140</v>
      </c>
      <c r="AS116" s="575">
        <f t="shared" si="216"/>
        <v>15991</v>
      </c>
      <c r="AT116" s="88">
        <v>50000</v>
      </c>
      <c r="AU116" s="116">
        <v>50000</v>
      </c>
      <c r="AV116" s="74">
        <v>49500</v>
      </c>
      <c r="AW116" s="76">
        <f t="shared" si="217"/>
        <v>41372.75</v>
      </c>
      <c r="AX116" s="24">
        <f t="shared" si="259"/>
        <v>26232.75</v>
      </c>
      <c r="AY116" s="25">
        <f t="shared" si="260"/>
        <v>1.7326783355350066</v>
      </c>
      <c r="AZ116" s="309" t="str">
        <f t="shared" si="261"/>
        <v>REVISAR PRECIO</v>
      </c>
      <c r="BA116" s="601">
        <f t="shared" si="262"/>
        <v>41372.75</v>
      </c>
      <c r="BB116" s="513">
        <v>15140</v>
      </c>
      <c r="BC116" s="575">
        <f t="shared" si="211"/>
        <v>15991</v>
      </c>
      <c r="BD116" s="74">
        <v>51750</v>
      </c>
      <c r="BE116" s="74">
        <v>80000</v>
      </c>
      <c r="BF116" s="75">
        <v>59625</v>
      </c>
      <c r="BG116" s="61">
        <v>51749.999999999993</v>
      </c>
      <c r="BH116" s="60">
        <v>120000</v>
      </c>
      <c r="BI116" s="74">
        <v>59512.499999999985</v>
      </c>
      <c r="BJ116" s="79">
        <v>59625</v>
      </c>
      <c r="BK116" s="79">
        <v>45000</v>
      </c>
      <c r="BL116" s="127">
        <v>54000</v>
      </c>
      <c r="BM116" s="128">
        <v>44200</v>
      </c>
      <c r="BN116" s="128">
        <v>50000</v>
      </c>
      <c r="BO116" s="76">
        <f>AVERAGE(BC116,BD116,BF116,BG116,BI116,BJ116,BK116,BL116,BM116,BN116)</f>
        <v>49145.35</v>
      </c>
      <c r="BP116" s="24">
        <f t="shared" si="263"/>
        <v>34005.35</v>
      </c>
      <c r="BQ116" s="25">
        <f t="shared" si="264"/>
        <v>2.2460601056803169</v>
      </c>
      <c r="BR116" s="259" t="str">
        <f t="shared" si="265"/>
        <v>REVISAR PRECIO</v>
      </c>
      <c r="BS116" s="607">
        <f t="shared" si="212"/>
        <v>49145.35</v>
      </c>
    </row>
    <row r="117" spans="1:71" ht="47.1" customHeight="1">
      <c r="A117" s="91" t="s">
        <v>514</v>
      </c>
      <c r="B117" s="358" t="s">
        <v>2308</v>
      </c>
      <c r="C117" s="50" t="s">
        <v>183</v>
      </c>
      <c r="D117" s="99" t="s">
        <v>525</v>
      </c>
      <c r="E117" s="391" t="s">
        <v>14</v>
      </c>
      <c r="F117" s="410">
        <v>84968</v>
      </c>
      <c r="G117" s="589">
        <f t="shared" si="204"/>
        <v>89743</v>
      </c>
      <c r="H117" s="10">
        <v>34860</v>
      </c>
      <c r="I117" s="167">
        <v>69720</v>
      </c>
      <c r="J117" s="10">
        <v>49800</v>
      </c>
      <c r="K117" s="76">
        <f>AVERAGE(G117,I117,J117,H117)</f>
        <v>61030.75</v>
      </c>
      <c r="L117" s="24">
        <f t="shared" si="249"/>
        <v>-23937.25</v>
      </c>
      <c r="M117" s="281">
        <f t="shared" si="205"/>
        <v>-0.26673110994729393</v>
      </c>
      <c r="N117" s="597">
        <f t="shared" si="213"/>
        <v>61030.75</v>
      </c>
      <c r="O117" s="410">
        <v>77231</v>
      </c>
      <c r="P117" s="575">
        <f t="shared" si="214"/>
        <v>81571</v>
      </c>
      <c r="Q117" s="10">
        <v>48000</v>
      </c>
      <c r="R117" s="10">
        <v>55000</v>
      </c>
      <c r="S117" s="268">
        <v>52000</v>
      </c>
      <c r="T117" s="10">
        <v>55000</v>
      </c>
      <c r="U117" s="76">
        <f t="shared" ref="U117:U125" si="266">AVERAGE(Q117,R117,S117,T117)</f>
        <v>52500</v>
      </c>
      <c r="V117" s="24">
        <f t="shared" si="206"/>
        <v>-29071</v>
      </c>
      <c r="W117" s="281">
        <f t="shared" si="251"/>
        <v>-0.37641620592767155</v>
      </c>
      <c r="X117" s="462">
        <f t="shared" si="252"/>
        <v>52500</v>
      </c>
      <c r="Y117" s="410">
        <v>122899</v>
      </c>
      <c r="Z117" s="575">
        <f t="shared" si="207"/>
        <v>129806</v>
      </c>
      <c r="AA117" s="33">
        <v>159840</v>
      </c>
      <c r="AB117" s="31">
        <v>207792</v>
      </c>
      <c r="AC117" s="472">
        <v>139712</v>
      </c>
      <c r="AD117" s="76">
        <f t="shared" si="224"/>
        <v>143119.33333333334</v>
      </c>
      <c r="AE117" s="24">
        <f t="shared" si="209"/>
        <v>13313.333333333343</v>
      </c>
      <c r="AF117" s="25">
        <f t="shared" si="253"/>
        <v>0.10832743418037041</v>
      </c>
      <c r="AG117" s="309">
        <f t="shared" si="254"/>
        <v>143119.33333333334</v>
      </c>
      <c r="AH117" s="601">
        <f t="shared" si="255"/>
        <v>143119.33333333334</v>
      </c>
      <c r="AI117" s="410">
        <v>86238</v>
      </c>
      <c r="AJ117" s="575">
        <f t="shared" si="210"/>
        <v>91085</v>
      </c>
      <c r="AK117" s="45"/>
      <c r="AL117" s="45">
        <v>100250</v>
      </c>
      <c r="AM117" s="45">
        <v>50000</v>
      </c>
      <c r="AN117" s="76">
        <f>AVERAGE(AK117,AJ117,AM117)</f>
        <v>70542.5</v>
      </c>
      <c r="AO117" s="24">
        <f t="shared" si="256"/>
        <v>-15695.5</v>
      </c>
      <c r="AP117" s="281">
        <f t="shared" si="257"/>
        <v>-0.18200213363018622</v>
      </c>
      <c r="AQ117" s="601">
        <f t="shared" si="258"/>
        <v>70542.5</v>
      </c>
      <c r="AR117" s="513">
        <v>86665</v>
      </c>
      <c r="AS117" s="575">
        <f t="shared" si="216"/>
        <v>91536</v>
      </c>
      <c r="AT117" s="88">
        <v>39000</v>
      </c>
      <c r="AU117" s="116">
        <v>39000</v>
      </c>
      <c r="AV117" s="74">
        <v>38346</v>
      </c>
      <c r="AW117" s="76">
        <f t="shared" si="217"/>
        <v>51970.5</v>
      </c>
      <c r="AX117" s="24">
        <f t="shared" si="259"/>
        <v>-34694.5</v>
      </c>
      <c r="AY117" s="25">
        <f t="shared" si="260"/>
        <v>-0.40032885247793226</v>
      </c>
      <c r="AZ117" s="309">
        <f t="shared" si="261"/>
        <v>51970.5</v>
      </c>
      <c r="BA117" s="601">
        <f t="shared" si="262"/>
        <v>51970.5</v>
      </c>
      <c r="BB117" s="513">
        <v>86665</v>
      </c>
      <c r="BC117" s="575">
        <f t="shared" si="211"/>
        <v>91536</v>
      </c>
      <c r="BD117" s="74">
        <v>40089</v>
      </c>
      <c r="BE117" s="74">
        <v>60000</v>
      </c>
      <c r="BF117" s="75">
        <v>46189.5</v>
      </c>
      <c r="BG117" s="61">
        <v>40089</v>
      </c>
      <c r="BH117" s="60">
        <v>140000</v>
      </c>
      <c r="BI117" s="74">
        <v>46102.35</v>
      </c>
      <c r="BJ117" s="79">
        <v>46189.5</v>
      </c>
      <c r="BK117" s="79">
        <f>24900*1.4</f>
        <v>34860</v>
      </c>
      <c r="BL117" s="127">
        <v>41832</v>
      </c>
      <c r="BM117" s="128">
        <v>41700</v>
      </c>
      <c r="BN117" s="128">
        <v>40000</v>
      </c>
      <c r="BO117" s="76">
        <f t="shared" si="222"/>
        <v>55715.612499999996</v>
      </c>
      <c r="BP117" s="24">
        <f t="shared" si="263"/>
        <v>-30949.387500000004</v>
      </c>
      <c r="BQ117" s="25">
        <f t="shared" si="264"/>
        <v>-0.35711518490740213</v>
      </c>
      <c r="BR117" s="259">
        <f t="shared" si="265"/>
        <v>55715.612499999996</v>
      </c>
      <c r="BS117" s="652">
        <f>+BO117</f>
        <v>55715.612499999996</v>
      </c>
    </row>
    <row r="118" spans="1:71" ht="45" customHeight="1">
      <c r="A118" s="91" t="s">
        <v>514</v>
      </c>
      <c r="B118" s="358" t="s">
        <v>2309</v>
      </c>
      <c r="C118" s="50" t="s">
        <v>184</v>
      </c>
      <c r="D118" s="99" t="s">
        <v>20</v>
      </c>
      <c r="E118" s="391" t="s">
        <v>14</v>
      </c>
      <c r="F118" s="410">
        <v>15369</v>
      </c>
      <c r="G118" s="589">
        <f t="shared" si="204"/>
        <v>16233</v>
      </c>
      <c r="H118" s="10">
        <v>31900</v>
      </c>
      <c r="I118" s="167">
        <v>95700</v>
      </c>
      <c r="J118" s="10">
        <v>45900</v>
      </c>
      <c r="K118" s="76">
        <f>AVERAGE(H118,J118,G118)</f>
        <v>31344.333333333332</v>
      </c>
      <c r="L118" s="24">
        <f t="shared" si="249"/>
        <v>15975.333333333332</v>
      </c>
      <c r="M118" s="281">
        <f t="shared" si="205"/>
        <v>0.98412698412698407</v>
      </c>
      <c r="N118" s="609">
        <f t="shared" si="213"/>
        <v>31344.333333333332</v>
      </c>
      <c r="O118" s="410">
        <v>13830</v>
      </c>
      <c r="P118" s="575">
        <f t="shared" si="214"/>
        <v>14607</v>
      </c>
      <c r="Q118" s="10">
        <v>45000</v>
      </c>
      <c r="R118" s="10">
        <v>51000</v>
      </c>
      <c r="S118" s="268">
        <v>51000</v>
      </c>
      <c r="T118" s="10">
        <v>75000</v>
      </c>
      <c r="U118" s="76">
        <f>AVERAGE(Q118,R118,S118,P118)</f>
        <v>40401.75</v>
      </c>
      <c r="V118" s="24">
        <f t="shared" si="206"/>
        <v>25794.75</v>
      </c>
      <c r="W118" s="281">
        <f t="shared" si="251"/>
        <v>1.8651301518438177</v>
      </c>
      <c r="X118" s="462">
        <f t="shared" si="252"/>
        <v>40401.75</v>
      </c>
      <c r="Y118" s="410">
        <v>21175</v>
      </c>
      <c r="Z118" s="575">
        <f t="shared" si="207"/>
        <v>22365</v>
      </c>
      <c r="AA118" s="31">
        <v>27540</v>
      </c>
      <c r="AB118" s="31">
        <v>35802</v>
      </c>
      <c r="AC118" s="472">
        <v>24072</v>
      </c>
      <c r="AD118" s="76">
        <f t="shared" si="224"/>
        <v>24659</v>
      </c>
      <c r="AE118" s="24">
        <f t="shared" si="209"/>
        <v>2294</v>
      </c>
      <c r="AF118" s="25">
        <f t="shared" si="253"/>
        <v>0.10833530106257379</v>
      </c>
      <c r="AG118" s="309">
        <f t="shared" si="254"/>
        <v>24659</v>
      </c>
      <c r="AH118" s="601">
        <f t="shared" si="255"/>
        <v>24659</v>
      </c>
      <c r="AI118" s="410">
        <v>15369</v>
      </c>
      <c r="AJ118" s="575">
        <f t="shared" si="210"/>
        <v>16233</v>
      </c>
      <c r="AK118" s="45"/>
      <c r="AL118" s="45">
        <v>31900</v>
      </c>
      <c r="AM118" s="45">
        <v>45000</v>
      </c>
      <c r="AN118" s="76">
        <f>AVERAGE(AK118,AL118,AJ118)</f>
        <v>24066.5</v>
      </c>
      <c r="AO118" s="24">
        <f t="shared" si="256"/>
        <v>8697.5</v>
      </c>
      <c r="AP118" s="281">
        <f t="shared" si="257"/>
        <v>0.5659119005790878</v>
      </c>
      <c r="AQ118" s="604">
        <f t="shared" si="258"/>
        <v>24066.5</v>
      </c>
      <c r="AR118" s="513">
        <v>15369</v>
      </c>
      <c r="AS118" s="575">
        <f t="shared" si="216"/>
        <v>16233</v>
      </c>
      <c r="AT118" s="88">
        <v>35000</v>
      </c>
      <c r="AU118" s="116">
        <v>35000</v>
      </c>
      <c r="AV118" s="74">
        <v>35090</v>
      </c>
      <c r="AW118" s="76">
        <f t="shared" si="217"/>
        <v>30330.75</v>
      </c>
      <c r="AX118" s="24">
        <f t="shared" si="259"/>
        <v>14961.75</v>
      </c>
      <c r="AY118" s="25">
        <f t="shared" si="260"/>
        <v>0.97350185438219794</v>
      </c>
      <c r="AZ118" s="309" t="str">
        <f t="shared" si="261"/>
        <v>REVISAR PRECIO</v>
      </c>
      <c r="BA118" s="601">
        <f t="shared" si="262"/>
        <v>30330.75</v>
      </c>
      <c r="BB118" s="513">
        <v>15369</v>
      </c>
      <c r="BC118" s="575">
        <f t="shared" si="211"/>
        <v>16233</v>
      </c>
      <c r="BD118" s="74">
        <v>36685</v>
      </c>
      <c r="BE118" s="74">
        <v>40000</v>
      </c>
      <c r="BF118" s="75">
        <v>42267.5</v>
      </c>
      <c r="BG118" s="61">
        <v>36685</v>
      </c>
      <c r="BH118" s="60">
        <v>90000</v>
      </c>
      <c r="BI118" s="74">
        <v>42187.75</v>
      </c>
      <c r="BJ118" s="79">
        <v>42267.5</v>
      </c>
      <c r="BK118" s="79">
        <f>22000*1.45</f>
        <v>31900</v>
      </c>
      <c r="BL118" s="127">
        <v>38280</v>
      </c>
      <c r="BM118" s="128">
        <v>31900</v>
      </c>
      <c r="BN118" s="128">
        <v>30000</v>
      </c>
      <c r="BO118" s="76">
        <f>AVERAGE(BC118,BD118,BE118,BF118,BG118,BI118,BJ118,BK118,BL118,BM118,BN118)</f>
        <v>35309.61363636364</v>
      </c>
      <c r="BP118" s="24">
        <f t="shared" si="263"/>
        <v>19940.61363636364</v>
      </c>
      <c r="BQ118" s="25">
        <f t="shared" si="264"/>
        <v>1.2974568050207327</v>
      </c>
      <c r="BR118" s="259" t="str">
        <f t="shared" si="265"/>
        <v>REVISAR PRECIO</v>
      </c>
      <c r="BS118" s="607">
        <f t="shared" si="212"/>
        <v>35309.61363636364</v>
      </c>
    </row>
    <row r="119" spans="1:71" ht="45" customHeight="1">
      <c r="A119" s="91" t="s">
        <v>514</v>
      </c>
      <c r="B119" s="358" t="s">
        <v>2310</v>
      </c>
      <c r="C119" s="50" t="s">
        <v>185</v>
      </c>
      <c r="D119" s="99" t="s">
        <v>21</v>
      </c>
      <c r="E119" s="391" t="s">
        <v>14</v>
      </c>
      <c r="F119" s="410">
        <v>75485</v>
      </c>
      <c r="G119" s="589">
        <f t="shared" si="204"/>
        <v>79727</v>
      </c>
      <c r="H119" s="10">
        <v>56000</v>
      </c>
      <c r="I119" s="167">
        <v>112000</v>
      </c>
      <c r="J119" s="10">
        <v>80000</v>
      </c>
      <c r="K119" s="76">
        <f>AVERAGE(J119,G119,H119,I119)</f>
        <v>81931.75</v>
      </c>
      <c r="L119" s="24">
        <f t="shared" si="249"/>
        <v>6446.75</v>
      </c>
      <c r="M119" s="281">
        <f t="shared" si="205"/>
        <v>8.0860310810641309E-2</v>
      </c>
      <c r="N119" s="597">
        <f t="shared" si="213"/>
        <v>81931.75</v>
      </c>
      <c r="O119" s="410">
        <v>67937</v>
      </c>
      <c r="P119" s="575">
        <f t="shared" si="214"/>
        <v>71755</v>
      </c>
      <c r="Q119" s="10">
        <v>89000</v>
      </c>
      <c r="R119" s="10">
        <v>95000</v>
      </c>
      <c r="S119" s="268">
        <v>93000</v>
      </c>
      <c r="T119" s="10">
        <v>85000</v>
      </c>
      <c r="U119" s="76">
        <f>AVERAGE(Q119,R119,S119,T119,P119)</f>
        <v>86751</v>
      </c>
      <c r="V119" s="24">
        <f t="shared" si="206"/>
        <v>14996</v>
      </c>
      <c r="W119" s="281">
        <f t="shared" si="251"/>
        <v>0.22073391524500641</v>
      </c>
      <c r="X119" s="462">
        <f t="shared" si="252"/>
        <v>86751</v>
      </c>
      <c r="Y119" s="410">
        <v>104008</v>
      </c>
      <c r="Z119" s="575">
        <f t="shared" si="207"/>
        <v>109853</v>
      </c>
      <c r="AA119" s="31">
        <v>135270</v>
      </c>
      <c r="AB119" s="31">
        <v>175851</v>
      </c>
      <c r="AC119" s="472">
        <v>118236</v>
      </c>
      <c r="AD119" s="76">
        <f t="shared" si="224"/>
        <v>121119.66666666667</v>
      </c>
      <c r="AE119" s="24">
        <f t="shared" si="209"/>
        <v>11266.666666666672</v>
      </c>
      <c r="AF119" s="25">
        <f t="shared" si="253"/>
        <v>0.10832500064097639</v>
      </c>
      <c r="AG119" s="309">
        <f t="shared" si="254"/>
        <v>121119.66666666667</v>
      </c>
      <c r="AH119" s="601">
        <f t="shared" si="255"/>
        <v>121119.66666666667</v>
      </c>
      <c r="AI119" s="410">
        <v>75484</v>
      </c>
      <c r="AJ119" s="575">
        <f t="shared" si="210"/>
        <v>79726</v>
      </c>
      <c r="AK119" s="45"/>
      <c r="AL119" s="45">
        <v>89065</v>
      </c>
      <c r="AM119" s="45">
        <v>55000</v>
      </c>
      <c r="AN119" s="76">
        <f>AVERAGE(AK119,AL119,AJ119)</f>
        <v>84395.5</v>
      </c>
      <c r="AO119" s="24">
        <f t="shared" si="256"/>
        <v>8911.5</v>
      </c>
      <c r="AP119" s="281">
        <f t="shared" si="257"/>
        <v>0.1180581315245615</v>
      </c>
      <c r="AQ119" s="601">
        <f t="shared" si="258"/>
        <v>84395.5</v>
      </c>
      <c r="AR119" s="513">
        <v>75484</v>
      </c>
      <c r="AS119" s="575">
        <f t="shared" si="216"/>
        <v>79726</v>
      </c>
      <c r="AT119" s="88">
        <v>58800</v>
      </c>
      <c r="AU119" s="116">
        <v>58800</v>
      </c>
      <c r="AV119" s="74">
        <v>61600</v>
      </c>
      <c r="AW119" s="76">
        <f t="shared" si="217"/>
        <v>64731.5</v>
      </c>
      <c r="AX119" s="24">
        <f t="shared" si="259"/>
        <v>-10752.5</v>
      </c>
      <c r="AY119" s="25">
        <f t="shared" si="260"/>
        <v>-0.14244740607281015</v>
      </c>
      <c r="AZ119" s="309">
        <f t="shared" si="261"/>
        <v>64731.5</v>
      </c>
      <c r="BA119" s="604">
        <f>AS119</f>
        <v>79726</v>
      </c>
      <c r="BB119" s="513">
        <v>75484</v>
      </c>
      <c r="BC119" s="575">
        <f t="shared" si="211"/>
        <v>79726</v>
      </c>
      <c r="BD119" s="74">
        <v>64400</v>
      </c>
      <c r="BE119" s="74">
        <v>100000</v>
      </c>
      <c r="BF119" s="75">
        <v>74200</v>
      </c>
      <c r="BG119" s="61">
        <v>64399.999999999993</v>
      </c>
      <c r="BH119" s="60">
        <v>140000</v>
      </c>
      <c r="BI119" s="74">
        <v>74059.999999999985</v>
      </c>
      <c r="BJ119" s="79">
        <v>74200</v>
      </c>
      <c r="BK119" s="79">
        <f>40000*1.4</f>
        <v>56000</v>
      </c>
      <c r="BL119" s="127">
        <v>67200</v>
      </c>
      <c r="BM119" s="128">
        <v>55100</v>
      </c>
      <c r="BN119" s="128">
        <v>55000</v>
      </c>
      <c r="BO119" s="76">
        <f>AVERAGE(BC119,BD119,BE119,BF119,BG119,BH119,BI119,BJ119,BK119,BL119)</f>
        <v>79418.600000000006</v>
      </c>
      <c r="BP119" s="24">
        <f t="shared" si="263"/>
        <v>3934.6000000000058</v>
      </c>
      <c r="BQ119" s="25">
        <f t="shared" si="264"/>
        <v>5.2124953632557973E-2</v>
      </c>
      <c r="BR119" s="259">
        <f t="shared" si="265"/>
        <v>79418.600000000006</v>
      </c>
      <c r="BS119" s="607">
        <f t="shared" si="212"/>
        <v>79418.600000000006</v>
      </c>
    </row>
    <row r="120" spans="1:71" ht="45" customHeight="1">
      <c r="A120" s="91" t="s">
        <v>514</v>
      </c>
      <c r="B120" s="358" t="s">
        <v>2311</v>
      </c>
      <c r="C120" s="50" t="s">
        <v>186</v>
      </c>
      <c r="D120" s="99" t="s">
        <v>526</v>
      </c>
      <c r="E120" s="391" t="s">
        <v>22</v>
      </c>
      <c r="F120" s="410">
        <v>97517</v>
      </c>
      <c r="G120" s="589">
        <f t="shared" si="204"/>
        <v>102997</v>
      </c>
      <c r="H120" s="10">
        <v>30786</v>
      </c>
      <c r="I120" s="167">
        <v>61572</v>
      </c>
      <c r="J120" s="10">
        <v>203000</v>
      </c>
      <c r="K120" s="76">
        <f>AVERAGE(G120:H120,J120)</f>
        <v>112261</v>
      </c>
      <c r="L120" s="24">
        <f t="shared" si="249"/>
        <v>14744</v>
      </c>
      <c r="M120" s="281">
        <f t="shared" si="205"/>
        <v>0.14314980047962561</v>
      </c>
      <c r="N120" s="597">
        <f t="shared" si="213"/>
        <v>112261</v>
      </c>
      <c r="O120" s="410">
        <v>88640</v>
      </c>
      <c r="P120" s="575">
        <f t="shared" si="214"/>
        <v>93622</v>
      </c>
      <c r="Q120" s="10">
        <v>79900</v>
      </c>
      <c r="R120" s="10">
        <v>85000</v>
      </c>
      <c r="S120" s="268">
        <v>80000</v>
      </c>
      <c r="T120" s="10">
        <v>120000</v>
      </c>
      <c r="U120" s="76">
        <f>AVERAGE(Q120,R120,S120,P120,T120)</f>
        <v>91704.4</v>
      </c>
      <c r="V120" s="24">
        <f t="shared" si="206"/>
        <v>-1917.6000000000058</v>
      </c>
      <c r="W120" s="281">
        <f t="shared" si="251"/>
        <v>-2.1633574007220283E-2</v>
      </c>
      <c r="X120" s="462">
        <f>P120</f>
        <v>93622</v>
      </c>
      <c r="Y120" s="410">
        <v>137047</v>
      </c>
      <c r="Z120" s="575">
        <f t="shared" si="207"/>
        <v>144749</v>
      </c>
      <c r="AA120" s="31">
        <v>178241</v>
      </c>
      <c r="AB120" s="31">
        <v>178241</v>
      </c>
      <c r="AC120" s="472">
        <v>155795.4</v>
      </c>
      <c r="AD120" s="76">
        <f>AVERAGE(AA120,AC120,Z120,AB120)</f>
        <v>164256.6</v>
      </c>
      <c r="AE120" s="24">
        <f t="shared" si="209"/>
        <v>19507.600000000006</v>
      </c>
      <c r="AF120" s="25">
        <f t="shared" si="253"/>
        <v>0.14234240807898024</v>
      </c>
      <c r="AG120" s="309">
        <f t="shared" si="254"/>
        <v>164256.6</v>
      </c>
      <c r="AH120" s="601">
        <f t="shared" si="255"/>
        <v>164256.6</v>
      </c>
      <c r="AI120" s="410">
        <v>98977</v>
      </c>
      <c r="AJ120" s="575">
        <f t="shared" si="210"/>
        <v>104540</v>
      </c>
      <c r="AK120" s="45"/>
      <c r="AL120" s="45">
        <v>115062</v>
      </c>
      <c r="AM120" s="45">
        <v>45000</v>
      </c>
      <c r="AN120" s="76">
        <f>AVERAGE(AK120,AL120,AJ120)</f>
        <v>109801</v>
      </c>
      <c r="AO120" s="24">
        <f t="shared" si="256"/>
        <v>10824</v>
      </c>
      <c r="AP120" s="281">
        <f t="shared" si="257"/>
        <v>0.10935873990927185</v>
      </c>
      <c r="AQ120" s="601">
        <f t="shared" si="258"/>
        <v>109801</v>
      </c>
      <c r="AR120" s="513">
        <v>99471</v>
      </c>
      <c r="AS120" s="575">
        <f t="shared" si="216"/>
        <v>105061</v>
      </c>
      <c r="AT120" s="88">
        <v>33000</v>
      </c>
      <c r="AU120" s="116">
        <v>33000</v>
      </c>
      <c r="AV120" s="74">
        <v>33864.6</v>
      </c>
      <c r="AW120" s="76">
        <f t="shared" si="217"/>
        <v>51231.4</v>
      </c>
      <c r="AX120" s="24">
        <f t="shared" si="259"/>
        <v>-48239.6</v>
      </c>
      <c r="AY120" s="25">
        <f t="shared" si="260"/>
        <v>-0.4849614460496024</v>
      </c>
      <c r="AZ120" s="309">
        <f t="shared" si="261"/>
        <v>51231.4</v>
      </c>
      <c r="BA120" s="604">
        <f>AS120</f>
        <v>105061</v>
      </c>
      <c r="BB120" s="513">
        <v>99471</v>
      </c>
      <c r="BC120" s="575">
        <f t="shared" si="211"/>
        <v>105061</v>
      </c>
      <c r="BD120" s="74">
        <v>35403.899999999994</v>
      </c>
      <c r="BE120" s="74">
        <v>50000</v>
      </c>
      <c r="BF120" s="75">
        <v>40791.449999999997</v>
      </c>
      <c r="BG120" s="61">
        <v>35403.899999999994</v>
      </c>
      <c r="BH120" s="60">
        <v>18000</v>
      </c>
      <c r="BI120" s="74">
        <v>40714.484999999993</v>
      </c>
      <c r="BJ120" s="79">
        <v>40791.449999999997</v>
      </c>
      <c r="BK120" s="79">
        <f>21990*1.4</f>
        <v>30785.999999999996</v>
      </c>
      <c r="BL120" s="127">
        <v>36943.199999999997</v>
      </c>
      <c r="BM120" s="128">
        <v>36200</v>
      </c>
      <c r="BN120" s="128">
        <v>30000</v>
      </c>
      <c r="BO120" s="76">
        <f t="shared" si="222"/>
        <v>41674.615416666667</v>
      </c>
      <c r="BP120" s="24">
        <f t="shared" si="263"/>
        <v>-57796.384583333333</v>
      </c>
      <c r="BQ120" s="25">
        <f t="shared" si="264"/>
        <v>-0.58103753439025774</v>
      </c>
      <c r="BR120" s="259">
        <f t="shared" si="265"/>
        <v>41674.615416666667</v>
      </c>
      <c r="BS120" s="652">
        <f>BC120</f>
        <v>105061</v>
      </c>
    </row>
    <row r="121" spans="1:71" ht="45" customHeight="1">
      <c r="A121" s="91" t="s">
        <v>514</v>
      </c>
      <c r="B121" s="358" t="s">
        <v>2312</v>
      </c>
      <c r="C121" s="50" t="s">
        <v>187</v>
      </c>
      <c r="D121" s="99" t="s">
        <v>527</v>
      </c>
      <c r="E121" s="391" t="s">
        <v>14</v>
      </c>
      <c r="F121" s="410">
        <v>61578</v>
      </c>
      <c r="G121" s="589">
        <f t="shared" si="204"/>
        <v>65039</v>
      </c>
      <c r="H121" s="10">
        <v>117645</v>
      </c>
      <c r="I121" s="167">
        <v>352935</v>
      </c>
      <c r="J121" s="10">
        <v>145000</v>
      </c>
      <c r="K121" s="76">
        <f>AVERAGE(H121,J121,G121)</f>
        <v>109228</v>
      </c>
      <c r="L121" s="24">
        <f t="shared" si="249"/>
        <v>47650</v>
      </c>
      <c r="M121" s="281">
        <f t="shared" si="205"/>
        <v>0.73263734067251951</v>
      </c>
      <c r="N121" s="597">
        <f t="shared" si="213"/>
        <v>109228</v>
      </c>
      <c r="O121" s="410">
        <v>55967</v>
      </c>
      <c r="P121" s="575">
        <f t="shared" si="214"/>
        <v>59112</v>
      </c>
      <c r="Q121" s="10">
        <v>70000</v>
      </c>
      <c r="R121" s="10">
        <v>76500</v>
      </c>
      <c r="S121" s="268">
        <v>74000</v>
      </c>
      <c r="T121" s="10">
        <v>120000</v>
      </c>
      <c r="U121" s="76">
        <f>AVERAGE(Q121,R121,S121,P121)</f>
        <v>69903</v>
      </c>
      <c r="V121" s="24">
        <f t="shared" si="206"/>
        <v>10791</v>
      </c>
      <c r="W121" s="281">
        <f t="shared" si="251"/>
        <v>0.19281004877874461</v>
      </c>
      <c r="X121" s="462">
        <f t="shared" si="252"/>
        <v>69903</v>
      </c>
      <c r="Y121" s="410">
        <v>86538</v>
      </c>
      <c r="Z121" s="575">
        <f t="shared" si="207"/>
        <v>91401</v>
      </c>
      <c r="AA121" s="31">
        <v>112550</v>
      </c>
      <c r="AB121" s="31">
        <v>146314</v>
      </c>
      <c r="AC121" s="472">
        <v>98376.6</v>
      </c>
      <c r="AD121" s="76">
        <f t="shared" si="224"/>
        <v>100775.86666666665</v>
      </c>
      <c r="AE121" s="24">
        <f t="shared" si="209"/>
        <v>9374.8666666666541</v>
      </c>
      <c r="AF121" s="25">
        <f t="shared" si="253"/>
        <v>0.1083323703652344</v>
      </c>
      <c r="AG121" s="309">
        <f t="shared" si="254"/>
        <v>100775.86666666665</v>
      </c>
      <c r="AH121" s="601">
        <f t="shared" si="255"/>
        <v>100775.86666666665</v>
      </c>
      <c r="AI121" s="410">
        <v>62498</v>
      </c>
      <c r="AJ121" s="575">
        <f t="shared" si="210"/>
        <v>66010</v>
      </c>
      <c r="AK121" s="45"/>
      <c r="AL121" s="45">
        <v>72654</v>
      </c>
      <c r="AM121" s="45">
        <v>110000</v>
      </c>
      <c r="AN121" s="76">
        <f>AVERAGE(AK121,AL121,AJ121)</f>
        <v>69332</v>
      </c>
      <c r="AO121" s="24">
        <f t="shared" si="256"/>
        <v>6834</v>
      </c>
      <c r="AP121" s="281">
        <f t="shared" si="257"/>
        <v>0.10934749911997184</v>
      </c>
      <c r="AQ121" s="601">
        <f t="shared" si="258"/>
        <v>69332</v>
      </c>
      <c r="AR121" s="513">
        <v>62811</v>
      </c>
      <c r="AS121" s="575">
        <f t="shared" si="216"/>
        <v>66341</v>
      </c>
      <c r="AT121" s="88">
        <v>130000</v>
      </c>
      <c r="AU121" s="116">
        <v>130000</v>
      </c>
      <c r="AV121" s="74">
        <v>129409.5</v>
      </c>
      <c r="AW121" s="76">
        <f t="shared" si="217"/>
        <v>113937.625</v>
      </c>
      <c r="AX121" s="24">
        <f t="shared" si="259"/>
        <v>51126.625</v>
      </c>
      <c r="AY121" s="25">
        <f t="shared" si="260"/>
        <v>0.81397565713012054</v>
      </c>
      <c r="AZ121" s="309" t="str">
        <f t="shared" si="261"/>
        <v>REVISAR PRECIO</v>
      </c>
      <c r="BA121" s="604">
        <f t="shared" si="262"/>
        <v>113937.625</v>
      </c>
      <c r="BB121" s="513">
        <v>62811</v>
      </c>
      <c r="BC121" s="575">
        <f t="shared" si="211"/>
        <v>66341</v>
      </c>
      <c r="BD121" s="74">
        <v>135291.75</v>
      </c>
      <c r="BE121" s="74">
        <v>200000</v>
      </c>
      <c r="BF121" s="75">
        <v>155879.625</v>
      </c>
      <c r="BG121" s="61">
        <v>135291.75</v>
      </c>
      <c r="BH121" s="60">
        <v>600000</v>
      </c>
      <c r="BI121" s="74">
        <v>155585.51249999998</v>
      </c>
      <c r="BJ121" s="79">
        <v>155879.625</v>
      </c>
      <c r="BK121" s="79">
        <f>75900*1.55</f>
        <v>117645</v>
      </c>
      <c r="BL121" s="127">
        <v>141174</v>
      </c>
      <c r="BM121" s="128">
        <v>120100</v>
      </c>
      <c r="BN121" s="128">
        <v>120000</v>
      </c>
      <c r="BO121" s="76">
        <f>AVERAGE(BC121,BD121,BE121,BF121,BG121,BI121,BJ121,BK121,BL121,BM121,BN121)</f>
        <v>136653.47840909089</v>
      </c>
      <c r="BP121" s="24">
        <f t="shared" si="263"/>
        <v>73842.478409090894</v>
      </c>
      <c r="BQ121" s="25">
        <f t="shared" si="264"/>
        <v>1.1756297210534921</v>
      </c>
      <c r="BR121" s="259" t="str">
        <f t="shared" si="265"/>
        <v>REVISAR PRECIO</v>
      </c>
      <c r="BS121" s="607">
        <f t="shared" si="212"/>
        <v>136653.47840909089</v>
      </c>
    </row>
    <row r="122" spans="1:71" ht="45" customHeight="1">
      <c r="A122" s="91" t="s">
        <v>514</v>
      </c>
      <c r="B122" s="358" t="s">
        <v>2313</v>
      </c>
      <c r="C122" s="50" t="s">
        <v>188</v>
      </c>
      <c r="D122" s="99" t="s">
        <v>528</v>
      </c>
      <c r="E122" s="391" t="s">
        <v>14</v>
      </c>
      <c r="F122" s="410">
        <v>132154</v>
      </c>
      <c r="G122" s="589">
        <f t="shared" si="204"/>
        <v>139581</v>
      </c>
      <c r="H122" s="10">
        <v>159460</v>
      </c>
      <c r="I122" s="167">
        <v>318920</v>
      </c>
      <c r="J122" s="10">
        <v>160000</v>
      </c>
      <c r="K122" s="76">
        <f>AVERAGE(H122,J122,G122)</f>
        <v>153013.66666666666</v>
      </c>
      <c r="L122" s="24">
        <f t="shared" si="249"/>
        <v>20859.666666666657</v>
      </c>
      <c r="M122" s="281">
        <f t="shared" si="205"/>
        <v>0.14944488624287444</v>
      </c>
      <c r="N122" s="597">
        <f t="shared" si="213"/>
        <v>153013.66666666666</v>
      </c>
      <c r="O122" s="410">
        <v>120117</v>
      </c>
      <c r="P122" s="575">
        <f t="shared" si="214"/>
        <v>126868</v>
      </c>
      <c r="Q122" s="10">
        <v>250000</v>
      </c>
      <c r="R122" s="10">
        <v>260000</v>
      </c>
      <c r="S122" s="268">
        <v>265000</v>
      </c>
      <c r="T122" s="10">
        <v>320000</v>
      </c>
      <c r="U122" s="76">
        <f>AVERAGE(Q122,R122,S122,T122,P122)</f>
        <v>244373.6</v>
      </c>
      <c r="V122" s="24">
        <f t="shared" si="206"/>
        <v>117505.60000000001</v>
      </c>
      <c r="W122" s="281">
        <f t="shared" si="251"/>
        <v>0.97825953029129942</v>
      </c>
      <c r="X122" s="462">
        <f t="shared" si="252"/>
        <v>244373.6</v>
      </c>
      <c r="Y122" s="410">
        <v>185729</v>
      </c>
      <c r="Z122" s="575">
        <f t="shared" si="207"/>
        <v>196167</v>
      </c>
      <c r="AA122" s="31">
        <v>241556</v>
      </c>
      <c r="AB122" s="31">
        <v>314022</v>
      </c>
      <c r="AC122" s="472">
        <v>211137.4</v>
      </c>
      <c r="AD122" s="76">
        <f t="shared" si="224"/>
        <v>216286.80000000002</v>
      </c>
      <c r="AE122" s="24">
        <f t="shared" si="209"/>
        <v>20119.800000000017</v>
      </c>
      <c r="AF122" s="25">
        <f t="shared" si="253"/>
        <v>0.10832880164110084</v>
      </c>
      <c r="AG122" s="309">
        <f t="shared" si="254"/>
        <v>216286.80000000002</v>
      </c>
      <c r="AH122" s="601">
        <f t="shared" si="255"/>
        <v>216286.80000000002</v>
      </c>
      <c r="AI122" s="410">
        <v>134127</v>
      </c>
      <c r="AJ122" s="575">
        <f t="shared" si="210"/>
        <v>141665</v>
      </c>
      <c r="AK122" s="45"/>
      <c r="AL122" s="45">
        <v>155928</v>
      </c>
      <c r="AM122" s="45">
        <v>155000</v>
      </c>
      <c r="AN122" s="76">
        <f t="shared" si="223"/>
        <v>150864.33333333334</v>
      </c>
      <c r="AO122" s="24">
        <f t="shared" si="256"/>
        <v>16737.333333333343</v>
      </c>
      <c r="AP122" s="281">
        <f t="shared" si="257"/>
        <v>0.12478720416719484</v>
      </c>
      <c r="AQ122" s="601">
        <f t="shared" si="258"/>
        <v>150864.33333333334</v>
      </c>
      <c r="AR122" s="513">
        <v>134802</v>
      </c>
      <c r="AS122" s="575">
        <f t="shared" si="216"/>
        <v>142378</v>
      </c>
      <c r="AT122" s="88">
        <v>167400</v>
      </c>
      <c r="AU122" s="116">
        <v>167400</v>
      </c>
      <c r="AV122" s="74">
        <v>175406</v>
      </c>
      <c r="AW122" s="76">
        <f t="shared" si="217"/>
        <v>163146</v>
      </c>
      <c r="AX122" s="24">
        <f t="shared" si="259"/>
        <v>28344</v>
      </c>
      <c r="AY122" s="25">
        <f t="shared" si="260"/>
        <v>0.21026394267147372</v>
      </c>
      <c r="AZ122" s="309">
        <f t="shared" si="261"/>
        <v>163146</v>
      </c>
      <c r="BA122" s="601">
        <f t="shared" si="262"/>
        <v>163146</v>
      </c>
      <c r="BB122" s="513">
        <v>134802</v>
      </c>
      <c r="BC122" s="575">
        <f t="shared" si="211"/>
        <v>142378</v>
      </c>
      <c r="BD122" s="74">
        <v>183379</v>
      </c>
      <c r="BE122" s="74">
        <v>300000</v>
      </c>
      <c r="BF122" s="75">
        <v>211284.5</v>
      </c>
      <c r="BG122" s="61">
        <v>183379</v>
      </c>
      <c r="BH122" s="60">
        <v>750000</v>
      </c>
      <c r="BI122" s="74">
        <v>210885.84999999998</v>
      </c>
      <c r="BJ122" s="79">
        <v>211284.5</v>
      </c>
      <c r="BK122" s="79">
        <f>113900*1.4</f>
        <v>159460</v>
      </c>
      <c r="BL122" s="127">
        <v>191352</v>
      </c>
      <c r="BM122" s="128">
        <v>163000</v>
      </c>
      <c r="BN122" s="128">
        <v>160000</v>
      </c>
      <c r="BO122" s="76">
        <f>AVERAGE(BC122,BD122,BE122,BF122,BG122,BI122,BJ122,BK122,BL122,BM122,BN122)</f>
        <v>192400.25909090909</v>
      </c>
      <c r="BP122" s="24">
        <f t="shared" si="263"/>
        <v>57598.259090909094</v>
      </c>
      <c r="BQ122" s="25">
        <f t="shared" si="264"/>
        <v>0.42728044903569007</v>
      </c>
      <c r="BR122" s="259" t="str">
        <f t="shared" si="265"/>
        <v>REVISAR PRECIO</v>
      </c>
      <c r="BS122" s="607">
        <f t="shared" si="212"/>
        <v>192400.25909090909</v>
      </c>
    </row>
    <row r="123" spans="1:71" ht="45" customHeight="1">
      <c r="A123" s="91" t="s">
        <v>514</v>
      </c>
      <c r="B123" s="358" t="s">
        <v>2314</v>
      </c>
      <c r="C123" s="50" t="s">
        <v>189</v>
      </c>
      <c r="D123" s="99" t="s">
        <v>529</v>
      </c>
      <c r="E123" s="391" t="s">
        <v>14</v>
      </c>
      <c r="F123" s="410">
        <v>179673</v>
      </c>
      <c r="G123" s="589">
        <f t="shared" si="204"/>
        <v>189771</v>
      </c>
      <c r="H123" s="10">
        <v>160860</v>
      </c>
      <c r="I123" s="167">
        <v>321720</v>
      </c>
      <c r="J123" s="10">
        <v>160000</v>
      </c>
      <c r="K123" s="76">
        <f>AVERAGE(H123,J123,G123)</f>
        <v>170210.33333333334</v>
      </c>
      <c r="L123" s="24">
        <f t="shared" si="249"/>
        <v>-9462.666666666657</v>
      </c>
      <c r="M123" s="281">
        <f t="shared" si="205"/>
        <v>-4.9863607541018685E-2</v>
      </c>
      <c r="N123" s="597">
        <f t="shared" si="213"/>
        <v>170210.33333333334</v>
      </c>
      <c r="O123" s="410">
        <v>163308</v>
      </c>
      <c r="P123" s="575">
        <f t="shared" si="214"/>
        <v>172486</v>
      </c>
      <c r="Q123" s="10">
        <v>270000</v>
      </c>
      <c r="R123" s="10">
        <v>280000</v>
      </c>
      <c r="S123" s="268">
        <v>275000</v>
      </c>
      <c r="T123" s="10">
        <v>320000</v>
      </c>
      <c r="U123" s="76">
        <f>AVERAGE(Q123,R123,S123,P123)</f>
        <v>249371.5</v>
      </c>
      <c r="V123" s="24">
        <f t="shared" si="206"/>
        <v>76885.5</v>
      </c>
      <c r="W123" s="281">
        <f t="shared" si="251"/>
        <v>0.47080057315012125</v>
      </c>
      <c r="X123" s="462">
        <f t="shared" si="252"/>
        <v>249371.5</v>
      </c>
      <c r="Y123" s="410">
        <v>252504</v>
      </c>
      <c r="Z123" s="575">
        <f t="shared" si="207"/>
        <v>266695</v>
      </c>
      <c r="AA123" s="31">
        <v>328401</v>
      </c>
      <c r="AB123" s="31">
        <v>426921</v>
      </c>
      <c r="AC123" s="472">
        <v>287046.8</v>
      </c>
      <c r="AD123" s="76">
        <f t="shared" si="224"/>
        <v>294047.60000000003</v>
      </c>
      <c r="AE123" s="24">
        <f t="shared" si="209"/>
        <v>27352.600000000035</v>
      </c>
      <c r="AF123" s="25">
        <f t="shared" si="253"/>
        <v>0.10832541266673017</v>
      </c>
      <c r="AG123" s="309">
        <f t="shared" si="254"/>
        <v>294047.60000000003</v>
      </c>
      <c r="AH123" s="601">
        <f t="shared" si="255"/>
        <v>294047.60000000003</v>
      </c>
      <c r="AI123" s="410">
        <v>182358</v>
      </c>
      <c r="AJ123" s="575">
        <f t="shared" si="210"/>
        <v>192607</v>
      </c>
      <c r="AK123" s="45"/>
      <c r="AL123" s="45">
        <v>211995</v>
      </c>
      <c r="AM123" s="45">
        <v>157000</v>
      </c>
      <c r="AN123" s="76">
        <f t="shared" si="223"/>
        <v>187200.66666666666</v>
      </c>
      <c r="AO123" s="24">
        <f t="shared" si="256"/>
        <v>4842.666666666657</v>
      </c>
      <c r="AP123" s="281">
        <f t="shared" si="257"/>
        <v>2.6555822429872322E-2</v>
      </c>
      <c r="AQ123" s="601">
        <f t="shared" si="258"/>
        <v>187200.66666666666</v>
      </c>
      <c r="AR123" s="513">
        <v>183270</v>
      </c>
      <c r="AS123" s="575">
        <f t="shared" si="216"/>
        <v>193570</v>
      </c>
      <c r="AT123" s="88">
        <v>170000</v>
      </c>
      <c r="AU123" s="116">
        <v>170000</v>
      </c>
      <c r="AV123" s="74">
        <v>176946</v>
      </c>
      <c r="AW123" s="76">
        <f t="shared" si="217"/>
        <v>177629</v>
      </c>
      <c r="AX123" s="24">
        <f t="shared" si="259"/>
        <v>-5641</v>
      </c>
      <c r="AY123" s="25">
        <f t="shared" si="260"/>
        <v>-3.0779723904621598E-2</v>
      </c>
      <c r="AZ123" s="309">
        <f t="shared" si="261"/>
        <v>177629</v>
      </c>
      <c r="BA123" s="601">
        <f t="shared" si="262"/>
        <v>177629</v>
      </c>
      <c r="BB123" s="513">
        <v>183270</v>
      </c>
      <c r="BC123" s="575">
        <f t="shared" si="211"/>
        <v>193570</v>
      </c>
      <c r="BD123" s="74">
        <v>184989</v>
      </c>
      <c r="BE123" s="74">
        <v>300000</v>
      </c>
      <c r="BF123" s="75">
        <v>213139.5</v>
      </c>
      <c r="BG123" s="61">
        <v>184989</v>
      </c>
      <c r="BH123" s="60">
        <v>820000</v>
      </c>
      <c r="BI123" s="74">
        <v>212737.34999999998</v>
      </c>
      <c r="BJ123" s="79">
        <v>213139.5</v>
      </c>
      <c r="BK123" s="79">
        <f>114900*1.4</f>
        <v>160860</v>
      </c>
      <c r="BL123" s="127">
        <v>193032</v>
      </c>
      <c r="BM123" s="128">
        <v>159800</v>
      </c>
      <c r="BN123" s="128">
        <v>160000</v>
      </c>
      <c r="BO123" s="76">
        <f>AVERAGE(BC123,BD123,BE123,BF123,BG123,BI123,BJ123,BK123,BL123,BM123,BN123)</f>
        <v>197841.48636363636</v>
      </c>
      <c r="BP123" s="24">
        <f t="shared" si="263"/>
        <v>14571.486363636359</v>
      </c>
      <c r="BQ123" s="25">
        <f t="shared" si="264"/>
        <v>7.9508301214799793E-2</v>
      </c>
      <c r="BR123" s="259">
        <f t="shared" si="265"/>
        <v>197841.48636363636</v>
      </c>
      <c r="BS123" s="607">
        <f t="shared" si="212"/>
        <v>197841.48636363636</v>
      </c>
    </row>
    <row r="124" spans="1:71" ht="45" customHeight="1">
      <c r="A124" s="91" t="s">
        <v>514</v>
      </c>
      <c r="B124" s="358" t="s">
        <v>2315</v>
      </c>
      <c r="C124" s="50" t="s">
        <v>190</v>
      </c>
      <c r="D124" s="99" t="s">
        <v>530</v>
      </c>
      <c r="E124" s="391" t="s">
        <v>14</v>
      </c>
      <c r="F124" s="410">
        <v>256201</v>
      </c>
      <c r="G124" s="589">
        <f t="shared" si="204"/>
        <v>270599</v>
      </c>
      <c r="H124" s="10">
        <v>317550</v>
      </c>
      <c r="I124" s="167">
        <v>635100</v>
      </c>
      <c r="J124" s="10">
        <v>315000</v>
      </c>
      <c r="K124" s="76">
        <f>AVERAGE(H124,J124,G124)</f>
        <v>301049.66666666669</v>
      </c>
      <c r="L124" s="24">
        <f t="shared" si="249"/>
        <v>44848.666666666686</v>
      </c>
      <c r="M124" s="281">
        <f t="shared" si="205"/>
        <v>0.16573847895471411</v>
      </c>
      <c r="N124" s="597">
        <f t="shared" si="213"/>
        <v>301049.66666666669</v>
      </c>
      <c r="O124" s="410">
        <v>230581</v>
      </c>
      <c r="P124" s="575">
        <f t="shared" si="214"/>
        <v>243540</v>
      </c>
      <c r="Q124" s="10">
        <v>350000</v>
      </c>
      <c r="R124" s="10">
        <v>380000</v>
      </c>
      <c r="S124" s="268">
        <v>370000</v>
      </c>
      <c r="T124" s="10">
        <v>420000</v>
      </c>
      <c r="U124" s="76">
        <f>AVERAGE(Q124,R124,S124,P124)</f>
        <v>335885</v>
      </c>
      <c r="V124" s="24">
        <f t="shared" si="206"/>
        <v>92345</v>
      </c>
      <c r="W124" s="281">
        <f t="shared" si="251"/>
        <v>0.40048833164918185</v>
      </c>
      <c r="X124" s="462">
        <f t="shared" si="252"/>
        <v>335885</v>
      </c>
      <c r="Y124" s="410">
        <v>352993</v>
      </c>
      <c r="Z124" s="575">
        <f t="shared" si="207"/>
        <v>372831</v>
      </c>
      <c r="AA124" s="31">
        <v>459095</v>
      </c>
      <c r="AB124" s="31">
        <v>596823</v>
      </c>
      <c r="AC124" s="472">
        <v>401282.6</v>
      </c>
      <c r="AD124" s="76">
        <f t="shared" si="224"/>
        <v>411069.53333333338</v>
      </c>
      <c r="AE124" s="24">
        <f t="shared" si="209"/>
        <v>38238.533333333384</v>
      </c>
      <c r="AF124" s="25">
        <f t="shared" si="253"/>
        <v>0.10832660515458772</v>
      </c>
      <c r="AG124" s="309">
        <f t="shared" si="254"/>
        <v>411069.53333333338</v>
      </c>
      <c r="AH124" s="601">
        <f t="shared" si="255"/>
        <v>411069.53333333338</v>
      </c>
      <c r="AI124" s="410">
        <v>256200</v>
      </c>
      <c r="AJ124" s="575">
        <f t="shared" si="210"/>
        <v>270598</v>
      </c>
      <c r="AK124" s="45"/>
      <c r="AL124" s="45">
        <v>302285</v>
      </c>
      <c r="AM124" s="45">
        <v>310000</v>
      </c>
      <c r="AN124" s="76">
        <f t="shared" si="223"/>
        <v>294294.33333333331</v>
      </c>
      <c r="AO124" s="24">
        <f t="shared" si="256"/>
        <v>38094.333333333314</v>
      </c>
      <c r="AP124" s="281">
        <f t="shared" si="257"/>
        <v>0.1486898256570387</v>
      </c>
      <c r="AQ124" s="601">
        <f t="shared" si="258"/>
        <v>294294.33333333331</v>
      </c>
      <c r="AR124" s="513">
        <v>256200</v>
      </c>
      <c r="AS124" s="575">
        <f t="shared" si="216"/>
        <v>270598</v>
      </c>
      <c r="AT124" s="88">
        <v>350000</v>
      </c>
      <c r="AU124" s="116">
        <v>350000</v>
      </c>
      <c r="AV124" s="74">
        <v>349305</v>
      </c>
      <c r="AW124" s="76">
        <f t="shared" si="217"/>
        <v>329975.75</v>
      </c>
      <c r="AX124" s="24">
        <f t="shared" si="259"/>
        <v>73775.75</v>
      </c>
      <c r="AY124" s="25">
        <f t="shared" si="260"/>
        <v>0.28796155347384855</v>
      </c>
      <c r="AZ124" s="309">
        <f t="shared" si="261"/>
        <v>329975.75</v>
      </c>
      <c r="BA124" s="604">
        <f t="shared" si="262"/>
        <v>329975.75</v>
      </c>
      <c r="BB124" s="513">
        <v>256200</v>
      </c>
      <c r="BC124" s="575">
        <f t="shared" si="211"/>
        <v>270598</v>
      </c>
      <c r="BD124" s="74">
        <v>365182.5</v>
      </c>
      <c r="BE124" s="74">
        <v>750000</v>
      </c>
      <c r="BF124" s="75">
        <v>420753.75</v>
      </c>
      <c r="BG124" s="61">
        <v>365182.5</v>
      </c>
      <c r="BH124" s="60">
        <v>1200000</v>
      </c>
      <c r="BI124" s="74">
        <v>419959.87499999994</v>
      </c>
      <c r="BJ124" s="79">
        <v>420753.75</v>
      </c>
      <c r="BK124" s="79">
        <f>219000*1.45</f>
        <v>317550</v>
      </c>
      <c r="BL124" s="127">
        <v>381060</v>
      </c>
      <c r="BM124" s="128">
        <v>386900</v>
      </c>
      <c r="BN124" s="128">
        <v>330000</v>
      </c>
      <c r="BO124" s="76">
        <f>AVERAGE(BC124,BD124,BE124,BG124,BI124,BJ124,BK124,BL124,BM124,BN124)</f>
        <v>400718.66249999998</v>
      </c>
      <c r="BP124" s="24">
        <f t="shared" si="263"/>
        <v>144518.66249999998</v>
      </c>
      <c r="BQ124" s="25">
        <f t="shared" si="264"/>
        <v>0.56408533372365333</v>
      </c>
      <c r="BR124" s="259" t="str">
        <f t="shared" si="265"/>
        <v>REVISAR PRECIO</v>
      </c>
      <c r="BS124" s="607">
        <f t="shared" si="212"/>
        <v>400718.66249999998</v>
      </c>
    </row>
    <row r="125" spans="1:71" ht="45" customHeight="1">
      <c r="A125" s="91" t="s">
        <v>514</v>
      </c>
      <c r="B125" s="358" t="s">
        <v>2316</v>
      </c>
      <c r="C125" s="50" t="s">
        <v>191</v>
      </c>
      <c r="D125" s="99" t="s">
        <v>531</v>
      </c>
      <c r="E125" s="391" t="s">
        <v>14</v>
      </c>
      <c r="F125" s="410">
        <v>231749</v>
      </c>
      <c r="G125" s="589">
        <f t="shared" si="204"/>
        <v>244773</v>
      </c>
      <c r="H125" s="10">
        <v>281145</v>
      </c>
      <c r="I125" s="167">
        <v>281145</v>
      </c>
      <c r="J125" s="10">
        <v>260000</v>
      </c>
      <c r="K125" s="76">
        <f>AVERAGE(H125,J125,G125)</f>
        <v>261972.66666666666</v>
      </c>
      <c r="L125" s="24">
        <f t="shared" si="249"/>
        <v>30223.666666666657</v>
      </c>
      <c r="M125" s="281">
        <f t="shared" si="205"/>
        <v>0.12347630934239748</v>
      </c>
      <c r="N125" s="597">
        <f t="shared" si="213"/>
        <v>261972.66666666666</v>
      </c>
      <c r="O125" s="410">
        <v>210637</v>
      </c>
      <c r="P125" s="575">
        <f t="shared" si="214"/>
        <v>222475</v>
      </c>
      <c r="Q125" s="10">
        <v>120000</v>
      </c>
      <c r="R125" s="10">
        <v>128000</v>
      </c>
      <c r="S125" s="268">
        <v>125000</v>
      </c>
      <c r="T125" s="10">
        <v>150000</v>
      </c>
      <c r="U125" s="76">
        <f t="shared" si="266"/>
        <v>130750</v>
      </c>
      <c r="V125" s="24">
        <f t="shared" si="206"/>
        <v>-91725</v>
      </c>
      <c r="W125" s="281">
        <f t="shared" si="251"/>
        <v>-0.43546480437909768</v>
      </c>
      <c r="X125" s="462">
        <f>P125</f>
        <v>222475</v>
      </c>
      <c r="Y125" s="410">
        <v>325693</v>
      </c>
      <c r="Z125" s="575">
        <f t="shared" si="207"/>
        <v>343997</v>
      </c>
      <c r="AA125" s="31">
        <v>423590</v>
      </c>
      <c r="AB125" s="31">
        <v>550666</v>
      </c>
      <c r="AC125" s="472">
        <v>370248.6</v>
      </c>
      <c r="AD125" s="76">
        <f t="shared" si="224"/>
        <v>379278.53333333338</v>
      </c>
      <c r="AE125" s="24">
        <f t="shared" si="209"/>
        <v>35281.533333333384</v>
      </c>
      <c r="AF125" s="25">
        <f t="shared" si="253"/>
        <v>0.10832757637816405</v>
      </c>
      <c r="AG125" s="309">
        <f t="shared" si="254"/>
        <v>379278.53333333338</v>
      </c>
      <c r="AH125" s="601">
        <f t="shared" si="255"/>
        <v>379278.53333333338</v>
      </c>
      <c r="AI125" s="410">
        <v>235203</v>
      </c>
      <c r="AJ125" s="575">
        <f t="shared" si="210"/>
        <v>248421</v>
      </c>
      <c r="AK125" s="45"/>
      <c r="AL125" s="45">
        <v>273433</v>
      </c>
      <c r="AM125" s="45">
        <v>280000</v>
      </c>
      <c r="AN125" s="76">
        <f t="shared" si="223"/>
        <v>267284.66666666669</v>
      </c>
      <c r="AO125" s="24">
        <f t="shared" si="256"/>
        <v>32081.666666666686</v>
      </c>
      <c r="AP125" s="281">
        <f t="shared" si="257"/>
        <v>0.13639990419623341</v>
      </c>
      <c r="AQ125" s="601">
        <f t="shared" si="258"/>
        <v>267284.66666666669</v>
      </c>
      <c r="AR125" s="513">
        <v>236379</v>
      </c>
      <c r="AS125" s="575">
        <f t="shared" si="216"/>
        <v>249663</v>
      </c>
      <c r="AT125" s="88">
        <v>320000</v>
      </c>
      <c r="AU125" s="116">
        <v>320000</v>
      </c>
      <c r="AV125" s="74">
        <v>309259.06000000006</v>
      </c>
      <c r="AW125" s="76">
        <f t="shared" si="217"/>
        <v>299730.51500000001</v>
      </c>
      <c r="AX125" s="24">
        <f t="shared" si="259"/>
        <v>63351.515000000014</v>
      </c>
      <c r="AY125" s="25">
        <f t="shared" si="260"/>
        <v>0.26800821985032519</v>
      </c>
      <c r="AZ125" s="309">
        <f t="shared" si="261"/>
        <v>299730.51500000001</v>
      </c>
      <c r="BA125" s="604">
        <f t="shared" si="262"/>
        <v>299730.51500000001</v>
      </c>
      <c r="BB125" s="513">
        <v>236379</v>
      </c>
      <c r="BC125" s="575">
        <f t="shared" si="211"/>
        <v>249663</v>
      </c>
      <c r="BD125" s="74">
        <v>323316.29000000004</v>
      </c>
      <c r="BE125" s="74">
        <v>330000</v>
      </c>
      <c r="BF125" s="75">
        <v>372516.59500000003</v>
      </c>
      <c r="BG125" s="61">
        <v>323316.29000000004</v>
      </c>
      <c r="BH125" s="60">
        <v>1400000</v>
      </c>
      <c r="BI125" s="74">
        <v>371813.73350000003</v>
      </c>
      <c r="BJ125" s="79">
        <v>372516.59500000003</v>
      </c>
      <c r="BK125" s="79">
        <f>255586*1.1</f>
        <v>281144.60000000003</v>
      </c>
      <c r="BL125" s="127">
        <v>337373.52</v>
      </c>
      <c r="BM125" s="128">
        <v>341200</v>
      </c>
      <c r="BN125" s="128">
        <v>300000</v>
      </c>
      <c r="BO125" s="76">
        <f>AVERAGE(BC125,BD125,BE125,BG125,BI125,BJ125,BK125,BL125,BM125,BN125)</f>
        <v>323034.40285000001</v>
      </c>
      <c r="BP125" s="24">
        <f t="shared" si="263"/>
        <v>86655.402850000013</v>
      </c>
      <c r="BQ125" s="25">
        <f t="shared" si="264"/>
        <v>0.36659518337077324</v>
      </c>
      <c r="BR125" s="259" t="str">
        <f t="shared" si="265"/>
        <v>REVISAR PRECIO</v>
      </c>
      <c r="BS125" s="607">
        <f t="shared" si="212"/>
        <v>323034.40285000001</v>
      </c>
    </row>
    <row r="126" spans="1:71" ht="34.35" customHeight="1">
      <c r="A126" s="91" t="s">
        <v>23</v>
      </c>
      <c r="B126" s="358" t="s">
        <v>2317</v>
      </c>
      <c r="C126" s="252" t="s">
        <v>754</v>
      </c>
      <c r="D126" s="100" t="s">
        <v>811</v>
      </c>
      <c r="E126" s="91"/>
      <c r="F126" s="411"/>
      <c r="G126" s="574"/>
      <c r="H126" s="173"/>
      <c r="I126" s="174"/>
      <c r="J126" s="173"/>
      <c r="K126" s="173"/>
      <c r="L126" s="173"/>
      <c r="M126" s="173"/>
      <c r="N126" s="173"/>
      <c r="O126" s="411"/>
      <c r="P126" s="173"/>
      <c r="Q126" s="173"/>
      <c r="R126" s="173"/>
      <c r="S126" s="274"/>
      <c r="T126" s="266"/>
      <c r="U126" s="266"/>
      <c r="V126" s="266"/>
      <c r="W126" s="266"/>
      <c r="X126" s="266"/>
      <c r="Y126" s="413"/>
      <c r="Z126" s="47"/>
      <c r="AA126" s="47"/>
      <c r="AB126" s="47"/>
      <c r="AC126" s="47"/>
      <c r="AD126" s="47"/>
      <c r="AE126" s="47"/>
      <c r="AF126" s="47"/>
      <c r="AG126" s="91"/>
      <c r="AH126" s="467"/>
      <c r="AI126" s="501"/>
      <c r="AJ126" s="324"/>
      <c r="AK126" s="324"/>
      <c r="AL126" s="324"/>
      <c r="AM126" s="323"/>
      <c r="AN126" s="323"/>
      <c r="AO126" s="323"/>
      <c r="AP126" s="323"/>
      <c r="AQ126" s="323"/>
      <c r="AR126" s="413"/>
      <c r="AS126" s="47"/>
      <c r="AT126" s="47"/>
      <c r="AU126" s="47"/>
      <c r="AV126" s="47"/>
      <c r="AW126" s="47"/>
      <c r="AX126" s="47"/>
      <c r="AY126" s="47"/>
      <c r="AZ126" s="91"/>
      <c r="BA126" s="467"/>
      <c r="BB126" s="413"/>
      <c r="BC126" s="47"/>
      <c r="BD126" s="47"/>
      <c r="BE126" s="47"/>
      <c r="BF126" s="118"/>
      <c r="BG126" s="118"/>
      <c r="BH126" s="47"/>
      <c r="BI126" s="47"/>
      <c r="BJ126" s="148"/>
      <c r="BK126" s="148"/>
      <c r="BL126" s="149"/>
      <c r="BM126" s="148"/>
      <c r="BN126" s="148"/>
      <c r="BO126" s="148"/>
      <c r="BP126" s="47"/>
      <c r="BQ126" s="47"/>
      <c r="BR126" s="414"/>
      <c r="BS126" s="414"/>
    </row>
    <row r="127" spans="1:71" ht="46.9" customHeight="1">
      <c r="A127" s="91" t="s">
        <v>23</v>
      </c>
      <c r="B127" s="358" t="s">
        <v>2318</v>
      </c>
      <c r="C127" s="50" t="s">
        <v>195</v>
      </c>
      <c r="D127" s="99" t="s">
        <v>535</v>
      </c>
      <c r="E127" s="391" t="s">
        <v>24</v>
      </c>
      <c r="F127" s="410">
        <v>237140</v>
      </c>
      <c r="G127" s="589">
        <f t="shared" si="204"/>
        <v>250467</v>
      </c>
      <c r="H127" s="10">
        <v>781935</v>
      </c>
      <c r="I127" s="167">
        <v>1563870</v>
      </c>
      <c r="J127" s="10">
        <v>650556</v>
      </c>
      <c r="K127" s="76">
        <f t="shared" ref="K127:K137" si="267">AVERAGE(H127,J127,G127)</f>
        <v>560986</v>
      </c>
      <c r="L127" s="24">
        <f t="shared" ref="L127:L152" si="268">K127-F127</f>
        <v>323846</v>
      </c>
      <c r="M127" s="281">
        <f t="shared" si="205"/>
        <v>1.2929687344041332</v>
      </c>
      <c r="N127" s="609">
        <f t="shared" si="213"/>
        <v>560986</v>
      </c>
      <c r="O127" s="629">
        <v>235773</v>
      </c>
      <c r="P127" s="579">
        <f t="shared" ref="P127:P134" si="269">ROUND(O127*(100%+$D$1),0)</f>
        <v>249023</v>
      </c>
      <c r="Q127" s="568">
        <v>1036063.875</v>
      </c>
      <c r="R127" s="568">
        <v>781935</v>
      </c>
      <c r="S127" s="572">
        <v>938322</v>
      </c>
      <c r="T127" s="570">
        <v>945000</v>
      </c>
      <c r="U127" s="560">
        <f t="shared" ref="U127:U134" si="270">AVERAGE(Q127,R127,S127,T127,P127)</f>
        <v>790068.77500000002</v>
      </c>
      <c r="V127" s="561">
        <f t="shared" ref="V127:V134" si="271">U127-P127</f>
        <v>541045.77500000002</v>
      </c>
      <c r="W127" s="281">
        <f t="shared" ref="W127:W134" si="272">+V127/O127</f>
        <v>2.294774104753301</v>
      </c>
      <c r="X127" s="462">
        <f t="shared" ref="X127:X134" si="273">U127</f>
        <v>790068.77500000002</v>
      </c>
      <c r="Y127" s="410">
        <v>265178</v>
      </c>
      <c r="Z127" s="575">
        <f t="shared" si="207"/>
        <v>280081</v>
      </c>
      <c r="AA127" s="31">
        <v>344885</v>
      </c>
      <c r="AB127" s="31">
        <v>448350</v>
      </c>
      <c r="AC127" s="472">
        <v>301454.59999999998</v>
      </c>
      <c r="AD127" s="76">
        <f t="shared" si="224"/>
        <v>308806.86666666664</v>
      </c>
      <c r="AE127" s="24">
        <f t="shared" si="209"/>
        <v>28725.86666666664</v>
      </c>
      <c r="AF127" s="25">
        <f t="shared" ref="AF127:AF152" si="274">+AE127/Y127</f>
        <v>0.10832673399251311</v>
      </c>
      <c r="AG127" s="309">
        <f t="shared" ref="AG127:AG152" si="275">+IF(AF127&lt;35%,AD127,"REVISAR PRECIO")</f>
        <v>308806.86666666664</v>
      </c>
      <c r="AH127" s="601">
        <f t="shared" ref="AH127:AH152" si="276">AD127</f>
        <v>308806.86666666664</v>
      </c>
      <c r="AI127" s="410">
        <v>250040</v>
      </c>
      <c r="AJ127" s="575">
        <f t="shared" si="210"/>
        <v>264092</v>
      </c>
      <c r="AK127" s="317">
        <v>780000</v>
      </c>
      <c r="AL127" s="45">
        <v>781935</v>
      </c>
      <c r="AM127" s="317">
        <v>600000</v>
      </c>
      <c r="AN127" s="76">
        <f>AVERAGE(AK127,AL127,AM127,AJ127)</f>
        <v>606506.75</v>
      </c>
      <c r="AO127" s="24">
        <f t="shared" ref="AO127:AO152" si="277">AN127-AI127</f>
        <v>356466.75</v>
      </c>
      <c r="AP127" s="281">
        <f t="shared" ref="AP127:AP152" si="278">+AO127/AI127</f>
        <v>1.4256388977763559</v>
      </c>
      <c r="AQ127" s="604">
        <f t="shared" ref="AQ127:AQ152" si="279">AN127</f>
        <v>606506.75</v>
      </c>
      <c r="AR127" s="513">
        <v>235773</v>
      </c>
      <c r="AS127" s="575">
        <f t="shared" si="216"/>
        <v>249023</v>
      </c>
      <c r="AT127" s="88">
        <v>870000</v>
      </c>
      <c r="AU127" s="116">
        <v>950000</v>
      </c>
      <c r="AV127" s="74">
        <v>860128.5</v>
      </c>
      <c r="AW127" s="76">
        <f t="shared" si="217"/>
        <v>732287.875</v>
      </c>
      <c r="AX127" s="24">
        <f t="shared" ref="AX127:AX152" si="280">AW127-AR127</f>
        <v>496514.875</v>
      </c>
      <c r="AY127" s="25">
        <f t="shared" ref="AY127:AY152" si="281">+AX127/AR127</f>
        <v>2.1059021813354373</v>
      </c>
      <c r="AZ127" s="309" t="str">
        <f t="shared" ref="AZ127:AZ152" si="282">+IF(AY127&lt;35%,AW127,"REVISAR PRECIO")</f>
        <v>REVISAR PRECIO</v>
      </c>
      <c r="BA127" s="604">
        <f t="shared" ref="BA127:BA152" si="283">AW127</f>
        <v>732287.875</v>
      </c>
      <c r="BB127" s="551">
        <v>235773</v>
      </c>
      <c r="BC127" s="575">
        <f t="shared" si="211"/>
        <v>249023</v>
      </c>
      <c r="BD127" s="57">
        <v>899225.25</v>
      </c>
      <c r="BE127" s="624">
        <v>830000</v>
      </c>
      <c r="BF127" s="627">
        <v>1036063.875</v>
      </c>
      <c r="BG127" s="628">
        <v>899225.24999999988</v>
      </c>
      <c r="BH127" s="625">
        <v>540000</v>
      </c>
      <c r="BI127" s="57">
        <v>1034109.0374999997</v>
      </c>
      <c r="BJ127" s="79">
        <v>1036063.875</v>
      </c>
      <c r="BK127" s="79">
        <v>781935</v>
      </c>
      <c r="BL127" s="127">
        <v>938322</v>
      </c>
      <c r="BM127" s="128">
        <v>945000</v>
      </c>
      <c r="BN127" s="128">
        <v>800000</v>
      </c>
      <c r="BO127" s="76">
        <f>AVERAGE(BC127,BD127,BE127,BF127,BG127,BH127,BJ127,BK127,BM127,BN127)</f>
        <v>801653.625</v>
      </c>
      <c r="BP127" s="24">
        <f t="shared" ref="BP127:BP152" si="284">BO127-BB127</f>
        <v>565880.625</v>
      </c>
      <c r="BQ127" s="25">
        <f t="shared" ref="BQ127:BQ152" si="285">+BP127/BB127</f>
        <v>2.4001078367752031</v>
      </c>
      <c r="BR127" s="308" t="str">
        <f t="shared" ref="BR127:BR152" si="286">+IF(BQ127&lt;35%,BO127,"REVISAR PRECIO")</f>
        <v>REVISAR PRECIO</v>
      </c>
      <c r="BS127" s="607">
        <f t="shared" si="212"/>
        <v>801653.625</v>
      </c>
    </row>
    <row r="128" spans="1:71" ht="47.1" customHeight="1">
      <c r="A128" s="91" t="s">
        <v>23</v>
      </c>
      <c r="B128" s="358" t="s">
        <v>2319</v>
      </c>
      <c r="C128" s="50" t="s">
        <v>196</v>
      </c>
      <c r="D128" s="99" t="s">
        <v>536</v>
      </c>
      <c r="E128" s="391" t="s">
        <v>24</v>
      </c>
      <c r="F128" s="410">
        <v>260776</v>
      </c>
      <c r="G128" s="589">
        <f t="shared" si="204"/>
        <v>275432</v>
      </c>
      <c r="H128" s="10">
        <v>809970</v>
      </c>
      <c r="I128" s="167">
        <v>1619940</v>
      </c>
      <c r="J128" s="10">
        <v>705000</v>
      </c>
      <c r="K128" s="76">
        <f t="shared" si="267"/>
        <v>596800.66666666663</v>
      </c>
      <c r="L128" s="24">
        <f t="shared" si="268"/>
        <v>336024.66666666663</v>
      </c>
      <c r="M128" s="281">
        <f t="shared" si="205"/>
        <v>1.2199913832331271</v>
      </c>
      <c r="N128" s="609">
        <f t="shared" si="213"/>
        <v>596800.66666666663</v>
      </c>
      <c r="O128" s="629">
        <v>261820</v>
      </c>
      <c r="P128" s="579">
        <f t="shared" si="269"/>
        <v>276534</v>
      </c>
      <c r="Q128" s="568">
        <v>1073210.25</v>
      </c>
      <c r="R128" s="568">
        <v>809970</v>
      </c>
      <c r="S128" s="572">
        <v>971964</v>
      </c>
      <c r="T128" s="570">
        <v>820000</v>
      </c>
      <c r="U128" s="560">
        <f t="shared" si="270"/>
        <v>790335.65</v>
      </c>
      <c r="V128" s="561">
        <f t="shared" si="271"/>
        <v>513801.65</v>
      </c>
      <c r="W128" s="281">
        <f t="shared" si="272"/>
        <v>1.9624232296997939</v>
      </c>
      <c r="X128" s="462">
        <f t="shared" si="273"/>
        <v>790335.65</v>
      </c>
      <c r="Y128" s="410">
        <v>294470</v>
      </c>
      <c r="Z128" s="575">
        <f t="shared" si="207"/>
        <v>311019</v>
      </c>
      <c r="AA128" s="31">
        <v>382982</v>
      </c>
      <c r="AB128" s="31">
        <v>497876</v>
      </c>
      <c r="AC128" s="472">
        <v>334754.2</v>
      </c>
      <c r="AD128" s="76">
        <f t="shared" si="224"/>
        <v>342918.39999999997</v>
      </c>
      <c r="AE128" s="24">
        <f t="shared" si="209"/>
        <v>31899.399999999965</v>
      </c>
      <c r="AF128" s="25">
        <f t="shared" si="274"/>
        <v>0.1083281828369612</v>
      </c>
      <c r="AG128" s="309">
        <f t="shared" si="275"/>
        <v>342918.39999999997</v>
      </c>
      <c r="AH128" s="601">
        <f t="shared" si="276"/>
        <v>342918.39999999997</v>
      </c>
      <c r="AI128" s="410">
        <v>353753</v>
      </c>
      <c r="AJ128" s="575">
        <f t="shared" si="210"/>
        <v>373634</v>
      </c>
      <c r="AK128" s="317">
        <v>780000</v>
      </c>
      <c r="AL128" s="45">
        <v>809970</v>
      </c>
      <c r="AM128" s="317">
        <v>756000</v>
      </c>
      <c r="AN128" s="76">
        <f t="shared" si="223"/>
        <v>679901</v>
      </c>
      <c r="AO128" s="24">
        <f t="shared" si="277"/>
        <v>326148</v>
      </c>
      <c r="AP128" s="281">
        <f t="shared" si="278"/>
        <v>0.92196532608910742</v>
      </c>
      <c r="AQ128" s="604">
        <f t="shared" si="279"/>
        <v>679901</v>
      </c>
      <c r="AR128" s="513">
        <v>261820</v>
      </c>
      <c r="AS128" s="575">
        <f t="shared" si="216"/>
        <v>276534</v>
      </c>
      <c r="AT128" s="88">
        <v>900000</v>
      </c>
      <c r="AU128" s="116">
        <v>960000</v>
      </c>
      <c r="AV128" s="74">
        <v>890967</v>
      </c>
      <c r="AW128" s="76">
        <f t="shared" si="217"/>
        <v>756875.25</v>
      </c>
      <c r="AX128" s="24">
        <f t="shared" si="280"/>
        <v>495055.25</v>
      </c>
      <c r="AY128" s="25">
        <f t="shared" si="281"/>
        <v>1.8908228935910167</v>
      </c>
      <c r="AZ128" s="309" t="str">
        <f t="shared" si="282"/>
        <v>REVISAR PRECIO</v>
      </c>
      <c r="BA128" s="604">
        <f t="shared" si="283"/>
        <v>756875.25</v>
      </c>
      <c r="BB128" s="551">
        <v>261820</v>
      </c>
      <c r="BC128" s="575">
        <f t="shared" si="211"/>
        <v>276534</v>
      </c>
      <c r="BD128" s="57">
        <v>931465.5</v>
      </c>
      <c r="BE128" s="624">
        <v>890000</v>
      </c>
      <c r="BF128" s="627">
        <v>1073210.25</v>
      </c>
      <c r="BG128" s="628">
        <v>931465.49999999988</v>
      </c>
      <c r="BH128" s="625">
        <v>580000</v>
      </c>
      <c r="BI128" s="57">
        <v>1071185.3249999997</v>
      </c>
      <c r="BJ128" s="79">
        <v>1073210.25</v>
      </c>
      <c r="BK128" s="79">
        <v>809970</v>
      </c>
      <c r="BL128" s="127">
        <v>971964</v>
      </c>
      <c r="BM128" s="128">
        <v>820000</v>
      </c>
      <c r="BN128" s="128">
        <v>810000</v>
      </c>
      <c r="BO128" s="76">
        <f>AVERAGE(BC128,BD128,BE128,BG128,BH128,BI128,BJ128,BK128,BM128,BN128)</f>
        <v>819383.05749999988</v>
      </c>
      <c r="BP128" s="24">
        <f t="shared" si="284"/>
        <v>557563.05749999988</v>
      </c>
      <c r="BQ128" s="25">
        <f t="shared" si="285"/>
        <v>2.1295663337407373</v>
      </c>
      <c r="BR128" s="308" t="str">
        <f t="shared" si="286"/>
        <v>REVISAR PRECIO</v>
      </c>
      <c r="BS128" s="607">
        <f t="shared" si="212"/>
        <v>819383.05749999988</v>
      </c>
    </row>
    <row r="129" spans="1:71" ht="47.1" customHeight="1">
      <c r="A129" s="91" t="s">
        <v>23</v>
      </c>
      <c r="B129" s="358" t="s">
        <v>2320</v>
      </c>
      <c r="C129" s="50" t="s">
        <v>197</v>
      </c>
      <c r="D129" s="99" t="s">
        <v>537</v>
      </c>
      <c r="E129" s="391" t="s">
        <v>24</v>
      </c>
      <c r="F129" s="410">
        <v>278764</v>
      </c>
      <c r="G129" s="589">
        <f t="shared" si="204"/>
        <v>294431</v>
      </c>
      <c r="H129" s="10">
        <v>815000</v>
      </c>
      <c r="I129" s="167">
        <v>1630000</v>
      </c>
      <c r="J129" s="10">
        <v>725650</v>
      </c>
      <c r="K129" s="76">
        <f t="shared" si="267"/>
        <v>611693.66666666663</v>
      </c>
      <c r="L129" s="24">
        <f t="shared" si="268"/>
        <v>332929.66666666663</v>
      </c>
      <c r="M129" s="281">
        <f t="shared" si="205"/>
        <v>1.1307561590548096</v>
      </c>
      <c r="N129" s="609">
        <f t="shared" si="213"/>
        <v>611693.66666666663</v>
      </c>
      <c r="O129" s="629">
        <v>276941</v>
      </c>
      <c r="P129" s="579">
        <f t="shared" si="269"/>
        <v>292505</v>
      </c>
      <c r="Q129" s="568">
        <v>1079875</v>
      </c>
      <c r="R129" s="568">
        <v>815000</v>
      </c>
      <c r="S129" s="572">
        <v>978000</v>
      </c>
      <c r="T129" s="570">
        <v>860000</v>
      </c>
      <c r="U129" s="560">
        <f t="shared" si="270"/>
        <v>805076</v>
      </c>
      <c r="V129" s="561">
        <f t="shared" si="271"/>
        <v>512571</v>
      </c>
      <c r="W129" s="281">
        <f t="shared" si="272"/>
        <v>1.8508310434352444</v>
      </c>
      <c r="X129" s="462">
        <f t="shared" si="273"/>
        <v>805076</v>
      </c>
      <c r="Y129" s="410">
        <v>316362</v>
      </c>
      <c r="Z129" s="575">
        <f t="shared" si="207"/>
        <v>334142</v>
      </c>
      <c r="AA129" s="31">
        <v>411453</v>
      </c>
      <c r="AB129" s="31">
        <v>534889</v>
      </c>
      <c r="AC129" s="472">
        <v>359640.4</v>
      </c>
      <c r="AD129" s="76">
        <f t="shared" si="224"/>
        <v>368411.8</v>
      </c>
      <c r="AE129" s="24">
        <f t="shared" si="209"/>
        <v>34269.799999999988</v>
      </c>
      <c r="AF129" s="25">
        <f t="shared" si="274"/>
        <v>0.10832464075963608</v>
      </c>
      <c r="AG129" s="309">
        <f t="shared" si="275"/>
        <v>368411.8</v>
      </c>
      <c r="AH129" s="601">
        <f t="shared" si="276"/>
        <v>368411.8</v>
      </c>
      <c r="AI129" s="410">
        <v>281574</v>
      </c>
      <c r="AJ129" s="575">
        <f t="shared" si="210"/>
        <v>297398</v>
      </c>
      <c r="AK129" s="317">
        <v>780000</v>
      </c>
      <c r="AL129" s="45">
        <v>815000</v>
      </c>
      <c r="AM129" s="317">
        <v>800000</v>
      </c>
      <c r="AN129" s="76">
        <f t="shared" si="223"/>
        <v>673099.5</v>
      </c>
      <c r="AO129" s="24">
        <f t="shared" si="277"/>
        <v>391525.5</v>
      </c>
      <c r="AP129" s="281">
        <f t="shared" si="278"/>
        <v>1.3904888235419464</v>
      </c>
      <c r="AQ129" s="604">
        <f t="shared" si="279"/>
        <v>673099.5</v>
      </c>
      <c r="AR129" s="513">
        <v>276941</v>
      </c>
      <c r="AS129" s="575">
        <f t="shared" si="216"/>
        <v>292505</v>
      </c>
      <c r="AT129" s="88">
        <v>895000</v>
      </c>
      <c r="AU129" s="116">
        <v>945000</v>
      </c>
      <c r="AV129" s="74">
        <v>896500</v>
      </c>
      <c r="AW129" s="76">
        <f t="shared" si="217"/>
        <v>757251.25</v>
      </c>
      <c r="AX129" s="24">
        <f t="shared" si="280"/>
        <v>480310.25</v>
      </c>
      <c r="AY129" s="25">
        <f t="shared" si="281"/>
        <v>1.7343414301241058</v>
      </c>
      <c r="AZ129" s="309" t="str">
        <f t="shared" si="282"/>
        <v>REVISAR PRECIO</v>
      </c>
      <c r="BA129" s="604">
        <f t="shared" si="283"/>
        <v>757251.25</v>
      </c>
      <c r="BB129" s="551">
        <v>276941</v>
      </c>
      <c r="BC129" s="575">
        <f t="shared" si="211"/>
        <v>292505</v>
      </c>
      <c r="BD129" s="57">
        <v>937250</v>
      </c>
      <c r="BE129" s="624">
        <v>915000</v>
      </c>
      <c r="BF129" s="627">
        <v>1079875</v>
      </c>
      <c r="BG129" s="628">
        <v>937249.99999999988</v>
      </c>
      <c r="BH129" s="625">
        <v>620000</v>
      </c>
      <c r="BI129" s="57">
        <v>1077837.4999999998</v>
      </c>
      <c r="BJ129" s="79">
        <v>1079875</v>
      </c>
      <c r="BK129" s="79">
        <v>815000</v>
      </c>
      <c r="BL129" s="127">
        <v>978000</v>
      </c>
      <c r="BM129" s="128">
        <v>860000</v>
      </c>
      <c r="BN129" s="128">
        <v>850000</v>
      </c>
      <c r="BO129" s="76">
        <f>AVERAGE(BC129,BD129,BE129,BG129,BH129,BI129,BJ129,BK129,BM129,BN129)</f>
        <v>838471.75</v>
      </c>
      <c r="BP129" s="24">
        <f t="shared" si="284"/>
        <v>561530.75</v>
      </c>
      <c r="BQ129" s="25">
        <f t="shared" si="285"/>
        <v>2.027618698567565</v>
      </c>
      <c r="BR129" s="308" t="str">
        <f t="shared" si="286"/>
        <v>REVISAR PRECIO</v>
      </c>
      <c r="BS129" s="607">
        <f t="shared" si="212"/>
        <v>838471.75</v>
      </c>
    </row>
    <row r="130" spans="1:71" ht="45" customHeight="1">
      <c r="A130" s="91" t="s">
        <v>23</v>
      </c>
      <c r="B130" s="358" t="s">
        <v>2321</v>
      </c>
      <c r="C130" s="50" t="s">
        <v>198</v>
      </c>
      <c r="D130" s="99" t="s">
        <v>538</v>
      </c>
      <c r="E130" s="391" t="s">
        <v>24</v>
      </c>
      <c r="F130" s="410">
        <v>302448</v>
      </c>
      <c r="G130" s="589">
        <f t="shared" si="204"/>
        <v>319446</v>
      </c>
      <c r="H130" s="10">
        <v>822700</v>
      </c>
      <c r="I130" s="167">
        <v>1645400</v>
      </c>
      <c r="J130" s="10">
        <v>755250</v>
      </c>
      <c r="K130" s="76">
        <f t="shared" si="267"/>
        <v>632465.33333333337</v>
      </c>
      <c r="L130" s="24">
        <f t="shared" si="268"/>
        <v>330017.33333333337</v>
      </c>
      <c r="M130" s="281">
        <f t="shared" si="205"/>
        <v>1.0330927084181156</v>
      </c>
      <c r="N130" s="609">
        <f t="shared" si="213"/>
        <v>632465.33333333337</v>
      </c>
      <c r="O130" s="629">
        <v>302076</v>
      </c>
      <c r="P130" s="579">
        <f t="shared" si="269"/>
        <v>319053</v>
      </c>
      <c r="Q130" s="568">
        <v>1090077.5</v>
      </c>
      <c r="R130" s="568">
        <v>822700</v>
      </c>
      <c r="S130" s="572">
        <v>987240</v>
      </c>
      <c r="T130" s="570">
        <v>1010000</v>
      </c>
      <c r="U130" s="560">
        <f t="shared" si="270"/>
        <v>845814.1</v>
      </c>
      <c r="V130" s="561">
        <f t="shared" si="271"/>
        <v>526761.1</v>
      </c>
      <c r="W130" s="281">
        <f t="shared" si="272"/>
        <v>1.7438032150849454</v>
      </c>
      <c r="X130" s="462">
        <f t="shared" si="273"/>
        <v>845814.1</v>
      </c>
      <c r="Y130" s="410">
        <v>345073</v>
      </c>
      <c r="Z130" s="575">
        <f t="shared" si="207"/>
        <v>364466</v>
      </c>
      <c r="AA130" s="31">
        <v>448794</v>
      </c>
      <c r="AB130" s="31">
        <v>583432</v>
      </c>
      <c r="AC130" s="472">
        <v>392279.2</v>
      </c>
      <c r="AD130" s="76">
        <f t="shared" si="224"/>
        <v>401846.39999999997</v>
      </c>
      <c r="AE130" s="24">
        <f t="shared" si="209"/>
        <v>37380.399999999965</v>
      </c>
      <c r="AF130" s="25">
        <f t="shared" si="274"/>
        <v>0.10832606434000912</v>
      </c>
      <c r="AG130" s="309">
        <f t="shared" si="275"/>
        <v>401846.39999999997</v>
      </c>
      <c r="AH130" s="601">
        <f t="shared" si="276"/>
        <v>401846.39999999997</v>
      </c>
      <c r="AI130" s="410">
        <v>377504</v>
      </c>
      <c r="AJ130" s="575">
        <f t="shared" si="210"/>
        <v>398720</v>
      </c>
      <c r="AK130" s="317">
        <v>780000</v>
      </c>
      <c r="AL130" s="45">
        <v>822700</v>
      </c>
      <c r="AM130" s="317">
        <v>830000</v>
      </c>
      <c r="AN130" s="76">
        <f t="shared" si="223"/>
        <v>707855</v>
      </c>
      <c r="AO130" s="24">
        <f t="shared" si="277"/>
        <v>330351</v>
      </c>
      <c r="AP130" s="281">
        <f t="shared" si="278"/>
        <v>0.87509271424938539</v>
      </c>
      <c r="AQ130" s="604">
        <f t="shared" si="279"/>
        <v>707855</v>
      </c>
      <c r="AR130" s="513">
        <v>302076</v>
      </c>
      <c r="AS130" s="575">
        <f t="shared" si="216"/>
        <v>319053</v>
      </c>
      <c r="AT130" s="88">
        <v>900000</v>
      </c>
      <c r="AU130" s="116">
        <v>900000</v>
      </c>
      <c r="AV130" s="74">
        <v>904970</v>
      </c>
      <c r="AW130" s="76">
        <f t="shared" si="217"/>
        <v>756005.75</v>
      </c>
      <c r="AX130" s="24">
        <f t="shared" si="280"/>
        <v>453929.75</v>
      </c>
      <c r="AY130" s="25">
        <f t="shared" si="281"/>
        <v>1.5027004793495677</v>
      </c>
      <c r="AZ130" s="309" t="str">
        <f t="shared" si="282"/>
        <v>REVISAR PRECIO</v>
      </c>
      <c r="BA130" s="604">
        <f t="shared" si="283"/>
        <v>756005.75</v>
      </c>
      <c r="BB130" s="551">
        <v>302076</v>
      </c>
      <c r="BC130" s="575">
        <f t="shared" si="211"/>
        <v>319053</v>
      </c>
      <c r="BD130" s="57">
        <v>946105</v>
      </c>
      <c r="BE130" s="624">
        <v>980000</v>
      </c>
      <c r="BF130" s="627">
        <v>1090077.5</v>
      </c>
      <c r="BG130" s="628">
        <v>946104.99999999988</v>
      </c>
      <c r="BH130" s="625">
        <v>700000</v>
      </c>
      <c r="BI130" s="57">
        <v>1088020.7499999998</v>
      </c>
      <c r="BJ130" s="79">
        <v>1090077.5</v>
      </c>
      <c r="BK130" s="79">
        <v>822700</v>
      </c>
      <c r="BL130" s="127">
        <v>987240</v>
      </c>
      <c r="BM130" s="128">
        <v>1010000</v>
      </c>
      <c r="BN130" s="128">
        <v>880000</v>
      </c>
      <c r="BO130" s="76">
        <f>AVERAGE(BC130,BD130,BE130,BG130,BH130,BI130,BJ130,BK130,BL130,BN130)</f>
        <v>875930.125</v>
      </c>
      <c r="BP130" s="24">
        <f t="shared" si="284"/>
        <v>573854.125</v>
      </c>
      <c r="BQ130" s="25">
        <f t="shared" si="285"/>
        <v>1.8997011513658815</v>
      </c>
      <c r="BR130" s="308" t="str">
        <f t="shared" si="286"/>
        <v>REVISAR PRECIO</v>
      </c>
      <c r="BS130" s="607">
        <f t="shared" si="212"/>
        <v>875930.125</v>
      </c>
    </row>
    <row r="131" spans="1:71" ht="45" customHeight="1">
      <c r="A131" s="91" t="s">
        <v>23</v>
      </c>
      <c r="B131" s="358" t="s">
        <v>2322</v>
      </c>
      <c r="C131" s="50" t="s">
        <v>199</v>
      </c>
      <c r="D131" s="99" t="s">
        <v>539</v>
      </c>
      <c r="E131" s="391" t="s">
        <v>24</v>
      </c>
      <c r="F131" s="410">
        <v>335614</v>
      </c>
      <c r="G131" s="589">
        <f t="shared" si="204"/>
        <v>354476</v>
      </c>
      <c r="H131" s="10">
        <v>841400</v>
      </c>
      <c r="I131" s="167">
        <v>1682800</v>
      </c>
      <c r="J131" s="10">
        <v>768450</v>
      </c>
      <c r="K131" s="76">
        <f t="shared" si="267"/>
        <v>654775.33333333337</v>
      </c>
      <c r="L131" s="24">
        <f t="shared" si="268"/>
        <v>319161.33333333337</v>
      </c>
      <c r="M131" s="281">
        <f t="shared" si="205"/>
        <v>0.90037501363514982</v>
      </c>
      <c r="N131" s="609">
        <f t="shared" si="213"/>
        <v>654775.33333333337</v>
      </c>
      <c r="O131" s="629">
        <v>337265</v>
      </c>
      <c r="P131" s="579">
        <f t="shared" si="269"/>
        <v>356219</v>
      </c>
      <c r="Q131" s="568">
        <v>1114855</v>
      </c>
      <c r="R131" s="568">
        <v>841400</v>
      </c>
      <c r="S131" s="572">
        <v>1009680</v>
      </c>
      <c r="T131" s="570">
        <v>810000</v>
      </c>
      <c r="U131" s="560">
        <f t="shared" si="270"/>
        <v>826430.8</v>
      </c>
      <c r="V131" s="561">
        <f t="shared" si="271"/>
        <v>470211.80000000005</v>
      </c>
      <c r="W131" s="281">
        <f t="shared" si="272"/>
        <v>1.3941909181207657</v>
      </c>
      <c r="X131" s="462">
        <f t="shared" si="273"/>
        <v>826430.8</v>
      </c>
      <c r="Y131" s="410">
        <v>385264</v>
      </c>
      <c r="Z131" s="575">
        <f t="shared" si="207"/>
        <v>406916</v>
      </c>
      <c r="AA131" s="31">
        <v>501066</v>
      </c>
      <c r="AB131" s="31">
        <v>651386</v>
      </c>
      <c r="AC131" s="472">
        <v>437968.8</v>
      </c>
      <c r="AD131" s="76">
        <f t="shared" si="224"/>
        <v>448650.26666666666</v>
      </c>
      <c r="AE131" s="24">
        <f t="shared" si="209"/>
        <v>41734.266666666663</v>
      </c>
      <c r="AF131" s="25">
        <f t="shared" si="274"/>
        <v>0.1083264116726885</v>
      </c>
      <c r="AG131" s="309">
        <f t="shared" si="275"/>
        <v>448650.26666666666</v>
      </c>
      <c r="AH131" s="601">
        <f t="shared" si="276"/>
        <v>448650.26666666666</v>
      </c>
      <c r="AI131" s="410">
        <v>313363</v>
      </c>
      <c r="AJ131" s="575">
        <f t="shared" si="210"/>
        <v>330974</v>
      </c>
      <c r="AK131" s="317">
        <v>780000</v>
      </c>
      <c r="AL131" s="45">
        <v>841400</v>
      </c>
      <c r="AM131" s="317">
        <v>840000</v>
      </c>
      <c r="AN131" s="76">
        <f t="shared" si="223"/>
        <v>698093.5</v>
      </c>
      <c r="AO131" s="24">
        <f t="shared" si="277"/>
        <v>384730.5</v>
      </c>
      <c r="AP131" s="281">
        <f t="shared" si="278"/>
        <v>1.2277470537364015</v>
      </c>
      <c r="AQ131" s="604">
        <f t="shared" si="279"/>
        <v>698093.5</v>
      </c>
      <c r="AR131" s="513">
        <v>337265</v>
      </c>
      <c r="AS131" s="575">
        <f t="shared" si="216"/>
        <v>356219</v>
      </c>
      <c r="AT131" s="88">
        <v>885000</v>
      </c>
      <c r="AU131" s="116">
        <v>935000</v>
      </c>
      <c r="AV131" s="74">
        <v>925540</v>
      </c>
      <c r="AW131" s="76">
        <f t="shared" si="217"/>
        <v>775439.75</v>
      </c>
      <c r="AX131" s="24">
        <f t="shared" si="280"/>
        <v>438174.75</v>
      </c>
      <c r="AY131" s="25">
        <f t="shared" si="281"/>
        <v>1.2992001838317051</v>
      </c>
      <c r="AZ131" s="309" t="str">
        <f t="shared" si="282"/>
        <v>REVISAR PRECIO</v>
      </c>
      <c r="BA131" s="604">
        <f t="shared" si="283"/>
        <v>775439.75</v>
      </c>
      <c r="BB131" s="551">
        <v>337265</v>
      </c>
      <c r="BC131" s="575">
        <f t="shared" si="211"/>
        <v>356219</v>
      </c>
      <c r="BD131" s="57">
        <v>967610</v>
      </c>
      <c r="BE131" s="624">
        <v>1150000</v>
      </c>
      <c r="BF131" s="627">
        <v>1114855</v>
      </c>
      <c r="BG131" s="628">
        <v>967609.99999999988</v>
      </c>
      <c r="BH131" s="625">
        <v>780000</v>
      </c>
      <c r="BI131" s="57">
        <v>1112751.4999999998</v>
      </c>
      <c r="BJ131" s="79">
        <v>1114855</v>
      </c>
      <c r="BK131" s="79">
        <v>841400</v>
      </c>
      <c r="BL131" s="127">
        <v>1009680</v>
      </c>
      <c r="BM131" s="128">
        <v>810000</v>
      </c>
      <c r="BN131" s="128">
        <v>900000</v>
      </c>
      <c r="BO131" s="76">
        <f>AVERAGE(BC131,BD131,BE131,BG131,BH131,BI131,BJ131,BK131,BM131,BN131)</f>
        <v>900044.55</v>
      </c>
      <c r="BP131" s="24">
        <f t="shared" si="284"/>
        <v>562779.55000000005</v>
      </c>
      <c r="BQ131" s="25">
        <f t="shared" si="285"/>
        <v>1.6686568425422148</v>
      </c>
      <c r="BR131" s="308" t="str">
        <f t="shared" si="286"/>
        <v>REVISAR PRECIO</v>
      </c>
      <c r="BS131" s="607">
        <f t="shared" si="212"/>
        <v>900044.55</v>
      </c>
    </row>
    <row r="132" spans="1:71" ht="45" customHeight="1">
      <c r="A132" s="91" t="s">
        <v>23</v>
      </c>
      <c r="B132" s="358" t="s">
        <v>2323</v>
      </c>
      <c r="C132" s="50" t="s">
        <v>200</v>
      </c>
      <c r="D132" s="99" t="s">
        <v>540</v>
      </c>
      <c r="E132" s="391" t="s">
        <v>24</v>
      </c>
      <c r="F132" s="410">
        <v>269946</v>
      </c>
      <c r="G132" s="589">
        <f t="shared" si="204"/>
        <v>285117</v>
      </c>
      <c r="H132" s="10">
        <v>806200</v>
      </c>
      <c r="I132" s="167">
        <v>1612400</v>
      </c>
      <c r="J132" s="10">
        <v>735500</v>
      </c>
      <c r="K132" s="76">
        <f t="shared" si="267"/>
        <v>608939</v>
      </c>
      <c r="L132" s="24">
        <f t="shared" si="268"/>
        <v>338993</v>
      </c>
      <c r="M132" s="281">
        <f t="shared" si="205"/>
        <v>1.1889610230186205</v>
      </c>
      <c r="N132" s="609">
        <f t="shared" si="213"/>
        <v>608939</v>
      </c>
      <c r="O132" s="629">
        <v>263452</v>
      </c>
      <c r="P132" s="579">
        <f t="shared" si="269"/>
        <v>278258</v>
      </c>
      <c r="Q132" s="568">
        <v>1068215</v>
      </c>
      <c r="R132" s="568">
        <v>806200</v>
      </c>
      <c r="S132" s="572">
        <v>967440</v>
      </c>
      <c r="T132" s="570">
        <v>948000</v>
      </c>
      <c r="U132" s="560">
        <f t="shared" si="270"/>
        <v>813622.6</v>
      </c>
      <c r="V132" s="561">
        <f t="shared" si="271"/>
        <v>535364.6</v>
      </c>
      <c r="W132" s="281">
        <f t="shared" si="272"/>
        <v>2.0321143889588993</v>
      </c>
      <c r="X132" s="462">
        <f t="shared" si="273"/>
        <v>813622.6</v>
      </c>
      <c r="Y132" s="410">
        <v>300947</v>
      </c>
      <c r="Z132" s="575">
        <f t="shared" si="207"/>
        <v>317860</v>
      </c>
      <c r="AA132" s="31">
        <v>391406</v>
      </c>
      <c r="AB132" s="31">
        <v>508827</v>
      </c>
      <c r="AC132" s="472">
        <v>342117.4</v>
      </c>
      <c r="AD132" s="76">
        <f t="shared" si="224"/>
        <v>350461.1333333333</v>
      </c>
      <c r="AE132" s="24">
        <f t="shared" si="209"/>
        <v>32601.133333333302</v>
      </c>
      <c r="AF132" s="25">
        <f t="shared" si="274"/>
        <v>0.10832848751884319</v>
      </c>
      <c r="AG132" s="309">
        <f t="shared" si="275"/>
        <v>350461.1333333333</v>
      </c>
      <c r="AH132" s="601">
        <f t="shared" si="276"/>
        <v>350461.1333333333</v>
      </c>
      <c r="AI132" s="410">
        <v>289822</v>
      </c>
      <c r="AJ132" s="575">
        <f t="shared" si="210"/>
        <v>306110</v>
      </c>
      <c r="AK132" s="317">
        <v>780000</v>
      </c>
      <c r="AL132" s="45">
        <v>806200</v>
      </c>
      <c r="AM132" s="317">
        <v>756000</v>
      </c>
      <c r="AN132" s="76">
        <f t="shared" si="223"/>
        <v>662077.5</v>
      </c>
      <c r="AO132" s="24">
        <f t="shared" si="277"/>
        <v>372255.5</v>
      </c>
      <c r="AP132" s="281">
        <f t="shared" si="278"/>
        <v>1.284428028238022</v>
      </c>
      <c r="AQ132" s="604">
        <f t="shared" si="279"/>
        <v>662077.5</v>
      </c>
      <c r="AR132" s="513">
        <v>263452</v>
      </c>
      <c r="AS132" s="575">
        <f t="shared" si="216"/>
        <v>278258</v>
      </c>
      <c r="AT132" s="88">
        <v>850000</v>
      </c>
      <c r="AU132" s="116">
        <v>875000</v>
      </c>
      <c r="AV132" s="74">
        <v>886820</v>
      </c>
      <c r="AW132" s="76">
        <f t="shared" si="217"/>
        <v>722519.5</v>
      </c>
      <c r="AX132" s="24">
        <f t="shared" si="280"/>
        <v>459067.5</v>
      </c>
      <c r="AY132" s="25">
        <f t="shared" si="281"/>
        <v>1.7425090718612879</v>
      </c>
      <c r="AZ132" s="309" t="str">
        <f t="shared" si="282"/>
        <v>REVISAR PRECIO</v>
      </c>
      <c r="BA132" s="604">
        <f t="shared" si="283"/>
        <v>722519.5</v>
      </c>
      <c r="BB132" s="551">
        <v>263452</v>
      </c>
      <c r="BC132" s="575">
        <f t="shared" si="211"/>
        <v>278258</v>
      </c>
      <c r="BD132" s="57">
        <v>927130</v>
      </c>
      <c r="BE132" s="624">
        <v>900000</v>
      </c>
      <c r="BF132" s="627">
        <v>1068215</v>
      </c>
      <c r="BG132" s="628">
        <v>927129.99999999988</v>
      </c>
      <c r="BH132" s="625">
        <v>650000</v>
      </c>
      <c r="BI132" s="57">
        <v>1066199.4999999998</v>
      </c>
      <c r="BJ132" s="79">
        <v>1068215</v>
      </c>
      <c r="BK132" s="79">
        <v>806200</v>
      </c>
      <c r="BL132" s="127">
        <v>967440</v>
      </c>
      <c r="BM132" s="128">
        <v>948000</v>
      </c>
      <c r="BN132" s="128">
        <v>820000</v>
      </c>
      <c r="BO132" s="76">
        <f>AVERAGE(BC132,BD132,BE132,BG132,BH132,BI132,BJ132,BK132,BM132,BN132)</f>
        <v>839113.25</v>
      </c>
      <c r="BP132" s="24">
        <f t="shared" si="284"/>
        <v>575661.25</v>
      </c>
      <c r="BQ132" s="25">
        <f t="shared" si="285"/>
        <v>2.1850707149689508</v>
      </c>
      <c r="BR132" s="308" t="str">
        <f t="shared" si="286"/>
        <v>REVISAR PRECIO</v>
      </c>
      <c r="BS132" s="607">
        <f t="shared" si="212"/>
        <v>839113.25</v>
      </c>
    </row>
    <row r="133" spans="1:71" ht="45" customHeight="1">
      <c r="A133" s="91" t="s">
        <v>23</v>
      </c>
      <c r="B133" s="358" t="s">
        <v>2324</v>
      </c>
      <c r="C133" s="50" t="s">
        <v>201</v>
      </c>
      <c r="D133" s="99" t="s">
        <v>541</v>
      </c>
      <c r="E133" s="391" t="s">
        <v>24</v>
      </c>
      <c r="F133" s="410">
        <v>311931</v>
      </c>
      <c r="G133" s="589">
        <f t="shared" si="204"/>
        <v>329462</v>
      </c>
      <c r="H133" s="10">
        <v>837100</v>
      </c>
      <c r="I133" s="167">
        <v>1674200</v>
      </c>
      <c r="J133" s="10">
        <v>795000</v>
      </c>
      <c r="K133" s="76">
        <f t="shared" si="267"/>
        <v>653854</v>
      </c>
      <c r="L133" s="24">
        <f t="shared" si="268"/>
        <v>341923</v>
      </c>
      <c r="M133" s="281">
        <f t="shared" si="205"/>
        <v>1.0378222678184434</v>
      </c>
      <c r="N133" s="609">
        <f t="shared" si="213"/>
        <v>653854</v>
      </c>
      <c r="O133" s="629">
        <v>305001</v>
      </c>
      <c r="P133" s="579">
        <f t="shared" si="269"/>
        <v>322142</v>
      </c>
      <c r="Q133" s="568">
        <v>1109157.5</v>
      </c>
      <c r="R133" s="568">
        <v>837100</v>
      </c>
      <c r="S133" s="572">
        <v>1004520</v>
      </c>
      <c r="T133" s="570">
        <v>811000</v>
      </c>
      <c r="U133" s="560">
        <f t="shared" si="270"/>
        <v>816783.9</v>
      </c>
      <c r="V133" s="561">
        <f t="shared" si="271"/>
        <v>494641.9</v>
      </c>
      <c r="W133" s="281">
        <f t="shared" si="272"/>
        <v>1.6217714040281836</v>
      </c>
      <c r="X133" s="462">
        <f t="shared" si="273"/>
        <v>816783.9</v>
      </c>
      <c r="Y133" s="410">
        <v>348405</v>
      </c>
      <c r="Z133" s="575">
        <f t="shared" si="207"/>
        <v>367985</v>
      </c>
      <c r="AA133" s="31">
        <v>453128</v>
      </c>
      <c r="AB133" s="31">
        <v>589066</v>
      </c>
      <c r="AC133" s="472">
        <v>396067</v>
      </c>
      <c r="AD133" s="76">
        <f t="shared" si="224"/>
        <v>405726.66666666669</v>
      </c>
      <c r="AE133" s="24">
        <f t="shared" si="209"/>
        <v>37741.666666666686</v>
      </c>
      <c r="AF133" s="25">
        <f t="shared" si="274"/>
        <v>0.10832699492448927</v>
      </c>
      <c r="AG133" s="309">
        <f t="shared" si="275"/>
        <v>405726.66666666669</v>
      </c>
      <c r="AH133" s="601">
        <f t="shared" si="276"/>
        <v>405726.66666666669</v>
      </c>
      <c r="AI133" s="410">
        <v>303937</v>
      </c>
      <c r="AJ133" s="575">
        <f t="shared" si="210"/>
        <v>321018</v>
      </c>
      <c r="AK133" s="317">
        <v>780000</v>
      </c>
      <c r="AL133" s="45">
        <v>837100</v>
      </c>
      <c r="AM133" s="317">
        <v>830000</v>
      </c>
      <c r="AN133" s="76">
        <f t="shared" si="223"/>
        <v>692029.5</v>
      </c>
      <c r="AO133" s="24">
        <f t="shared" si="277"/>
        <v>388092.5</v>
      </c>
      <c r="AP133" s="281">
        <f t="shared" si="278"/>
        <v>1.2768846833389815</v>
      </c>
      <c r="AQ133" s="604">
        <f t="shared" si="279"/>
        <v>692029.5</v>
      </c>
      <c r="AR133" s="513">
        <v>305001</v>
      </c>
      <c r="AS133" s="575">
        <f t="shared" si="216"/>
        <v>322142</v>
      </c>
      <c r="AT133" s="88">
        <v>950000</v>
      </c>
      <c r="AU133" s="116">
        <v>980000</v>
      </c>
      <c r="AV133" s="74">
        <v>920810</v>
      </c>
      <c r="AW133" s="76">
        <f t="shared" si="217"/>
        <v>793238</v>
      </c>
      <c r="AX133" s="24">
        <f t="shared" si="280"/>
        <v>488237</v>
      </c>
      <c r="AY133" s="25">
        <f t="shared" si="281"/>
        <v>1.6007718007481944</v>
      </c>
      <c r="AZ133" s="309" t="str">
        <f t="shared" si="282"/>
        <v>REVISAR PRECIO</v>
      </c>
      <c r="BA133" s="604">
        <f t="shared" si="283"/>
        <v>793238</v>
      </c>
      <c r="BB133" s="551">
        <v>305001</v>
      </c>
      <c r="BC133" s="575">
        <f t="shared" si="211"/>
        <v>322142</v>
      </c>
      <c r="BD133" s="57">
        <v>962665</v>
      </c>
      <c r="BE133" s="624">
        <v>980000</v>
      </c>
      <c r="BF133" s="627">
        <v>1109157.5</v>
      </c>
      <c r="BG133" s="628">
        <v>1000499.9999999999</v>
      </c>
      <c r="BH133" s="625">
        <v>800000</v>
      </c>
      <c r="BI133" s="57">
        <v>1150574.9999999998</v>
      </c>
      <c r="BJ133" s="79">
        <v>1109157.5</v>
      </c>
      <c r="BK133" s="79">
        <v>837100</v>
      </c>
      <c r="BL133" s="127">
        <v>1004520</v>
      </c>
      <c r="BM133" s="128">
        <v>811000</v>
      </c>
      <c r="BN133" s="128">
        <v>850000</v>
      </c>
      <c r="BO133" s="76">
        <f>AVERAGE(BC133,BD133,BE133,BF133,BG133,BH133,BI133,BJ133,BK133,BM133,BN133)</f>
        <v>902936.09090909094</v>
      </c>
      <c r="BP133" s="24">
        <f t="shared" si="284"/>
        <v>597935.09090909094</v>
      </c>
      <c r="BQ133" s="25">
        <f t="shared" si="285"/>
        <v>1.9604364933527789</v>
      </c>
      <c r="BR133" s="308" t="str">
        <f t="shared" si="286"/>
        <v>REVISAR PRECIO</v>
      </c>
      <c r="BS133" s="607">
        <f t="shared" si="212"/>
        <v>902936.09090909094</v>
      </c>
    </row>
    <row r="134" spans="1:71" ht="48" customHeight="1">
      <c r="A134" s="91" t="s">
        <v>23</v>
      </c>
      <c r="B134" s="358" t="s">
        <v>2325</v>
      </c>
      <c r="C134" s="50" t="s">
        <v>202</v>
      </c>
      <c r="D134" s="99" t="s">
        <v>542</v>
      </c>
      <c r="E134" s="391" t="s">
        <v>10</v>
      </c>
      <c r="F134" s="410">
        <v>28213</v>
      </c>
      <c r="G134" s="589">
        <f t="shared" si="204"/>
        <v>29799</v>
      </c>
      <c r="H134" s="10">
        <v>51000</v>
      </c>
      <c r="I134" s="167">
        <v>153000</v>
      </c>
      <c r="J134" s="10">
        <v>39650</v>
      </c>
      <c r="K134" s="76">
        <f t="shared" si="267"/>
        <v>40149.666666666664</v>
      </c>
      <c r="L134" s="24">
        <f t="shared" si="268"/>
        <v>11936.666666666664</v>
      </c>
      <c r="M134" s="281">
        <f t="shared" ref="M134:M184" si="287">+L134/G134</f>
        <v>0.40057272615412143</v>
      </c>
      <c r="N134" s="609">
        <f t="shared" si="213"/>
        <v>40149.666666666664</v>
      </c>
      <c r="O134" s="629">
        <v>23427</v>
      </c>
      <c r="P134" s="579">
        <f t="shared" si="269"/>
        <v>24744</v>
      </c>
      <c r="Q134" s="568">
        <v>67575</v>
      </c>
      <c r="R134" s="568">
        <v>51000</v>
      </c>
      <c r="S134" s="572">
        <v>61200</v>
      </c>
      <c r="T134" s="570">
        <v>65000</v>
      </c>
      <c r="U134" s="560">
        <f t="shared" si="270"/>
        <v>53903.8</v>
      </c>
      <c r="V134" s="561">
        <f t="shared" si="271"/>
        <v>29159.800000000003</v>
      </c>
      <c r="W134" s="281">
        <f t="shared" si="272"/>
        <v>1.2447090963418279</v>
      </c>
      <c r="X134" s="462">
        <f t="shared" si="273"/>
        <v>53903.8</v>
      </c>
      <c r="Y134" s="410">
        <v>44530</v>
      </c>
      <c r="Z134" s="575">
        <f t="shared" si="207"/>
        <v>47033</v>
      </c>
      <c r="AA134" s="33">
        <v>57915</v>
      </c>
      <c r="AB134" s="31">
        <v>57915</v>
      </c>
      <c r="AC134" s="472">
        <v>50622</v>
      </c>
      <c r="AD134" s="76">
        <f>AVERAGE(AA134,AC134,Z134,AB134)</f>
        <v>53371.25</v>
      </c>
      <c r="AE134" s="24">
        <f t="shared" si="209"/>
        <v>6338.25</v>
      </c>
      <c r="AF134" s="25">
        <f t="shared" si="274"/>
        <v>0.1423366269930384</v>
      </c>
      <c r="AG134" s="309">
        <f t="shared" si="275"/>
        <v>53371.25</v>
      </c>
      <c r="AH134" s="601">
        <f t="shared" si="276"/>
        <v>53371.25</v>
      </c>
      <c r="AI134" s="410">
        <v>23313</v>
      </c>
      <c r="AJ134" s="575">
        <f t="shared" si="210"/>
        <v>24623</v>
      </c>
      <c r="AK134" s="45">
        <v>65000</v>
      </c>
      <c r="AL134" s="45">
        <v>51000</v>
      </c>
      <c r="AM134" s="45">
        <v>48500</v>
      </c>
      <c r="AN134" s="76">
        <f>AVERAGE(AL134,AM134,AJ134)</f>
        <v>41374.333333333336</v>
      </c>
      <c r="AO134" s="24">
        <f t="shared" si="277"/>
        <v>18061.333333333336</v>
      </c>
      <c r="AP134" s="281">
        <f t="shared" si="278"/>
        <v>0.77473226668954387</v>
      </c>
      <c r="AQ134" s="604">
        <f t="shared" si="279"/>
        <v>41374.333333333336</v>
      </c>
      <c r="AR134" s="513">
        <v>23427</v>
      </c>
      <c r="AS134" s="575">
        <f t="shared" si="216"/>
        <v>24744</v>
      </c>
      <c r="AT134" s="88">
        <v>55000</v>
      </c>
      <c r="AU134" s="116">
        <v>75000</v>
      </c>
      <c r="AV134" s="74">
        <v>56100</v>
      </c>
      <c r="AW134" s="76">
        <f t="shared" si="217"/>
        <v>52711</v>
      </c>
      <c r="AX134" s="24">
        <f t="shared" si="280"/>
        <v>29284</v>
      </c>
      <c r="AY134" s="25">
        <f t="shared" si="281"/>
        <v>1.2500106714474752</v>
      </c>
      <c r="AZ134" s="309" t="str">
        <f t="shared" si="282"/>
        <v>REVISAR PRECIO</v>
      </c>
      <c r="BA134" s="604">
        <f t="shared" si="283"/>
        <v>52711</v>
      </c>
      <c r="BB134" s="551">
        <v>23427</v>
      </c>
      <c r="BC134" s="575">
        <f t="shared" si="211"/>
        <v>24744</v>
      </c>
      <c r="BD134" s="57">
        <v>58650</v>
      </c>
      <c r="BE134" s="624">
        <v>80000</v>
      </c>
      <c r="BF134" s="627">
        <v>67575</v>
      </c>
      <c r="BG134" s="628">
        <v>58649.999999999993</v>
      </c>
      <c r="BH134" s="625">
        <v>35000</v>
      </c>
      <c r="BI134" s="57">
        <v>67447.499999999985</v>
      </c>
      <c r="BJ134" s="79">
        <v>67575</v>
      </c>
      <c r="BK134" s="79">
        <v>51000</v>
      </c>
      <c r="BL134" s="127">
        <v>61200</v>
      </c>
      <c r="BM134" s="128">
        <v>65000</v>
      </c>
      <c r="BN134" s="128">
        <v>50000</v>
      </c>
      <c r="BO134" s="76">
        <f>AVERAGE(BC134,BD134,BE134,BG134,BH134,BI134,BJ134,BK134,BL134,BM134,BN134)</f>
        <v>56296.954545454544</v>
      </c>
      <c r="BP134" s="24">
        <f t="shared" si="284"/>
        <v>32869.954545454544</v>
      </c>
      <c r="BQ134" s="25">
        <f t="shared" si="285"/>
        <v>1.4030799737676418</v>
      </c>
      <c r="BR134" s="308" t="str">
        <f t="shared" si="286"/>
        <v>REVISAR PRECIO</v>
      </c>
      <c r="BS134" s="607">
        <f t="shared" si="212"/>
        <v>56296.954545454544</v>
      </c>
    </row>
    <row r="135" spans="1:71" ht="41.45" customHeight="1">
      <c r="A135" s="91" t="s">
        <v>23</v>
      </c>
      <c r="B135" s="358" t="s">
        <v>2326</v>
      </c>
      <c r="C135" s="50" t="s">
        <v>203</v>
      </c>
      <c r="D135" s="99" t="s">
        <v>543</v>
      </c>
      <c r="E135" s="391" t="s">
        <v>10</v>
      </c>
      <c r="F135" s="410">
        <v>44862</v>
      </c>
      <c r="G135" s="589">
        <f t="shared" ref="G135:G184" si="288">ROUND(F135*(100%+$D$1),0)</f>
        <v>47383</v>
      </c>
      <c r="H135" s="10">
        <v>136000</v>
      </c>
      <c r="I135" s="167">
        <v>408000</v>
      </c>
      <c r="J135" s="10">
        <v>58650</v>
      </c>
      <c r="K135" s="76">
        <f t="shared" si="267"/>
        <v>80677.666666666672</v>
      </c>
      <c r="L135" s="24">
        <f t="shared" si="268"/>
        <v>35815.666666666672</v>
      </c>
      <c r="M135" s="281">
        <f t="shared" si="287"/>
        <v>0.75587587672090562</v>
      </c>
      <c r="N135" s="609">
        <f t="shared" si="213"/>
        <v>80677.666666666672</v>
      </c>
      <c r="O135" s="410">
        <v>40637</v>
      </c>
      <c r="P135" s="575">
        <f t="shared" si="214"/>
        <v>42921</v>
      </c>
      <c r="Q135" s="10">
        <v>35000</v>
      </c>
      <c r="R135" s="10">
        <v>39000</v>
      </c>
      <c r="S135" s="268">
        <v>39000</v>
      </c>
      <c r="T135" s="10">
        <v>45000</v>
      </c>
      <c r="U135" s="76">
        <f>AVERAGE(Q135,R135,S135,T135,P135)</f>
        <v>40184.199999999997</v>
      </c>
      <c r="V135" s="24">
        <f t="shared" ref="V135:V198" si="289">U135-P135</f>
        <v>-2736.8000000000029</v>
      </c>
      <c r="W135" s="281">
        <f t="shared" ref="W135:W136" si="290">+V135/O135</f>
        <v>-6.7347491202598683E-2</v>
      </c>
      <c r="X135" s="462">
        <f t="shared" ref="X135:X136" si="291">U135</f>
        <v>40184.199999999997</v>
      </c>
      <c r="Y135" s="410">
        <v>69702</v>
      </c>
      <c r="Z135" s="575">
        <f t="shared" ref="Z135:Z198" si="292">ROUND(Y135*(100%+$D$1),0)</f>
        <v>73619</v>
      </c>
      <c r="AA135" s="31">
        <v>90653</v>
      </c>
      <c r="AB135" s="31">
        <v>117848</v>
      </c>
      <c r="AC135" s="472">
        <v>79237</v>
      </c>
      <c r="AD135" s="76">
        <f t="shared" si="224"/>
        <v>81169.666666666672</v>
      </c>
      <c r="AE135" s="24">
        <f t="shared" ref="AE135:AE198" si="293">AD135-Z135</f>
        <v>7550.6666666666715</v>
      </c>
      <c r="AF135" s="25">
        <f t="shared" si="274"/>
        <v>0.10832783373026128</v>
      </c>
      <c r="AG135" s="309">
        <f t="shared" si="275"/>
        <v>81169.666666666672</v>
      </c>
      <c r="AH135" s="601">
        <f t="shared" si="276"/>
        <v>81169.666666666672</v>
      </c>
      <c r="AI135" s="410">
        <v>37087</v>
      </c>
      <c r="AJ135" s="575">
        <f t="shared" ref="AJ135:AJ198" si="294">ROUND(AI135*(100%+$D$1),0)</f>
        <v>39171</v>
      </c>
      <c r="AK135" s="45">
        <v>170000</v>
      </c>
      <c r="AL135" s="45">
        <v>136000</v>
      </c>
      <c r="AM135" s="45">
        <v>160000</v>
      </c>
      <c r="AN135" s="76">
        <f>AVERAGE(AL135,AJ135)</f>
        <v>87585.5</v>
      </c>
      <c r="AO135" s="24">
        <f t="shared" si="277"/>
        <v>50498.5</v>
      </c>
      <c r="AP135" s="281">
        <f t="shared" si="278"/>
        <v>1.3616226710167982</v>
      </c>
      <c r="AQ135" s="604">
        <f t="shared" si="279"/>
        <v>87585.5</v>
      </c>
      <c r="AR135" s="513">
        <v>37277</v>
      </c>
      <c r="AS135" s="575">
        <f t="shared" si="216"/>
        <v>39372</v>
      </c>
      <c r="AT135" s="88">
        <v>150000</v>
      </c>
      <c r="AU135" s="116">
        <v>150000</v>
      </c>
      <c r="AV135" s="74">
        <v>149600</v>
      </c>
      <c r="AW135" s="76">
        <f t="shared" ref="AW135:AW198" si="295">AVERAGE(AS135,AT135,AU135,AV135)</f>
        <v>122243</v>
      </c>
      <c r="AX135" s="24">
        <f t="shared" si="280"/>
        <v>84966</v>
      </c>
      <c r="AY135" s="25">
        <f t="shared" si="281"/>
        <v>2.2793143225044932</v>
      </c>
      <c r="AZ135" s="309" t="str">
        <f t="shared" si="282"/>
        <v>REVISAR PRECIO</v>
      </c>
      <c r="BA135" s="604">
        <f t="shared" si="283"/>
        <v>122243</v>
      </c>
      <c r="BB135" s="551">
        <v>37277</v>
      </c>
      <c r="BC135" s="575">
        <f t="shared" ref="BC135:BC198" si="296">ROUND(BB135*(100%+$D$1),0)</f>
        <v>39372</v>
      </c>
      <c r="BD135" s="57">
        <v>156400</v>
      </c>
      <c r="BE135" s="624">
        <v>140000</v>
      </c>
      <c r="BF135" s="627">
        <v>180200</v>
      </c>
      <c r="BG135" s="628">
        <v>156400</v>
      </c>
      <c r="BH135" s="625">
        <v>49000</v>
      </c>
      <c r="BI135" s="57">
        <v>179860</v>
      </c>
      <c r="BJ135" s="79">
        <v>180200</v>
      </c>
      <c r="BK135" s="79">
        <v>136000</v>
      </c>
      <c r="BL135" s="127">
        <v>163200</v>
      </c>
      <c r="BM135" s="128">
        <v>132500</v>
      </c>
      <c r="BN135" s="128">
        <v>140000</v>
      </c>
      <c r="BO135" s="76">
        <f>AVERAGE(BC135,BD135,BE135,BG135,BH135,BI135,BJ135,BK135,BL135,BM135,BN135)</f>
        <v>133902.90909090909</v>
      </c>
      <c r="BP135" s="24">
        <f t="shared" si="284"/>
        <v>96625.909090909088</v>
      </c>
      <c r="BQ135" s="25">
        <f t="shared" si="285"/>
        <v>2.5921052952466423</v>
      </c>
      <c r="BR135" s="308" t="str">
        <f t="shared" si="286"/>
        <v>REVISAR PRECIO</v>
      </c>
      <c r="BS135" s="607">
        <f t="shared" ref="BS135:BS198" si="297">BO135</f>
        <v>133902.90909090909</v>
      </c>
    </row>
    <row r="136" spans="1:71" ht="47.45" customHeight="1">
      <c r="A136" s="91" t="s">
        <v>23</v>
      </c>
      <c r="B136" s="358" t="s">
        <v>2327</v>
      </c>
      <c r="C136" s="50" t="s">
        <v>204</v>
      </c>
      <c r="D136" s="99" t="s">
        <v>544</v>
      </c>
      <c r="E136" s="391" t="s">
        <v>10</v>
      </c>
      <c r="F136" s="410">
        <v>46713</v>
      </c>
      <c r="G136" s="589">
        <f t="shared" si="288"/>
        <v>49338</v>
      </c>
      <c r="H136" s="10">
        <v>218600</v>
      </c>
      <c r="I136" s="167">
        <v>655800</v>
      </c>
      <c r="J136" s="10">
        <v>205650</v>
      </c>
      <c r="K136" s="76">
        <f t="shared" si="267"/>
        <v>157862.66666666666</v>
      </c>
      <c r="L136" s="24">
        <f t="shared" si="268"/>
        <v>111149.66666666666</v>
      </c>
      <c r="M136" s="281">
        <f t="shared" si="287"/>
        <v>2.2528206791249477</v>
      </c>
      <c r="N136" s="609">
        <f t="shared" ref="N136:N186" si="298">+K136</f>
        <v>157862.66666666666</v>
      </c>
      <c r="O136" s="410">
        <v>34581</v>
      </c>
      <c r="P136" s="575">
        <f t="shared" ref="P136:P199" si="299">ROUND(O136*(100%+$D$1),0)</f>
        <v>36524</v>
      </c>
      <c r="Q136" s="10">
        <v>65000</v>
      </c>
      <c r="R136" s="10">
        <v>68000</v>
      </c>
      <c r="S136" s="268">
        <v>68000</v>
      </c>
      <c r="T136" s="10">
        <v>70000</v>
      </c>
      <c r="U136" s="76">
        <f>AVERAGE(Q136,R136,S136,T136)</f>
        <v>67750</v>
      </c>
      <c r="V136" s="24">
        <f t="shared" si="289"/>
        <v>31226</v>
      </c>
      <c r="W136" s="281">
        <f t="shared" si="290"/>
        <v>0.90298140597437904</v>
      </c>
      <c r="X136" s="462">
        <f t="shared" si="291"/>
        <v>67750</v>
      </c>
      <c r="Y136" s="410">
        <v>68757</v>
      </c>
      <c r="Z136" s="575">
        <f t="shared" si="292"/>
        <v>72621</v>
      </c>
      <c r="AA136" s="31">
        <v>89424</v>
      </c>
      <c r="AB136" s="31">
        <v>116251</v>
      </c>
      <c r="AC136" s="472">
        <v>78163.199999999997</v>
      </c>
      <c r="AD136" s="76">
        <f t="shared" si="224"/>
        <v>80069.400000000009</v>
      </c>
      <c r="AE136" s="24">
        <f t="shared" si="293"/>
        <v>7448.4000000000087</v>
      </c>
      <c r="AF136" s="25">
        <f t="shared" si="274"/>
        <v>0.10832933374056472</v>
      </c>
      <c r="AG136" s="309">
        <f t="shared" si="275"/>
        <v>80069.400000000009</v>
      </c>
      <c r="AH136" s="601">
        <f t="shared" si="276"/>
        <v>80069.400000000009</v>
      </c>
      <c r="AI136" s="410">
        <v>38615</v>
      </c>
      <c r="AJ136" s="575">
        <f t="shared" si="294"/>
        <v>40785</v>
      </c>
      <c r="AK136" s="45">
        <v>250000</v>
      </c>
      <c r="AL136" s="45">
        <v>218600</v>
      </c>
      <c r="AM136" s="45">
        <v>230000</v>
      </c>
      <c r="AN136" s="76">
        <f t="shared" ref="AN136:AN197" si="300">AVERAGE(AK136,AL136,AM136,AJ136)</f>
        <v>184846.25</v>
      </c>
      <c r="AO136" s="24">
        <f t="shared" si="277"/>
        <v>146231.25</v>
      </c>
      <c r="AP136" s="281">
        <f t="shared" si="278"/>
        <v>3.7869027579955974</v>
      </c>
      <c r="AQ136" s="604">
        <f t="shared" si="279"/>
        <v>184846.25</v>
      </c>
      <c r="AR136" s="513">
        <v>38814</v>
      </c>
      <c r="AS136" s="575">
        <f t="shared" ref="AS136:AS199" si="301">ROUND(AR136*(100%+$D$1),0)</f>
        <v>40995</v>
      </c>
      <c r="AT136" s="88">
        <v>240000</v>
      </c>
      <c r="AU136" s="116">
        <v>240000</v>
      </c>
      <c r="AV136" s="74">
        <v>240460</v>
      </c>
      <c r="AW136" s="76">
        <f t="shared" si="295"/>
        <v>190363.75</v>
      </c>
      <c r="AX136" s="24">
        <f t="shared" si="280"/>
        <v>151549.75</v>
      </c>
      <c r="AY136" s="25">
        <f t="shared" si="281"/>
        <v>3.9045125470191167</v>
      </c>
      <c r="AZ136" s="309" t="str">
        <f t="shared" si="282"/>
        <v>REVISAR PRECIO</v>
      </c>
      <c r="BA136" s="604">
        <f t="shared" si="283"/>
        <v>190363.75</v>
      </c>
      <c r="BB136" s="551">
        <v>38814</v>
      </c>
      <c r="BC136" s="575">
        <f t="shared" si="296"/>
        <v>40995</v>
      </c>
      <c r="BD136" s="57">
        <v>251390</v>
      </c>
      <c r="BE136" s="624">
        <v>420000</v>
      </c>
      <c r="BF136" s="627">
        <v>289645</v>
      </c>
      <c r="BG136" s="628">
        <v>251390</v>
      </c>
      <c r="BH136" s="625">
        <v>90000</v>
      </c>
      <c r="BI136" s="57">
        <v>289098.49999999994</v>
      </c>
      <c r="BJ136" s="79">
        <v>289645</v>
      </c>
      <c r="BK136" s="79">
        <v>218600</v>
      </c>
      <c r="BL136" s="127">
        <v>262320</v>
      </c>
      <c r="BM136" s="128">
        <v>250000</v>
      </c>
      <c r="BN136" s="128">
        <v>230000</v>
      </c>
      <c r="BO136" s="76">
        <f>AVERAGE(BC136,BD136,BF136,BG136,BH136,BI136,BJ136,BK136,BM136,BN136)</f>
        <v>220076.35</v>
      </c>
      <c r="BP136" s="24">
        <f t="shared" si="284"/>
        <v>181262.35</v>
      </c>
      <c r="BQ136" s="25">
        <f t="shared" si="285"/>
        <v>4.6700249909826352</v>
      </c>
      <c r="BR136" s="308" t="str">
        <f t="shared" si="286"/>
        <v>REVISAR PRECIO</v>
      </c>
      <c r="BS136" s="607">
        <f t="shared" si="297"/>
        <v>220076.35</v>
      </c>
    </row>
    <row r="137" spans="1:71" ht="45.6" customHeight="1">
      <c r="A137" s="91" t="s">
        <v>23</v>
      </c>
      <c r="B137" s="358" t="s">
        <v>2328</v>
      </c>
      <c r="C137" s="50" t="s">
        <v>205</v>
      </c>
      <c r="D137" s="99" t="s">
        <v>545</v>
      </c>
      <c r="E137" s="391" t="s">
        <v>13</v>
      </c>
      <c r="F137" s="410">
        <v>84588</v>
      </c>
      <c r="G137" s="589">
        <f t="shared" si="288"/>
        <v>89342</v>
      </c>
      <c r="H137" s="10">
        <v>95000</v>
      </c>
      <c r="I137" s="167">
        <v>285000</v>
      </c>
      <c r="J137" s="10">
        <v>78680</v>
      </c>
      <c r="K137" s="76">
        <f t="shared" si="267"/>
        <v>87674</v>
      </c>
      <c r="L137" s="24">
        <f t="shared" si="268"/>
        <v>3086</v>
      </c>
      <c r="M137" s="281">
        <f t="shared" si="287"/>
        <v>3.4541425085626021E-2</v>
      </c>
      <c r="N137" s="597">
        <f t="shared" si="298"/>
        <v>87674</v>
      </c>
      <c r="O137" s="629">
        <v>82926</v>
      </c>
      <c r="P137" s="579">
        <f t="shared" si="299"/>
        <v>87586</v>
      </c>
      <c r="Q137" s="568">
        <v>125875</v>
      </c>
      <c r="R137" s="568">
        <v>95000</v>
      </c>
      <c r="S137" s="572">
        <v>114000</v>
      </c>
      <c r="T137" s="570">
        <v>100000</v>
      </c>
      <c r="U137" s="560">
        <f>AVERAGE(Q137,R137,S137,T137,P137)</f>
        <v>104492.2</v>
      </c>
      <c r="V137" s="561">
        <f t="shared" ref="V137" si="302">U137-P137</f>
        <v>16906.199999999997</v>
      </c>
      <c r="W137" s="281">
        <f t="shared" ref="W137" si="303">+V137/O137</f>
        <v>0.20387092106215177</v>
      </c>
      <c r="X137" s="462">
        <f t="shared" ref="X137" si="304">U137</f>
        <v>104492.2</v>
      </c>
      <c r="Y137" s="410">
        <v>146908</v>
      </c>
      <c r="Z137" s="575">
        <f t="shared" si="292"/>
        <v>155164</v>
      </c>
      <c r="AA137" s="31">
        <v>191066</v>
      </c>
      <c r="AB137" s="31">
        <v>248385</v>
      </c>
      <c r="AC137" s="472">
        <v>167005.4</v>
      </c>
      <c r="AD137" s="76">
        <f t="shared" si="224"/>
        <v>171078.46666666667</v>
      </c>
      <c r="AE137" s="24">
        <f t="shared" si="293"/>
        <v>15914.466666666674</v>
      </c>
      <c r="AF137" s="25">
        <f t="shared" si="274"/>
        <v>0.10832947604396408</v>
      </c>
      <c r="AG137" s="309">
        <f t="shared" si="275"/>
        <v>171078.46666666667</v>
      </c>
      <c r="AH137" s="601">
        <f t="shared" si="276"/>
        <v>171078.46666666667</v>
      </c>
      <c r="AI137" s="410">
        <v>82517</v>
      </c>
      <c r="AJ137" s="575">
        <f t="shared" si="294"/>
        <v>87154</v>
      </c>
      <c r="AK137" s="45">
        <v>95000</v>
      </c>
      <c r="AL137" s="45">
        <v>95000</v>
      </c>
      <c r="AM137" s="45">
        <v>95000</v>
      </c>
      <c r="AN137" s="76">
        <f t="shared" si="300"/>
        <v>93038.5</v>
      </c>
      <c r="AO137" s="24">
        <f t="shared" si="277"/>
        <v>10521.5</v>
      </c>
      <c r="AP137" s="281">
        <f t="shared" si="278"/>
        <v>0.12750705915144758</v>
      </c>
      <c r="AQ137" s="601">
        <f t="shared" si="279"/>
        <v>93038.5</v>
      </c>
      <c r="AR137" s="513">
        <v>82926</v>
      </c>
      <c r="AS137" s="575">
        <f t="shared" si="301"/>
        <v>87586</v>
      </c>
      <c r="AT137" s="88">
        <v>100000</v>
      </c>
      <c r="AU137" s="116">
        <v>100000</v>
      </c>
      <c r="AV137" s="74">
        <v>104500</v>
      </c>
      <c r="AW137" s="76">
        <f t="shared" si="295"/>
        <v>98021.5</v>
      </c>
      <c r="AX137" s="24">
        <f t="shared" si="280"/>
        <v>15095.5</v>
      </c>
      <c r="AY137" s="25">
        <f t="shared" si="281"/>
        <v>0.18203579094614475</v>
      </c>
      <c r="AZ137" s="309">
        <f t="shared" si="282"/>
        <v>98021.5</v>
      </c>
      <c r="BA137" s="601">
        <f t="shared" si="283"/>
        <v>98021.5</v>
      </c>
      <c r="BB137" s="551">
        <v>82926</v>
      </c>
      <c r="BC137" s="575">
        <f t="shared" si="296"/>
        <v>87586</v>
      </c>
      <c r="BD137" s="57">
        <v>109250</v>
      </c>
      <c r="BE137" s="624">
        <v>160000</v>
      </c>
      <c r="BF137" s="627">
        <v>125875</v>
      </c>
      <c r="BG137" s="628">
        <v>109249.99999999999</v>
      </c>
      <c r="BH137" s="625">
        <v>138000</v>
      </c>
      <c r="BI137" s="57">
        <v>125637.49999999997</v>
      </c>
      <c r="BJ137" s="79">
        <v>125875</v>
      </c>
      <c r="BK137" s="79">
        <v>95000</v>
      </c>
      <c r="BL137" s="127">
        <v>114000</v>
      </c>
      <c r="BM137" s="128">
        <v>100000</v>
      </c>
      <c r="BN137" s="128">
        <v>100000</v>
      </c>
      <c r="BO137" s="76">
        <f>AVERAGE(BC137,BD137,BE137,BF137,BG137,BI137,BJ137,BK137,BL137,BM137,BN137)</f>
        <v>113861.22727272728</v>
      </c>
      <c r="BP137" s="24">
        <f t="shared" si="284"/>
        <v>30935.227272727279</v>
      </c>
      <c r="BQ137" s="25">
        <f t="shared" si="285"/>
        <v>0.37304617698583409</v>
      </c>
      <c r="BR137" s="308" t="str">
        <f t="shared" si="286"/>
        <v>REVISAR PRECIO</v>
      </c>
      <c r="BS137" s="607">
        <f t="shared" si="297"/>
        <v>113861.22727272728</v>
      </c>
    </row>
    <row r="138" spans="1:71" ht="45.6" customHeight="1">
      <c r="A138" s="91" t="s">
        <v>23</v>
      </c>
      <c r="B138" s="358" t="s">
        <v>2329</v>
      </c>
      <c r="C138" s="50" t="s">
        <v>206</v>
      </c>
      <c r="D138" s="99" t="s">
        <v>546</v>
      </c>
      <c r="E138" s="391" t="s">
        <v>10</v>
      </c>
      <c r="F138" s="410">
        <v>195906</v>
      </c>
      <c r="G138" s="589">
        <f t="shared" si="288"/>
        <v>206916</v>
      </c>
      <c r="H138" s="10">
        <v>45000</v>
      </c>
      <c r="I138" s="167">
        <v>135000</v>
      </c>
      <c r="J138" s="10">
        <v>45000</v>
      </c>
      <c r="K138" s="76">
        <f>AVERAGE(G138:H138,J138,I138)</f>
        <v>107979</v>
      </c>
      <c r="L138" s="24">
        <f t="shared" si="268"/>
        <v>-87927</v>
      </c>
      <c r="M138" s="281">
        <f t="shared" si="287"/>
        <v>-0.42494055558777477</v>
      </c>
      <c r="N138" s="597">
        <f t="shared" si="298"/>
        <v>107979</v>
      </c>
      <c r="O138" s="562">
        <v>171148</v>
      </c>
      <c r="P138" s="579">
        <f t="shared" si="299"/>
        <v>180767</v>
      </c>
      <c r="Q138" s="568">
        <v>59625</v>
      </c>
      <c r="R138" s="568">
        <v>45000</v>
      </c>
      <c r="S138" s="572">
        <v>54000</v>
      </c>
      <c r="T138" s="570">
        <v>54300</v>
      </c>
      <c r="U138" s="560">
        <f>AVERAGE(P138:Q138)</f>
        <v>120196</v>
      </c>
      <c r="V138" s="561">
        <f t="shared" si="289"/>
        <v>-60571</v>
      </c>
      <c r="W138" s="281">
        <f t="shared" ref="W138" si="305">+V138/O138</f>
        <v>-0.35391006614158504</v>
      </c>
      <c r="X138" s="462">
        <f>+U138</f>
        <v>120196</v>
      </c>
      <c r="Y138" s="410">
        <v>340236</v>
      </c>
      <c r="Z138" s="575">
        <f t="shared" si="292"/>
        <v>359357</v>
      </c>
      <c r="AA138" s="31">
        <v>442503</v>
      </c>
      <c r="AB138" s="31">
        <v>575254</v>
      </c>
      <c r="AC138" s="472">
        <v>386780.4</v>
      </c>
      <c r="AD138" s="76">
        <f t="shared" si="224"/>
        <v>396213.46666666662</v>
      </c>
      <c r="AE138" s="24">
        <f t="shared" si="293"/>
        <v>36856.466666666616</v>
      </c>
      <c r="AF138" s="25">
        <f t="shared" si="274"/>
        <v>0.10832618143484704</v>
      </c>
      <c r="AG138" s="309">
        <f t="shared" si="275"/>
        <v>396213.46666666662</v>
      </c>
      <c r="AH138" s="601">
        <f t="shared" si="276"/>
        <v>396213.46666666662</v>
      </c>
      <c r="AI138" s="410">
        <v>191110</v>
      </c>
      <c r="AJ138" s="575">
        <f t="shared" si="294"/>
        <v>201850</v>
      </c>
      <c r="AK138" s="45"/>
      <c r="AL138" s="45">
        <v>45000</v>
      </c>
      <c r="AM138" s="45">
        <v>55000</v>
      </c>
      <c r="AN138" s="76">
        <f>AVERAGE(AK138,AM138,AJ138)</f>
        <v>128425</v>
      </c>
      <c r="AO138" s="24">
        <f t="shared" si="277"/>
        <v>-62685</v>
      </c>
      <c r="AP138" s="281">
        <f t="shared" si="278"/>
        <v>-0.32800481398147663</v>
      </c>
      <c r="AQ138" s="601">
        <f>+AN138</f>
        <v>128425</v>
      </c>
      <c r="AR138" s="513">
        <v>192060</v>
      </c>
      <c r="AS138" s="575">
        <f t="shared" si="301"/>
        <v>202854</v>
      </c>
      <c r="AT138" s="88">
        <v>50000</v>
      </c>
      <c r="AU138" s="116">
        <v>50000</v>
      </c>
      <c r="AV138" s="74">
        <v>49500</v>
      </c>
      <c r="AW138" s="76">
        <f>AVERAGE(AS138,AT138)</f>
        <v>126427</v>
      </c>
      <c r="AX138" s="24">
        <f t="shared" si="280"/>
        <v>-65633</v>
      </c>
      <c r="AY138" s="25">
        <f t="shared" si="281"/>
        <v>-0.34173175049463711</v>
      </c>
      <c r="AZ138" s="309">
        <f t="shared" si="282"/>
        <v>126427</v>
      </c>
      <c r="BA138" s="604">
        <f>AW138</f>
        <v>126427</v>
      </c>
      <c r="BB138" s="551">
        <v>192060</v>
      </c>
      <c r="BC138" s="575">
        <f t="shared" si="296"/>
        <v>202854</v>
      </c>
      <c r="BD138" s="57">
        <v>51750</v>
      </c>
      <c r="BE138" s="624">
        <v>70000</v>
      </c>
      <c r="BF138" s="627">
        <v>59625</v>
      </c>
      <c r="BG138" s="628">
        <v>51749.999999999993</v>
      </c>
      <c r="BH138" s="625"/>
      <c r="BI138" s="57">
        <v>59512.499999999985</v>
      </c>
      <c r="BJ138" s="79">
        <v>59625</v>
      </c>
      <c r="BK138" s="79">
        <v>45000</v>
      </c>
      <c r="BL138" s="127">
        <v>54000</v>
      </c>
      <c r="BM138" s="128">
        <v>54300</v>
      </c>
      <c r="BN138" s="128">
        <v>50000</v>
      </c>
      <c r="BO138" s="76">
        <f>AVERAGE(BC138,BD138,BE138,BF138,BG138,BI138,BJ138,BK138,BL138,BM138,BN138,BH138)</f>
        <v>68946.954545454544</v>
      </c>
      <c r="BP138" s="24">
        <f t="shared" si="284"/>
        <v>-123113.04545454546</v>
      </c>
      <c r="BQ138" s="25">
        <f t="shared" si="285"/>
        <v>-0.641013461702309</v>
      </c>
      <c r="BR138" s="308">
        <f t="shared" si="286"/>
        <v>68946.954545454544</v>
      </c>
      <c r="BS138" s="607">
        <f>AVERAGE(BO138,BC138)</f>
        <v>135900.47727272726</v>
      </c>
    </row>
    <row r="139" spans="1:71" ht="45.6" customHeight="1">
      <c r="A139" s="91" t="s">
        <v>23</v>
      </c>
      <c r="B139" s="358" t="s">
        <v>2330</v>
      </c>
      <c r="C139" s="50" t="s">
        <v>207</v>
      </c>
      <c r="D139" s="99" t="s">
        <v>547</v>
      </c>
      <c r="E139" s="391" t="s">
        <v>13</v>
      </c>
      <c r="F139" s="410">
        <v>263985</v>
      </c>
      <c r="G139" s="589">
        <f t="shared" si="288"/>
        <v>278821</v>
      </c>
      <c r="H139" s="10">
        <v>296748</v>
      </c>
      <c r="I139" s="167">
        <v>890244</v>
      </c>
      <c r="J139" s="10">
        <v>295680</v>
      </c>
      <c r="K139" s="76">
        <f t="shared" ref="K139:K146" si="306">AVERAGE(H139,J139,G139)</f>
        <v>290416.33333333331</v>
      </c>
      <c r="L139" s="24">
        <f t="shared" si="268"/>
        <v>26431.333333333314</v>
      </c>
      <c r="M139" s="281">
        <f t="shared" si="287"/>
        <v>9.4796781208493316E-2</v>
      </c>
      <c r="N139" s="597">
        <f t="shared" si="298"/>
        <v>290416.33333333331</v>
      </c>
      <c r="O139" s="629">
        <v>265750</v>
      </c>
      <c r="P139" s="579">
        <f t="shared" si="299"/>
        <v>280685</v>
      </c>
      <c r="Q139" s="568">
        <v>393191.23250000004</v>
      </c>
      <c r="R139" s="568">
        <f>269771*1.1</f>
        <v>296748.10000000003</v>
      </c>
      <c r="S139" s="572">
        <v>356097.72000000003</v>
      </c>
      <c r="T139" s="570">
        <v>330000</v>
      </c>
      <c r="U139" s="560">
        <f t="shared" ref="U139:U140" si="307">AVERAGE(Q139,R139,S139,T139)</f>
        <v>344009.263125</v>
      </c>
      <c r="V139" s="561">
        <f t="shared" ref="V139:V140" si="308">U139-P139</f>
        <v>63324.263124999998</v>
      </c>
      <c r="W139" s="281">
        <f t="shared" ref="W139:W140" si="309">+V139/O139</f>
        <v>0.2382850917215428</v>
      </c>
      <c r="X139" s="462">
        <f>+U139</f>
        <v>344009.263125</v>
      </c>
      <c r="Y139" s="410">
        <v>455682</v>
      </c>
      <c r="Z139" s="575">
        <f t="shared" si="292"/>
        <v>481291</v>
      </c>
      <c r="AA139" s="31">
        <v>592650</v>
      </c>
      <c r="AB139" s="31">
        <v>770445</v>
      </c>
      <c r="AC139" s="472">
        <v>518020</v>
      </c>
      <c r="AD139" s="76">
        <f t="shared" si="224"/>
        <v>530653.66666666663</v>
      </c>
      <c r="AE139" s="24">
        <f t="shared" si="293"/>
        <v>49362.666666666628</v>
      </c>
      <c r="AF139" s="25">
        <f t="shared" si="274"/>
        <v>0.10832700582131098</v>
      </c>
      <c r="AG139" s="309">
        <f t="shared" si="275"/>
        <v>530653.66666666663</v>
      </c>
      <c r="AH139" s="601">
        <f t="shared" si="276"/>
        <v>530653.66666666663</v>
      </c>
      <c r="AI139" s="410">
        <v>252640</v>
      </c>
      <c r="AJ139" s="575">
        <f t="shared" si="294"/>
        <v>266838</v>
      </c>
      <c r="AK139" s="45"/>
      <c r="AL139" s="45">
        <v>296748</v>
      </c>
      <c r="AM139" s="45">
        <v>293000</v>
      </c>
      <c r="AN139" s="76">
        <f t="shared" si="300"/>
        <v>285528.66666666669</v>
      </c>
      <c r="AO139" s="24">
        <f t="shared" si="277"/>
        <v>32888.666666666686</v>
      </c>
      <c r="AP139" s="281">
        <f t="shared" si="278"/>
        <v>0.13017996622334818</v>
      </c>
      <c r="AQ139" s="601">
        <f t="shared" si="279"/>
        <v>285528.66666666669</v>
      </c>
      <c r="AR139" s="513">
        <v>265750</v>
      </c>
      <c r="AS139" s="575">
        <f t="shared" si="301"/>
        <v>280685</v>
      </c>
      <c r="AT139" s="88">
        <v>325000</v>
      </c>
      <c r="AU139" s="116">
        <v>325000</v>
      </c>
      <c r="AV139" s="74">
        <v>326422.91000000003</v>
      </c>
      <c r="AW139" s="76">
        <f t="shared" si="295"/>
        <v>314276.97750000004</v>
      </c>
      <c r="AX139" s="24">
        <f t="shared" si="280"/>
        <v>48526.977500000037</v>
      </c>
      <c r="AY139" s="25">
        <f t="shared" si="281"/>
        <v>0.18260386641580448</v>
      </c>
      <c r="AZ139" s="309">
        <f t="shared" si="282"/>
        <v>314276.97750000004</v>
      </c>
      <c r="BA139" s="601">
        <f t="shared" si="283"/>
        <v>314276.97750000004</v>
      </c>
      <c r="BB139" s="551">
        <v>265750</v>
      </c>
      <c r="BC139" s="575">
        <f t="shared" si="296"/>
        <v>280685</v>
      </c>
      <c r="BD139" s="57">
        <v>341260.31500000006</v>
      </c>
      <c r="BE139" s="624">
        <v>380000</v>
      </c>
      <c r="BF139" s="627">
        <v>393191.23250000004</v>
      </c>
      <c r="BG139" s="628">
        <v>436999.99999999994</v>
      </c>
      <c r="BH139" s="625">
        <v>270000</v>
      </c>
      <c r="BI139" s="57">
        <v>502549.99999999988</v>
      </c>
      <c r="BJ139" s="79">
        <v>393191.23250000004</v>
      </c>
      <c r="BK139" s="79">
        <f>269771*1.1</f>
        <v>296748.10000000003</v>
      </c>
      <c r="BL139" s="127">
        <v>356097.72000000003</v>
      </c>
      <c r="BM139" s="128">
        <v>330000</v>
      </c>
      <c r="BN139" s="128">
        <v>300000</v>
      </c>
      <c r="BO139" s="76">
        <f>AVERAGE(BC139,BD139,BE139,BF139,BH139,BJ139,BK139,BL139,BM139,BN139)</f>
        <v>334117.36000000004</v>
      </c>
      <c r="BP139" s="24">
        <f t="shared" si="284"/>
        <v>68367.360000000044</v>
      </c>
      <c r="BQ139" s="25">
        <f t="shared" si="285"/>
        <v>0.2572619379115712</v>
      </c>
      <c r="BR139" s="308">
        <f t="shared" si="286"/>
        <v>334117.36000000004</v>
      </c>
      <c r="BS139" s="607">
        <f t="shared" si="297"/>
        <v>334117.36000000004</v>
      </c>
    </row>
    <row r="140" spans="1:71" ht="44.45" customHeight="1">
      <c r="A140" s="91" t="s">
        <v>23</v>
      </c>
      <c r="B140" s="358" t="s">
        <v>2331</v>
      </c>
      <c r="C140" s="50" t="s">
        <v>208</v>
      </c>
      <c r="D140" s="102" t="s">
        <v>548</v>
      </c>
      <c r="E140" s="391" t="s">
        <v>13</v>
      </c>
      <c r="F140" s="410">
        <v>154955</v>
      </c>
      <c r="G140" s="589">
        <f t="shared" si="288"/>
        <v>163663</v>
      </c>
      <c r="H140" s="10">
        <v>155800</v>
      </c>
      <c r="I140" s="167">
        <v>467400</v>
      </c>
      <c r="J140" s="10">
        <v>285000</v>
      </c>
      <c r="K140" s="76">
        <f t="shared" si="306"/>
        <v>201487.66666666666</v>
      </c>
      <c r="L140" s="24">
        <f t="shared" si="268"/>
        <v>46532.666666666657</v>
      </c>
      <c r="M140" s="281">
        <f t="shared" si="287"/>
        <v>0.28432001531602535</v>
      </c>
      <c r="N140" s="597">
        <f t="shared" si="298"/>
        <v>201487.66666666666</v>
      </c>
      <c r="O140" s="629">
        <v>156729</v>
      </c>
      <c r="P140" s="579">
        <f t="shared" si="299"/>
        <v>165537</v>
      </c>
      <c r="Q140" s="568">
        <v>206435</v>
      </c>
      <c r="R140" s="568">
        <v>155800</v>
      </c>
      <c r="S140" s="572">
        <v>186960</v>
      </c>
      <c r="T140" s="570">
        <v>165000</v>
      </c>
      <c r="U140" s="560">
        <f t="shared" si="307"/>
        <v>178548.75</v>
      </c>
      <c r="V140" s="561">
        <f t="shared" si="308"/>
        <v>13011.75</v>
      </c>
      <c r="W140" s="281">
        <f t="shared" si="309"/>
        <v>8.3020691767318106E-2</v>
      </c>
      <c r="X140" s="462">
        <f>+U140</f>
        <v>178548.75</v>
      </c>
      <c r="Y140" s="410">
        <v>231370</v>
      </c>
      <c r="Z140" s="575">
        <f t="shared" si="292"/>
        <v>244373</v>
      </c>
      <c r="AA140" s="31">
        <v>300915</v>
      </c>
      <c r="AB140" s="31">
        <v>391190</v>
      </c>
      <c r="AC140" s="472">
        <v>263022</v>
      </c>
      <c r="AD140" s="76">
        <f t="shared" si="224"/>
        <v>269436.66666666669</v>
      </c>
      <c r="AE140" s="24">
        <f t="shared" si="293"/>
        <v>25063.666666666686</v>
      </c>
      <c r="AF140" s="25">
        <f t="shared" si="274"/>
        <v>0.10832721038452127</v>
      </c>
      <c r="AG140" s="309">
        <f t="shared" si="275"/>
        <v>269436.66666666669</v>
      </c>
      <c r="AH140" s="601">
        <f t="shared" si="276"/>
        <v>269436.66666666669</v>
      </c>
      <c r="AI140" s="410">
        <v>145206</v>
      </c>
      <c r="AJ140" s="575">
        <f t="shared" si="294"/>
        <v>153367</v>
      </c>
      <c r="AK140" s="45"/>
      <c r="AL140" s="45">
        <v>155800</v>
      </c>
      <c r="AM140" s="45">
        <v>180000</v>
      </c>
      <c r="AN140" s="76">
        <f t="shared" si="300"/>
        <v>163055.66666666666</v>
      </c>
      <c r="AO140" s="24">
        <f t="shared" si="277"/>
        <v>17849.666666666657</v>
      </c>
      <c r="AP140" s="281">
        <f t="shared" si="278"/>
        <v>0.12292650900559658</v>
      </c>
      <c r="AQ140" s="601">
        <f t="shared" si="279"/>
        <v>163055.66666666666</v>
      </c>
      <c r="AR140" s="513">
        <v>156729</v>
      </c>
      <c r="AS140" s="575">
        <f t="shared" si="301"/>
        <v>165537</v>
      </c>
      <c r="AT140" s="88">
        <v>163000</v>
      </c>
      <c r="AU140" s="116">
        <v>180000</v>
      </c>
      <c r="AV140" s="74">
        <v>171380</v>
      </c>
      <c r="AW140" s="76">
        <f t="shared" si="295"/>
        <v>169979.25</v>
      </c>
      <c r="AX140" s="24">
        <f t="shared" si="280"/>
        <v>13250.25</v>
      </c>
      <c r="AY140" s="25">
        <f t="shared" si="281"/>
        <v>8.4542426736596288E-2</v>
      </c>
      <c r="AZ140" s="309">
        <f t="shared" si="282"/>
        <v>169979.25</v>
      </c>
      <c r="BA140" s="601">
        <f t="shared" si="283"/>
        <v>169979.25</v>
      </c>
      <c r="BB140" s="551">
        <v>156729</v>
      </c>
      <c r="BC140" s="575">
        <f t="shared" si="296"/>
        <v>165537</v>
      </c>
      <c r="BD140" s="57">
        <v>179170</v>
      </c>
      <c r="BE140" s="624">
        <v>420000</v>
      </c>
      <c r="BF140" s="627">
        <v>206435</v>
      </c>
      <c r="BG140" s="628">
        <v>310500</v>
      </c>
      <c r="BH140" s="625">
        <v>230000</v>
      </c>
      <c r="BI140" s="57">
        <v>357075</v>
      </c>
      <c r="BJ140" s="79">
        <v>206435</v>
      </c>
      <c r="BK140" s="79">
        <v>155800</v>
      </c>
      <c r="BL140" s="127">
        <v>186960</v>
      </c>
      <c r="BM140" s="128">
        <v>165000</v>
      </c>
      <c r="BN140" s="128">
        <v>160000</v>
      </c>
      <c r="BO140" s="76">
        <f>AVERAGE(BC140,BD140,BE140,BF140,BH140,BJ140,BK140,BL140,BM140,BN140)</f>
        <v>207533.7</v>
      </c>
      <c r="BP140" s="24">
        <f t="shared" si="284"/>
        <v>50804.700000000012</v>
      </c>
      <c r="BQ140" s="25">
        <f t="shared" si="285"/>
        <v>0.32415634630476819</v>
      </c>
      <c r="BR140" s="308">
        <f t="shared" si="286"/>
        <v>207533.7</v>
      </c>
      <c r="BS140" s="607">
        <f t="shared" si="297"/>
        <v>207533.7</v>
      </c>
    </row>
    <row r="141" spans="1:71" ht="44.45" customHeight="1">
      <c r="A141" s="91" t="s">
        <v>23</v>
      </c>
      <c r="B141" s="358" t="s">
        <v>2332</v>
      </c>
      <c r="C141" s="50" t="s">
        <v>209</v>
      </c>
      <c r="D141" s="99" t="s">
        <v>549</v>
      </c>
      <c r="E141" s="391" t="s">
        <v>13</v>
      </c>
      <c r="F141" s="410">
        <v>119824</v>
      </c>
      <c r="G141" s="589">
        <f t="shared" si="288"/>
        <v>126558</v>
      </c>
      <c r="H141" s="10">
        <v>134310</v>
      </c>
      <c r="I141" s="167">
        <v>537240</v>
      </c>
      <c r="J141" s="10">
        <v>138500</v>
      </c>
      <c r="K141" s="76">
        <f t="shared" si="306"/>
        <v>133122.66666666666</v>
      </c>
      <c r="L141" s="24">
        <f t="shared" si="268"/>
        <v>13298.666666666657</v>
      </c>
      <c r="M141" s="281">
        <f t="shared" si="287"/>
        <v>0.1050796209379625</v>
      </c>
      <c r="N141" s="597">
        <f t="shared" si="298"/>
        <v>133122.66666666666</v>
      </c>
      <c r="O141" s="410">
        <v>103885</v>
      </c>
      <c r="P141" s="575">
        <f t="shared" si="299"/>
        <v>109723</v>
      </c>
      <c r="Q141" s="10">
        <v>184000</v>
      </c>
      <c r="R141" s="10">
        <v>190000</v>
      </c>
      <c r="S141" s="268">
        <v>190000</v>
      </c>
      <c r="T141" s="10">
        <v>250000</v>
      </c>
      <c r="U141" s="76">
        <f>AVERAGE(Q141,R141,S141,P141)</f>
        <v>168430.75</v>
      </c>
      <c r="V141" s="24">
        <f t="shared" si="289"/>
        <v>58707.75</v>
      </c>
      <c r="W141" s="281">
        <f t="shared" ref="W141:W147" si="310">+V141/O141</f>
        <v>0.56512249121624869</v>
      </c>
      <c r="X141" s="462">
        <f t="shared" ref="X141:X146" si="311">U141</f>
        <v>168430.75</v>
      </c>
      <c r="Y141" s="410">
        <v>176138</v>
      </c>
      <c r="Z141" s="575">
        <f t="shared" si="292"/>
        <v>186037</v>
      </c>
      <c r="AA141" s="31">
        <v>229082</v>
      </c>
      <c r="AB141" s="31">
        <v>297806</v>
      </c>
      <c r="AC141" s="472">
        <v>200234.2</v>
      </c>
      <c r="AD141" s="76">
        <f t="shared" si="224"/>
        <v>205117.73333333331</v>
      </c>
      <c r="AE141" s="24">
        <f t="shared" si="293"/>
        <v>19080.733333333308</v>
      </c>
      <c r="AF141" s="25">
        <f t="shared" si="274"/>
        <v>0.10832831832616079</v>
      </c>
      <c r="AG141" s="309">
        <f t="shared" si="275"/>
        <v>205117.73333333331</v>
      </c>
      <c r="AH141" s="601">
        <f t="shared" si="276"/>
        <v>205117.73333333331</v>
      </c>
      <c r="AI141" s="410">
        <v>116405</v>
      </c>
      <c r="AJ141" s="575">
        <f t="shared" si="294"/>
        <v>122947</v>
      </c>
      <c r="AK141" s="45"/>
      <c r="AL141" s="45">
        <v>134310</v>
      </c>
      <c r="AM141" s="45">
        <v>150000</v>
      </c>
      <c r="AN141" s="76">
        <f t="shared" si="300"/>
        <v>135752.33333333334</v>
      </c>
      <c r="AO141" s="24">
        <f t="shared" si="277"/>
        <v>19347.333333333343</v>
      </c>
      <c r="AP141" s="281">
        <f t="shared" si="278"/>
        <v>0.16620706441590433</v>
      </c>
      <c r="AQ141" s="601">
        <f t="shared" si="279"/>
        <v>135752.33333333334</v>
      </c>
      <c r="AR141" s="513">
        <v>119320</v>
      </c>
      <c r="AS141" s="575">
        <f t="shared" si="301"/>
        <v>126026</v>
      </c>
      <c r="AT141" s="88">
        <v>141000</v>
      </c>
      <c r="AU141" s="116">
        <v>157000</v>
      </c>
      <c r="AV141" s="74">
        <v>147741</v>
      </c>
      <c r="AW141" s="76">
        <f t="shared" si="295"/>
        <v>142941.75</v>
      </c>
      <c r="AX141" s="24">
        <f t="shared" si="280"/>
        <v>23621.75</v>
      </c>
      <c r="AY141" s="25">
        <f t="shared" si="281"/>
        <v>0.19796974522292993</v>
      </c>
      <c r="AZ141" s="309">
        <f t="shared" si="282"/>
        <v>142941.75</v>
      </c>
      <c r="BA141" s="601">
        <f t="shared" si="283"/>
        <v>142941.75</v>
      </c>
      <c r="BB141" s="551">
        <v>119320</v>
      </c>
      <c r="BC141" s="575">
        <f t="shared" si="296"/>
        <v>126026</v>
      </c>
      <c r="BD141" s="57">
        <v>154456.5</v>
      </c>
      <c r="BE141" s="624">
        <v>270000</v>
      </c>
      <c r="BF141" s="627">
        <v>177960.75</v>
      </c>
      <c r="BG141" s="628">
        <v>188599.99999999997</v>
      </c>
      <c r="BH141" s="625">
        <v>255000</v>
      </c>
      <c r="BI141" s="57">
        <v>216889.99999999994</v>
      </c>
      <c r="BJ141" s="79">
        <v>177960.75</v>
      </c>
      <c r="BK141" s="79">
        <f>122100*1.1</f>
        <v>134310</v>
      </c>
      <c r="BL141" s="127">
        <v>161172</v>
      </c>
      <c r="BM141" s="128">
        <v>150000</v>
      </c>
      <c r="BN141" s="128">
        <v>150000</v>
      </c>
      <c r="BO141" s="76">
        <f>AVERAGE(BC141,BD141,BE141,BF141,BG141,BI141,BJ141,BK141,BL141,BM141,BN141)</f>
        <v>173397.81818181818</v>
      </c>
      <c r="BP141" s="24">
        <f t="shared" si="284"/>
        <v>54077.818181818177</v>
      </c>
      <c r="BQ141" s="25">
        <f t="shared" si="285"/>
        <v>0.45321671288818449</v>
      </c>
      <c r="BR141" s="308" t="str">
        <f t="shared" si="286"/>
        <v>REVISAR PRECIO</v>
      </c>
      <c r="BS141" s="607">
        <f t="shared" si="297"/>
        <v>173397.81818181818</v>
      </c>
    </row>
    <row r="142" spans="1:71" ht="44.45" customHeight="1">
      <c r="A142" s="91" t="s">
        <v>23</v>
      </c>
      <c r="B142" s="358" t="s">
        <v>2333</v>
      </c>
      <c r="C142" s="50" t="s">
        <v>210</v>
      </c>
      <c r="D142" s="99" t="s">
        <v>550</v>
      </c>
      <c r="E142" s="391" t="s">
        <v>13</v>
      </c>
      <c r="F142" s="410">
        <v>130854</v>
      </c>
      <c r="G142" s="589">
        <f t="shared" si="288"/>
        <v>138208</v>
      </c>
      <c r="H142" s="10">
        <v>141488</v>
      </c>
      <c r="I142" s="167">
        <v>565952</v>
      </c>
      <c r="J142" s="10">
        <v>141000</v>
      </c>
      <c r="K142" s="76">
        <f t="shared" si="306"/>
        <v>140232</v>
      </c>
      <c r="L142" s="24">
        <f t="shared" si="268"/>
        <v>9378</v>
      </c>
      <c r="M142" s="281">
        <f t="shared" si="287"/>
        <v>6.7854248668673303E-2</v>
      </c>
      <c r="N142" s="597">
        <f t="shared" si="298"/>
        <v>140232</v>
      </c>
      <c r="O142" s="410">
        <v>112931</v>
      </c>
      <c r="P142" s="575">
        <f t="shared" si="299"/>
        <v>119278</v>
      </c>
      <c r="Q142" s="10">
        <v>265000</v>
      </c>
      <c r="R142" s="10">
        <v>270000</v>
      </c>
      <c r="S142" s="268">
        <v>270000</v>
      </c>
      <c r="T142" s="10">
        <v>280000</v>
      </c>
      <c r="U142" s="76">
        <f>AVERAGE(Q142,R142,P142)</f>
        <v>218092.66666666666</v>
      </c>
      <c r="V142" s="24">
        <f t="shared" si="289"/>
        <v>98814.666666666657</v>
      </c>
      <c r="W142" s="281">
        <f t="shared" si="310"/>
        <v>0.87500036895685562</v>
      </c>
      <c r="X142" s="462">
        <f t="shared" si="311"/>
        <v>218092.66666666666</v>
      </c>
      <c r="Y142" s="410">
        <v>193161</v>
      </c>
      <c r="Z142" s="575">
        <f t="shared" si="292"/>
        <v>204017</v>
      </c>
      <c r="AA142" s="31">
        <v>251222</v>
      </c>
      <c r="AB142" s="31">
        <v>326588</v>
      </c>
      <c r="AC142" s="472">
        <v>219586.2</v>
      </c>
      <c r="AD142" s="76">
        <f t="shared" si="224"/>
        <v>224941.73333333331</v>
      </c>
      <c r="AE142" s="24">
        <f t="shared" si="293"/>
        <v>20924.733333333308</v>
      </c>
      <c r="AF142" s="25">
        <f t="shared" si="274"/>
        <v>0.10832794059532364</v>
      </c>
      <c r="AG142" s="309">
        <f t="shared" si="275"/>
        <v>224941.73333333331</v>
      </c>
      <c r="AH142" s="601">
        <f t="shared" si="276"/>
        <v>224941.73333333331</v>
      </c>
      <c r="AI142" s="410">
        <v>126477</v>
      </c>
      <c r="AJ142" s="575">
        <f t="shared" si="294"/>
        <v>133585</v>
      </c>
      <c r="AK142" s="45"/>
      <c r="AL142" s="45">
        <v>141488</v>
      </c>
      <c r="AM142" s="45">
        <v>155000</v>
      </c>
      <c r="AN142" s="76">
        <f t="shared" si="300"/>
        <v>143357.66666666666</v>
      </c>
      <c r="AO142" s="24">
        <f t="shared" si="277"/>
        <v>16880.666666666657</v>
      </c>
      <c r="AP142" s="281">
        <f t="shared" si="278"/>
        <v>0.13346827222867919</v>
      </c>
      <c r="AQ142" s="601">
        <f t="shared" si="279"/>
        <v>143357.66666666666</v>
      </c>
      <c r="AR142" s="513">
        <v>130843</v>
      </c>
      <c r="AS142" s="575">
        <f t="shared" si="301"/>
        <v>138196</v>
      </c>
      <c r="AT142" s="88">
        <v>150000</v>
      </c>
      <c r="AU142" s="116">
        <v>150000</v>
      </c>
      <c r="AV142" s="74">
        <v>155636.25</v>
      </c>
      <c r="AW142" s="76">
        <f t="shared" si="295"/>
        <v>148458.0625</v>
      </c>
      <c r="AX142" s="24">
        <f t="shared" si="280"/>
        <v>17615.0625</v>
      </c>
      <c r="AY142" s="25">
        <f t="shared" si="281"/>
        <v>0.13462747338413214</v>
      </c>
      <c r="AZ142" s="309">
        <f t="shared" si="282"/>
        <v>148458.0625</v>
      </c>
      <c r="BA142" s="601">
        <f t="shared" si="283"/>
        <v>148458.0625</v>
      </c>
      <c r="BB142" s="551">
        <v>130843</v>
      </c>
      <c r="BC142" s="575">
        <f t="shared" si="296"/>
        <v>138196</v>
      </c>
      <c r="BD142" s="57">
        <v>162710.625</v>
      </c>
      <c r="BE142" s="624">
        <v>320000</v>
      </c>
      <c r="BF142" s="627">
        <v>187470.9375</v>
      </c>
      <c r="BG142" s="628">
        <v>285000</v>
      </c>
      <c r="BH142" s="625">
        <v>278000</v>
      </c>
      <c r="BI142" s="57">
        <v>232759.99999999994</v>
      </c>
      <c r="BJ142" s="79">
        <v>187470.9375</v>
      </c>
      <c r="BK142" s="79">
        <f>128625*1.1</f>
        <v>141487.5</v>
      </c>
      <c r="BL142" s="127">
        <v>169785</v>
      </c>
      <c r="BM142" s="128">
        <v>140000</v>
      </c>
      <c r="BN142" s="128">
        <v>145000</v>
      </c>
      <c r="BO142" s="76">
        <f>AVERAGE(BC142,BD142,BE142,BF142,BI142,BJ142,BK142,BL142,BM142,BN142)</f>
        <v>182488.1</v>
      </c>
      <c r="BP142" s="24">
        <f t="shared" si="284"/>
        <v>51645.100000000006</v>
      </c>
      <c r="BQ142" s="25">
        <f t="shared" si="285"/>
        <v>0.39471045451418879</v>
      </c>
      <c r="BR142" s="308" t="str">
        <f t="shared" si="286"/>
        <v>REVISAR PRECIO</v>
      </c>
      <c r="BS142" s="607">
        <f t="shared" si="297"/>
        <v>182488.1</v>
      </c>
    </row>
    <row r="143" spans="1:71" ht="44.45" customHeight="1">
      <c r="A143" s="91" t="s">
        <v>23</v>
      </c>
      <c r="B143" s="358" t="s">
        <v>2334</v>
      </c>
      <c r="C143" s="50" t="s">
        <v>211</v>
      </c>
      <c r="D143" s="99" t="s">
        <v>551</v>
      </c>
      <c r="E143" s="391" t="s">
        <v>13</v>
      </c>
      <c r="F143" s="410">
        <v>139264</v>
      </c>
      <c r="G143" s="589">
        <f t="shared" si="288"/>
        <v>147091</v>
      </c>
      <c r="H143" s="10">
        <v>162837</v>
      </c>
      <c r="I143" s="167">
        <v>651348</v>
      </c>
      <c r="J143" s="10">
        <v>163520</v>
      </c>
      <c r="K143" s="76">
        <f t="shared" si="306"/>
        <v>157816</v>
      </c>
      <c r="L143" s="24">
        <f t="shared" si="268"/>
        <v>18552</v>
      </c>
      <c r="M143" s="281">
        <f t="shared" si="287"/>
        <v>0.12612600363040566</v>
      </c>
      <c r="N143" s="597">
        <f t="shared" si="298"/>
        <v>157816</v>
      </c>
      <c r="O143" s="410">
        <v>119196</v>
      </c>
      <c r="P143" s="575">
        <f t="shared" si="299"/>
        <v>125895</v>
      </c>
      <c r="Q143" s="10">
        <v>225000</v>
      </c>
      <c r="R143" s="10">
        <v>230000</v>
      </c>
      <c r="S143" s="268">
        <v>230000</v>
      </c>
      <c r="T143" s="10">
        <v>300000</v>
      </c>
      <c r="U143" s="76">
        <f>AVERAGE(Q143,R143,S143,P143)</f>
        <v>202723.75</v>
      </c>
      <c r="V143" s="24">
        <f t="shared" si="289"/>
        <v>76828.75</v>
      </c>
      <c r="W143" s="281">
        <f t="shared" si="310"/>
        <v>0.64455812275579716</v>
      </c>
      <c r="X143" s="462">
        <f t="shared" si="311"/>
        <v>202723.75</v>
      </c>
      <c r="Y143" s="410">
        <v>206687</v>
      </c>
      <c r="Z143" s="575">
        <f t="shared" si="292"/>
        <v>218303</v>
      </c>
      <c r="AA143" s="31">
        <v>268812</v>
      </c>
      <c r="AB143" s="31">
        <v>268812</v>
      </c>
      <c r="AC143" s="472">
        <v>234961.6</v>
      </c>
      <c r="AD143" s="76">
        <f>AVERAGE(AA143,AC143,Z143,AB143)</f>
        <v>247722.15</v>
      </c>
      <c r="AE143" s="24">
        <f t="shared" si="293"/>
        <v>29419.149999999994</v>
      </c>
      <c r="AF143" s="25">
        <f t="shared" si="274"/>
        <v>0.14233672170963821</v>
      </c>
      <c r="AG143" s="309">
        <f t="shared" si="275"/>
        <v>247722.15</v>
      </c>
      <c r="AH143" s="601">
        <f t="shared" si="276"/>
        <v>247722.15</v>
      </c>
      <c r="AI143" s="410">
        <v>133416</v>
      </c>
      <c r="AJ143" s="575">
        <f t="shared" si="294"/>
        <v>140914</v>
      </c>
      <c r="AK143" s="45"/>
      <c r="AL143" s="45">
        <v>162837</v>
      </c>
      <c r="AM143" s="45">
        <v>160000</v>
      </c>
      <c r="AN143" s="76">
        <f t="shared" si="300"/>
        <v>154583.66666666666</v>
      </c>
      <c r="AO143" s="24">
        <f t="shared" si="277"/>
        <v>21167.666666666657</v>
      </c>
      <c r="AP143" s="281">
        <f t="shared" si="278"/>
        <v>0.15865913133857001</v>
      </c>
      <c r="AQ143" s="601">
        <f t="shared" si="279"/>
        <v>154583.66666666666</v>
      </c>
      <c r="AR143" s="513">
        <v>140003</v>
      </c>
      <c r="AS143" s="575">
        <f t="shared" si="301"/>
        <v>147871</v>
      </c>
      <c r="AT143" s="88">
        <v>170000</v>
      </c>
      <c r="AU143" s="116">
        <v>170000</v>
      </c>
      <c r="AV143" s="74">
        <v>179120.20499999999</v>
      </c>
      <c r="AW143" s="76">
        <f t="shared" si="295"/>
        <v>166747.80124999999</v>
      </c>
      <c r="AX143" s="24">
        <f t="shared" si="280"/>
        <v>26744.80124999999</v>
      </c>
      <c r="AY143" s="25">
        <f t="shared" si="281"/>
        <v>0.19103020113854696</v>
      </c>
      <c r="AZ143" s="309">
        <f t="shared" si="282"/>
        <v>166747.80124999999</v>
      </c>
      <c r="BA143" s="601">
        <f t="shared" si="283"/>
        <v>166747.80124999999</v>
      </c>
      <c r="BB143" s="551">
        <v>140003</v>
      </c>
      <c r="BC143" s="575">
        <f t="shared" si="296"/>
        <v>147871</v>
      </c>
      <c r="BD143" s="57">
        <v>187262.03249999997</v>
      </c>
      <c r="BE143" s="624">
        <v>370000</v>
      </c>
      <c r="BF143" s="627">
        <v>215758.42874999999</v>
      </c>
      <c r="BG143" s="628">
        <v>225000</v>
      </c>
      <c r="BH143" s="625">
        <v>290000</v>
      </c>
      <c r="BI143" s="57">
        <v>257887.49999999994</v>
      </c>
      <c r="BJ143" s="79">
        <v>215758.42874999999</v>
      </c>
      <c r="BK143" s="79">
        <f>141597*1.15</f>
        <v>162836.54999999999</v>
      </c>
      <c r="BL143" s="127">
        <v>195403.86</v>
      </c>
      <c r="BM143" s="128">
        <v>170000</v>
      </c>
      <c r="BN143" s="128">
        <v>165000</v>
      </c>
      <c r="BO143" s="76">
        <f>AVERAGE(BC143,BD143,BE143,BF143,BG143,BI143,BJ143,BK143,BL143,BM143,BN143)</f>
        <v>210252.52727272725</v>
      </c>
      <c r="BP143" s="24">
        <f t="shared" si="284"/>
        <v>70249.527272727253</v>
      </c>
      <c r="BQ143" s="25">
        <f t="shared" si="285"/>
        <v>0.50177158541407862</v>
      </c>
      <c r="BR143" s="308" t="str">
        <f t="shared" si="286"/>
        <v>REVISAR PRECIO</v>
      </c>
      <c r="BS143" s="607">
        <f t="shared" si="297"/>
        <v>210252.52727272725</v>
      </c>
    </row>
    <row r="144" spans="1:71" ht="44.45" customHeight="1">
      <c r="A144" s="91" t="s">
        <v>23</v>
      </c>
      <c r="B144" s="358" t="s">
        <v>2335</v>
      </c>
      <c r="C144" s="50" t="s">
        <v>212</v>
      </c>
      <c r="D144" s="99" t="s">
        <v>552</v>
      </c>
      <c r="E144" s="391" t="s">
        <v>13</v>
      </c>
      <c r="F144" s="410">
        <v>138628</v>
      </c>
      <c r="G144" s="589">
        <f t="shared" si="288"/>
        <v>146419</v>
      </c>
      <c r="H144" s="10">
        <v>160653</v>
      </c>
      <c r="I144" s="167">
        <v>642612</v>
      </c>
      <c r="J144" s="10">
        <v>163520</v>
      </c>
      <c r="K144" s="76">
        <f t="shared" si="306"/>
        <v>156864</v>
      </c>
      <c r="L144" s="24">
        <f t="shared" si="268"/>
        <v>18236</v>
      </c>
      <c r="M144" s="281">
        <f t="shared" si="287"/>
        <v>0.12454667768527308</v>
      </c>
      <c r="N144" s="597">
        <f t="shared" si="298"/>
        <v>156864</v>
      </c>
      <c r="O144" s="410">
        <v>119547</v>
      </c>
      <c r="P144" s="575">
        <f t="shared" si="299"/>
        <v>126266</v>
      </c>
      <c r="Q144" s="10">
        <v>305000</v>
      </c>
      <c r="R144" s="10">
        <v>315000</v>
      </c>
      <c r="S144" s="268">
        <v>310000</v>
      </c>
      <c r="T144" s="10">
        <v>380000</v>
      </c>
      <c r="U144" s="76">
        <f>AVERAGE(Q144,R144,S144,P144)</f>
        <v>264066.5</v>
      </c>
      <c r="V144" s="24">
        <f t="shared" si="289"/>
        <v>137800.5</v>
      </c>
      <c r="W144" s="281">
        <f t="shared" si="310"/>
        <v>1.152688900599764</v>
      </c>
      <c r="X144" s="462">
        <f t="shared" si="311"/>
        <v>264066.5</v>
      </c>
      <c r="Y144" s="410">
        <v>205379</v>
      </c>
      <c r="Z144" s="575">
        <f t="shared" si="292"/>
        <v>216921</v>
      </c>
      <c r="AA144" s="31">
        <v>267111</v>
      </c>
      <c r="AB144" s="31">
        <v>347244</v>
      </c>
      <c r="AC144" s="472">
        <v>233474.8</v>
      </c>
      <c r="AD144" s="76">
        <f t="shared" ref="AD144:AD206" si="312">AVERAGE(AA144,AC144,Z144)</f>
        <v>239168.93333333335</v>
      </c>
      <c r="AE144" s="24">
        <f t="shared" si="293"/>
        <v>22247.933333333349</v>
      </c>
      <c r="AF144" s="25">
        <f t="shared" si="274"/>
        <v>0.10832623263981882</v>
      </c>
      <c r="AG144" s="309">
        <f t="shared" si="275"/>
        <v>239168.93333333335</v>
      </c>
      <c r="AH144" s="601">
        <f t="shared" si="276"/>
        <v>239168.93333333335</v>
      </c>
      <c r="AI144" s="410">
        <v>133264</v>
      </c>
      <c r="AJ144" s="575">
        <f t="shared" si="294"/>
        <v>140753</v>
      </c>
      <c r="AK144" s="45"/>
      <c r="AL144" s="45">
        <v>160653</v>
      </c>
      <c r="AM144" s="45">
        <v>160000</v>
      </c>
      <c r="AN144" s="76">
        <f t="shared" si="300"/>
        <v>153802</v>
      </c>
      <c r="AO144" s="24">
        <f t="shared" si="277"/>
        <v>20538</v>
      </c>
      <c r="AP144" s="281">
        <f t="shared" si="278"/>
        <v>0.15411513987273381</v>
      </c>
      <c r="AQ144" s="601">
        <f t="shared" si="279"/>
        <v>153802</v>
      </c>
      <c r="AR144" s="513">
        <v>139120</v>
      </c>
      <c r="AS144" s="575">
        <f t="shared" si="301"/>
        <v>146939</v>
      </c>
      <c r="AT144" s="88">
        <v>168500</v>
      </c>
      <c r="AU144" s="116">
        <v>180000</v>
      </c>
      <c r="AV144" s="74">
        <v>176718.80599999998</v>
      </c>
      <c r="AW144" s="76">
        <f t="shared" si="295"/>
        <v>168039.4515</v>
      </c>
      <c r="AX144" s="24">
        <f t="shared" si="280"/>
        <v>28919.451499999996</v>
      </c>
      <c r="AY144" s="25">
        <f t="shared" si="281"/>
        <v>0.20787414821736627</v>
      </c>
      <c r="AZ144" s="309">
        <f t="shared" si="282"/>
        <v>168039.4515</v>
      </c>
      <c r="BA144" s="601">
        <f t="shared" si="283"/>
        <v>168039.4515</v>
      </c>
      <c r="BB144" s="551">
        <v>139120</v>
      </c>
      <c r="BC144" s="575">
        <f t="shared" si="296"/>
        <v>146939</v>
      </c>
      <c r="BD144" s="57">
        <v>184751.47899999999</v>
      </c>
      <c r="BE144" s="624">
        <v>370000</v>
      </c>
      <c r="BF144" s="627">
        <v>212865.8345</v>
      </c>
      <c r="BG144" s="628">
        <v>305000</v>
      </c>
      <c r="BH144" s="625">
        <v>290000</v>
      </c>
      <c r="BI144" s="57">
        <v>271905.99999999994</v>
      </c>
      <c r="BJ144" s="79">
        <v>212865.8345</v>
      </c>
      <c r="BK144" s="79">
        <f>136147*1.18</f>
        <v>160653.46</v>
      </c>
      <c r="BL144" s="127">
        <v>192784.152</v>
      </c>
      <c r="BM144" s="128">
        <v>200000</v>
      </c>
      <c r="BN144" s="128">
        <v>210000</v>
      </c>
      <c r="BO144" s="76">
        <f>AVERAGE(BC144,BD144,BE144,BF144,BI144,BJ144,BK144,BL144,BM144,BN144)</f>
        <v>216276.57599999997</v>
      </c>
      <c r="BP144" s="24">
        <f t="shared" si="284"/>
        <v>77156.575999999972</v>
      </c>
      <c r="BQ144" s="25">
        <f t="shared" si="285"/>
        <v>0.55460448533640005</v>
      </c>
      <c r="BR144" s="308" t="str">
        <f t="shared" si="286"/>
        <v>REVISAR PRECIO</v>
      </c>
      <c r="BS144" s="607">
        <f t="shared" si="297"/>
        <v>216276.57599999997</v>
      </c>
    </row>
    <row r="145" spans="1:71" ht="44.45" customHeight="1">
      <c r="A145" s="91" t="s">
        <v>23</v>
      </c>
      <c r="B145" s="358" t="s">
        <v>2336</v>
      </c>
      <c r="C145" s="50" t="s">
        <v>213</v>
      </c>
      <c r="D145" s="99" t="s">
        <v>553</v>
      </c>
      <c r="E145" s="391" t="s">
        <v>25</v>
      </c>
      <c r="F145" s="410">
        <v>24643</v>
      </c>
      <c r="G145" s="589">
        <f t="shared" si="288"/>
        <v>26028</v>
      </c>
      <c r="H145" s="10">
        <v>29635</v>
      </c>
      <c r="I145" s="167">
        <v>118540</v>
      </c>
      <c r="J145" s="10">
        <v>45600</v>
      </c>
      <c r="K145" s="76">
        <f t="shared" si="306"/>
        <v>33754.333333333336</v>
      </c>
      <c r="L145" s="24">
        <f t="shared" si="268"/>
        <v>9111.3333333333358</v>
      </c>
      <c r="M145" s="281">
        <f t="shared" si="287"/>
        <v>0.35005891091644903</v>
      </c>
      <c r="N145" s="597">
        <f t="shared" si="298"/>
        <v>33754.333333333336</v>
      </c>
      <c r="O145" s="410">
        <v>21187</v>
      </c>
      <c r="P145" s="575">
        <f t="shared" si="299"/>
        <v>22378</v>
      </c>
      <c r="Q145" s="10">
        <v>22500</v>
      </c>
      <c r="R145" s="10">
        <v>25000</v>
      </c>
      <c r="S145" s="268">
        <v>25000</v>
      </c>
      <c r="T145" s="10">
        <v>40000</v>
      </c>
      <c r="U145" s="76">
        <f>AVERAGE(Q145,R145,S145,P145,T145)</f>
        <v>26975.599999999999</v>
      </c>
      <c r="V145" s="24">
        <f t="shared" si="289"/>
        <v>4597.5999999999985</v>
      </c>
      <c r="W145" s="281">
        <f t="shared" si="310"/>
        <v>0.21700099117383295</v>
      </c>
      <c r="X145" s="462">
        <f t="shared" si="311"/>
        <v>26975.599999999999</v>
      </c>
      <c r="Y145" s="410">
        <v>37212</v>
      </c>
      <c r="Z145" s="575">
        <f t="shared" si="292"/>
        <v>39303</v>
      </c>
      <c r="AA145" s="31">
        <v>48398</v>
      </c>
      <c r="AB145" s="31">
        <v>62917</v>
      </c>
      <c r="AC145" s="472">
        <v>42303</v>
      </c>
      <c r="AD145" s="76">
        <f t="shared" si="312"/>
        <v>43334.666666666664</v>
      </c>
      <c r="AE145" s="24">
        <f t="shared" si="293"/>
        <v>4031.6666666666642</v>
      </c>
      <c r="AF145" s="25">
        <f t="shared" si="274"/>
        <v>0.10834318678562464</v>
      </c>
      <c r="AG145" s="309">
        <f t="shared" si="275"/>
        <v>43334.666666666664</v>
      </c>
      <c r="AH145" s="601">
        <f t="shared" si="276"/>
        <v>43334.666666666664</v>
      </c>
      <c r="AI145" s="410">
        <v>23475</v>
      </c>
      <c r="AJ145" s="575">
        <f t="shared" si="294"/>
        <v>24794</v>
      </c>
      <c r="AK145" s="45">
        <v>40000</v>
      </c>
      <c r="AL145" s="45">
        <v>29635</v>
      </c>
      <c r="AM145" s="45">
        <v>40000</v>
      </c>
      <c r="AN145" s="76">
        <f>AVERAGE(AK145,AL145,AJ145)</f>
        <v>31476.333333333332</v>
      </c>
      <c r="AO145" s="24">
        <f t="shared" si="277"/>
        <v>8001.3333333333321</v>
      </c>
      <c r="AP145" s="281">
        <f t="shared" si="278"/>
        <v>0.34084487042953493</v>
      </c>
      <c r="AQ145" s="601">
        <f t="shared" si="279"/>
        <v>31476.333333333332</v>
      </c>
      <c r="AR145" s="513">
        <v>25202</v>
      </c>
      <c r="AS145" s="575">
        <f t="shared" si="301"/>
        <v>26618</v>
      </c>
      <c r="AT145" s="88">
        <v>31000</v>
      </c>
      <c r="AU145" s="116">
        <v>31000</v>
      </c>
      <c r="AV145" s="74">
        <v>32598.61</v>
      </c>
      <c r="AW145" s="76">
        <f t="shared" si="295"/>
        <v>30304.1525</v>
      </c>
      <c r="AX145" s="24">
        <f t="shared" si="280"/>
        <v>5102.1525000000001</v>
      </c>
      <c r="AY145" s="25">
        <f t="shared" si="281"/>
        <v>0.20245030156336799</v>
      </c>
      <c r="AZ145" s="309">
        <f t="shared" si="282"/>
        <v>30304.1525</v>
      </c>
      <c r="BA145" s="601">
        <f t="shared" si="283"/>
        <v>30304.1525</v>
      </c>
      <c r="BB145" s="551">
        <v>25202</v>
      </c>
      <c r="BC145" s="575">
        <f t="shared" si="296"/>
        <v>26618</v>
      </c>
      <c r="BD145" s="57">
        <v>34080.365000000005</v>
      </c>
      <c r="BE145" s="624">
        <v>40000</v>
      </c>
      <c r="BF145" s="627">
        <v>39266.5075</v>
      </c>
      <c r="BG145" s="628">
        <v>35880</v>
      </c>
      <c r="BH145" s="625">
        <v>78000</v>
      </c>
      <c r="BI145" s="57">
        <v>41262</v>
      </c>
      <c r="BJ145" s="79">
        <v>39266.5075</v>
      </c>
      <c r="BK145" s="79">
        <f>26941*1.1</f>
        <v>29635.100000000002</v>
      </c>
      <c r="BL145" s="127">
        <v>35562.120000000003</v>
      </c>
      <c r="BM145" s="128">
        <v>26000</v>
      </c>
      <c r="BN145" s="128">
        <v>30000</v>
      </c>
      <c r="BO145" s="76">
        <f>AVERAGE(BC145,BD145,BE145,BF145,BG145,BI145,BJ145,BK145,BL145,BM145,BN145)</f>
        <v>34324.6</v>
      </c>
      <c r="BP145" s="24">
        <f t="shared" si="284"/>
        <v>9122.5999999999985</v>
      </c>
      <c r="BQ145" s="25">
        <f t="shared" si="285"/>
        <v>0.36197920799936506</v>
      </c>
      <c r="BR145" s="308" t="str">
        <f t="shared" si="286"/>
        <v>REVISAR PRECIO</v>
      </c>
      <c r="BS145" s="607">
        <f t="shared" si="297"/>
        <v>34324.6</v>
      </c>
    </row>
    <row r="146" spans="1:71" ht="44.45" customHeight="1">
      <c r="A146" s="91" t="s">
        <v>23</v>
      </c>
      <c r="B146" s="358" t="s">
        <v>2337</v>
      </c>
      <c r="C146" s="50" t="s">
        <v>214</v>
      </c>
      <c r="D146" s="99" t="s">
        <v>554</v>
      </c>
      <c r="E146" s="391" t="s">
        <v>25</v>
      </c>
      <c r="F146" s="410">
        <v>42280</v>
      </c>
      <c r="G146" s="589">
        <f t="shared" si="288"/>
        <v>44656</v>
      </c>
      <c r="H146" s="10">
        <v>50954</v>
      </c>
      <c r="I146" s="167">
        <v>203816</v>
      </c>
      <c r="J146" s="10">
        <v>52550</v>
      </c>
      <c r="K146" s="76">
        <f t="shared" si="306"/>
        <v>49386.666666666664</v>
      </c>
      <c r="L146" s="24">
        <f t="shared" si="268"/>
        <v>7106.6666666666642</v>
      </c>
      <c r="M146" s="281">
        <f t="shared" si="287"/>
        <v>0.15914248178669527</v>
      </c>
      <c r="N146" s="597">
        <f t="shared" si="298"/>
        <v>49386.666666666664</v>
      </c>
      <c r="O146" s="410">
        <v>37058</v>
      </c>
      <c r="P146" s="575">
        <f t="shared" si="299"/>
        <v>39141</v>
      </c>
      <c r="Q146" s="10">
        <v>32500</v>
      </c>
      <c r="R146" s="10">
        <v>35000</v>
      </c>
      <c r="S146" s="268">
        <v>35000</v>
      </c>
      <c r="T146" s="10">
        <v>40000</v>
      </c>
      <c r="U146" s="76">
        <f>AVERAGE(R146,S146,T146,P146)</f>
        <v>37285.25</v>
      </c>
      <c r="V146" s="24">
        <f t="shared" si="289"/>
        <v>-1855.75</v>
      </c>
      <c r="W146" s="281">
        <f t="shared" si="310"/>
        <v>-5.0076906470937446E-2</v>
      </c>
      <c r="X146" s="462">
        <f t="shared" si="311"/>
        <v>37285.25</v>
      </c>
      <c r="Y146" s="410">
        <v>63245</v>
      </c>
      <c r="Z146" s="575">
        <f t="shared" si="292"/>
        <v>66799</v>
      </c>
      <c r="AA146" s="31">
        <v>82256</v>
      </c>
      <c r="AB146" s="31">
        <v>106932</v>
      </c>
      <c r="AC146" s="472">
        <v>71897.399999999994</v>
      </c>
      <c r="AD146" s="76">
        <f t="shared" si="312"/>
        <v>73650.8</v>
      </c>
      <c r="AE146" s="24">
        <f t="shared" si="293"/>
        <v>6851.8000000000029</v>
      </c>
      <c r="AF146" s="25">
        <f t="shared" si="274"/>
        <v>0.1083374179777058</v>
      </c>
      <c r="AG146" s="309">
        <f t="shared" si="275"/>
        <v>73650.8</v>
      </c>
      <c r="AH146" s="601">
        <f t="shared" si="276"/>
        <v>73650.8</v>
      </c>
      <c r="AI146" s="410">
        <v>41102</v>
      </c>
      <c r="AJ146" s="575">
        <f t="shared" si="294"/>
        <v>43412</v>
      </c>
      <c r="AK146" s="45">
        <v>60000</v>
      </c>
      <c r="AL146" s="45">
        <v>50954</v>
      </c>
      <c r="AM146" s="45">
        <v>50000</v>
      </c>
      <c r="AN146" s="76">
        <f>AVERAGE(AL146,AM146,AJ146)</f>
        <v>48122</v>
      </c>
      <c r="AO146" s="24">
        <f t="shared" si="277"/>
        <v>7020</v>
      </c>
      <c r="AP146" s="281">
        <f t="shared" si="278"/>
        <v>0.17079460853486447</v>
      </c>
      <c r="AQ146" s="601">
        <f t="shared" si="279"/>
        <v>48122</v>
      </c>
      <c r="AR146" s="513">
        <v>42839</v>
      </c>
      <c r="AS146" s="575">
        <f t="shared" si="301"/>
        <v>45247</v>
      </c>
      <c r="AT146" s="88">
        <v>53500</v>
      </c>
      <c r="AU146" s="116">
        <v>65000</v>
      </c>
      <c r="AV146" s="74">
        <v>56049.62</v>
      </c>
      <c r="AW146" s="76">
        <f>AVERAGE(AS146,AT146,AV146)</f>
        <v>51598.873333333329</v>
      </c>
      <c r="AX146" s="24">
        <f t="shared" si="280"/>
        <v>8759.8733333333294</v>
      </c>
      <c r="AY146" s="25">
        <f t="shared" si="281"/>
        <v>0.2044836091723273</v>
      </c>
      <c r="AZ146" s="309">
        <f t="shared" si="282"/>
        <v>51598.873333333329</v>
      </c>
      <c r="BA146" s="601">
        <f t="shared" si="283"/>
        <v>51598.873333333329</v>
      </c>
      <c r="BB146" s="551">
        <v>42839</v>
      </c>
      <c r="BC146" s="575">
        <f t="shared" si="296"/>
        <v>45247</v>
      </c>
      <c r="BD146" s="57">
        <v>58597.33</v>
      </c>
      <c r="BE146" s="624">
        <v>48000</v>
      </c>
      <c r="BF146" s="627">
        <v>67514.315000000002</v>
      </c>
      <c r="BG146" s="628">
        <v>63939.999999999993</v>
      </c>
      <c r="BH146" s="625">
        <v>92000</v>
      </c>
      <c r="BI146" s="57">
        <v>73530.999999999985</v>
      </c>
      <c r="BJ146" s="79">
        <v>67514.315000000002</v>
      </c>
      <c r="BK146" s="79">
        <f>46322*1.1</f>
        <v>50954.200000000004</v>
      </c>
      <c r="BL146" s="127">
        <v>61145.040000000008</v>
      </c>
      <c r="BM146" s="128">
        <v>52000</v>
      </c>
      <c r="BN146" s="128">
        <v>55000</v>
      </c>
      <c r="BO146" s="76">
        <f>AVERAGE(BC146,BD146,BE146,BF146,BG146,BI146,BJ146,BK146,BL146,BM146,BN146)</f>
        <v>58494.836363636372</v>
      </c>
      <c r="BP146" s="24">
        <f t="shared" si="284"/>
        <v>15655.836363636372</v>
      </c>
      <c r="BQ146" s="25">
        <f t="shared" si="285"/>
        <v>0.36545755885142911</v>
      </c>
      <c r="BR146" s="308" t="str">
        <f t="shared" si="286"/>
        <v>REVISAR PRECIO</v>
      </c>
      <c r="BS146" s="607">
        <f t="shared" si="297"/>
        <v>58494.836363636372</v>
      </c>
    </row>
    <row r="147" spans="1:71" ht="53.45" customHeight="1">
      <c r="A147" s="91" t="s">
        <v>23</v>
      </c>
      <c r="B147" s="358" t="s">
        <v>2338</v>
      </c>
      <c r="C147" s="50" t="s">
        <v>215</v>
      </c>
      <c r="D147" s="99" t="s">
        <v>555</v>
      </c>
      <c r="E147" s="391" t="s">
        <v>10</v>
      </c>
      <c r="F147" s="410">
        <v>135932</v>
      </c>
      <c r="G147" s="589">
        <f t="shared" si="288"/>
        <v>143571</v>
      </c>
      <c r="H147" s="10">
        <v>58272</v>
      </c>
      <c r="I147" s="167">
        <v>233088</v>
      </c>
      <c r="J147" s="10"/>
      <c r="K147" s="76">
        <f t="shared" ref="K147" si="313">AVERAGE(H147,J147)</f>
        <v>58272</v>
      </c>
      <c r="L147" s="24">
        <f t="shared" si="268"/>
        <v>-77660</v>
      </c>
      <c r="M147" s="281">
        <f t="shared" si="287"/>
        <v>-0.54091703756329623</v>
      </c>
      <c r="N147" s="597">
        <f>+H147</f>
        <v>58272</v>
      </c>
      <c r="O147" s="410">
        <v>118750</v>
      </c>
      <c r="P147" s="575">
        <f t="shared" si="299"/>
        <v>125424</v>
      </c>
      <c r="Q147" s="10">
        <v>18000</v>
      </c>
      <c r="R147" s="10">
        <v>21000</v>
      </c>
      <c r="S147" s="268">
        <v>21000</v>
      </c>
      <c r="T147" s="10">
        <v>20000</v>
      </c>
      <c r="U147" s="76">
        <f>AVERAGE(P147,T147)</f>
        <v>72712</v>
      </c>
      <c r="V147" s="24">
        <f t="shared" si="289"/>
        <v>-52712</v>
      </c>
      <c r="W147" s="281">
        <f t="shared" si="310"/>
        <v>-0.44389052631578946</v>
      </c>
      <c r="X147" s="462">
        <f>+U147</f>
        <v>72712</v>
      </c>
      <c r="Y147" s="410">
        <v>196732</v>
      </c>
      <c r="Z147" s="575">
        <f t="shared" si="292"/>
        <v>207788</v>
      </c>
      <c r="AA147" s="31">
        <v>255866</v>
      </c>
      <c r="AB147" s="31">
        <v>332625</v>
      </c>
      <c r="AC147" s="472">
        <v>223645.4</v>
      </c>
      <c r="AD147" s="76">
        <f t="shared" si="312"/>
        <v>229099.80000000002</v>
      </c>
      <c r="AE147" s="24">
        <f t="shared" si="293"/>
        <v>21311.800000000017</v>
      </c>
      <c r="AF147" s="25">
        <f t="shared" si="274"/>
        <v>0.10832909745237185</v>
      </c>
      <c r="AG147" s="309">
        <f t="shared" si="275"/>
        <v>229099.80000000002</v>
      </c>
      <c r="AH147" s="601">
        <f t="shared" si="276"/>
        <v>229099.80000000002</v>
      </c>
      <c r="AI147" s="410">
        <v>132599</v>
      </c>
      <c r="AJ147" s="575">
        <f t="shared" si="294"/>
        <v>140051</v>
      </c>
      <c r="AK147" s="45">
        <v>50000</v>
      </c>
      <c r="AL147" s="45">
        <v>58272</v>
      </c>
      <c r="AM147" s="45">
        <v>55000</v>
      </c>
      <c r="AN147" s="76">
        <f t="shared" si="300"/>
        <v>75830.75</v>
      </c>
      <c r="AO147" s="24">
        <f t="shared" si="277"/>
        <v>-56768.25</v>
      </c>
      <c r="AP147" s="281">
        <f t="shared" si="278"/>
        <v>-0.42811974449279405</v>
      </c>
      <c r="AQ147" s="601">
        <f>+AN147</f>
        <v>75830.75</v>
      </c>
      <c r="AR147" s="513">
        <v>133264</v>
      </c>
      <c r="AS147" s="575">
        <f t="shared" si="301"/>
        <v>140753</v>
      </c>
      <c r="AT147" s="88">
        <v>61000</v>
      </c>
      <c r="AU147" s="116">
        <v>61000</v>
      </c>
      <c r="AV147" s="74">
        <v>64098.814999999995</v>
      </c>
      <c r="AW147" s="76">
        <f t="shared" si="295"/>
        <v>81712.953750000001</v>
      </c>
      <c r="AX147" s="24">
        <f t="shared" si="280"/>
        <v>-51551.046249999999</v>
      </c>
      <c r="AY147" s="25">
        <f t="shared" si="281"/>
        <v>-0.38683400055528877</v>
      </c>
      <c r="AZ147" s="309">
        <f t="shared" si="282"/>
        <v>81712.953750000001</v>
      </c>
      <c r="BA147" s="601">
        <f>+AW147</f>
        <v>81712.953750000001</v>
      </c>
      <c r="BB147" s="551">
        <v>133264</v>
      </c>
      <c r="BC147" s="575">
        <f t="shared" si="296"/>
        <v>140753</v>
      </c>
      <c r="BD147" s="57">
        <v>67012.397499999992</v>
      </c>
      <c r="BE147" s="624">
        <v>60000</v>
      </c>
      <c r="BF147" s="627">
        <v>77209.936249999999</v>
      </c>
      <c r="BG147" s="628">
        <v>67012.397499999992</v>
      </c>
      <c r="BH147" s="625">
        <v>45000</v>
      </c>
      <c r="BI147" s="57">
        <v>77064.257124999989</v>
      </c>
      <c r="BJ147" s="79">
        <v>77209.936249999999</v>
      </c>
      <c r="BK147" s="79">
        <f>50671*1.15</f>
        <v>58271.649999999994</v>
      </c>
      <c r="BL147" s="127">
        <v>69925.98</v>
      </c>
      <c r="BM147" s="128">
        <v>68900</v>
      </c>
      <c r="BN147" s="128">
        <v>65000</v>
      </c>
      <c r="BO147" s="76">
        <f t="shared" ref="BO147:BO183" si="314">AVERAGE(BC147,BD147,BE147,BF147,BG147,BH147,BI147,BJ147,BK147,BL147,BM147,BN147)</f>
        <v>72779.962885416666</v>
      </c>
      <c r="BP147" s="24">
        <f t="shared" si="284"/>
        <v>-60484.037114583334</v>
      </c>
      <c r="BQ147" s="25">
        <f t="shared" si="285"/>
        <v>-0.45386628882956637</v>
      </c>
      <c r="BR147" s="308">
        <f t="shared" si="286"/>
        <v>72779.962885416666</v>
      </c>
      <c r="BS147" s="607">
        <f>+BO147</f>
        <v>72779.962885416666</v>
      </c>
    </row>
    <row r="148" spans="1:71" ht="53.45" customHeight="1">
      <c r="A148" s="91" t="s">
        <v>23</v>
      </c>
      <c r="B148" s="358" t="s">
        <v>2339</v>
      </c>
      <c r="C148" s="50" t="s">
        <v>216</v>
      </c>
      <c r="D148" s="99" t="s">
        <v>556</v>
      </c>
      <c r="E148" s="391" t="s">
        <v>13</v>
      </c>
      <c r="F148" s="410">
        <v>89913</v>
      </c>
      <c r="G148" s="589">
        <f t="shared" si="288"/>
        <v>94966</v>
      </c>
      <c r="H148" s="10">
        <v>97693</v>
      </c>
      <c r="I148" s="167">
        <v>488465</v>
      </c>
      <c r="J148" s="10">
        <v>96666</v>
      </c>
      <c r="K148" s="76">
        <f>AVERAGE(H148,J148,G148)</f>
        <v>96441.666666666672</v>
      </c>
      <c r="L148" s="24">
        <f t="shared" si="268"/>
        <v>6528.6666666666715</v>
      </c>
      <c r="M148" s="281">
        <f t="shared" si="287"/>
        <v>6.8747411354239119E-2</v>
      </c>
      <c r="N148" s="597">
        <f t="shared" si="298"/>
        <v>96441.666666666672</v>
      </c>
      <c r="O148" s="629">
        <v>90405</v>
      </c>
      <c r="P148" s="579">
        <f t="shared" si="299"/>
        <v>95486</v>
      </c>
      <c r="Q148" s="568">
        <v>129443.49</v>
      </c>
      <c r="R148" s="568">
        <f>88812*1.1</f>
        <v>97693.200000000012</v>
      </c>
      <c r="S148" s="572">
        <v>117231.84000000001</v>
      </c>
      <c r="T148" s="570">
        <v>91900</v>
      </c>
      <c r="U148" s="560">
        <f t="shared" ref="U148:U150" si="315">AVERAGE(Q148,R148,S148,T148)</f>
        <v>109067.13250000001</v>
      </c>
      <c r="V148" s="561">
        <f t="shared" ref="V148:V150" si="316">U148-P148</f>
        <v>13581.132500000007</v>
      </c>
      <c r="W148" s="281">
        <f t="shared" ref="W148:W150" si="317">+V148/O148</f>
        <v>0.15022545766273998</v>
      </c>
      <c r="X148" s="462">
        <f>+U148</f>
        <v>109067.13250000001</v>
      </c>
      <c r="Y148" s="410">
        <v>133456</v>
      </c>
      <c r="Z148" s="575">
        <f t="shared" si="292"/>
        <v>140956</v>
      </c>
      <c r="AA148" s="31">
        <v>173570</v>
      </c>
      <c r="AB148" s="31">
        <v>225640</v>
      </c>
      <c r="AC148" s="472">
        <v>151712.6</v>
      </c>
      <c r="AD148" s="76">
        <f t="shared" si="312"/>
        <v>155412.86666666667</v>
      </c>
      <c r="AE148" s="24">
        <f t="shared" si="293"/>
        <v>14456.866666666669</v>
      </c>
      <c r="AF148" s="25">
        <f t="shared" si="274"/>
        <v>0.10832683930783681</v>
      </c>
      <c r="AG148" s="309">
        <f t="shared" si="275"/>
        <v>155412.86666666667</v>
      </c>
      <c r="AH148" s="601">
        <f t="shared" si="276"/>
        <v>155412.86666666667</v>
      </c>
      <c r="AI148" s="499">
        <v>84549</v>
      </c>
      <c r="AJ148" s="575">
        <f t="shared" si="294"/>
        <v>89301</v>
      </c>
      <c r="AK148" s="317">
        <v>120000</v>
      </c>
      <c r="AL148" s="317">
        <v>97693</v>
      </c>
      <c r="AM148" s="45">
        <v>98000</v>
      </c>
      <c r="AN148" s="76">
        <f>AVERAGE(AL148,AM148,AJ148)</f>
        <v>94998</v>
      </c>
      <c r="AO148" s="24">
        <f t="shared" si="277"/>
        <v>10449</v>
      </c>
      <c r="AP148" s="281">
        <f t="shared" si="278"/>
        <v>0.12358513997800093</v>
      </c>
      <c r="AQ148" s="601">
        <f t="shared" si="279"/>
        <v>94998</v>
      </c>
      <c r="AR148" s="513">
        <v>90405</v>
      </c>
      <c r="AS148" s="575">
        <f t="shared" si="301"/>
        <v>95486</v>
      </c>
      <c r="AT148" s="88">
        <v>102500</v>
      </c>
      <c r="AU148" s="116">
        <v>105000</v>
      </c>
      <c r="AV148" s="74">
        <v>107462.52000000002</v>
      </c>
      <c r="AW148" s="76">
        <f t="shared" si="295"/>
        <v>102612.13</v>
      </c>
      <c r="AX148" s="24">
        <f t="shared" si="280"/>
        <v>12207.130000000005</v>
      </c>
      <c r="AY148" s="25">
        <f t="shared" si="281"/>
        <v>0.13502715557767828</v>
      </c>
      <c r="AZ148" s="309">
        <f t="shared" si="282"/>
        <v>102612.13</v>
      </c>
      <c r="BA148" s="601">
        <f t="shared" si="283"/>
        <v>102612.13</v>
      </c>
      <c r="BB148" s="551">
        <v>90405</v>
      </c>
      <c r="BC148" s="575">
        <f t="shared" si="296"/>
        <v>95486</v>
      </c>
      <c r="BD148" s="57">
        <v>112347.18000000001</v>
      </c>
      <c r="BE148" s="624">
        <v>130000</v>
      </c>
      <c r="BF148" s="627">
        <v>129443.49</v>
      </c>
      <c r="BG148" s="628">
        <v>15500</v>
      </c>
      <c r="BH148" s="625">
        <v>95000</v>
      </c>
      <c r="BI148" s="57">
        <v>154732.5</v>
      </c>
      <c r="BJ148" s="79">
        <v>129443.49</v>
      </c>
      <c r="BK148" s="79">
        <f>88812*1.1</f>
        <v>97693.200000000012</v>
      </c>
      <c r="BL148" s="127">
        <v>117231.84000000001</v>
      </c>
      <c r="BM148" s="128">
        <v>91900</v>
      </c>
      <c r="BN148" s="128">
        <v>100000</v>
      </c>
      <c r="BO148" s="76">
        <f>AVERAGE(BC148,BD148,BE148,BF148,BG148,BH148,BJ148,BK148,BL148,BM148,BN148)</f>
        <v>101276.83636363634</v>
      </c>
      <c r="BP148" s="24">
        <f t="shared" si="284"/>
        <v>10871.836363636336</v>
      </c>
      <c r="BQ148" s="25">
        <f t="shared" si="285"/>
        <v>0.12025702520476009</v>
      </c>
      <c r="BR148" s="308">
        <f t="shared" si="286"/>
        <v>101276.83636363634</v>
      </c>
      <c r="BS148" s="607">
        <f t="shared" si="297"/>
        <v>101276.83636363634</v>
      </c>
    </row>
    <row r="149" spans="1:71" ht="53.45" customHeight="1">
      <c r="A149" s="91" t="s">
        <v>23</v>
      </c>
      <c r="B149" s="358" t="s">
        <v>2340</v>
      </c>
      <c r="C149" s="50" t="s">
        <v>217</v>
      </c>
      <c r="D149" s="99" t="s">
        <v>557</v>
      </c>
      <c r="E149" s="391" t="s">
        <v>10</v>
      </c>
      <c r="F149" s="410">
        <v>128044</v>
      </c>
      <c r="G149" s="589">
        <f t="shared" si="288"/>
        <v>135240</v>
      </c>
      <c r="H149" s="10">
        <v>148754</v>
      </c>
      <c r="I149" s="167">
        <v>743770</v>
      </c>
      <c r="J149" s="10">
        <v>145622</v>
      </c>
      <c r="K149" s="76">
        <f>AVERAGE(H149,J149,G149)</f>
        <v>143205.33333333334</v>
      </c>
      <c r="L149" s="24">
        <f t="shared" si="268"/>
        <v>15161.333333333343</v>
      </c>
      <c r="M149" s="281">
        <f t="shared" si="287"/>
        <v>0.112106871734201</v>
      </c>
      <c r="N149" s="597">
        <f t="shared" si="298"/>
        <v>143205.33333333334</v>
      </c>
      <c r="O149" s="629">
        <v>126278</v>
      </c>
      <c r="P149" s="579">
        <f t="shared" si="299"/>
        <v>133375</v>
      </c>
      <c r="Q149" s="568">
        <v>197098.58624999999</v>
      </c>
      <c r="R149" s="568">
        <f>129351*1.15</f>
        <v>148753.65</v>
      </c>
      <c r="S149" s="572">
        <v>178504.38</v>
      </c>
      <c r="T149" s="570">
        <v>169900</v>
      </c>
      <c r="U149" s="560">
        <f t="shared" si="315"/>
        <v>173564.15406249999</v>
      </c>
      <c r="V149" s="561">
        <f t="shared" si="316"/>
        <v>40189.154062499991</v>
      </c>
      <c r="W149" s="281">
        <f t="shared" si="317"/>
        <v>0.31825934891667584</v>
      </c>
      <c r="X149" s="462">
        <f t="shared" ref="X149:X150" si="318">+U149</f>
        <v>173564.15406249999</v>
      </c>
      <c r="Y149" s="410">
        <v>186425</v>
      </c>
      <c r="Z149" s="575">
        <f t="shared" si="292"/>
        <v>196902</v>
      </c>
      <c r="AA149" s="31">
        <v>242460</v>
      </c>
      <c r="AB149" s="31">
        <v>315198</v>
      </c>
      <c r="AC149" s="472">
        <v>211928</v>
      </c>
      <c r="AD149" s="76">
        <f t="shared" si="312"/>
        <v>217096.66666666666</v>
      </c>
      <c r="AE149" s="24">
        <f t="shared" si="293"/>
        <v>20194.666666666657</v>
      </c>
      <c r="AF149" s="25">
        <f t="shared" si="274"/>
        <v>0.10832595771311067</v>
      </c>
      <c r="AG149" s="309">
        <f t="shared" si="275"/>
        <v>217096.66666666666</v>
      </c>
      <c r="AH149" s="601">
        <f t="shared" si="276"/>
        <v>217096.66666666666</v>
      </c>
      <c r="AI149" s="410">
        <v>122680</v>
      </c>
      <c r="AJ149" s="575">
        <f t="shared" si="294"/>
        <v>129575</v>
      </c>
      <c r="AK149" s="45">
        <v>160000</v>
      </c>
      <c r="AL149" s="45">
        <v>148754</v>
      </c>
      <c r="AM149" s="45">
        <v>160000</v>
      </c>
      <c r="AN149" s="76">
        <f t="shared" si="300"/>
        <v>149582.25</v>
      </c>
      <c r="AO149" s="24">
        <f t="shared" si="277"/>
        <v>26902.25</v>
      </c>
      <c r="AP149" s="281">
        <f t="shared" si="278"/>
        <v>0.21928798500163027</v>
      </c>
      <c r="AQ149" s="601">
        <f t="shared" si="279"/>
        <v>149582.25</v>
      </c>
      <c r="AR149" s="513">
        <v>126278</v>
      </c>
      <c r="AS149" s="575">
        <f t="shared" si="301"/>
        <v>133375</v>
      </c>
      <c r="AT149" s="88">
        <v>156200</v>
      </c>
      <c r="AU149" s="116">
        <v>176000</v>
      </c>
      <c r="AV149" s="74">
        <v>163629.01499999998</v>
      </c>
      <c r="AW149" s="76">
        <f t="shared" si="295"/>
        <v>157301.00375</v>
      </c>
      <c r="AX149" s="24">
        <f t="shared" si="280"/>
        <v>31023.003750000003</v>
      </c>
      <c r="AY149" s="25">
        <f t="shared" si="281"/>
        <v>0.24567227664359589</v>
      </c>
      <c r="AZ149" s="309">
        <f t="shared" si="282"/>
        <v>157301.00375</v>
      </c>
      <c r="BA149" s="601">
        <f t="shared" si="283"/>
        <v>157301.00375</v>
      </c>
      <c r="BB149" s="551">
        <v>126278</v>
      </c>
      <c r="BC149" s="575">
        <f t="shared" si="296"/>
        <v>133375</v>
      </c>
      <c r="BD149" s="57">
        <v>171066.69749999998</v>
      </c>
      <c r="BE149" s="624">
        <v>170000</v>
      </c>
      <c r="BF149" s="627">
        <v>197098.58624999999</v>
      </c>
      <c r="BG149" s="628">
        <v>171066.69749999998</v>
      </c>
      <c r="BH149" s="625">
        <v>320000</v>
      </c>
      <c r="BI149" s="57">
        <v>196726.70212499995</v>
      </c>
      <c r="BJ149" s="79">
        <v>197098.58624999999</v>
      </c>
      <c r="BK149" s="79">
        <f>129351*1.15</f>
        <v>148753.65</v>
      </c>
      <c r="BL149" s="127">
        <v>178504.38</v>
      </c>
      <c r="BM149" s="128">
        <v>169900</v>
      </c>
      <c r="BN149" s="128">
        <v>150000</v>
      </c>
      <c r="BO149" s="76">
        <f>AVERAGE(BC149,BD149,BE149,BF149,BG149,BI149,BJ149,BK149,BL149,BM149,BN149)</f>
        <v>171235.48178409089</v>
      </c>
      <c r="BP149" s="24">
        <f t="shared" si="284"/>
        <v>44957.481784090895</v>
      </c>
      <c r="BQ149" s="25">
        <f t="shared" si="285"/>
        <v>0.35601990674615447</v>
      </c>
      <c r="BR149" s="308" t="str">
        <f t="shared" si="286"/>
        <v>REVISAR PRECIO</v>
      </c>
      <c r="BS149" s="607">
        <f t="shared" si="297"/>
        <v>171235.48178409089</v>
      </c>
    </row>
    <row r="150" spans="1:71" ht="42" customHeight="1">
      <c r="A150" s="91" t="s">
        <v>23</v>
      </c>
      <c r="B150" s="358" t="s">
        <v>2341</v>
      </c>
      <c r="C150" s="50" t="s">
        <v>218</v>
      </c>
      <c r="D150" s="99" t="s">
        <v>558</v>
      </c>
      <c r="E150" s="391" t="s">
        <v>10</v>
      </c>
      <c r="F150" s="410">
        <v>188397</v>
      </c>
      <c r="G150" s="589">
        <f t="shared" si="288"/>
        <v>198985</v>
      </c>
      <c r="H150" s="10">
        <v>240043</v>
      </c>
      <c r="I150" s="167">
        <v>1200215</v>
      </c>
      <c r="J150" s="10">
        <v>232500</v>
      </c>
      <c r="K150" s="76">
        <f>AVERAGE(H150,J150,G150)</f>
        <v>223842.66666666666</v>
      </c>
      <c r="L150" s="24">
        <f t="shared" si="268"/>
        <v>35445.666666666657</v>
      </c>
      <c r="M150" s="281">
        <f t="shared" si="287"/>
        <v>0.17813235503513661</v>
      </c>
      <c r="N150" s="597">
        <f t="shared" si="298"/>
        <v>223842.66666666666</v>
      </c>
      <c r="O150" s="629">
        <v>191385</v>
      </c>
      <c r="P150" s="579">
        <f t="shared" si="299"/>
        <v>202141</v>
      </c>
      <c r="Q150" s="568">
        <v>318057.10749999998</v>
      </c>
      <c r="R150" s="568">
        <f>218221*1.1</f>
        <v>240043.1</v>
      </c>
      <c r="S150" s="572">
        <v>288051.72000000003</v>
      </c>
      <c r="T150" s="570">
        <v>262000</v>
      </c>
      <c r="U150" s="560">
        <f t="shared" si="315"/>
        <v>277037.981875</v>
      </c>
      <c r="V150" s="561">
        <f t="shared" si="316"/>
        <v>74896.981874999998</v>
      </c>
      <c r="W150" s="281">
        <f t="shared" si="317"/>
        <v>0.39134196449565012</v>
      </c>
      <c r="X150" s="462">
        <f t="shared" si="318"/>
        <v>277037.981875</v>
      </c>
      <c r="Y150" s="410">
        <v>308909</v>
      </c>
      <c r="Z150" s="575">
        <f t="shared" si="292"/>
        <v>326270</v>
      </c>
      <c r="AA150" s="31">
        <v>401760</v>
      </c>
      <c r="AB150" s="31">
        <v>522288</v>
      </c>
      <c r="AC150" s="472">
        <v>351168</v>
      </c>
      <c r="AD150" s="76">
        <f t="shared" si="312"/>
        <v>359732.66666666669</v>
      </c>
      <c r="AE150" s="24">
        <f t="shared" si="293"/>
        <v>33462.666666666686</v>
      </c>
      <c r="AF150" s="25">
        <f t="shared" si="274"/>
        <v>0.10832532126505438</v>
      </c>
      <c r="AG150" s="309">
        <f t="shared" si="275"/>
        <v>359732.66666666669</v>
      </c>
      <c r="AH150" s="601">
        <f t="shared" si="276"/>
        <v>359732.66666666669</v>
      </c>
      <c r="AI150" s="410">
        <v>181381</v>
      </c>
      <c r="AJ150" s="575">
        <f t="shared" si="294"/>
        <v>191575</v>
      </c>
      <c r="AK150" s="45">
        <v>320000</v>
      </c>
      <c r="AL150" s="45">
        <v>240043</v>
      </c>
      <c r="AM150" s="45">
        <v>260000</v>
      </c>
      <c r="AN150" s="76">
        <f>AVERAGE(AL150,AM150,AJ150)</f>
        <v>230539.33333333334</v>
      </c>
      <c r="AO150" s="24">
        <f t="shared" si="277"/>
        <v>49158.333333333343</v>
      </c>
      <c r="AP150" s="281">
        <f t="shared" si="278"/>
        <v>0.27102250695129776</v>
      </c>
      <c r="AQ150" s="601">
        <f t="shared" si="279"/>
        <v>230539.33333333334</v>
      </c>
      <c r="AR150" s="513">
        <v>191385</v>
      </c>
      <c r="AS150" s="575">
        <f t="shared" si="301"/>
        <v>202141</v>
      </c>
      <c r="AT150" s="88">
        <v>253000</v>
      </c>
      <c r="AU150" s="116">
        <v>253000</v>
      </c>
      <c r="AV150" s="74">
        <v>264047.41000000003</v>
      </c>
      <c r="AW150" s="76">
        <f t="shared" si="295"/>
        <v>243047.10250000001</v>
      </c>
      <c r="AX150" s="24">
        <f t="shared" si="280"/>
        <v>51662.102500000008</v>
      </c>
      <c r="AY150" s="25">
        <f t="shared" si="281"/>
        <v>0.26993809598453383</v>
      </c>
      <c r="AZ150" s="309">
        <f t="shared" si="282"/>
        <v>243047.10250000001</v>
      </c>
      <c r="BA150" s="601">
        <f t="shared" si="283"/>
        <v>243047.10250000001</v>
      </c>
      <c r="BB150" s="551">
        <v>191385</v>
      </c>
      <c r="BC150" s="575">
        <f t="shared" si="296"/>
        <v>202141</v>
      </c>
      <c r="BD150" s="57">
        <v>276049.565</v>
      </c>
      <c r="BE150" s="624">
        <v>270000</v>
      </c>
      <c r="BF150" s="627">
        <v>318057.10749999998</v>
      </c>
      <c r="BG150" s="628">
        <v>276000</v>
      </c>
      <c r="BH150" s="625">
        <v>360000</v>
      </c>
      <c r="BI150" s="57">
        <v>317456.99974999996</v>
      </c>
      <c r="BJ150" s="79">
        <v>318057.10749999998</v>
      </c>
      <c r="BK150" s="79">
        <f>218221*1.1</f>
        <v>240043.1</v>
      </c>
      <c r="BL150" s="127">
        <v>288051.72000000003</v>
      </c>
      <c r="BM150" s="128">
        <v>262000</v>
      </c>
      <c r="BN150" s="128">
        <v>250000</v>
      </c>
      <c r="BO150" s="76">
        <f>AVERAGE(BC150,BD150,BE150,BG150,BI150,BJ150,BK150,BL150,BM150,BN150)</f>
        <v>269979.94922499999</v>
      </c>
      <c r="BP150" s="24">
        <f t="shared" si="284"/>
        <v>78594.949224999989</v>
      </c>
      <c r="BQ150" s="25">
        <f t="shared" si="285"/>
        <v>0.41066410233299366</v>
      </c>
      <c r="BR150" s="308" t="str">
        <f t="shared" si="286"/>
        <v>REVISAR PRECIO</v>
      </c>
      <c r="BS150" s="607">
        <f t="shared" si="297"/>
        <v>269979.94922499999</v>
      </c>
    </row>
    <row r="151" spans="1:71" ht="42" customHeight="1">
      <c r="A151" s="91" t="s">
        <v>23</v>
      </c>
      <c r="B151" s="358" t="s">
        <v>2342</v>
      </c>
      <c r="C151" s="50" t="s">
        <v>219</v>
      </c>
      <c r="D151" s="99" t="s">
        <v>559</v>
      </c>
      <c r="E151" s="391" t="s">
        <v>13</v>
      </c>
      <c r="F151" s="410">
        <v>31392</v>
      </c>
      <c r="G151" s="589">
        <f t="shared" si="288"/>
        <v>33156</v>
      </c>
      <c r="H151" s="10">
        <v>35000</v>
      </c>
      <c r="I151" s="167">
        <v>175000</v>
      </c>
      <c r="J151" s="10">
        <v>15550</v>
      </c>
      <c r="K151" s="76">
        <f>AVERAGE(H151,G151)</f>
        <v>34078</v>
      </c>
      <c r="L151" s="24">
        <f t="shared" si="268"/>
        <v>2686</v>
      </c>
      <c r="M151" s="281">
        <f t="shared" si="287"/>
        <v>8.1010978405115217E-2</v>
      </c>
      <c r="N151" s="597">
        <f t="shared" si="298"/>
        <v>34078</v>
      </c>
      <c r="O151" s="410">
        <v>27424</v>
      </c>
      <c r="P151" s="575">
        <f t="shared" si="299"/>
        <v>28965</v>
      </c>
      <c r="Q151" s="10">
        <v>150000</v>
      </c>
      <c r="R151" s="10">
        <v>160000</v>
      </c>
      <c r="S151" s="268">
        <v>155000</v>
      </c>
      <c r="T151" s="10">
        <v>180000</v>
      </c>
      <c r="U151" s="76">
        <f>AVERAGE(Q151,S151,P151,O151,)</f>
        <v>72277.8</v>
      </c>
      <c r="V151" s="24">
        <f t="shared" si="289"/>
        <v>43312.800000000003</v>
      </c>
      <c r="W151" s="281">
        <f t="shared" ref="W151:W152" si="319">+V151/O151</f>
        <v>1.5793757292882149</v>
      </c>
      <c r="X151" s="462">
        <f>AVERAGE(U151,P151)</f>
        <v>50621.4</v>
      </c>
      <c r="Y151" s="410">
        <v>45444</v>
      </c>
      <c r="Z151" s="575">
        <f t="shared" si="292"/>
        <v>47998</v>
      </c>
      <c r="AA151" s="31">
        <v>59103</v>
      </c>
      <c r="AB151" s="31">
        <v>76834</v>
      </c>
      <c r="AC151" s="472">
        <v>51660.4</v>
      </c>
      <c r="AD151" s="76">
        <f t="shared" si="312"/>
        <v>52920.466666666667</v>
      </c>
      <c r="AE151" s="24">
        <f t="shared" si="293"/>
        <v>4922.4666666666672</v>
      </c>
      <c r="AF151" s="25">
        <f t="shared" si="274"/>
        <v>0.10831939676671655</v>
      </c>
      <c r="AG151" s="309">
        <f t="shared" si="275"/>
        <v>52920.466666666667</v>
      </c>
      <c r="AH151" s="601">
        <f t="shared" si="276"/>
        <v>52920.466666666667</v>
      </c>
      <c r="AI151" s="410">
        <v>30622</v>
      </c>
      <c r="AJ151" s="575">
        <f t="shared" si="294"/>
        <v>32343</v>
      </c>
      <c r="AK151" s="45"/>
      <c r="AL151" s="45">
        <v>35000</v>
      </c>
      <c r="AM151" s="45">
        <v>40000</v>
      </c>
      <c r="AN151" s="76">
        <f t="shared" si="300"/>
        <v>35781</v>
      </c>
      <c r="AO151" s="24">
        <f t="shared" si="277"/>
        <v>5159</v>
      </c>
      <c r="AP151" s="281">
        <f t="shared" si="278"/>
        <v>0.16847364639801449</v>
      </c>
      <c r="AQ151" s="601">
        <f t="shared" si="279"/>
        <v>35781</v>
      </c>
      <c r="AR151" s="513">
        <v>30784</v>
      </c>
      <c r="AS151" s="575">
        <f t="shared" si="301"/>
        <v>32514</v>
      </c>
      <c r="AT151" s="88">
        <v>40000</v>
      </c>
      <c r="AU151" s="116">
        <v>40000</v>
      </c>
      <c r="AV151" s="74">
        <v>38500</v>
      </c>
      <c r="AW151" s="76">
        <f t="shared" si="295"/>
        <v>37753.5</v>
      </c>
      <c r="AX151" s="24">
        <f t="shared" si="280"/>
        <v>6969.5</v>
      </c>
      <c r="AY151" s="25">
        <f t="shared" si="281"/>
        <v>0.22640007796257797</v>
      </c>
      <c r="AZ151" s="309">
        <f t="shared" si="282"/>
        <v>37753.5</v>
      </c>
      <c r="BA151" s="601">
        <f t="shared" si="283"/>
        <v>37753.5</v>
      </c>
      <c r="BB151" s="551">
        <v>30784</v>
      </c>
      <c r="BC151" s="575">
        <f t="shared" si="296"/>
        <v>32514</v>
      </c>
      <c r="BD151" s="57">
        <v>40250</v>
      </c>
      <c r="BE151" s="624">
        <v>45000</v>
      </c>
      <c r="BF151" s="627">
        <v>46375</v>
      </c>
      <c r="BG151" s="628">
        <v>150000</v>
      </c>
      <c r="BH151" s="625">
        <v>35000</v>
      </c>
      <c r="BI151" s="57">
        <v>46287.5</v>
      </c>
      <c r="BJ151" s="79">
        <v>46375</v>
      </c>
      <c r="BK151" s="79">
        <v>35000</v>
      </c>
      <c r="BL151" s="127">
        <v>42000</v>
      </c>
      <c r="BM151" s="128">
        <v>42400</v>
      </c>
      <c r="BN151" s="128">
        <v>40000</v>
      </c>
      <c r="BO151" s="76">
        <f>AVERAGE(BC151,BD151,BE151,BF151,BH151,BI151,BJ151,BK151,BL151,BM151,BN151)</f>
        <v>41018.318181818184</v>
      </c>
      <c r="BP151" s="24">
        <f t="shared" si="284"/>
        <v>10234.318181818184</v>
      </c>
      <c r="BQ151" s="25">
        <f t="shared" si="285"/>
        <v>0.33245576214326222</v>
      </c>
      <c r="BR151" s="308">
        <f t="shared" si="286"/>
        <v>41018.318181818184</v>
      </c>
      <c r="BS151" s="607">
        <f t="shared" si="297"/>
        <v>41018.318181818184</v>
      </c>
    </row>
    <row r="152" spans="1:71" ht="42" customHeight="1">
      <c r="A152" s="91" t="s">
        <v>23</v>
      </c>
      <c r="B152" s="358" t="s">
        <v>2343</v>
      </c>
      <c r="C152" s="50" t="s">
        <v>220</v>
      </c>
      <c r="D152" s="99" t="s">
        <v>560</v>
      </c>
      <c r="E152" s="391" t="s">
        <v>10</v>
      </c>
      <c r="F152" s="410">
        <v>26000</v>
      </c>
      <c r="G152" s="589">
        <f t="shared" si="288"/>
        <v>27461</v>
      </c>
      <c r="H152" s="10">
        <v>45000</v>
      </c>
      <c r="I152" s="167">
        <v>225000</v>
      </c>
      <c r="J152" s="10">
        <v>45000</v>
      </c>
      <c r="K152" s="76">
        <f>AVERAGE(H152,J152)</f>
        <v>45000</v>
      </c>
      <c r="L152" s="24">
        <f t="shared" si="268"/>
        <v>19000</v>
      </c>
      <c r="M152" s="281">
        <f t="shared" si="287"/>
        <v>0.69189031717708749</v>
      </c>
      <c r="N152" s="597">
        <f t="shared" si="298"/>
        <v>45000</v>
      </c>
      <c r="O152" s="410">
        <v>23219</v>
      </c>
      <c r="P152" s="575">
        <f t="shared" si="299"/>
        <v>24524</v>
      </c>
      <c r="Q152" s="10">
        <v>95000</v>
      </c>
      <c r="R152" s="10">
        <v>105000</v>
      </c>
      <c r="S152" s="268">
        <v>100000</v>
      </c>
      <c r="T152" s="10">
        <v>150000</v>
      </c>
      <c r="U152" s="76">
        <f>AVERAGE(P152,Q152,R152,S152)</f>
        <v>81131</v>
      </c>
      <c r="V152" s="24">
        <f t="shared" si="289"/>
        <v>56607</v>
      </c>
      <c r="W152" s="281">
        <f t="shared" si="319"/>
        <v>2.4379602911408762</v>
      </c>
      <c r="X152" s="462">
        <f>AVERAGE(U152,P152)</f>
        <v>52827.5</v>
      </c>
      <c r="Y152" s="410">
        <v>49388</v>
      </c>
      <c r="Z152" s="575">
        <f t="shared" si="292"/>
        <v>52164</v>
      </c>
      <c r="AA152" s="42">
        <v>64233</v>
      </c>
      <c r="AB152" s="31">
        <v>64233</v>
      </c>
      <c r="AC152" s="472">
        <v>56144.4</v>
      </c>
      <c r="AD152" s="76">
        <f>AVERAGE(AA152,AC152,Z152,AB152)</f>
        <v>59193.599999999999</v>
      </c>
      <c r="AE152" s="24">
        <f t="shared" si="293"/>
        <v>7029.5999999999985</v>
      </c>
      <c r="AF152" s="25">
        <f t="shared" si="274"/>
        <v>0.14233417024378389</v>
      </c>
      <c r="AG152" s="309">
        <f t="shared" si="275"/>
        <v>59193.599999999999</v>
      </c>
      <c r="AH152" s="601">
        <f t="shared" si="276"/>
        <v>59193.599999999999</v>
      </c>
      <c r="AI152" s="410">
        <v>25231</v>
      </c>
      <c r="AJ152" s="575">
        <f t="shared" si="294"/>
        <v>26649</v>
      </c>
      <c r="AK152" s="45">
        <v>50000</v>
      </c>
      <c r="AL152" s="45">
        <v>45000</v>
      </c>
      <c r="AM152" s="45">
        <v>45000</v>
      </c>
      <c r="AN152" s="76">
        <f>AVERAGE(AL152,AM152,AJ152)</f>
        <v>38883</v>
      </c>
      <c r="AO152" s="24">
        <f t="shared" si="277"/>
        <v>13652</v>
      </c>
      <c r="AP152" s="281">
        <f t="shared" si="278"/>
        <v>0.54108041694740594</v>
      </c>
      <c r="AQ152" s="601">
        <f t="shared" si="279"/>
        <v>38883</v>
      </c>
      <c r="AR152" s="513">
        <v>24623</v>
      </c>
      <c r="AS152" s="575">
        <f t="shared" si="301"/>
        <v>26007</v>
      </c>
      <c r="AT152" s="88">
        <v>50000</v>
      </c>
      <c r="AU152" s="116">
        <v>50000</v>
      </c>
      <c r="AV152" s="74">
        <v>49500</v>
      </c>
      <c r="AW152" s="76">
        <f t="shared" si="295"/>
        <v>43876.75</v>
      </c>
      <c r="AX152" s="24">
        <f t="shared" si="280"/>
        <v>19253.75</v>
      </c>
      <c r="AY152" s="25">
        <f t="shared" si="281"/>
        <v>0.78194168054258217</v>
      </c>
      <c r="AZ152" s="309" t="str">
        <f t="shared" si="282"/>
        <v>REVISAR PRECIO</v>
      </c>
      <c r="BA152" s="601">
        <f t="shared" si="283"/>
        <v>43876.75</v>
      </c>
      <c r="BB152" s="551">
        <v>24623</v>
      </c>
      <c r="BC152" s="575">
        <f t="shared" si="296"/>
        <v>26007</v>
      </c>
      <c r="BD152" s="57">
        <v>51750</v>
      </c>
      <c r="BE152" s="624">
        <v>55000</v>
      </c>
      <c r="BF152" s="627">
        <v>59625</v>
      </c>
      <c r="BG152" s="628">
        <v>95000</v>
      </c>
      <c r="BH152" s="625">
        <v>78000</v>
      </c>
      <c r="BI152" s="57">
        <v>59512.499999999985</v>
      </c>
      <c r="BJ152" s="79">
        <v>59625</v>
      </c>
      <c r="BK152" s="79">
        <v>45000</v>
      </c>
      <c r="BL152" s="127">
        <v>54000</v>
      </c>
      <c r="BM152" s="128">
        <v>50000</v>
      </c>
      <c r="BN152" s="128">
        <v>45000</v>
      </c>
      <c r="BO152" s="76">
        <f>AVERAGE(BC152,BD152,BE152,BF152,BI152,BJ152,BK152,BL152,BM152,BN152)</f>
        <v>50551.95</v>
      </c>
      <c r="BP152" s="24">
        <f t="shared" si="284"/>
        <v>25928.949999999997</v>
      </c>
      <c r="BQ152" s="25">
        <f t="shared" si="285"/>
        <v>1.0530378101774762</v>
      </c>
      <c r="BR152" s="308" t="str">
        <f t="shared" si="286"/>
        <v>REVISAR PRECIO</v>
      </c>
      <c r="BS152" s="607">
        <f t="shared" si="297"/>
        <v>50551.95</v>
      </c>
    </row>
    <row r="153" spans="1:71" ht="32.450000000000003" customHeight="1">
      <c r="A153" s="91" t="s">
        <v>26</v>
      </c>
      <c r="B153" s="358" t="s">
        <v>2344</v>
      </c>
      <c r="C153" s="252" t="s">
        <v>755</v>
      </c>
      <c r="D153" s="100" t="s">
        <v>26</v>
      </c>
      <c r="E153" s="91"/>
      <c r="F153" s="411"/>
      <c r="G153" s="574"/>
      <c r="H153" s="173"/>
      <c r="I153" s="174"/>
      <c r="J153" s="173"/>
      <c r="K153" s="173"/>
      <c r="L153" s="173"/>
      <c r="M153" s="173"/>
      <c r="N153" s="173"/>
      <c r="O153" s="173"/>
      <c r="P153" s="173"/>
      <c r="Q153" s="173"/>
      <c r="R153" s="173"/>
      <c r="S153" s="173"/>
      <c r="T153" s="173"/>
      <c r="U153" s="173"/>
      <c r="V153" s="173"/>
      <c r="W153" s="173"/>
      <c r="X153" s="173"/>
      <c r="Y153" s="173"/>
      <c r="Z153" s="173"/>
      <c r="AA153" s="173"/>
      <c r="AB153" s="173"/>
      <c r="AC153" s="173"/>
      <c r="AD153" s="173"/>
      <c r="AE153" s="173"/>
      <c r="AF153" s="173"/>
      <c r="AG153" s="173"/>
      <c r="AH153" s="173"/>
      <c r="AI153" s="173"/>
      <c r="AJ153" s="173"/>
      <c r="AK153" s="173"/>
      <c r="AL153" s="173"/>
      <c r="AM153" s="173"/>
      <c r="AN153" s="173"/>
      <c r="AO153" s="173"/>
      <c r="AP153" s="173"/>
      <c r="AQ153" s="173"/>
      <c r="AR153" s="173"/>
      <c r="AS153" s="173"/>
      <c r="AT153" s="173"/>
      <c r="AU153" s="173"/>
      <c r="AV153" s="173"/>
      <c r="AW153" s="173"/>
      <c r="AX153" s="173"/>
      <c r="AY153" s="173"/>
      <c r="AZ153" s="173"/>
      <c r="BA153" s="173"/>
      <c r="BB153" s="173"/>
      <c r="BC153" s="173"/>
      <c r="BD153" s="173"/>
      <c r="BE153" s="173"/>
      <c r="BF153" s="626"/>
      <c r="BG153" s="626"/>
      <c r="BH153" s="173"/>
      <c r="BI153" s="173"/>
      <c r="BJ153" s="173"/>
      <c r="BK153" s="173"/>
      <c r="BL153" s="173"/>
      <c r="BM153" s="173"/>
      <c r="BN153" s="173"/>
      <c r="BO153" s="47"/>
      <c r="BP153" s="47"/>
      <c r="BQ153" s="47"/>
      <c r="BR153" s="414"/>
      <c r="BS153" s="414"/>
    </row>
    <row r="154" spans="1:71" ht="72.95" customHeight="1">
      <c r="A154" s="91" t="s">
        <v>26</v>
      </c>
      <c r="B154" s="358" t="s">
        <v>2345</v>
      </c>
      <c r="C154" s="51" t="s">
        <v>222</v>
      </c>
      <c r="D154" s="99" t="s">
        <v>562</v>
      </c>
      <c r="E154" s="391" t="s">
        <v>13</v>
      </c>
      <c r="F154" s="410">
        <v>40505</v>
      </c>
      <c r="G154" s="589">
        <f t="shared" si="288"/>
        <v>42781</v>
      </c>
      <c r="H154" s="10">
        <v>61358.63</v>
      </c>
      <c r="I154" s="167">
        <v>245434.52</v>
      </c>
      <c r="J154" s="10">
        <v>59700</v>
      </c>
      <c r="K154" s="76">
        <f>AVERAGE(H154,J154,G154)</f>
        <v>54613.21</v>
      </c>
      <c r="L154" s="24">
        <f t="shared" ref="L154:L155" si="320">K154-F154</f>
        <v>14108.21</v>
      </c>
      <c r="M154" s="281">
        <f t="shared" si="287"/>
        <v>0.32977747130735607</v>
      </c>
      <c r="N154" s="597">
        <f t="shared" si="298"/>
        <v>54613.21</v>
      </c>
      <c r="O154" s="566">
        <v>79413</v>
      </c>
      <c r="P154" s="579">
        <f t="shared" ref="P154:P155" si="321">ROUND(O154*(100%+$D$1),0)</f>
        <v>83876</v>
      </c>
      <c r="Q154" s="568">
        <v>62721.392500000002</v>
      </c>
      <c r="R154" s="568">
        <f>36413*1.3</f>
        <v>47336.9</v>
      </c>
      <c r="S154" s="572">
        <v>56804.28</v>
      </c>
      <c r="T154" s="570">
        <v>55000</v>
      </c>
      <c r="U154" s="560">
        <f t="shared" ref="U154:U155" si="322">AVERAGE(P154,Q154,R154,S154,T154)</f>
        <v>61147.714500000002</v>
      </c>
      <c r="V154" s="561">
        <f t="shared" ref="V154:V155" si="323">U154-P154</f>
        <v>-22728.285499999998</v>
      </c>
      <c r="W154" s="281">
        <f t="shared" ref="W154:W155" si="324">+V154/O154</f>
        <v>-0.28620358757382292</v>
      </c>
      <c r="X154" s="462">
        <f t="shared" ref="X154:X155" si="325">+U154</f>
        <v>61147.714500000002</v>
      </c>
      <c r="Y154" s="410">
        <v>83704</v>
      </c>
      <c r="Z154" s="575">
        <f t="shared" si="292"/>
        <v>88408</v>
      </c>
      <c r="AA154" s="42">
        <v>108864</v>
      </c>
      <c r="AB154" s="43">
        <v>141523</v>
      </c>
      <c r="AC154" s="472">
        <v>95155.199999999997</v>
      </c>
      <c r="AD154" s="76">
        <f t="shared" si="312"/>
        <v>97475.733333333337</v>
      </c>
      <c r="AE154" s="24">
        <f t="shared" si="293"/>
        <v>9067.7333333333372</v>
      </c>
      <c r="AF154" s="25">
        <f t="shared" ref="AF154:AF155" si="326">+AE154/Y154</f>
        <v>0.10833094396126036</v>
      </c>
      <c r="AG154" s="309">
        <f t="shared" ref="AG154:AG155" si="327">+IF(AF154&lt;35%,AD154,"REVISAR PRECIO")</f>
        <v>97475.733333333337</v>
      </c>
      <c r="AH154" s="601">
        <f t="shared" ref="AH154:AH155" si="328">AD154</f>
        <v>97475.733333333337</v>
      </c>
      <c r="AI154" s="410">
        <v>40504</v>
      </c>
      <c r="AJ154" s="575">
        <f t="shared" si="294"/>
        <v>42780</v>
      </c>
      <c r="AK154" s="45"/>
      <c r="AL154" s="45">
        <v>47787</v>
      </c>
      <c r="AM154" s="45">
        <v>50000</v>
      </c>
      <c r="AN154" s="76">
        <f t="shared" si="300"/>
        <v>46855.666666666664</v>
      </c>
      <c r="AO154" s="24">
        <f t="shared" ref="AO154:AO155" si="329">AN154-AI154</f>
        <v>6351.6666666666642</v>
      </c>
      <c r="AP154" s="281">
        <f t="shared" ref="AP154:AP155" si="330">+AO154/AI154</f>
        <v>0.15681578774112839</v>
      </c>
      <c r="AQ154" s="601">
        <f t="shared" ref="AQ154:AQ155" si="331">AN154</f>
        <v>46855.666666666664</v>
      </c>
      <c r="AR154" s="513">
        <v>79413</v>
      </c>
      <c r="AS154" s="575">
        <f t="shared" si="301"/>
        <v>83876</v>
      </c>
      <c r="AT154" s="88">
        <v>69700</v>
      </c>
      <c r="AU154" s="116">
        <v>77000</v>
      </c>
      <c r="AV154" s="74">
        <v>52070.590000000004</v>
      </c>
      <c r="AW154" s="76">
        <f>AVERAGE(AR154:AS154,AT154,AU154,AV154)</f>
        <v>72411.918000000005</v>
      </c>
      <c r="AX154" s="24">
        <f>AW154-AR154</f>
        <v>-7001.0819999999949</v>
      </c>
      <c r="AY154" s="25">
        <f>+AX154/AR154</f>
        <v>-8.8160401949302941E-2</v>
      </c>
      <c r="AZ154" s="309">
        <f t="shared" ref="AZ154:AZ155" si="332">+IF(AY154&lt;35%,AW154,"REVISAR PRECIO")</f>
        <v>72411.918000000005</v>
      </c>
      <c r="BA154" s="601">
        <f>+AW154</f>
        <v>72411.918000000005</v>
      </c>
      <c r="BB154" s="513">
        <v>79413</v>
      </c>
      <c r="BC154" s="575">
        <f t="shared" si="296"/>
        <v>83876</v>
      </c>
      <c r="BD154" s="74">
        <v>54437.434999999998</v>
      </c>
      <c r="BE154" s="74">
        <v>95000</v>
      </c>
      <c r="BF154" s="75">
        <v>62721.392500000002</v>
      </c>
      <c r="BG154" s="61">
        <v>64399.999999999993</v>
      </c>
      <c r="BH154" s="60">
        <v>180000</v>
      </c>
      <c r="BI154" s="74">
        <v>74059.999999999985</v>
      </c>
      <c r="BJ154" s="79">
        <v>62721.392500000002</v>
      </c>
      <c r="BK154" s="79">
        <f>36413*1.3</f>
        <v>47336.9</v>
      </c>
      <c r="BL154" s="127">
        <v>56804.28</v>
      </c>
      <c r="BM154" s="128">
        <v>55000</v>
      </c>
      <c r="BN154" s="128">
        <v>50000</v>
      </c>
      <c r="BO154" s="76">
        <f>AVERAGE(BC154,BD154,BE154,BF154,BG154,BH154:BI154,BJ154,BK154,BL154,BM154,BN154)</f>
        <v>73863.116666666669</v>
      </c>
      <c r="BP154" s="24">
        <f>BO154-BB154</f>
        <v>-5549.8833333333314</v>
      </c>
      <c r="BQ154" s="25">
        <f>+BP154/BB154</f>
        <v>-6.9886332632356565E-2</v>
      </c>
      <c r="BR154" s="259">
        <f t="shared" ref="BR154:BR155" si="333">+IF(BQ154&lt;35%,BO154,"REVISAR PRECIO")</f>
        <v>73863.116666666669</v>
      </c>
      <c r="BS154" s="607">
        <f>+BO154</f>
        <v>73863.116666666669</v>
      </c>
    </row>
    <row r="155" spans="1:71" ht="74.099999999999994" customHeight="1">
      <c r="A155" s="91" t="s">
        <v>26</v>
      </c>
      <c r="B155" s="358" t="s">
        <v>2346</v>
      </c>
      <c r="C155" s="51" t="s">
        <v>223</v>
      </c>
      <c r="D155" s="99" t="s">
        <v>563</v>
      </c>
      <c r="E155" s="391" t="s">
        <v>13</v>
      </c>
      <c r="F155" s="410">
        <v>54231</v>
      </c>
      <c r="G155" s="589">
        <f t="shared" si="288"/>
        <v>57279</v>
      </c>
      <c r="H155" s="10">
        <v>63859.63</v>
      </c>
      <c r="I155" s="167">
        <v>383157.77999999997</v>
      </c>
      <c r="J155" s="10">
        <v>86700</v>
      </c>
      <c r="K155" s="76">
        <f>AVERAGE(H155,J155,G155)</f>
        <v>69279.543333333335</v>
      </c>
      <c r="L155" s="24">
        <f t="shared" si="320"/>
        <v>15048.543333333335</v>
      </c>
      <c r="M155" s="281">
        <f t="shared" si="287"/>
        <v>0.26272356942916836</v>
      </c>
      <c r="N155" s="597">
        <f t="shared" si="298"/>
        <v>69279.543333333335</v>
      </c>
      <c r="O155" s="566">
        <v>64862</v>
      </c>
      <c r="P155" s="579">
        <f t="shared" si="321"/>
        <v>68507</v>
      </c>
      <c r="Q155" s="568">
        <v>131506.25</v>
      </c>
      <c r="R155" s="568">
        <f>79400*1.25</f>
        <v>99250</v>
      </c>
      <c r="S155" s="572">
        <v>119100</v>
      </c>
      <c r="T155" s="570">
        <v>119000</v>
      </c>
      <c r="U155" s="560">
        <f t="shared" si="322"/>
        <v>107472.65</v>
      </c>
      <c r="V155" s="561">
        <f t="shared" si="323"/>
        <v>38965.649999999994</v>
      </c>
      <c r="W155" s="281">
        <f t="shared" si="324"/>
        <v>0.60074697049119663</v>
      </c>
      <c r="X155" s="462">
        <f t="shared" si="325"/>
        <v>107472.65</v>
      </c>
      <c r="Y155" s="410">
        <v>141064</v>
      </c>
      <c r="Z155" s="575">
        <f t="shared" si="292"/>
        <v>148992</v>
      </c>
      <c r="AA155" s="31">
        <v>183465</v>
      </c>
      <c r="AB155" s="31">
        <v>238505</v>
      </c>
      <c r="AC155" s="472">
        <v>160362</v>
      </c>
      <c r="AD155" s="76">
        <f t="shared" si="312"/>
        <v>164273</v>
      </c>
      <c r="AE155" s="24">
        <f t="shared" si="293"/>
        <v>15281</v>
      </c>
      <c r="AF155" s="25">
        <f t="shared" si="326"/>
        <v>0.1083267169511711</v>
      </c>
      <c r="AG155" s="309">
        <f t="shared" si="327"/>
        <v>164273</v>
      </c>
      <c r="AH155" s="601">
        <f t="shared" si="328"/>
        <v>164273</v>
      </c>
      <c r="AI155" s="410">
        <v>54230</v>
      </c>
      <c r="AJ155" s="575">
        <f t="shared" si="294"/>
        <v>57278</v>
      </c>
      <c r="AK155" s="45"/>
      <c r="AL155" s="45">
        <v>63987</v>
      </c>
      <c r="AM155" s="45">
        <v>105000</v>
      </c>
      <c r="AN155" s="76">
        <f>AVERAGE(AK155,AL155,AJ155)</f>
        <v>60632.5</v>
      </c>
      <c r="AO155" s="24">
        <f t="shared" si="329"/>
        <v>6402.5</v>
      </c>
      <c r="AP155" s="281">
        <f t="shared" si="330"/>
        <v>0.11806195832565002</v>
      </c>
      <c r="AQ155" s="601">
        <f t="shared" si="331"/>
        <v>60632.5</v>
      </c>
      <c r="AR155" s="513">
        <v>64862</v>
      </c>
      <c r="AS155" s="575">
        <f t="shared" si="301"/>
        <v>68507</v>
      </c>
      <c r="AT155" s="88">
        <v>134200</v>
      </c>
      <c r="AU155" s="116">
        <v>137000</v>
      </c>
      <c r="AV155" s="74">
        <v>109175</v>
      </c>
      <c r="AW155" s="76">
        <f t="shared" si="295"/>
        <v>112220.5</v>
      </c>
      <c r="AX155" s="24">
        <f>AW155-AR155</f>
        <v>47358.5</v>
      </c>
      <c r="AY155" s="25">
        <f>+AX155/AR155</f>
        <v>0.73014245629181951</v>
      </c>
      <c r="AZ155" s="309" t="str">
        <f t="shared" si="332"/>
        <v>REVISAR PRECIO</v>
      </c>
      <c r="BA155" s="601">
        <f t="shared" ref="BA155" si="334">AW155</f>
        <v>112220.5</v>
      </c>
      <c r="BB155" s="513">
        <v>64862</v>
      </c>
      <c r="BC155" s="575">
        <f t="shared" si="296"/>
        <v>68507</v>
      </c>
      <c r="BD155" s="74">
        <v>114137.5</v>
      </c>
      <c r="BE155" s="74">
        <v>180000</v>
      </c>
      <c r="BF155" s="75">
        <v>131506.25</v>
      </c>
      <c r="BG155" s="61">
        <v>138000</v>
      </c>
      <c r="BH155" s="60">
        <v>140000</v>
      </c>
      <c r="BI155" s="74">
        <v>158700</v>
      </c>
      <c r="BJ155" s="79">
        <v>131506.25</v>
      </c>
      <c r="BK155" s="79">
        <f>79400*1.25</f>
        <v>99250</v>
      </c>
      <c r="BL155" s="127">
        <v>119100</v>
      </c>
      <c r="BM155" s="128">
        <v>119000</v>
      </c>
      <c r="BN155" s="128">
        <v>100000</v>
      </c>
      <c r="BO155" s="76">
        <f>AVERAGE(BC155,BD155,BE155,BF155,BG155,BH155,BI155:BJ155,BK155,BL155,BM155,BN155)</f>
        <v>124975.58333333333</v>
      </c>
      <c r="BP155" s="24">
        <f>BO155-BB155</f>
        <v>60113.583333333328</v>
      </c>
      <c r="BQ155" s="25">
        <f>+BP155/BB155</f>
        <v>0.92679200970265063</v>
      </c>
      <c r="BR155" s="259" t="str">
        <f t="shared" si="333"/>
        <v>REVISAR PRECIO</v>
      </c>
      <c r="BS155" s="607">
        <f>+BO155</f>
        <v>124975.58333333333</v>
      </c>
    </row>
    <row r="156" spans="1:71" ht="32.450000000000003" customHeight="1">
      <c r="A156" s="91" t="s">
        <v>27</v>
      </c>
      <c r="B156" s="358" t="s">
        <v>2347</v>
      </c>
      <c r="C156" s="252" t="s">
        <v>756</v>
      </c>
      <c r="D156" s="100" t="s">
        <v>27</v>
      </c>
      <c r="E156" s="91"/>
      <c r="F156" s="411"/>
      <c r="G156" s="574"/>
      <c r="H156" s="173"/>
      <c r="I156" s="174"/>
      <c r="J156" s="173"/>
      <c r="K156" s="173"/>
      <c r="L156" s="173"/>
      <c r="M156" s="173"/>
      <c r="N156" s="173"/>
      <c r="O156" s="173"/>
      <c r="P156" s="173"/>
      <c r="Q156" s="173"/>
      <c r="R156" s="173"/>
      <c r="S156" s="173"/>
      <c r="T156" s="173"/>
      <c r="U156" s="173"/>
      <c r="V156" s="173"/>
      <c r="W156" s="173"/>
      <c r="X156" s="173"/>
      <c r="Y156" s="173"/>
      <c r="Z156" s="173"/>
      <c r="AA156" s="173"/>
      <c r="AB156" s="173"/>
      <c r="AC156" s="173"/>
      <c r="AD156" s="173"/>
      <c r="AE156" s="173"/>
      <c r="AF156" s="173"/>
      <c r="AG156" s="173"/>
      <c r="AH156" s="173"/>
      <c r="AI156" s="173"/>
      <c r="AJ156" s="173"/>
      <c r="AK156" s="173"/>
      <c r="AL156" s="173"/>
      <c r="AM156" s="173"/>
      <c r="AN156" s="173"/>
      <c r="AO156" s="173"/>
      <c r="AP156" s="173"/>
      <c r="AQ156" s="173"/>
      <c r="AR156" s="173"/>
      <c r="AS156" s="173"/>
      <c r="AT156" s="173"/>
      <c r="AU156" s="173"/>
      <c r="AV156" s="173"/>
      <c r="AW156" s="173"/>
      <c r="AX156" s="173"/>
      <c r="AY156" s="173"/>
      <c r="AZ156" s="173"/>
      <c r="BA156" s="173"/>
      <c r="BB156" s="173"/>
      <c r="BC156" s="173"/>
      <c r="BD156" s="173"/>
      <c r="BE156" s="173"/>
      <c r="BF156" s="173"/>
      <c r="BG156" s="173"/>
      <c r="BH156" s="173"/>
      <c r="BI156" s="173"/>
      <c r="BJ156" s="173"/>
      <c r="BK156" s="173"/>
      <c r="BL156" s="173"/>
      <c r="BM156" s="173"/>
      <c r="BN156" s="148"/>
      <c r="BO156" s="47"/>
      <c r="BP156" s="47"/>
      <c r="BQ156" s="47"/>
      <c r="BR156" s="414"/>
      <c r="BS156" s="414"/>
    </row>
    <row r="157" spans="1:71" ht="45.6" customHeight="1">
      <c r="A157" s="91" t="s">
        <v>27</v>
      </c>
      <c r="B157" s="358" t="s">
        <v>2348</v>
      </c>
      <c r="C157" s="50" t="s">
        <v>226</v>
      </c>
      <c r="D157" s="99" t="s">
        <v>566</v>
      </c>
      <c r="E157" s="391" t="s">
        <v>13</v>
      </c>
      <c r="F157" s="410">
        <v>38711</v>
      </c>
      <c r="G157" s="589">
        <f t="shared" si="288"/>
        <v>40887</v>
      </c>
      <c r="H157" s="10">
        <v>72800</v>
      </c>
      <c r="I157" s="167">
        <v>145600</v>
      </c>
      <c r="J157" s="10">
        <v>68500</v>
      </c>
      <c r="K157" s="76">
        <f>AVERAGE(H157,J157,G157)</f>
        <v>60729</v>
      </c>
      <c r="L157" s="24">
        <f t="shared" ref="L157:L167" si="335">K157-F157</f>
        <v>22018</v>
      </c>
      <c r="M157" s="281">
        <f t="shared" si="287"/>
        <v>0.53850857240687744</v>
      </c>
      <c r="N157" s="597">
        <f t="shared" si="298"/>
        <v>60729</v>
      </c>
      <c r="O157" s="410">
        <v>34837</v>
      </c>
      <c r="P157" s="575">
        <f t="shared" si="299"/>
        <v>36795</v>
      </c>
      <c r="Q157" s="10">
        <v>95000</v>
      </c>
      <c r="R157" s="10">
        <v>105000</v>
      </c>
      <c r="S157" s="268">
        <v>100000</v>
      </c>
      <c r="T157" s="10">
        <v>120000</v>
      </c>
      <c r="U157" s="76">
        <f>AVERAGE(Q157,R157,S157,T157,P157)</f>
        <v>91359</v>
      </c>
      <c r="V157" s="24">
        <f t="shared" si="289"/>
        <v>54564</v>
      </c>
      <c r="W157" s="281">
        <f t="shared" ref="W157:W158" si="336">+V157/O157</f>
        <v>1.5662657519304188</v>
      </c>
      <c r="X157" s="462">
        <f t="shared" ref="X157" si="337">U157</f>
        <v>91359</v>
      </c>
      <c r="Y157" s="410">
        <v>72380</v>
      </c>
      <c r="Z157" s="575">
        <f t="shared" si="292"/>
        <v>76448</v>
      </c>
      <c r="AA157" s="31">
        <v>94136</v>
      </c>
      <c r="AB157" s="31">
        <v>122376</v>
      </c>
      <c r="AC157" s="472">
        <v>82281.399999999994</v>
      </c>
      <c r="AD157" s="76">
        <f t="shared" si="312"/>
        <v>84288.46666666666</v>
      </c>
      <c r="AE157" s="24">
        <f t="shared" si="293"/>
        <v>7840.4666666666599</v>
      </c>
      <c r="AF157" s="25">
        <f t="shared" ref="AF157:AF167" si="338">+AE157/Y157</f>
        <v>0.1083236621534493</v>
      </c>
      <c r="AG157" s="309">
        <f t="shared" ref="AG157:AG167" si="339">+IF(AF157&lt;35%,AD157,"REVISAR PRECIO")</f>
        <v>84288.46666666666</v>
      </c>
      <c r="AH157" s="601">
        <f t="shared" ref="AH157:AH167" si="340">AD157</f>
        <v>84288.46666666666</v>
      </c>
      <c r="AI157" s="410">
        <v>38710</v>
      </c>
      <c r="AJ157" s="575">
        <f t="shared" si="294"/>
        <v>40886</v>
      </c>
      <c r="AK157" s="45">
        <v>75000</v>
      </c>
      <c r="AL157" s="45">
        <v>72800</v>
      </c>
      <c r="AM157" s="45">
        <v>78000</v>
      </c>
      <c r="AN157" s="76">
        <f t="shared" si="300"/>
        <v>66671.5</v>
      </c>
      <c r="AO157" s="24">
        <f t="shared" ref="AO157:AO167" si="341">AN157-AI157</f>
        <v>27961.5</v>
      </c>
      <c r="AP157" s="281">
        <f t="shared" ref="AP157:AP167" si="342">+AO157/AI157</f>
        <v>0.72233273056057867</v>
      </c>
      <c r="AQ157" s="601">
        <f t="shared" ref="AQ157:AQ167" si="343">AN157</f>
        <v>66671.5</v>
      </c>
      <c r="AR157" s="513">
        <v>38710</v>
      </c>
      <c r="AS157" s="575">
        <f t="shared" si="301"/>
        <v>40886</v>
      </c>
      <c r="AT157" s="88">
        <v>91000</v>
      </c>
      <c r="AU157" s="116">
        <v>95000</v>
      </c>
      <c r="AV157" s="74">
        <v>80080</v>
      </c>
      <c r="AW157" s="76">
        <f t="shared" si="295"/>
        <v>76741.5</v>
      </c>
      <c r="AX157" s="24">
        <f t="shared" ref="AX157:AX167" si="344">AW157-AR157</f>
        <v>38031.5</v>
      </c>
      <c r="AY157" s="25">
        <f t="shared" ref="AY157:AY167" si="345">+AX157/AR157</f>
        <v>0.98247222939808831</v>
      </c>
      <c r="AZ157" s="309" t="str">
        <f t="shared" ref="AZ157:AZ167" si="346">+IF(AY157&lt;35%,AW157,"REVISAR PRECIO")</f>
        <v>REVISAR PRECIO</v>
      </c>
      <c r="BA157" s="604">
        <f t="shared" ref="BA157:BA167" si="347">AW157</f>
        <v>76741.5</v>
      </c>
      <c r="BB157" s="513">
        <v>38710</v>
      </c>
      <c r="BC157" s="575">
        <f t="shared" si="296"/>
        <v>40886</v>
      </c>
      <c r="BD157" s="74">
        <v>83720</v>
      </c>
      <c r="BE157" s="74">
        <v>80000</v>
      </c>
      <c r="BF157" s="75">
        <v>96460</v>
      </c>
      <c r="BG157" s="61">
        <v>102809.99999999999</v>
      </c>
      <c r="BH157" s="60">
        <v>70000</v>
      </c>
      <c r="BI157" s="74">
        <v>118231.49999999997</v>
      </c>
      <c r="BJ157" s="79">
        <v>96460</v>
      </c>
      <c r="BK157" s="79">
        <f>(56500*1.2)+5000</f>
        <v>72800</v>
      </c>
      <c r="BL157" s="127">
        <v>87360</v>
      </c>
      <c r="BM157" s="128">
        <v>85000</v>
      </c>
      <c r="BN157" s="128">
        <v>81000</v>
      </c>
      <c r="BO157" s="76">
        <f>AVERAGE(BC157,BD157,BE157,BF157,BH157,BJ157,BK157,BL157,BM157,BN157)</f>
        <v>79368.600000000006</v>
      </c>
      <c r="BP157" s="24">
        <f t="shared" ref="BP157:BP167" si="348">BO157-BB157</f>
        <v>40658.600000000006</v>
      </c>
      <c r="BQ157" s="25">
        <f t="shared" ref="BQ157:BQ167" si="349">+BP157/BB157</f>
        <v>1.0503384138465515</v>
      </c>
      <c r="BR157" s="259" t="str">
        <f t="shared" ref="BR157:BR167" si="350">+IF(BQ157&lt;35%,BO157,"REVISAR PRECIO")</f>
        <v>REVISAR PRECIO</v>
      </c>
      <c r="BS157" s="607">
        <f t="shared" si="297"/>
        <v>79368.600000000006</v>
      </c>
    </row>
    <row r="158" spans="1:71" ht="45.6" customHeight="1">
      <c r="A158" s="91" t="s">
        <v>27</v>
      </c>
      <c r="B158" s="358" t="s">
        <v>2349</v>
      </c>
      <c r="C158" s="50" t="s">
        <v>227</v>
      </c>
      <c r="D158" s="99" t="s">
        <v>567</v>
      </c>
      <c r="E158" s="391" t="s">
        <v>13</v>
      </c>
      <c r="F158" s="410">
        <v>52807</v>
      </c>
      <c r="G158" s="589">
        <f t="shared" si="288"/>
        <v>55775</v>
      </c>
      <c r="H158" s="10">
        <v>67500</v>
      </c>
      <c r="I158" s="167">
        <v>135000</v>
      </c>
      <c r="J158" s="10">
        <v>65400</v>
      </c>
      <c r="K158" s="76">
        <f>AVERAGE(H158,J158,G158)</f>
        <v>62891.666666666664</v>
      </c>
      <c r="L158" s="24">
        <f t="shared" si="335"/>
        <v>10084.666666666664</v>
      </c>
      <c r="M158" s="281">
        <f t="shared" si="287"/>
        <v>0.18080980128492449</v>
      </c>
      <c r="N158" s="597">
        <f t="shared" si="298"/>
        <v>62891.666666666664</v>
      </c>
      <c r="O158" s="410">
        <v>45886</v>
      </c>
      <c r="P158" s="575">
        <f t="shared" si="299"/>
        <v>48465</v>
      </c>
      <c r="Q158" s="10">
        <v>115000</v>
      </c>
      <c r="R158" s="10">
        <v>130000</v>
      </c>
      <c r="S158" s="268">
        <v>125000</v>
      </c>
      <c r="T158" s="10">
        <v>120000</v>
      </c>
      <c r="U158" s="76">
        <f>AVERAGE(Q158,R158,S158,T158)</f>
        <v>122500</v>
      </c>
      <c r="V158" s="24">
        <f t="shared" si="289"/>
        <v>74035</v>
      </c>
      <c r="W158" s="281">
        <f t="shared" si="336"/>
        <v>1.61345508433945</v>
      </c>
      <c r="X158" s="462">
        <f>AVERAGE(U158,P158)</f>
        <v>85482.5</v>
      </c>
      <c r="Y158" s="410">
        <v>115976</v>
      </c>
      <c r="Z158" s="575">
        <f t="shared" si="292"/>
        <v>122494</v>
      </c>
      <c r="AA158" s="31">
        <v>150836</v>
      </c>
      <c r="AB158" s="31">
        <v>196086</v>
      </c>
      <c r="AC158" s="472">
        <v>131841.4</v>
      </c>
      <c r="AD158" s="76">
        <f t="shared" si="312"/>
        <v>135057.13333333333</v>
      </c>
      <c r="AE158" s="24">
        <f t="shared" si="293"/>
        <v>12563.133333333331</v>
      </c>
      <c r="AF158" s="25">
        <f t="shared" si="338"/>
        <v>0.10832528569129243</v>
      </c>
      <c r="AG158" s="309">
        <f t="shared" si="339"/>
        <v>135057.13333333333</v>
      </c>
      <c r="AH158" s="601">
        <f t="shared" si="340"/>
        <v>135057.13333333333</v>
      </c>
      <c r="AI158" s="410">
        <v>50984</v>
      </c>
      <c r="AJ158" s="575">
        <f t="shared" si="294"/>
        <v>53849</v>
      </c>
      <c r="AK158" s="45">
        <v>98000</v>
      </c>
      <c r="AL158" s="45">
        <v>62301</v>
      </c>
      <c r="AM158" s="45">
        <v>76000</v>
      </c>
      <c r="AN158" s="76">
        <f t="shared" si="300"/>
        <v>72537.5</v>
      </c>
      <c r="AO158" s="24">
        <f t="shared" si="341"/>
        <v>21553.5</v>
      </c>
      <c r="AP158" s="281">
        <f t="shared" si="342"/>
        <v>0.42275027459595166</v>
      </c>
      <c r="AQ158" s="601">
        <f t="shared" si="343"/>
        <v>72537.5</v>
      </c>
      <c r="AR158" s="513">
        <v>53300</v>
      </c>
      <c r="AS158" s="575">
        <f t="shared" si="301"/>
        <v>56295</v>
      </c>
      <c r="AT158" s="88">
        <v>110000</v>
      </c>
      <c r="AU158" s="116">
        <v>110000</v>
      </c>
      <c r="AV158" s="74">
        <v>74250</v>
      </c>
      <c r="AW158" s="76">
        <f t="shared" si="295"/>
        <v>87636.25</v>
      </c>
      <c r="AX158" s="24">
        <f t="shared" si="344"/>
        <v>34336.25</v>
      </c>
      <c r="AY158" s="25">
        <f t="shared" si="345"/>
        <v>0.64420731707317069</v>
      </c>
      <c r="AZ158" s="309" t="str">
        <f t="shared" si="346"/>
        <v>REVISAR PRECIO</v>
      </c>
      <c r="BA158" s="604">
        <f t="shared" si="347"/>
        <v>87636.25</v>
      </c>
      <c r="BB158" s="513">
        <v>53300</v>
      </c>
      <c r="BC158" s="575">
        <f t="shared" si="296"/>
        <v>56295</v>
      </c>
      <c r="BD158" s="74">
        <v>77625</v>
      </c>
      <c r="BE158" s="74">
        <v>140000</v>
      </c>
      <c r="BF158" s="75">
        <v>89437.5</v>
      </c>
      <c r="BG158" s="61">
        <v>119599.99999999999</v>
      </c>
      <c r="BH158" s="60">
        <v>120000</v>
      </c>
      <c r="BI158" s="74">
        <v>137539.99999999997</v>
      </c>
      <c r="BJ158" s="79">
        <v>89437.5</v>
      </c>
      <c r="BK158" s="79">
        <v>67500</v>
      </c>
      <c r="BL158" s="127">
        <v>81000</v>
      </c>
      <c r="BM158" s="128">
        <v>66500</v>
      </c>
      <c r="BN158" s="128">
        <v>70000</v>
      </c>
      <c r="BO158" s="76">
        <f>AVERAGE(BC158,BD158,BE158,BF158,BH158,BJ158,BK158,BL158,BM158,BN158)</f>
        <v>85779.5</v>
      </c>
      <c r="BP158" s="24">
        <f t="shared" si="348"/>
        <v>32479.5</v>
      </c>
      <c r="BQ158" s="25">
        <f t="shared" si="349"/>
        <v>0.60937148217636028</v>
      </c>
      <c r="BR158" s="259" t="str">
        <f t="shared" si="350"/>
        <v>REVISAR PRECIO</v>
      </c>
      <c r="BS158" s="607">
        <f t="shared" si="297"/>
        <v>85779.5</v>
      </c>
    </row>
    <row r="159" spans="1:71" ht="54" customHeight="1">
      <c r="A159" s="91" t="s">
        <v>27</v>
      </c>
      <c r="B159" s="358" t="s">
        <v>2350</v>
      </c>
      <c r="C159" s="50" t="s">
        <v>228</v>
      </c>
      <c r="D159" s="99" t="s">
        <v>568</v>
      </c>
      <c r="E159" s="391" t="s">
        <v>13</v>
      </c>
      <c r="F159" s="410">
        <v>39139</v>
      </c>
      <c r="G159" s="589">
        <f t="shared" si="288"/>
        <v>41339</v>
      </c>
      <c r="H159" s="10">
        <v>123750</v>
      </c>
      <c r="I159" s="167">
        <v>495000</v>
      </c>
      <c r="J159" s="10">
        <v>85600</v>
      </c>
      <c r="K159" s="76">
        <f>AVERAGE(J159,G159)</f>
        <v>63469.5</v>
      </c>
      <c r="L159" s="24">
        <f t="shared" si="335"/>
        <v>24330.5</v>
      </c>
      <c r="M159" s="281">
        <f t="shared" si="287"/>
        <v>0.58856043929461288</v>
      </c>
      <c r="N159" s="597">
        <f t="shared" si="298"/>
        <v>63469.5</v>
      </c>
      <c r="O159" s="566">
        <v>53300</v>
      </c>
      <c r="P159" s="579">
        <f t="shared" si="299"/>
        <v>56295</v>
      </c>
      <c r="Q159" s="568">
        <v>163968.75</v>
      </c>
      <c r="R159" s="568">
        <f>99000*1.25</f>
        <v>123750</v>
      </c>
      <c r="S159" s="572">
        <v>148500</v>
      </c>
      <c r="T159" s="570">
        <v>145000</v>
      </c>
      <c r="U159" s="560">
        <f>AVERAGE(Q159,R159,S159,T159)</f>
        <v>145304.6875</v>
      </c>
      <c r="V159" s="561">
        <f t="shared" ref="V159" si="351">U159-P159</f>
        <v>89009.6875</v>
      </c>
      <c r="W159" s="281">
        <f t="shared" ref="W159" si="352">+V159/O159</f>
        <v>1.6699753752345217</v>
      </c>
      <c r="X159" s="462">
        <f>AVERAGE(U159,P159)</f>
        <v>100799.84375</v>
      </c>
      <c r="Y159" s="410">
        <v>77393</v>
      </c>
      <c r="Z159" s="575">
        <f t="shared" si="292"/>
        <v>81742</v>
      </c>
      <c r="AA159" s="31">
        <v>100656</v>
      </c>
      <c r="AB159" s="31">
        <v>130853</v>
      </c>
      <c r="AC159" s="472">
        <v>87980.800000000003</v>
      </c>
      <c r="AD159" s="76">
        <f t="shared" si="312"/>
        <v>90126.266666666663</v>
      </c>
      <c r="AE159" s="24">
        <f t="shared" si="293"/>
        <v>8384.2666666666628</v>
      </c>
      <c r="AF159" s="25">
        <f t="shared" si="338"/>
        <v>0.1083336563599636</v>
      </c>
      <c r="AG159" s="309">
        <f t="shared" si="339"/>
        <v>90126.266666666663</v>
      </c>
      <c r="AH159" s="601">
        <f t="shared" si="340"/>
        <v>90126.266666666663</v>
      </c>
      <c r="AI159" s="410">
        <v>39716</v>
      </c>
      <c r="AJ159" s="575">
        <f t="shared" si="294"/>
        <v>41948</v>
      </c>
      <c r="AK159" s="45">
        <v>110000</v>
      </c>
      <c r="AL159" s="45">
        <v>123750</v>
      </c>
      <c r="AM159" s="45">
        <v>130000</v>
      </c>
      <c r="AN159" s="76">
        <f t="shared" si="300"/>
        <v>101424.5</v>
      </c>
      <c r="AO159" s="24">
        <f t="shared" si="341"/>
        <v>61708.5</v>
      </c>
      <c r="AP159" s="281">
        <f t="shared" si="342"/>
        <v>1.5537440829892235</v>
      </c>
      <c r="AQ159" s="604">
        <f t="shared" si="343"/>
        <v>101424.5</v>
      </c>
      <c r="AR159" s="513">
        <v>53300</v>
      </c>
      <c r="AS159" s="575">
        <f t="shared" si="301"/>
        <v>56295</v>
      </c>
      <c r="AT159" s="88">
        <v>130000</v>
      </c>
      <c r="AU159" s="116">
        <v>140000</v>
      </c>
      <c r="AV159" s="74">
        <v>136125</v>
      </c>
      <c r="AW159" s="76">
        <f t="shared" si="295"/>
        <v>115605</v>
      </c>
      <c r="AX159" s="24">
        <f t="shared" si="344"/>
        <v>62305</v>
      </c>
      <c r="AY159" s="25">
        <f t="shared" si="345"/>
        <v>1.1689493433395872</v>
      </c>
      <c r="AZ159" s="309" t="str">
        <f t="shared" si="346"/>
        <v>REVISAR PRECIO</v>
      </c>
      <c r="BA159" s="604">
        <f t="shared" si="347"/>
        <v>115605</v>
      </c>
      <c r="BB159" s="513">
        <v>53300</v>
      </c>
      <c r="BC159" s="575">
        <f t="shared" si="296"/>
        <v>56295</v>
      </c>
      <c r="BD159" s="74">
        <v>142312.5</v>
      </c>
      <c r="BE159" s="74">
        <v>135000</v>
      </c>
      <c r="BF159" s="75">
        <v>163968.75</v>
      </c>
      <c r="BG159" s="61">
        <v>142312.5</v>
      </c>
      <c r="BH159" s="60">
        <v>90000</v>
      </c>
      <c r="BI159" s="74">
        <v>163659.375</v>
      </c>
      <c r="BJ159" s="79">
        <v>163968.75</v>
      </c>
      <c r="BK159" s="79">
        <f>99000*1.25</f>
        <v>123750</v>
      </c>
      <c r="BL159" s="127">
        <v>148500</v>
      </c>
      <c r="BM159" s="128">
        <v>145000</v>
      </c>
      <c r="BN159" s="128">
        <v>130000</v>
      </c>
      <c r="BO159" s="76">
        <f>AVERAGE(BC159,BD159,BE159,BG159,BH159,BJ159,BK159,BL159,BM159,BN159)</f>
        <v>127713.875</v>
      </c>
      <c r="BP159" s="24">
        <f t="shared" si="348"/>
        <v>74413.875</v>
      </c>
      <c r="BQ159" s="25">
        <f t="shared" si="349"/>
        <v>1.3961327392120075</v>
      </c>
      <c r="BR159" s="259" t="str">
        <f t="shared" si="350"/>
        <v>REVISAR PRECIO</v>
      </c>
      <c r="BS159" s="607">
        <f t="shared" si="297"/>
        <v>127713.875</v>
      </c>
    </row>
    <row r="160" spans="1:71" ht="45" customHeight="1">
      <c r="A160" s="91" t="s">
        <v>27</v>
      </c>
      <c r="B160" s="358" t="s">
        <v>2351</v>
      </c>
      <c r="C160" s="50" t="s">
        <v>229</v>
      </c>
      <c r="D160" s="99" t="s">
        <v>569</v>
      </c>
      <c r="E160" s="391" t="s">
        <v>13</v>
      </c>
      <c r="F160" s="410">
        <v>64919</v>
      </c>
      <c r="G160" s="589">
        <f t="shared" si="288"/>
        <v>68567</v>
      </c>
      <c r="H160" s="10">
        <v>95000</v>
      </c>
      <c r="I160" s="167">
        <v>380000</v>
      </c>
      <c r="J160" s="10">
        <v>93650</v>
      </c>
      <c r="K160" s="76">
        <f>AVERAGE(H160,J160,G160)</f>
        <v>85739</v>
      </c>
      <c r="L160" s="24">
        <f t="shared" si="335"/>
        <v>20820</v>
      </c>
      <c r="M160" s="281">
        <f t="shared" si="287"/>
        <v>0.30364461038108709</v>
      </c>
      <c r="N160" s="597">
        <f t="shared" si="298"/>
        <v>85739</v>
      </c>
      <c r="O160" s="410">
        <v>59005</v>
      </c>
      <c r="P160" s="575">
        <f t="shared" si="299"/>
        <v>62321</v>
      </c>
      <c r="Q160" s="10">
        <v>125000</v>
      </c>
      <c r="R160" s="10">
        <v>132500</v>
      </c>
      <c r="S160" s="268">
        <v>130000</v>
      </c>
      <c r="T160" s="10">
        <v>140000</v>
      </c>
      <c r="U160" s="76">
        <f>AVERAGE(Q160,R160,S160,T160,P160)</f>
        <v>117964.2</v>
      </c>
      <c r="V160" s="24">
        <f t="shared" si="289"/>
        <v>55643.199999999997</v>
      </c>
      <c r="W160" s="281">
        <f t="shared" ref="W160" si="353">+V160/O160</f>
        <v>0.94302516735869835</v>
      </c>
      <c r="X160" s="462">
        <f t="shared" ref="X160" si="354">U160</f>
        <v>117964.2</v>
      </c>
      <c r="Y160" s="410">
        <v>128380</v>
      </c>
      <c r="Z160" s="575">
        <f t="shared" si="292"/>
        <v>135595</v>
      </c>
      <c r="AA160" s="33">
        <v>166968</v>
      </c>
      <c r="AB160" s="31">
        <v>217058</v>
      </c>
      <c r="AC160" s="472">
        <v>145942.39999999999</v>
      </c>
      <c r="AD160" s="76">
        <f t="shared" si="312"/>
        <v>149501.80000000002</v>
      </c>
      <c r="AE160" s="24">
        <f t="shared" si="293"/>
        <v>13906.800000000017</v>
      </c>
      <c r="AF160" s="25">
        <f t="shared" si="338"/>
        <v>0.1083252843121983</v>
      </c>
      <c r="AG160" s="309">
        <f t="shared" si="339"/>
        <v>149501.80000000002</v>
      </c>
      <c r="AH160" s="601">
        <f t="shared" si="340"/>
        <v>149501.80000000002</v>
      </c>
      <c r="AI160" s="410">
        <v>65887</v>
      </c>
      <c r="AJ160" s="575">
        <f t="shared" si="294"/>
        <v>69590</v>
      </c>
      <c r="AK160" s="45">
        <v>125000</v>
      </c>
      <c r="AL160" s="45">
        <v>9500</v>
      </c>
      <c r="AM160" s="45">
        <v>110000</v>
      </c>
      <c r="AN160" s="76">
        <f>AVERAGE(AK160,AM160,AJ160)</f>
        <v>101530</v>
      </c>
      <c r="AO160" s="24">
        <f t="shared" si="341"/>
        <v>35643</v>
      </c>
      <c r="AP160" s="281">
        <f t="shared" si="342"/>
        <v>0.54097166360587068</v>
      </c>
      <c r="AQ160" s="604">
        <f t="shared" si="343"/>
        <v>101530</v>
      </c>
      <c r="AR160" s="513">
        <v>66219</v>
      </c>
      <c r="AS160" s="575">
        <f t="shared" si="301"/>
        <v>69941</v>
      </c>
      <c r="AT160" s="88">
        <v>100000</v>
      </c>
      <c r="AU160" s="116">
        <v>100000</v>
      </c>
      <c r="AV160" s="74">
        <v>104500</v>
      </c>
      <c r="AW160" s="76">
        <f t="shared" si="295"/>
        <v>93610.25</v>
      </c>
      <c r="AX160" s="24">
        <f t="shared" si="344"/>
        <v>27391.25</v>
      </c>
      <c r="AY160" s="25">
        <f t="shared" si="345"/>
        <v>0.41364638547848803</v>
      </c>
      <c r="AZ160" s="309" t="str">
        <f t="shared" si="346"/>
        <v>REVISAR PRECIO</v>
      </c>
      <c r="BA160" s="604">
        <f t="shared" si="347"/>
        <v>93610.25</v>
      </c>
      <c r="BB160" s="513">
        <v>66219</v>
      </c>
      <c r="BC160" s="575">
        <f t="shared" si="296"/>
        <v>69941</v>
      </c>
      <c r="BD160" s="74">
        <v>109250</v>
      </c>
      <c r="BE160" s="74">
        <v>110000</v>
      </c>
      <c r="BF160" s="75">
        <v>125875</v>
      </c>
      <c r="BG160" s="61">
        <v>138230</v>
      </c>
      <c r="BH160" s="60">
        <v>180000</v>
      </c>
      <c r="BI160" s="74">
        <v>158964.5</v>
      </c>
      <c r="BJ160" s="79">
        <v>125875</v>
      </c>
      <c r="BK160" s="79">
        <v>95000</v>
      </c>
      <c r="BL160" s="127">
        <v>114000</v>
      </c>
      <c r="BM160" s="128">
        <v>105000</v>
      </c>
      <c r="BN160" s="128">
        <v>110000</v>
      </c>
      <c r="BO160" s="76">
        <f>AVERAGE(BC160,BD160,BE160,BF160,BI160,BJ160,BK160,BL160,BM160,BN160)</f>
        <v>112390.55</v>
      </c>
      <c r="BP160" s="24">
        <f t="shared" si="348"/>
        <v>46171.55</v>
      </c>
      <c r="BQ160" s="25">
        <f t="shared" si="349"/>
        <v>0.69725531947024277</v>
      </c>
      <c r="BR160" s="259" t="str">
        <f t="shared" si="350"/>
        <v>REVISAR PRECIO</v>
      </c>
      <c r="BS160" s="607">
        <f t="shared" si="297"/>
        <v>112390.55</v>
      </c>
    </row>
    <row r="161" spans="1:71" ht="45" customHeight="1">
      <c r="A161" s="91" t="s">
        <v>27</v>
      </c>
      <c r="B161" s="358" t="s">
        <v>2352</v>
      </c>
      <c r="C161" s="50" t="s">
        <v>230</v>
      </c>
      <c r="D161" s="99" t="s">
        <v>570</v>
      </c>
      <c r="E161" s="391" t="s">
        <v>13</v>
      </c>
      <c r="F161" s="410">
        <v>129439</v>
      </c>
      <c r="G161" s="589">
        <f t="shared" si="288"/>
        <v>136713</v>
      </c>
      <c r="H161" s="10">
        <v>173256</v>
      </c>
      <c r="I161" s="167">
        <v>693024</v>
      </c>
      <c r="J161" s="10">
        <v>129700</v>
      </c>
      <c r="K161" s="76">
        <f>AVERAGE(H161,J161,G161)</f>
        <v>146556.33333333334</v>
      </c>
      <c r="L161" s="24">
        <f t="shared" si="335"/>
        <v>17117.333333333343</v>
      </c>
      <c r="M161" s="281">
        <f t="shared" si="287"/>
        <v>0.12520633248727878</v>
      </c>
      <c r="N161" s="597">
        <f t="shared" si="298"/>
        <v>146556.33333333334</v>
      </c>
      <c r="O161" s="566">
        <v>113511</v>
      </c>
      <c r="P161" s="579">
        <f t="shared" si="299"/>
        <v>119890</v>
      </c>
      <c r="Q161" s="568">
        <v>229564.19999999998</v>
      </c>
      <c r="R161" s="568">
        <f>144380*1.2</f>
        <v>173256</v>
      </c>
      <c r="S161" s="572">
        <v>207907.20000000001</v>
      </c>
      <c r="T161" s="570">
        <v>191000</v>
      </c>
      <c r="U161" s="560">
        <f t="shared" ref="U161:U167" si="355">AVERAGE(Q161,R161,S161,T161,P161)</f>
        <v>184323.47999999998</v>
      </c>
      <c r="V161" s="561">
        <f t="shared" ref="V161:V167" si="356">U161-P161</f>
        <v>64433.479999999981</v>
      </c>
      <c r="W161" s="281">
        <f t="shared" ref="W161:W167" si="357">+V161/O161</f>
        <v>0.56764084538062376</v>
      </c>
      <c r="X161" s="462">
        <f t="shared" ref="X161:X167" si="358">U161</f>
        <v>184323.47999999998</v>
      </c>
      <c r="Y161" s="410">
        <v>220077</v>
      </c>
      <c r="Z161" s="575">
        <f t="shared" si="292"/>
        <v>232445</v>
      </c>
      <c r="AA161" s="31">
        <v>286227</v>
      </c>
      <c r="AB161" s="31">
        <v>372095</v>
      </c>
      <c r="AC161" s="472">
        <v>250183.6</v>
      </c>
      <c r="AD161" s="76">
        <f t="shared" si="312"/>
        <v>256285.19999999998</v>
      </c>
      <c r="AE161" s="24">
        <f t="shared" si="293"/>
        <v>23840.199999999983</v>
      </c>
      <c r="AF161" s="25">
        <f t="shared" si="338"/>
        <v>0.1083266311336486</v>
      </c>
      <c r="AG161" s="309">
        <f t="shared" si="339"/>
        <v>256285.19999999998</v>
      </c>
      <c r="AH161" s="601">
        <f t="shared" si="340"/>
        <v>256285.19999999998</v>
      </c>
      <c r="AI161" s="410">
        <v>120069</v>
      </c>
      <c r="AJ161" s="575">
        <f t="shared" si="294"/>
        <v>126817</v>
      </c>
      <c r="AK161" s="45">
        <v>150000</v>
      </c>
      <c r="AL161" s="45">
        <v>173256</v>
      </c>
      <c r="AM161" s="45">
        <v>180000</v>
      </c>
      <c r="AN161" s="76">
        <f t="shared" si="300"/>
        <v>157518.25</v>
      </c>
      <c r="AO161" s="24">
        <f t="shared" si="341"/>
        <v>37449.25</v>
      </c>
      <c r="AP161" s="281">
        <f t="shared" si="342"/>
        <v>0.31189774213160765</v>
      </c>
      <c r="AQ161" s="601">
        <f t="shared" si="343"/>
        <v>157518.25</v>
      </c>
      <c r="AR161" s="513">
        <v>113511</v>
      </c>
      <c r="AS161" s="575">
        <f t="shared" si="301"/>
        <v>119890</v>
      </c>
      <c r="AT161" s="88">
        <v>200000</v>
      </c>
      <c r="AU161" s="116">
        <v>200000</v>
      </c>
      <c r="AV161" s="74">
        <v>190581.6</v>
      </c>
      <c r="AW161" s="76">
        <f t="shared" si="295"/>
        <v>177617.9</v>
      </c>
      <c r="AX161" s="24">
        <f t="shared" si="344"/>
        <v>64106.899999999994</v>
      </c>
      <c r="AY161" s="25">
        <f t="shared" si="345"/>
        <v>0.56476376738818257</v>
      </c>
      <c r="AZ161" s="309" t="str">
        <f t="shared" si="346"/>
        <v>REVISAR PRECIO</v>
      </c>
      <c r="BA161" s="604">
        <f t="shared" si="347"/>
        <v>177617.9</v>
      </c>
      <c r="BB161" s="513">
        <v>113511</v>
      </c>
      <c r="BC161" s="575">
        <f t="shared" si="296"/>
        <v>119890</v>
      </c>
      <c r="BD161" s="74">
        <v>199244.4</v>
      </c>
      <c r="BE161" s="74">
        <v>215000</v>
      </c>
      <c r="BF161" s="75">
        <v>229564.19999999998</v>
      </c>
      <c r="BG161" s="61">
        <v>225859.99999999997</v>
      </c>
      <c r="BH161" s="60">
        <v>250000</v>
      </c>
      <c r="BI161" s="74">
        <v>259738.99999999994</v>
      </c>
      <c r="BJ161" s="79">
        <v>229564.19999999998</v>
      </c>
      <c r="BK161" s="79">
        <f>144380*1.2</f>
        <v>173256</v>
      </c>
      <c r="BL161" s="127">
        <v>207907.20000000001</v>
      </c>
      <c r="BM161" s="128">
        <v>191000</v>
      </c>
      <c r="BN161" s="128">
        <v>185000</v>
      </c>
      <c r="BO161" s="76">
        <f t="shared" si="314"/>
        <v>207168.75</v>
      </c>
      <c r="BP161" s="24">
        <f t="shared" si="348"/>
        <v>93657.75</v>
      </c>
      <c r="BQ161" s="25">
        <f t="shared" si="349"/>
        <v>0.8250984486085049</v>
      </c>
      <c r="BR161" s="259" t="str">
        <f t="shared" si="350"/>
        <v>REVISAR PRECIO</v>
      </c>
      <c r="BS161" s="607">
        <f t="shared" si="297"/>
        <v>207168.75</v>
      </c>
    </row>
    <row r="162" spans="1:71" ht="45" customHeight="1">
      <c r="A162" s="91" t="s">
        <v>27</v>
      </c>
      <c r="B162" s="358" t="s">
        <v>2353</v>
      </c>
      <c r="C162" s="50" t="s">
        <v>231</v>
      </c>
      <c r="D162" s="99" t="s">
        <v>571</v>
      </c>
      <c r="E162" s="391" t="s">
        <v>13</v>
      </c>
      <c r="F162" s="410">
        <v>38549</v>
      </c>
      <c r="G162" s="589">
        <f t="shared" si="288"/>
        <v>40715</v>
      </c>
      <c r="H162" s="10">
        <v>41250</v>
      </c>
      <c r="I162" s="167">
        <v>123750</v>
      </c>
      <c r="J162" s="10">
        <v>38500</v>
      </c>
      <c r="K162" s="76">
        <f>AVERAGE(H162,G162)</f>
        <v>40982.5</v>
      </c>
      <c r="L162" s="24">
        <f t="shared" si="335"/>
        <v>2433.5</v>
      </c>
      <c r="M162" s="281">
        <f t="shared" si="287"/>
        <v>5.9769126857423555E-2</v>
      </c>
      <c r="N162" s="597">
        <f t="shared" si="298"/>
        <v>40982.5</v>
      </c>
      <c r="O162" s="566">
        <v>29645</v>
      </c>
      <c r="P162" s="579">
        <f t="shared" si="299"/>
        <v>31311</v>
      </c>
      <c r="Q162" s="568">
        <v>54656.25</v>
      </c>
      <c r="R162" s="568">
        <f>33000*1.25</f>
        <v>41250</v>
      </c>
      <c r="S162" s="572">
        <v>49500</v>
      </c>
      <c r="T162" s="570">
        <v>50000</v>
      </c>
      <c r="U162" s="560">
        <f t="shared" si="355"/>
        <v>45343.45</v>
      </c>
      <c r="V162" s="561">
        <f t="shared" si="356"/>
        <v>14032.449999999997</v>
      </c>
      <c r="W162" s="281">
        <f t="shared" si="357"/>
        <v>0.47334963737561131</v>
      </c>
      <c r="X162" s="462">
        <f t="shared" si="358"/>
        <v>45343.45</v>
      </c>
      <c r="Y162" s="410">
        <v>57474</v>
      </c>
      <c r="Z162" s="575">
        <f t="shared" si="292"/>
        <v>60704</v>
      </c>
      <c r="AA162" s="31">
        <v>74750</v>
      </c>
      <c r="AB162" s="31">
        <v>97174</v>
      </c>
      <c r="AC162" s="472">
        <v>65336.6</v>
      </c>
      <c r="AD162" s="76">
        <f t="shared" si="312"/>
        <v>66930.2</v>
      </c>
      <c r="AE162" s="24">
        <f t="shared" si="293"/>
        <v>6226.1999999999971</v>
      </c>
      <c r="AF162" s="25">
        <f t="shared" si="338"/>
        <v>0.10833072345756337</v>
      </c>
      <c r="AG162" s="309">
        <f t="shared" si="339"/>
        <v>66930.2</v>
      </c>
      <c r="AH162" s="601">
        <f t="shared" si="340"/>
        <v>66930.2</v>
      </c>
      <c r="AI162" s="410">
        <v>35511</v>
      </c>
      <c r="AJ162" s="575">
        <f t="shared" si="294"/>
        <v>37507</v>
      </c>
      <c r="AK162" s="45">
        <v>52000</v>
      </c>
      <c r="AL162" s="45">
        <v>45483</v>
      </c>
      <c r="AM162" s="45">
        <v>41000</v>
      </c>
      <c r="AN162" s="76">
        <f>AVERAGE(AL162,AM162,AJ162)</f>
        <v>41330</v>
      </c>
      <c r="AO162" s="24">
        <f t="shared" si="341"/>
        <v>5819</v>
      </c>
      <c r="AP162" s="281">
        <f t="shared" si="342"/>
        <v>0.16386471797471205</v>
      </c>
      <c r="AQ162" s="601">
        <f t="shared" si="343"/>
        <v>41330</v>
      </c>
      <c r="AR162" s="513">
        <v>29645</v>
      </c>
      <c r="AS162" s="575">
        <f t="shared" si="301"/>
        <v>31311</v>
      </c>
      <c r="AT162" s="88">
        <v>55000</v>
      </c>
      <c r="AU162" s="116">
        <v>55000</v>
      </c>
      <c r="AV162" s="74">
        <v>45375</v>
      </c>
      <c r="AW162" s="76">
        <f t="shared" si="295"/>
        <v>46671.5</v>
      </c>
      <c r="AX162" s="24">
        <f t="shared" si="344"/>
        <v>17026.5</v>
      </c>
      <c r="AY162" s="25">
        <f t="shared" si="345"/>
        <v>0.57434643278799125</v>
      </c>
      <c r="AZ162" s="309" t="str">
        <f t="shared" si="346"/>
        <v>REVISAR PRECIO</v>
      </c>
      <c r="BA162" s="604">
        <f t="shared" si="347"/>
        <v>46671.5</v>
      </c>
      <c r="BB162" s="513">
        <v>29645</v>
      </c>
      <c r="BC162" s="575">
        <f t="shared" si="296"/>
        <v>31311</v>
      </c>
      <c r="BD162" s="74">
        <v>47437.5</v>
      </c>
      <c r="BE162" s="74">
        <v>65000</v>
      </c>
      <c r="BF162" s="75">
        <v>54656.25</v>
      </c>
      <c r="BG162" s="61">
        <v>55774.999999999993</v>
      </c>
      <c r="BH162" s="60">
        <v>145000</v>
      </c>
      <c r="BI162" s="74">
        <v>64141.249999999985</v>
      </c>
      <c r="BJ162" s="79">
        <v>54656.25</v>
      </c>
      <c r="BK162" s="79">
        <f>33000*1.25</f>
        <v>41250</v>
      </c>
      <c r="BL162" s="127">
        <v>49500</v>
      </c>
      <c r="BM162" s="128">
        <v>50000</v>
      </c>
      <c r="BN162" s="128">
        <v>50000</v>
      </c>
      <c r="BO162" s="76">
        <f>AVERAGE(BC162,BD162,BE162,BF162,BG162,BI162,BJ162,BK162,BL162,BM162,BN162)</f>
        <v>51247.931818181816</v>
      </c>
      <c r="BP162" s="24">
        <f t="shared" si="348"/>
        <v>21602.931818181816</v>
      </c>
      <c r="BQ162" s="25">
        <f t="shared" si="349"/>
        <v>0.72872092488385276</v>
      </c>
      <c r="BR162" s="259" t="str">
        <f t="shared" si="350"/>
        <v>REVISAR PRECIO</v>
      </c>
      <c r="BS162" s="607">
        <f t="shared" si="297"/>
        <v>51247.931818181816</v>
      </c>
    </row>
    <row r="163" spans="1:71" ht="45" customHeight="1">
      <c r="A163" s="91" t="s">
        <v>27</v>
      </c>
      <c r="B163" s="358" t="s">
        <v>2354</v>
      </c>
      <c r="C163" s="50" t="s">
        <v>232</v>
      </c>
      <c r="D163" s="99" t="s">
        <v>572</v>
      </c>
      <c r="E163" s="391" t="s">
        <v>13</v>
      </c>
      <c r="F163" s="410">
        <v>40770</v>
      </c>
      <c r="G163" s="589">
        <f t="shared" si="288"/>
        <v>43061</v>
      </c>
      <c r="H163" s="10">
        <v>42250</v>
      </c>
      <c r="I163" s="167">
        <v>126750</v>
      </c>
      <c r="J163" s="10">
        <v>42500</v>
      </c>
      <c r="K163" s="76">
        <f>AVERAGE(H163,J163,G163)</f>
        <v>42603.666666666664</v>
      </c>
      <c r="L163" s="24">
        <f t="shared" si="335"/>
        <v>1833.6666666666642</v>
      </c>
      <c r="M163" s="281">
        <f t="shared" si="287"/>
        <v>4.2583002407437454E-2</v>
      </c>
      <c r="N163" s="597">
        <f t="shared" si="298"/>
        <v>42603.666666666664</v>
      </c>
      <c r="O163" s="566">
        <v>31068</v>
      </c>
      <c r="P163" s="579">
        <f t="shared" si="299"/>
        <v>32814</v>
      </c>
      <c r="Q163" s="568">
        <v>55981.25</v>
      </c>
      <c r="R163" s="568">
        <f>33800*1.25</f>
        <v>42250</v>
      </c>
      <c r="S163" s="572">
        <v>50700</v>
      </c>
      <c r="T163" s="570">
        <v>40000</v>
      </c>
      <c r="U163" s="560">
        <f t="shared" si="355"/>
        <v>44349.05</v>
      </c>
      <c r="V163" s="561">
        <f t="shared" si="356"/>
        <v>11535.050000000003</v>
      </c>
      <c r="W163" s="281">
        <f t="shared" si="357"/>
        <v>0.37128395777005291</v>
      </c>
      <c r="X163" s="462">
        <f t="shared" si="358"/>
        <v>44349.05</v>
      </c>
      <c r="Y163" s="410">
        <v>60235</v>
      </c>
      <c r="Z163" s="575">
        <f t="shared" si="292"/>
        <v>63620</v>
      </c>
      <c r="AA163" s="31">
        <v>78341</v>
      </c>
      <c r="AB163" s="31">
        <v>101843</v>
      </c>
      <c r="AC163" s="472">
        <v>68475.399999999994</v>
      </c>
      <c r="AD163" s="76">
        <f t="shared" si="312"/>
        <v>70145.46666666666</v>
      </c>
      <c r="AE163" s="24">
        <f t="shared" si="293"/>
        <v>6525.4666666666599</v>
      </c>
      <c r="AF163" s="25">
        <f t="shared" si="338"/>
        <v>0.10833347168036291</v>
      </c>
      <c r="AG163" s="309">
        <f t="shared" si="339"/>
        <v>70145.46666666666</v>
      </c>
      <c r="AH163" s="601">
        <f t="shared" si="340"/>
        <v>70145.46666666666</v>
      </c>
      <c r="AI163" s="410">
        <v>37476</v>
      </c>
      <c r="AJ163" s="575">
        <f t="shared" si="294"/>
        <v>39582</v>
      </c>
      <c r="AK163" s="45">
        <v>55000</v>
      </c>
      <c r="AL163" s="45">
        <v>48100</v>
      </c>
      <c r="AM163" s="45">
        <v>42000</v>
      </c>
      <c r="AN163" s="76">
        <f>AVERAGE(AL163,AM163,AJ163)</f>
        <v>43227.333333333336</v>
      </c>
      <c r="AO163" s="24">
        <f t="shared" si="341"/>
        <v>5751.3333333333358</v>
      </c>
      <c r="AP163" s="281">
        <f t="shared" si="342"/>
        <v>0.15346710783790521</v>
      </c>
      <c r="AQ163" s="601">
        <f t="shared" si="343"/>
        <v>43227.333333333336</v>
      </c>
      <c r="AR163" s="513">
        <v>31068</v>
      </c>
      <c r="AS163" s="575">
        <f t="shared" si="301"/>
        <v>32814</v>
      </c>
      <c r="AT163" s="88">
        <v>50000</v>
      </c>
      <c r="AU163" s="116">
        <v>50000</v>
      </c>
      <c r="AV163" s="74">
        <v>46475</v>
      </c>
      <c r="AW163" s="76">
        <f t="shared" si="295"/>
        <v>44822.25</v>
      </c>
      <c r="AX163" s="24">
        <f t="shared" si="344"/>
        <v>13754.25</v>
      </c>
      <c r="AY163" s="25">
        <f t="shared" si="345"/>
        <v>0.44271436848203938</v>
      </c>
      <c r="AZ163" s="309" t="str">
        <f t="shared" si="346"/>
        <v>REVISAR PRECIO</v>
      </c>
      <c r="BA163" s="604">
        <f t="shared" si="347"/>
        <v>44822.25</v>
      </c>
      <c r="BB163" s="513">
        <v>31068</v>
      </c>
      <c r="BC163" s="575">
        <f t="shared" si="296"/>
        <v>32814</v>
      </c>
      <c r="BD163" s="74">
        <v>48587.5</v>
      </c>
      <c r="BE163" s="74">
        <v>80000</v>
      </c>
      <c r="BF163" s="75">
        <v>55981.25</v>
      </c>
      <c r="BG163" s="61">
        <v>57614.999999999993</v>
      </c>
      <c r="BH163" s="60">
        <v>178000</v>
      </c>
      <c r="BI163" s="74">
        <v>66257.249999999985</v>
      </c>
      <c r="BJ163" s="79">
        <v>55981.25</v>
      </c>
      <c r="BK163" s="79">
        <f>33800*1.25</f>
        <v>42250</v>
      </c>
      <c r="BL163" s="127">
        <v>50700</v>
      </c>
      <c r="BM163" s="128">
        <v>40000</v>
      </c>
      <c r="BN163" s="128">
        <v>55000</v>
      </c>
      <c r="BO163" s="76">
        <f>AVERAGE(BC163,BD163,BE163,BF163,BG163,BI163,BJ163,BK163,BL163,BM163)</f>
        <v>53018.625</v>
      </c>
      <c r="BP163" s="24">
        <f t="shared" si="348"/>
        <v>21950.625</v>
      </c>
      <c r="BQ163" s="25">
        <f t="shared" si="349"/>
        <v>0.70653485901892621</v>
      </c>
      <c r="BR163" s="259" t="str">
        <f t="shared" si="350"/>
        <v>REVISAR PRECIO</v>
      </c>
      <c r="BS163" s="607">
        <f t="shared" si="297"/>
        <v>53018.625</v>
      </c>
    </row>
    <row r="164" spans="1:71" ht="45" customHeight="1">
      <c r="A164" s="91" t="s">
        <v>27</v>
      </c>
      <c r="B164" s="358" t="s">
        <v>2355</v>
      </c>
      <c r="C164" s="50" t="s">
        <v>233</v>
      </c>
      <c r="D164" s="99" t="s">
        <v>573</v>
      </c>
      <c r="E164" s="391" t="s">
        <v>13</v>
      </c>
      <c r="F164" s="410">
        <v>108072</v>
      </c>
      <c r="G164" s="589">
        <f t="shared" si="288"/>
        <v>114146</v>
      </c>
      <c r="H164" s="10">
        <v>120200</v>
      </c>
      <c r="I164" s="167">
        <v>120200</v>
      </c>
      <c r="J164" s="10">
        <v>96800</v>
      </c>
      <c r="K164" s="76">
        <f>AVERAGE(H164,G164)</f>
        <v>117173</v>
      </c>
      <c r="L164" s="24">
        <f t="shared" si="335"/>
        <v>9101</v>
      </c>
      <c r="M164" s="281">
        <f t="shared" si="287"/>
        <v>7.9731221418183729E-2</v>
      </c>
      <c r="N164" s="597">
        <f t="shared" si="298"/>
        <v>117173</v>
      </c>
      <c r="O164" s="566">
        <v>92266</v>
      </c>
      <c r="P164" s="579">
        <f t="shared" si="299"/>
        <v>97451</v>
      </c>
      <c r="Q164" s="568">
        <v>159265</v>
      </c>
      <c r="R164" s="568">
        <v>120200</v>
      </c>
      <c r="S164" s="572">
        <v>144240</v>
      </c>
      <c r="T164" s="570">
        <v>118000</v>
      </c>
      <c r="U164" s="560">
        <f t="shared" si="355"/>
        <v>127831.2</v>
      </c>
      <c r="V164" s="561">
        <f t="shared" si="356"/>
        <v>30380.199999999997</v>
      </c>
      <c r="W164" s="281">
        <f t="shared" si="357"/>
        <v>0.32926755251121753</v>
      </c>
      <c r="X164" s="462">
        <f t="shared" si="358"/>
        <v>127831.2</v>
      </c>
      <c r="Y164" s="410">
        <v>164212</v>
      </c>
      <c r="Z164" s="575">
        <f t="shared" si="292"/>
        <v>173441</v>
      </c>
      <c r="AA164" s="31">
        <v>213570</v>
      </c>
      <c r="AB164" s="31">
        <v>277641</v>
      </c>
      <c r="AC164" s="472">
        <v>186676</v>
      </c>
      <c r="AD164" s="76">
        <f t="shared" si="312"/>
        <v>191229</v>
      </c>
      <c r="AE164" s="24">
        <f t="shared" si="293"/>
        <v>17788</v>
      </c>
      <c r="AF164" s="25">
        <f t="shared" si="338"/>
        <v>0.10832338684140014</v>
      </c>
      <c r="AG164" s="309">
        <f t="shared" si="339"/>
        <v>191229</v>
      </c>
      <c r="AH164" s="601">
        <f t="shared" si="340"/>
        <v>191229</v>
      </c>
      <c r="AI164" s="410">
        <v>102565</v>
      </c>
      <c r="AJ164" s="575">
        <f t="shared" si="294"/>
        <v>108329</v>
      </c>
      <c r="AK164" s="45">
        <v>110000</v>
      </c>
      <c r="AL164" s="45">
        <v>127512</v>
      </c>
      <c r="AM164" s="45">
        <v>105000</v>
      </c>
      <c r="AN164" s="76">
        <f t="shared" si="300"/>
        <v>112710.25</v>
      </c>
      <c r="AO164" s="24">
        <f t="shared" si="341"/>
        <v>10145.25</v>
      </c>
      <c r="AP164" s="281">
        <f t="shared" si="342"/>
        <v>9.8915321990932573E-2</v>
      </c>
      <c r="AQ164" s="601">
        <f t="shared" si="343"/>
        <v>112710.25</v>
      </c>
      <c r="AR164" s="513">
        <v>92266</v>
      </c>
      <c r="AS164" s="575">
        <f t="shared" si="301"/>
        <v>97451</v>
      </c>
      <c r="AT164" s="88">
        <v>140000</v>
      </c>
      <c r="AU164" s="116">
        <v>140000</v>
      </c>
      <c r="AV164" s="74">
        <v>132220</v>
      </c>
      <c r="AW164" s="76">
        <f t="shared" si="295"/>
        <v>127417.75</v>
      </c>
      <c r="AX164" s="24">
        <f t="shared" si="344"/>
        <v>35151.75</v>
      </c>
      <c r="AY164" s="25">
        <f t="shared" si="345"/>
        <v>0.38098270218715452</v>
      </c>
      <c r="AZ164" s="309" t="str">
        <f t="shared" si="346"/>
        <v>REVISAR PRECIO</v>
      </c>
      <c r="BA164" s="604">
        <f t="shared" si="347"/>
        <v>127417.75</v>
      </c>
      <c r="BB164" s="513">
        <v>92266</v>
      </c>
      <c r="BC164" s="575">
        <f t="shared" si="296"/>
        <v>97451</v>
      </c>
      <c r="BD164" s="74">
        <v>138230</v>
      </c>
      <c r="BE164" s="74">
        <v>140000</v>
      </c>
      <c r="BF164" s="75">
        <v>159265</v>
      </c>
      <c r="BG164" s="61">
        <v>138230</v>
      </c>
      <c r="BH164" s="60">
        <v>220000</v>
      </c>
      <c r="BI164" s="74">
        <v>158964.5</v>
      </c>
      <c r="BJ164" s="79">
        <v>159265</v>
      </c>
      <c r="BK164" s="79">
        <v>120200</v>
      </c>
      <c r="BL164" s="127">
        <v>144240</v>
      </c>
      <c r="BM164" s="128">
        <v>118000</v>
      </c>
      <c r="BN164" s="128">
        <v>120000</v>
      </c>
      <c r="BO164" s="76">
        <f>AVERAGE(BC164,BD164,BE164,BG164,BI164,BJ164,BK164,BM164,BN164)</f>
        <v>132260.05555555556</v>
      </c>
      <c r="BP164" s="24">
        <f t="shared" si="348"/>
        <v>39994.055555555562</v>
      </c>
      <c r="BQ164" s="25">
        <f t="shared" si="349"/>
        <v>0.43346471674891685</v>
      </c>
      <c r="BR164" s="259" t="str">
        <f t="shared" si="350"/>
        <v>REVISAR PRECIO</v>
      </c>
      <c r="BS164" s="607">
        <f t="shared" si="297"/>
        <v>132260.05555555556</v>
      </c>
    </row>
    <row r="165" spans="1:71" ht="45" customHeight="1">
      <c r="A165" s="91" t="s">
        <v>27</v>
      </c>
      <c r="B165" s="358" t="s">
        <v>2356</v>
      </c>
      <c r="C165" s="50" t="s">
        <v>234</v>
      </c>
      <c r="D165" s="99" t="s">
        <v>574</v>
      </c>
      <c r="E165" s="391" t="s">
        <v>13</v>
      </c>
      <c r="F165" s="410">
        <v>109753</v>
      </c>
      <c r="G165" s="589">
        <f t="shared" si="288"/>
        <v>115921</v>
      </c>
      <c r="H165" s="10">
        <v>118838</v>
      </c>
      <c r="I165" s="167">
        <v>118838</v>
      </c>
      <c r="J165" s="10">
        <v>108900</v>
      </c>
      <c r="K165" s="76">
        <f>AVERAGE(H165,J165,G165)</f>
        <v>114553</v>
      </c>
      <c r="L165" s="24">
        <f t="shared" si="335"/>
        <v>4800</v>
      </c>
      <c r="M165" s="281">
        <f t="shared" si="287"/>
        <v>4.1407510287178338E-2</v>
      </c>
      <c r="N165" s="597">
        <f t="shared" si="298"/>
        <v>114553</v>
      </c>
      <c r="O165" s="566">
        <v>91355</v>
      </c>
      <c r="P165" s="579">
        <f t="shared" si="299"/>
        <v>96489</v>
      </c>
      <c r="Q165" s="568">
        <v>157459.6875</v>
      </c>
      <c r="R165" s="568">
        <f>95070*1.25</f>
        <v>118837.5</v>
      </c>
      <c r="S165" s="572">
        <v>142605</v>
      </c>
      <c r="T165" s="570">
        <v>145000</v>
      </c>
      <c r="U165" s="560">
        <f t="shared" si="355"/>
        <v>132078.23749999999</v>
      </c>
      <c r="V165" s="561">
        <f t="shared" si="356"/>
        <v>35589.237499999988</v>
      </c>
      <c r="W165" s="281">
        <f t="shared" si="357"/>
        <v>0.38957076788353118</v>
      </c>
      <c r="X165" s="462">
        <f t="shared" si="358"/>
        <v>132078.23749999999</v>
      </c>
      <c r="Y165" s="410">
        <v>177114</v>
      </c>
      <c r="Z165" s="575">
        <f t="shared" si="292"/>
        <v>187068</v>
      </c>
      <c r="AA165" s="31">
        <v>230351</v>
      </c>
      <c r="AB165" s="31">
        <v>230351</v>
      </c>
      <c r="AC165" s="472">
        <v>201343.4</v>
      </c>
      <c r="AD165" s="76">
        <f>AVERAGE(AA165,AC165,Z165,AB165)</f>
        <v>212278.35</v>
      </c>
      <c r="AE165" s="24">
        <f t="shared" si="293"/>
        <v>25210.350000000006</v>
      </c>
      <c r="AF165" s="25">
        <f t="shared" si="338"/>
        <v>0.14233967952843934</v>
      </c>
      <c r="AG165" s="309">
        <f t="shared" si="339"/>
        <v>212278.35</v>
      </c>
      <c r="AH165" s="601">
        <f t="shared" si="340"/>
        <v>212278.35</v>
      </c>
      <c r="AI165" s="410">
        <v>103125</v>
      </c>
      <c r="AJ165" s="575">
        <f t="shared" si="294"/>
        <v>108921</v>
      </c>
      <c r="AK165" s="45">
        <v>110000</v>
      </c>
      <c r="AL165" s="45">
        <v>129499</v>
      </c>
      <c r="AM165" s="45">
        <v>110000</v>
      </c>
      <c r="AN165" s="76">
        <f t="shared" si="300"/>
        <v>114605</v>
      </c>
      <c r="AO165" s="24">
        <f t="shared" si="341"/>
        <v>11480</v>
      </c>
      <c r="AP165" s="281">
        <f t="shared" si="342"/>
        <v>0.11132121212121213</v>
      </c>
      <c r="AQ165" s="601">
        <f t="shared" si="343"/>
        <v>114605</v>
      </c>
      <c r="AR165" s="513">
        <v>91355</v>
      </c>
      <c r="AS165" s="575">
        <f t="shared" si="301"/>
        <v>96489</v>
      </c>
      <c r="AT165" s="88">
        <v>135000</v>
      </c>
      <c r="AU165" s="116">
        <v>155000</v>
      </c>
      <c r="AV165" s="74">
        <v>130721.25</v>
      </c>
      <c r="AW165" s="76">
        <f>AVERAGE(AS165,AT165,AV165)</f>
        <v>120736.75</v>
      </c>
      <c r="AX165" s="24">
        <f t="shared" si="344"/>
        <v>29381.75</v>
      </c>
      <c r="AY165" s="25">
        <f t="shared" si="345"/>
        <v>0.32162169558316456</v>
      </c>
      <c r="AZ165" s="309">
        <f t="shared" si="346"/>
        <v>120736.75</v>
      </c>
      <c r="BA165" s="604">
        <f t="shared" si="347"/>
        <v>120736.75</v>
      </c>
      <c r="BB165" s="513">
        <v>91355</v>
      </c>
      <c r="BC165" s="575">
        <f t="shared" si="296"/>
        <v>96489</v>
      </c>
      <c r="BD165" s="74">
        <v>136663.125</v>
      </c>
      <c r="BE165" s="74">
        <v>125000</v>
      </c>
      <c r="BF165" s="75">
        <v>157459.6875</v>
      </c>
      <c r="BG165" s="61">
        <v>136663.125</v>
      </c>
      <c r="BH165" s="60">
        <v>210000</v>
      </c>
      <c r="BI165" s="74">
        <v>157162.59375</v>
      </c>
      <c r="BJ165" s="79">
        <v>157459.6875</v>
      </c>
      <c r="BK165" s="79">
        <f>95070*1.25</f>
        <v>118837.5</v>
      </c>
      <c r="BL165" s="127">
        <v>142605</v>
      </c>
      <c r="BM165" s="128">
        <v>145000</v>
      </c>
      <c r="BN165" s="128">
        <v>130000</v>
      </c>
      <c r="BO165" s="76">
        <f>AVERAGE(BC165,BD165,BE165,BG165,BI165,BJ165,BK165,BL165,BM165,BN165)</f>
        <v>134588.00312499999</v>
      </c>
      <c r="BP165" s="24">
        <f t="shared" si="348"/>
        <v>43233.003124999988</v>
      </c>
      <c r="BQ165" s="25">
        <f t="shared" si="349"/>
        <v>0.47324178342728901</v>
      </c>
      <c r="BR165" s="259" t="str">
        <f t="shared" si="350"/>
        <v>REVISAR PRECIO</v>
      </c>
      <c r="BS165" s="607">
        <f t="shared" si="297"/>
        <v>134588.00312499999</v>
      </c>
    </row>
    <row r="166" spans="1:71" ht="45" customHeight="1">
      <c r="A166" s="91" t="s">
        <v>27</v>
      </c>
      <c r="B166" s="358" t="s">
        <v>2357</v>
      </c>
      <c r="C166" s="50" t="s">
        <v>235</v>
      </c>
      <c r="D166" s="99" t="s">
        <v>575</v>
      </c>
      <c r="E166" s="391" t="s">
        <v>10</v>
      </c>
      <c r="F166" s="410">
        <v>103610</v>
      </c>
      <c r="G166" s="589">
        <f t="shared" si="288"/>
        <v>109433</v>
      </c>
      <c r="H166" s="10">
        <v>23500</v>
      </c>
      <c r="I166" s="167">
        <v>23500</v>
      </c>
      <c r="J166" s="10">
        <v>35800</v>
      </c>
      <c r="K166" s="76">
        <f>AVERAGE(H166,J166,I166,G166)</f>
        <v>48058.25</v>
      </c>
      <c r="L166" s="24">
        <f t="shared" si="335"/>
        <v>-55551.75</v>
      </c>
      <c r="M166" s="281">
        <f t="shared" si="287"/>
        <v>-0.50763252401012493</v>
      </c>
      <c r="N166" s="597">
        <f>K166</f>
        <v>48058.25</v>
      </c>
      <c r="O166" s="566">
        <v>104350</v>
      </c>
      <c r="P166" s="579">
        <f t="shared" si="299"/>
        <v>110214</v>
      </c>
      <c r="Q166" s="568">
        <v>31137.5</v>
      </c>
      <c r="R166" s="568">
        <v>23500</v>
      </c>
      <c r="S166" s="572">
        <v>28200</v>
      </c>
      <c r="T166" s="570">
        <v>30000</v>
      </c>
      <c r="U166" s="560">
        <f t="shared" si="355"/>
        <v>44610.3</v>
      </c>
      <c r="V166" s="561">
        <f t="shared" si="356"/>
        <v>-65603.7</v>
      </c>
      <c r="W166" s="281">
        <f t="shared" si="357"/>
        <v>-0.62868902731193099</v>
      </c>
      <c r="X166" s="462">
        <f t="shared" si="358"/>
        <v>44610.3</v>
      </c>
      <c r="Y166" s="410">
        <v>243515</v>
      </c>
      <c r="Z166" s="575">
        <f t="shared" si="292"/>
        <v>257201</v>
      </c>
      <c r="AA166" s="31">
        <v>316710</v>
      </c>
      <c r="AB166" s="31">
        <v>411723</v>
      </c>
      <c r="AC166" s="472">
        <v>276828</v>
      </c>
      <c r="AD166" s="76">
        <f t="shared" si="312"/>
        <v>283579.66666666669</v>
      </c>
      <c r="AE166" s="24">
        <f t="shared" si="293"/>
        <v>26378.666666666686</v>
      </c>
      <c r="AF166" s="25">
        <f t="shared" si="338"/>
        <v>0.10832460697150766</v>
      </c>
      <c r="AG166" s="309">
        <f t="shared" si="339"/>
        <v>283579.66666666669</v>
      </c>
      <c r="AH166" s="601">
        <f t="shared" si="340"/>
        <v>283579.66666666669</v>
      </c>
      <c r="AI166" s="499">
        <v>100980</v>
      </c>
      <c r="AJ166" s="575">
        <f t="shared" si="294"/>
        <v>106655</v>
      </c>
      <c r="AK166" s="317">
        <v>65000</v>
      </c>
      <c r="AL166" s="317">
        <v>121124</v>
      </c>
      <c r="AM166" s="45">
        <v>22000</v>
      </c>
      <c r="AN166" s="76">
        <f>AVERAGE(AL166,AJ166,AK166,AM166)</f>
        <v>78694.75</v>
      </c>
      <c r="AO166" s="24">
        <f t="shared" si="341"/>
        <v>-22285.25</v>
      </c>
      <c r="AP166" s="281">
        <f t="shared" si="342"/>
        <v>-0.22068974054268173</v>
      </c>
      <c r="AQ166" s="601">
        <f t="shared" si="343"/>
        <v>78694.75</v>
      </c>
      <c r="AR166" s="513">
        <v>104350</v>
      </c>
      <c r="AS166" s="575">
        <f t="shared" si="301"/>
        <v>110214</v>
      </c>
      <c r="AT166" s="88">
        <v>25000</v>
      </c>
      <c r="AU166" s="116">
        <v>25000</v>
      </c>
      <c r="AV166" s="74">
        <v>25850</v>
      </c>
      <c r="AW166" s="76">
        <f t="shared" si="295"/>
        <v>46516</v>
      </c>
      <c r="AX166" s="24">
        <f t="shared" si="344"/>
        <v>-57834</v>
      </c>
      <c r="AY166" s="25">
        <f t="shared" si="345"/>
        <v>-0.55423095352180163</v>
      </c>
      <c r="AZ166" s="309">
        <f t="shared" si="346"/>
        <v>46516</v>
      </c>
      <c r="BA166" s="604">
        <f>AW166</f>
        <v>46516</v>
      </c>
      <c r="BB166" s="513">
        <v>104350</v>
      </c>
      <c r="BC166" s="575">
        <f t="shared" si="296"/>
        <v>110214</v>
      </c>
      <c r="BD166" s="74">
        <v>27025</v>
      </c>
      <c r="BE166" s="74">
        <v>45000</v>
      </c>
      <c r="BF166" s="75">
        <v>31137.5</v>
      </c>
      <c r="BG166" s="61">
        <v>33005</v>
      </c>
      <c r="BH166" s="60">
        <v>125000</v>
      </c>
      <c r="BI166" s="74">
        <v>37955.75</v>
      </c>
      <c r="BJ166" s="79">
        <v>31137.5</v>
      </c>
      <c r="BK166" s="79">
        <v>23500</v>
      </c>
      <c r="BL166" s="127">
        <v>28200</v>
      </c>
      <c r="BM166" s="128">
        <v>30000</v>
      </c>
      <c r="BN166" s="128">
        <v>25000</v>
      </c>
      <c r="BO166" s="76">
        <f t="shared" si="314"/>
        <v>45597.895833333336</v>
      </c>
      <c r="BP166" s="24">
        <f t="shared" si="348"/>
        <v>-58752.104166666664</v>
      </c>
      <c r="BQ166" s="25">
        <f t="shared" si="349"/>
        <v>-0.56302926848746204</v>
      </c>
      <c r="BR166" s="259">
        <f t="shared" si="350"/>
        <v>45597.895833333336</v>
      </c>
      <c r="BS166" s="652">
        <f>BO166</f>
        <v>45597.895833333336</v>
      </c>
    </row>
    <row r="167" spans="1:71" ht="45" customHeight="1">
      <c r="A167" s="91" t="s">
        <v>27</v>
      </c>
      <c r="B167" s="358" t="s">
        <v>2358</v>
      </c>
      <c r="C167" s="50" t="s">
        <v>236</v>
      </c>
      <c r="D167" s="99" t="s">
        <v>576</v>
      </c>
      <c r="E167" s="391" t="s">
        <v>13</v>
      </c>
      <c r="F167" s="410">
        <v>99472</v>
      </c>
      <c r="G167" s="589">
        <f t="shared" si="288"/>
        <v>105062</v>
      </c>
      <c r="H167" s="10">
        <v>114400</v>
      </c>
      <c r="I167" s="167">
        <v>457600</v>
      </c>
      <c r="J167" s="10">
        <v>98600</v>
      </c>
      <c r="K167" s="76">
        <f>AVERAGE(H167,J167,G167)</f>
        <v>106020.66666666667</v>
      </c>
      <c r="L167" s="24">
        <f t="shared" si="335"/>
        <v>6548.6666666666715</v>
      </c>
      <c r="M167" s="281">
        <f t="shared" si="287"/>
        <v>6.2331448731859966E-2</v>
      </c>
      <c r="N167" s="597">
        <f t="shared" si="298"/>
        <v>106020.66666666667</v>
      </c>
      <c r="O167" s="566">
        <v>99822</v>
      </c>
      <c r="P167" s="579">
        <f t="shared" si="299"/>
        <v>105432</v>
      </c>
      <c r="Q167" s="568">
        <v>151580</v>
      </c>
      <c r="R167" s="568">
        <f>88000*1.3</f>
        <v>114400</v>
      </c>
      <c r="S167" s="572">
        <v>137280</v>
      </c>
      <c r="T167" s="570">
        <v>130000</v>
      </c>
      <c r="U167" s="560">
        <f t="shared" si="355"/>
        <v>127738.4</v>
      </c>
      <c r="V167" s="561">
        <f t="shared" si="356"/>
        <v>22306.399999999994</v>
      </c>
      <c r="W167" s="281">
        <f t="shared" si="357"/>
        <v>0.22346176193624645</v>
      </c>
      <c r="X167" s="462">
        <f t="shared" si="358"/>
        <v>127738.4</v>
      </c>
      <c r="Y167" s="410">
        <v>193545</v>
      </c>
      <c r="Z167" s="575">
        <f t="shared" si="292"/>
        <v>204422</v>
      </c>
      <c r="AA167" s="31">
        <v>251721</v>
      </c>
      <c r="AB167" s="31">
        <v>327237</v>
      </c>
      <c r="AC167" s="472">
        <v>220022.8</v>
      </c>
      <c r="AD167" s="76">
        <f t="shared" si="312"/>
        <v>225388.6</v>
      </c>
      <c r="AE167" s="24">
        <f t="shared" si="293"/>
        <v>20966.600000000006</v>
      </c>
      <c r="AF167" s="25">
        <f t="shared" si="338"/>
        <v>0.10832932909659256</v>
      </c>
      <c r="AG167" s="309">
        <f t="shared" si="339"/>
        <v>225388.6</v>
      </c>
      <c r="AH167" s="601">
        <f t="shared" si="340"/>
        <v>225388.6</v>
      </c>
      <c r="AI167" s="410">
        <v>96196</v>
      </c>
      <c r="AJ167" s="575">
        <f t="shared" si="294"/>
        <v>101602</v>
      </c>
      <c r="AK167" s="45">
        <v>140000</v>
      </c>
      <c r="AL167" s="45">
        <v>117367</v>
      </c>
      <c r="AM167" s="45">
        <v>125000</v>
      </c>
      <c r="AN167" s="76">
        <f>AVERAGE(AL167,AM167,AJ167)</f>
        <v>114656.33333333333</v>
      </c>
      <c r="AO167" s="24">
        <f t="shared" si="341"/>
        <v>18460.333333333328</v>
      </c>
      <c r="AP167" s="281">
        <f t="shared" si="342"/>
        <v>0.19190333624405723</v>
      </c>
      <c r="AQ167" s="601">
        <f t="shared" si="343"/>
        <v>114656.33333333333</v>
      </c>
      <c r="AR167" s="513">
        <v>99822</v>
      </c>
      <c r="AS167" s="575">
        <f t="shared" si="301"/>
        <v>105432</v>
      </c>
      <c r="AT167" s="88">
        <v>125000</v>
      </c>
      <c r="AU167" s="116">
        <v>135000</v>
      </c>
      <c r="AV167" s="74">
        <v>125840</v>
      </c>
      <c r="AW167" s="76">
        <f t="shared" si="295"/>
        <v>122818</v>
      </c>
      <c r="AX167" s="24">
        <f t="shared" si="344"/>
        <v>22996</v>
      </c>
      <c r="AY167" s="25">
        <f t="shared" si="345"/>
        <v>0.23037005870449401</v>
      </c>
      <c r="AZ167" s="309">
        <f t="shared" si="346"/>
        <v>122818</v>
      </c>
      <c r="BA167" s="601">
        <f t="shared" si="347"/>
        <v>122818</v>
      </c>
      <c r="BB167" s="513">
        <v>99822</v>
      </c>
      <c r="BC167" s="575">
        <f t="shared" si="296"/>
        <v>105432</v>
      </c>
      <c r="BD167" s="74">
        <v>131560</v>
      </c>
      <c r="BE167" s="74">
        <v>150000</v>
      </c>
      <c r="BF167" s="75">
        <v>151580</v>
      </c>
      <c r="BG167" s="61">
        <v>131560</v>
      </c>
      <c r="BH167" s="60">
        <v>240000</v>
      </c>
      <c r="BI167" s="74">
        <v>151294</v>
      </c>
      <c r="BJ167" s="79">
        <v>151580</v>
      </c>
      <c r="BK167" s="79">
        <f>88000*1.3</f>
        <v>114400</v>
      </c>
      <c r="BL167" s="127">
        <v>137280</v>
      </c>
      <c r="BM167" s="128">
        <v>130000</v>
      </c>
      <c r="BN167" s="128">
        <v>125000</v>
      </c>
      <c r="BO167" s="76">
        <f>AVERAGE(BC167,BD167,BE167,BG167,BI167,BJ167,BK167,BL167,BM167,BN167)</f>
        <v>132810.6</v>
      </c>
      <c r="BP167" s="24">
        <f t="shared" si="348"/>
        <v>32988.600000000006</v>
      </c>
      <c r="BQ167" s="25">
        <f t="shared" si="349"/>
        <v>0.33047424415459525</v>
      </c>
      <c r="BR167" s="259">
        <f t="shared" si="350"/>
        <v>132810.6</v>
      </c>
      <c r="BS167" s="607">
        <f t="shared" si="297"/>
        <v>132810.6</v>
      </c>
    </row>
    <row r="168" spans="1:71" ht="28.35" customHeight="1">
      <c r="A168" s="91" t="s">
        <v>28</v>
      </c>
      <c r="B168" s="358" t="s">
        <v>2359</v>
      </c>
      <c r="C168" s="252" t="s">
        <v>757</v>
      </c>
      <c r="D168" s="103" t="s">
        <v>28</v>
      </c>
      <c r="E168" s="91"/>
      <c r="F168" s="411"/>
      <c r="G168" s="574"/>
      <c r="H168" s="173"/>
      <c r="I168" s="174"/>
      <c r="J168" s="173"/>
      <c r="K168" s="173"/>
      <c r="L168" s="173"/>
      <c r="M168" s="173"/>
      <c r="N168" s="173"/>
      <c r="O168" s="173"/>
      <c r="P168" s="173"/>
      <c r="Q168" s="173"/>
      <c r="R168" s="173"/>
      <c r="S168" s="173"/>
      <c r="T168" s="173"/>
      <c r="U168" s="173"/>
      <c r="V168" s="173"/>
      <c r="W168" s="173"/>
      <c r="X168" s="173"/>
      <c r="Y168" s="173"/>
      <c r="Z168" s="173"/>
      <c r="AA168" s="173"/>
      <c r="AB168" s="173"/>
      <c r="AC168" s="173"/>
      <c r="AD168" s="173"/>
      <c r="AE168" s="173"/>
      <c r="AF168" s="173"/>
      <c r="AG168" s="173"/>
      <c r="AH168" s="173"/>
      <c r="AI168" s="173"/>
      <c r="AJ168" s="173"/>
      <c r="AK168" s="173"/>
      <c r="AL168" s="173"/>
      <c r="AM168" s="173"/>
      <c r="AN168" s="173"/>
      <c r="AO168" s="173"/>
      <c r="AP168" s="173"/>
      <c r="AQ168" s="173"/>
      <c r="AR168" s="173"/>
      <c r="AS168" s="173"/>
      <c r="AT168" s="173"/>
      <c r="AU168" s="173"/>
      <c r="AV168" s="173"/>
      <c r="AW168" s="173"/>
      <c r="AX168" s="173"/>
      <c r="AY168" s="173"/>
      <c r="AZ168" s="173"/>
      <c r="BA168" s="173"/>
      <c r="BB168" s="173"/>
      <c r="BC168" s="173"/>
      <c r="BD168" s="173"/>
      <c r="BE168" s="173"/>
      <c r="BF168" s="173"/>
      <c r="BG168" s="173"/>
      <c r="BH168" s="173"/>
      <c r="BI168" s="173"/>
      <c r="BJ168" s="173"/>
      <c r="BK168" s="173"/>
      <c r="BL168" s="173"/>
      <c r="BM168" s="173"/>
      <c r="BN168" s="173"/>
      <c r="BO168" s="173"/>
      <c r="BP168" s="173"/>
      <c r="BQ168" s="47"/>
      <c r="BR168" s="414"/>
      <c r="BS168" s="414"/>
    </row>
    <row r="169" spans="1:71" ht="47.1" customHeight="1">
      <c r="A169" s="91" t="s">
        <v>28</v>
      </c>
      <c r="B169" s="358" t="s">
        <v>2360</v>
      </c>
      <c r="C169" s="50" t="s">
        <v>238</v>
      </c>
      <c r="D169" s="99" t="s">
        <v>578</v>
      </c>
      <c r="E169" s="391" t="s">
        <v>10</v>
      </c>
      <c r="F169" s="410">
        <v>59234</v>
      </c>
      <c r="G169" s="589">
        <f t="shared" si="288"/>
        <v>62563</v>
      </c>
      <c r="H169" s="10">
        <v>42415</v>
      </c>
      <c r="I169" s="167">
        <v>84830</v>
      </c>
      <c r="J169" s="10">
        <v>65680</v>
      </c>
      <c r="K169" s="76">
        <f>AVERAGE(J169,G169)</f>
        <v>64121.5</v>
      </c>
      <c r="L169" s="24">
        <f t="shared" ref="L169:L172" si="359">K169-F169</f>
        <v>4887.5</v>
      </c>
      <c r="M169" s="281">
        <f t="shared" si="287"/>
        <v>7.8121253776193597E-2</v>
      </c>
      <c r="N169" s="597">
        <f t="shared" si="298"/>
        <v>64121.5</v>
      </c>
      <c r="O169" s="410">
        <v>53841</v>
      </c>
      <c r="P169" s="575">
        <f t="shared" si="299"/>
        <v>56867</v>
      </c>
      <c r="Q169" s="10">
        <v>96000</v>
      </c>
      <c r="R169" s="10"/>
      <c r="S169" s="10"/>
      <c r="T169" s="10">
        <v>120000</v>
      </c>
      <c r="U169" s="76">
        <f>AVERAGE(Q169,R169,S169,T169,P169)</f>
        <v>90955.666666666672</v>
      </c>
      <c r="V169" s="24">
        <f t="shared" si="289"/>
        <v>34088.666666666672</v>
      </c>
      <c r="W169" s="281">
        <f t="shared" ref="W169:W171" si="360">+V169/O169</f>
        <v>0.63313583823975539</v>
      </c>
      <c r="X169" s="462">
        <f t="shared" ref="X169" si="361">U169</f>
        <v>90955.666666666672</v>
      </c>
      <c r="Y169" s="410">
        <v>89185</v>
      </c>
      <c r="Z169" s="575">
        <f t="shared" si="292"/>
        <v>94197</v>
      </c>
      <c r="AA169" s="31">
        <v>115992</v>
      </c>
      <c r="AB169" s="31">
        <v>150790</v>
      </c>
      <c r="AC169" s="472">
        <v>101385.60000000001</v>
      </c>
      <c r="AD169" s="76">
        <f t="shared" si="312"/>
        <v>103858.2</v>
      </c>
      <c r="AE169" s="24">
        <f t="shared" si="293"/>
        <v>9661.1999999999971</v>
      </c>
      <c r="AF169" s="25">
        <f t="shared" ref="AF169:AF177" si="362">+AE169/Y169</f>
        <v>0.10832763357066769</v>
      </c>
      <c r="AG169" s="309">
        <f t="shared" ref="AG169:AG177" si="363">+IF(AF169&lt;35%,AD169,"REVISAR PRECIO")</f>
        <v>103858.2</v>
      </c>
      <c r="AH169" s="601">
        <f t="shared" ref="AH169:AH177" si="364">AD169</f>
        <v>103858.2</v>
      </c>
      <c r="AI169" s="410">
        <v>60116</v>
      </c>
      <c r="AJ169" s="575">
        <f t="shared" si="294"/>
        <v>63495</v>
      </c>
      <c r="AK169" s="45"/>
      <c r="AL169" s="45">
        <v>69887</v>
      </c>
      <c r="AM169" s="45">
        <v>43000</v>
      </c>
      <c r="AN169" s="76">
        <f>AVERAGE(AK169,AL169,AJ169)</f>
        <v>66691</v>
      </c>
      <c r="AO169" s="24">
        <f t="shared" ref="AO169:AO172" si="365">AN169-AI169</f>
        <v>6575</v>
      </c>
      <c r="AP169" s="281">
        <f t="shared" ref="AP169:AP172" si="366">+AO169/AI169</f>
        <v>0.10937188103000865</v>
      </c>
      <c r="AQ169" s="601">
        <f t="shared" ref="AQ169:AQ172" si="367">AN169</f>
        <v>66691</v>
      </c>
      <c r="AR169" s="513">
        <v>60419</v>
      </c>
      <c r="AS169" s="575">
        <f t="shared" si="301"/>
        <v>63815</v>
      </c>
      <c r="AT169" s="88">
        <v>44500</v>
      </c>
      <c r="AU169" s="116">
        <v>45000</v>
      </c>
      <c r="AV169" s="74">
        <v>46656.39</v>
      </c>
      <c r="AW169" s="76">
        <f t="shared" si="295"/>
        <v>49992.847500000003</v>
      </c>
      <c r="AX169" s="24">
        <f t="shared" ref="AX169:AX177" si="368">AW169-AR169</f>
        <v>-10426.152499999997</v>
      </c>
      <c r="AY169" s="25">
        <f t="shared" ref="AY169:AY172" si="369">+AX169/AR169</f>
        <v>-0.17256413545407895</v>
      </c>
      <c r="AZ169" s="309">
        <f t="shared" ref="AZ169:AZ172" si="370">+IF(AY169&lt;35%,AW169,"REVISAR PRECIO")</f>
        <v>49992.847500000003</v>
      </c>
      <c r="BA169" s="604">
        <f>+AW169</f>
        <v>49992.847500000003</v>
      </c>
      <c r="BB169" s="513">
        <v>60419</v>
      </c>
      <c r="BC169" s="575">
        <f t="shared" si="296"/>
        <v>63815</v>
      </c>
      <c r="BD169" s="74">
        <v>48777.135000000002</v>
      </c>
      <c r="BE169" s="74">
        <v>80000</v>
      </c>
      <c r="BF169" s="75">
        <v>56199.742499999993</v>
      </c>
      <c r="BG169" s="61">
        <v>113504.99999999999</v>
      </c>
      <c r="BH169" s="60">
        <v>250000</v>
      </c>
      <c r="BI169" s="74">
        <v>130530.74999999997</v>
      </c>
      <c r="BJ169" s="79">
        <v>56199.742499999993</v>
      </c>
      <c r="BK169" s="79">
        <f>38559*1.1</f>
        <v>42414.9</v>
      </c>
      <c r="BL169" s="127">
        <v>50897.880000000005</v>
      </c>
      <c r="BM169" s="128">
        <v>46000</v>
      </c>
      <c r="BN169" s="128">
        <v>45000</v>
      </c>
      <c r="BO169" s="76">
        <f>AVERAGE(BC169,BD169,BE169,BF169,BI169,BJ169,BK169,BL169,BM169,BN169)</f>
        <v>61983.514999999992</v>
      </c>
      <c r="BP169" s="24">
        <f t="shared" ref="BP169:BP177" si="371">BO169-BB169</f>
        <v>1564.5149999999921</v>
      </c>
      <c r="BQ169" s="25">
        <f t="shared" ref="BQ169:BQ177" si="372">+BP169/BB169</f>
        <v>2.5894420629272118E-2</v>
      </c>
      <c r="BR169" s="259">
        <f t="shared" ref="BR169:BR177" si="373">+IF(BQ169&lt;35%,BO169,"REVISAR PRECIO")</f>
        <v>61983.514999999992</v>
      </c>
      <c r="BS169" s="607">
        <f t="shared" si="297"/>
        <v>61983.514999999992</v>
      </c>
    </row>
    <row r="170" spans="1:71" ht="48" customHeight="1">
      <c r="A170" s="91" t="s">
        <v>28</v>
      </c>
      <c r="B170" s="358" t="s">
        <v>2361</v>
      </c>
      <c r="C170" s="50" t="s">
        <v>239</v>
      </c>
      <c r="D170" s="99" t="s">
        <v>579</v>
      </c>
      <c r="E170" s="392" t="s">
        <v>14</v>
      </c>
      <c r="F170" s="410">
        <v>75285</v>
      </c>
      <c r="G170" s="589">
        <f t="shared" si="288"/>
        <v>79516</v>
      </c>
      <c r="H170" s="10">
        <v>56000</v>
      </c>
      <c r="I170" s="167">
        <v>112000</v>
      </c>
      <c r="J170" s="10">
        <v>53655</v>
      </c>
      <c r="K170" s="76">
        <f t="shared" ref="K170" si="374">AVERAGE(H170,J170)</f>
        <v>54827.5</v>
      </c>
      <c r="L170" s="24">
        <f t="shared" si="359"/>
        <v>-20457.5</v>
      </c>
      <c r="M170" s="281">
        <f t="shared" si="287"/>
        <v>-0.25727526535540018</v>
      </c>
      <c r="N170" s="597">
        <f>G170</f>
        <v>79516</v>
      </c>
      <c r="O170" s="410">
        <v>68421</v>
      </c>
      <c r="P170" s="575">
        <f t="shared" si="299"/>
        <v>72266</v>
      </c>
      <c r="Q170" s="10">
        <v>70000</v>
      </c>
      <c r="R170" s="10"/>
      <c r="S170" s="10"/>
      <c r="T170" s="10">
        <v>350000</v>
      </c>
      <c r="U170" s="76">
        <f t="shared" ref="U170:U171" si="375">AVERAGE(Q170,R170,S170,T170)</f>
        <v>210000</v>
      </c>
      <c r="V170" s="24">
        <f t="shared" si="289"/>
        <v>137734</v>
      </c>
      <c r="W170" s="281">
        <f t="shared" si="360"/>
        <v>2.013036933105333</v>
      </c>
      <c r="X170" s="462">
        <f>P170</f>
        <v>72266</v>
      </c>
      <c r="Y170" s="410">
        <v>154890</v>
      </c>
      <c r="Z170" s="575">
        <f t="shared" si="292"/>
        <v>163595</v>
      </c>
      <c r="AA170" s="31">
        <v>201447</v>
      </c>
      <c r="AB170" s="31">
        <v>261881</v>
      </c>
      <c r="AC170" s="472">
        <v>176079.6</v>
      </c>
      <c r="AD170" s="76">
        <f t="shared" si="312"/>
        <v>180373.86666666667</v>
      </c>
      <c r="AE170" s="24">
        <f t="shared" si="293"/>
        <v>16778.866666666669</v>
      </c>
      <c r="AF170" s="25">
        <f t="shared" si="362"/>
        <v>0.10832763036133171</v>
      </c>
      <c r="AG170" s="309">
        <f t="shared" si="363"/>
        <v>180373.86666666667</v>
      </c>
      <c r="AH170" s="601">
        <f t="shared" si="364"/>
        <v>180373.86666666667</v>
      </c>
      <c r="AI170" s="410">
        <v>76405</v>
      </c>
      <c r="AJ170" s="575">
        <f t="shared" si="294"/>
        <v>80699</v>
      </c>
      <c r="AK170" s="45"/>
      <c r="AL170" s="45">
        <v>88823</v>
      </c>
      <c r="AM170" s="45">
        <v>55000</v>
      </c>
      <c r="AN170" s="76">
        <f>AVERAGE(AK170,AL170,AJ170)</f>
        <v>84761</v>
      </c>
      <c r="AO170" s="24">
        <f t="shared" si="365"/>
        <v>8356</v>
      </c>
      <c r="AP170" s="281">
        <f t="shared" si="366"/>
        <v>0.10936457038151953</v>
      </c>
      <c r="AQ170" s="601">
        <f t="shared" si="367"/>
        <v>84761</v>
      </c>
      <c r="AR170" s="513">
        <v>76784</v>
      </c>
      <c r="AS170" s="575">
        <f t="shared" si="301"/>
        <v>81099</v>
      </c>
      <c r="AT170" s="88">
        <v>68800</v>
      </c>
      <c r="AU170" s="116">
        <v>72500</v>
      </c>
      <c r="AV170" s="74">
        <v>61600</v>
      </c>
      <c r="AW170" s="76">
        <f t="shared" si="295"/>
        <v>70999.75</v>
      </c>
      <c r="AX170" s="24">
        <f t="shared" si="368"/>
        <v>-5784.25</v>
      </c>
      <c r="AY170" s="25">
        <f t="shared" si="369"/>
        <v>-7.5331449260262556E-2</v>
      </c>
      <c r="AZ170" s="309">
        <f t="shared" si="370"/>
        <v>70999.75</v>
      </c>
      <c r="BA170" s="604">
        <f>+AW170</f>
        <v>70999.75</v>
      </c>
      <c r="BB170" s="513">
        <v>76784</v>
      </c>
      <c r="BC170" s="575">
        <f t="shared" si="296"/>
        <v>81099</v>
      </c>
      <c r="BD170" s="74">
        <v>64400</v>
      </c>
      <c r="BE170" s="74">
        <v>200000</v>
      </c>
      <c r="BF170" s="75">
        <v>74200</v>
      </c>
      <c r="BG170" s="61">
        <v>97749.999999999985</v>
      </c>
      <c r="BH170" s="60">
        <v>150000</v>
      </c>
      <c r="BI170" s="74">
        <v>112412.49999999997</v>
      </c>
      <c r="BJ170" s="79">
        <v>74200</v>
      </c>
      <c r="BK170" s="79">
        <v>56000</v>
      </c>
      <c r="BL170" s="127">
        <v>67200</v>
      </c>
      <c r="BM170" s="128">
        <v>70000</v>
      </c>
      <c r="BN170" s="128">
        <v>60000</v>
      </c>
      <c r="BO170" s="76">
        <f>AVERAGE(BC170,BD170,BE170,BF170,BI170,BJ170,BK170,BL170,BM170,BN170)</f>
        <v>85951.15</v>
      </c>
      <c r="BP170" s="24">
        <f t="shared" si="371"/>
        <v>9167.1499999999942</v>
      </c>
      <c r="BQ170" s="25">
        <f t="shared" si="372"/>
        <v>0.11938880495936646</v>
      </c>
      <c r="BR170" s="259">
        <f t="shared" si="373"/>
        <v>85951.15</v>
      </c>
      <c r="BS170" s="607">
        <f t="shared" si="297"/>
        <v>85951.15</v>
      </c>
    </row>
    <row r="171" spans="1:71" ht="60" customHeight="1">
      <c r="A171" s="91" t="s">
        <v>28</v>
      </c>
      <c r="B171" s="358" t="s">
        <v>2362</v>
      </c>
      <c r="C171" s="50" t="s">
        <v>240</v>
      </c>
      <c r="D171" s="99" t="s">
        <v>580</v>
      </c>
      <c r="E171" s="392" t="s">
        <v>14</v>
      </c>
      <c r="F171" s="410">
        <v>129459</v>
      </c>
      <c r="G171" s="589">
        <f t="shared" si="288"/>
        <v>136735</v>
      </c>
      <c r="H171" s="10">
        <v>400000</v>
      </c>
      <c r="I171" s="167">
        <v>1200000</v>
      </c>
      <c r="J171" s="10">
        <v>385000</v>
      </c>
      <c r="K171" s="76">
        <f>AVERAGE(H171,J171,G171)</f>
        <v>307245</v>
      </c>
      <c r="L171" s="24">
        <f t="shared" si="359"/>
        <v>177786</v>
      </c>
      <c r="M171" s="281">
        <f t="shared" si="287"/>
        <v>1.3002230592021062</v>
      </c>
      <c r="N171" s="597">
        <f t="shared" si="298"/>
        <v>307245</v>
      </c>
      <c r="O171" s="410">
        <v>117667</v>
      </c>
      <c r="P171" s="575">
        <f t="shared" si="299"/>
        <v>124280</v>
      </c>
      <c r="Q171" s="10"/>
      <c r="R171" s="10"/>
      <c r="S171" s="10"/>
      <c r="T171" s="10" t="s">
        <v>1421</v>
      </c>
      <c r="U171" s="76" t="e">
        <f t="shared" si="375"/>
        <v>#DIV/0!</v>
      </c>
      <c r="V171" s="24" t="e">
        <f t="shared" si="289"/>
        <v>#DIV/0!</v>
      </c>
      <c r="W171" s="281" t="e">
        <f t="shared" si="360"/>
        <v>#DIV/0!</v>
      </c>
      <c r="X171" s="464">
        <f>AVERAGE(P171,N171,AQ171,BS171)</f>
        <v>271048.08333333337</v>
      </c>
      <c r="Y171" s="410">
        <v>194926</v>
      </c>
      <c r="Z171" s="575">
        <f t="shared" si="292"/>
        <v>205881</v>
      </c>
      <c r="AA171" s="31">
        <v>253517</v>
      </c>
      <c r="AB171" s="31">
        <v>329571</v>
      </c>
      <c r="AC171" s="472">
        <v>221592.2</v>
      </c>
      <c r="AD171" s="76">
        <f>AVERAGE(AA171,AC171,Z171,AB171)</f>
        <v>252640.3</v>
      </c>
      <c r="AE171" s="24">
        <f t="shared" si="293"/>
        <v>46759.299999999988</v>
      </c>
      <c r="AF171" s="25">
        <f t="shared" si="362"/>
        <v>0.23988231431414991</v>
      </c>
      <c r="AG171" s="309">
        <f t="shared" si="363"/>
        <v>252640.3</v>
      </c>
      <c r="AH171" s="601">
        <f t="shared" si="364"/>
        <v>252640.3</v>
      </c>
      <c r="AI171" s="410">
        <v>131385</v>
      </c>
      <c r="AJ171" s="575">
        <f t="shared" si="294"/>
        <v>138769</v>
      </c>
      <c r="AK171" s="45"/>
      <c r="AL171" s="45">
        <v>152743</v>
      </c>
      <c r="AM171" s="45">
        <v>380000</v>
      </c>
      <c r="AN171" s="76">
        <f>AVERAGE(AK171,AL171,AJ171,AM171)</f>
        <v>223837.33333333334</v>
      </c>
      <c r="AO171" s="24">
        <f t="shared" si="365"/>
        <v>92452.333333333343</v>
      </c>
      <c r="AP171" s="281">
        <f t="shared" si="366"/>
        <v>0.70367495020994286</v>
      </c>
      <c r="AQ171" s="601">
        <f t="shared" si="367"/>
        <v>223837.33333333334</v>
      </c>
      <c r="AR171" s="513">
        <v>132049</v>
      </c>
      <c r="AS171" s="575">
        <f t="shared" si="301"/>
        <v>139470</v>
      </c>
      <c r="AT171" s="88">
        <v>450000</v>
      </c>
      <c r="AU171" s="116">
        <v>450000</v>
      </c>
      <c r="AV171" s="74">
        <v>440000</v>
      </c>
      <c r="AW171" s="76">
        <f t="shared" si="295"/>
        <v>369867.5</v>
      </c>
      <c r="AX171" s="24">
        <f t="shared" si="368"/>
        <v>237818.5</v>
      </c>
      <c r="AY171" s="25">
        <f t="shared" si="369"/>
        <v>1.8009867549167355</v>
      </c>
      <c r="AZ171" s="309" t="str">
        <f t="shared" si="370"/>
        <v>REVISAR PRECIO</v>
      </c>
      <c r="BA171" s="604">
        <f t="shared" ref="BA171:BA177" si="376">AW171</f>
        <v>369867.5</v>
      </c>
      <c r="BB171" s="513">
        <v>132049</v>
      </c>
      <c r="BC171" s="575">
        <f t="shared" si="296"/>
        <v>139470</v>
      </c>
      <c r="BD171" s="74">
        <v>460000</v>
      </c>
      <c r="BE171" s="74">
        <v>550000</v>
      </c>
      <c r="BF171" s="75">
        <v>530000</v>
      </c>
      <c r="BG171" s="61">
        <v>644000</v>
      </c>
      <c r="BH171" s="60">
        <v>1800000</v>
      </c>
      <c r="BI171" s="74">
        <v>740600</v>
      </c>
      <c r="BJ171" s="79">
        <v>530000</v>
      </c>
      <c r="BK171" s="79">
        <v>400000</v>
      </c>
      <c r="BL171" s="127">
        <v>440000</v>
      </c>
      <c r="BM171" s="128">
        <v>410000</v>
      </c>
      <c r="BN171" s="128">
        <v>400000</v>
      </c>
      <c r="BO171" s="76">
        <f>AVERAGE(BC171,BD171,BE171,BF171,BJ171,BK171,BL171,BM171,BN171)</f>
        <v>428830</v>
      </c>
      <c r="BP171" s="24">
        <f t="shared" si="371"/>
        <v>296781</v>
      </c>
      <c r="BQ171" s="25">
        <f t="shared" si="372"/>
        <v>2.2475066073957395</v>
      </c>
      <c r="BR171" s="259" t="str">
        <f t="shared" si="373"/>
        <v>REVISAR PRECIO</v>
      </c>
      <c r="BS171" s="607">
        <f t="shared" si="297"/>
        <v>428830</v>
      </c>
    </row>
    <row r="172" spans="1:71" ht="60" customHeight="1">
      <c r="A172" s="91" t="s">
        <v>28</v>
      </c>
      <c r="B172" s="358" t="s">
        <v>2363</v>
      </c>
      <c r="C172" s="50" t="s">
        <v>241</v>
      </c>
      <c r="D172" s="99" t="s">
        <v>581</v>
      </c>
      <c r="E172" s="391" t="s">
        <v>13</v>
      </c>
      <c r="F172" s="410">
        <v>8307</v>
      </c>
      <c r="G172" s="589">
        <f t="shared" si="288"/>
        <v>8774</v>
      </c>
      <c r="H172" s="10">
        <v>65000</v>
      </c>
      <c r="I172" s="167">
        <v>130000</v>
      </c>
      <c r="J172" s="10">
        <v>7500</v>
      </c>
      <c r="K172" s="76">
        <f>AVERAGE(G172:H172,J172)</f>
        <v>27091.333333333332</v>
      </c>
      <c r="L172" s="24">
        <f t="shared" si="359"/>
        <v>18784.333333333332</v>
      </c>
      <c r="M172" s="281">
        <f t="shared" si="287"/>
        <v>2.1409087455360534</v>
      </c>
      <c r="N172" s="597">
        <f>+K172</f>
        <v>27091.333333333332</v>
      </c>
      <c r="O172" s="566">
        <v>8476</v>
      </c>
      <c r="P172" s="579">
        <f t="shared" si="299"/>
        <v>8952</v>
      </c>
      <c r="Q172" s="568">
        <v>86125</v>
      </c>
      <c r="R172" s="568">
        <v>65000</v>
      </c>
      <c r="S172" s="572">
        <v>78000</v>
      </c>
      <c r="T172" s="570">
        <v>71900</v>
      </c>
      <c r="U172" s="560">
        <f>AVERAGE(P172:Q172,R172,S172,T172)</f>
        <v>61995.4</v>
      </c>
      <c r="V172" s="561">
        <f t="shared" ref="V172" si="377">U172-P172</f>
        <v>53043.4</v>
      </c>
      <c r="W172" s="281">
        <f t="shared" ref="W172:W175" si="378">+V172/O172</f>
        <v>6.2580698442661635</v>
      </c>
      <c r="X172" s="464">
        <f>AVERAGE(U172,P172)</f>
        <v>35473.699999999997</v>
      </c>
      <c r="Y172" s="410">
        <v>12508</v>
      </c>
      <c r="Z172" s="575">
        <f t="shared" si="292"/>
        <v>13211</v>
      </c>
      <c r="AA172" s="31">
        <v>16268</v>
      </c>
      <c r="AB172" s="31">
        <v>16268</v>
      </c>
      <c r="AC172" s="472">
        <v>14219</v>
      </c>
      <c r="AD172" s="76">
        <f>AVERAGE(AA172,AC172,Z172,AB172)</f>
        <v>14991.5</v>
      </c>
      <c r="AE172" s="24">
        <f t="shared" si="293"/>
        <v>1780.5</v>
      </c>
      <c r="AF172" s="25">
        <f t="shared" si="362"/>
        <v>0.14234889670610809</v>
      </c>
      <c r="AG172" s="309">
        <f t="shared" si="363"/>
        <v>14991.5</v>
      </c>
      <c r="AH172" s="601">
        <f t="shared" si="364"/>
        <v>14991.5</v>
      </c>
      <c r="AI172" s="410">
        <v>8430</v>
      </c>
      <c r="AJ172" s="575">
        <f t="shared" si="294"/>
        <v>8904</v>
      </c>
      <c r="AK172" s="45"/>
      <c r="AL172" s="45">
        <v>9802</v>
      </c>
      <c r="AM172" s="45">
        <v>60000</v>
      </c>
      <c r="AN172" s="76">
        <f>AVERAGE(AK172,AL172,AJ172,AM172)</f>
        <v>26235.333333333332</v>
      </c>
      <c r="AO172" s="24">
        <f t="shared" si="365"/>
        <v>17805.333333333332</v>
      </c>
      <c r="AP172" s="281">
        <f t="shared" si="366"/>
        <v>2.1121391854487936</v>
      </c>
      <c r="AQ172" s="601">
        <f t="shared" si="367"/>
        <v>26235.333333333332</v>
      </c>
      <c r="AR172" s="513">
        <v>8476</v>
      </c>
      <c r="AS172" s="575">
        <f t="shared" si="301"/>
        <v>8952</v>
      </c>
      <c r="AT172" s="88">
        <v>70000</v>
      </c>
      <c r="AU172" s="116">
        <v>70000</v>
      </c>
      <c r="AV172" s="74">
        <v>71500</v>
      </c>
      <c r="AW172" s="76">
        <f>AVERAGE(AS172,AT172)</f>
        <v>39476</v>
      </c>
      <c r="AX172" s="24">
        <f t="shared" si="368"/>
        <v>31000</v>
      </c>
      <c r="AY172" s="25">
        <f t="shared" si="369"/>
        <v>3.65738555922605</v>
      </c>
      <c r="AZ172" s="309" t="str">
        <f t="shared" si="370"/>
        <v>REVISAR PRECIO</v>
      </c>
      <c r="BA172" s="604">
        <f t="shared" si="376"/>
        <v>39476</v>
      </c>
      <c r="BB172" s="513">
        <v>8476</v>
      </c>
      <c r="BC172" s="575">
        <f t="shared" si="296"/>
        <v>8952</v>
      </c>
      <c r="BD172" s="74">
        <v>74750</v>
      </c>
      <c r="BE172" s="74">
        <v>90000</v>
      </c>
      <c r="BF172" s="75">
        <v>86125</v>
      </c>
      <c r="BG172" s="61">
        <v>98899.999999999985</v>
      </c>
      <c r="BH172" s="60">
        <v>160000</v>
      </c>
      <c r="BI172" s="74">
        <v>113734.99999999997</v>
      </c>
      <c r="BJ172" s="79">
        <v>86125</v>
      </c>
      <c r="BK172" s="79">
        <v>65000</v>
      </c>
      <c r="BL172" s="127">
        <v>78000</v>
      </c>
      <c r="BM172" s="128">
        <v>71900</v>
      </c>
      <c r="BN172" s="128">
        <v>70000</v>
      </c>
      <c r="BO172" s="76">
        <f>AVERAGE(BC172,BD172,BE172,BF172,BI172,BJ172,BK172,BL172,BM172,BN172)</f>
        <v>74458.7</v>
      </c>
      <c r="BP172" s="24">
        <f t="shared" si="371"/>
        <v>65982.7</v>
      </c>
      <c r="BQ172" s="25">
        <f t="shared" si="372"/>
        <v>7.7846507786691834</v>
      </c>
      <c r="BR172" s="259" t="str">
        <f t="shared" si="373"/>
        <v>REVISAR PRECIO</v>
      </c>
      <c r="BS172" s="607">
        <f>AVERAGE(BO172,BC172)</f>
        <v>41705.35</v>
      </c>
    </row>
    <row r="173" spans="1:71" ht="60" customHeight="1">
      <c r="A173" s="91" t="s">
        <v>28</v>
      </c>
      <c r="B173" s="358" t="s">
        <v>2364</v>
      </c>
      <c r="C173" s="50" t="s">
        <v>242</v>
      </c>
      <c r="D173" s="99" t="s">
        <v>585</v>
      </c>
      <c r="E173" s="391" t="s">
        <v>13</v>
      </c>
      <c r="F173" s="410">
        <v>177689</v>
      </c>
      <c r="G173" s="589">
        <f t="shared" si="288"/>
        <v>187675</v>
      </c>
      <c r="H173" s="10">
        <v>501332.5</v>
      </c>
      <c r="I173" s="167">
        <v>1503997.5</v>
      </c>
      <c r="J173" s="10">
        <v>485690</v>
      </c>
      <c r="K173" s="76">
        <f>AVERAGE(H173,J173,G173)</f>
        <v>391565.83333333331</v>
      </c>
      <c r="L173" s="24">
        <f t="shared" ref="L173:L175" si="379">K173-F173</f>
        <v>213876.83333333331</v>
      </c>
      <c r="M173" s="281">
        <f t="shared" si="287"/>
        <v>1.1396128058256738</v>
      </c>
      <c r="N173" s="609">
        <f t="shared" si="298"/>
        <v>391565.83333333331</v>
      </c>
      <c r="O173" s="562">
        <v>161504</v>
      </c>
      <c r="P173" s="579">
        <f t="shared" si="299"/>
        <v>170581</v>
      </c>
      <c r="Q173" s="563"/>
      <c r="R173" s="563"/>
      <c r="S173" s="563"/>
      <c r="T173" s="563"/>
      <c r="U173" s="560"/>
      <c r="V173" s="561">
        <f t="shared" si="289"/>
        <v>-170581</v>
      </c>
      <c r="W173" s="281">
        <f t="shared" si="378"/>
        <v>-1.0562029423419854</v>
      </c>
      <c r="X173" s="464">
        <f>AVERAGE(P173,N173,AH173,AQ173,BA173,BS173)</f>
        <v>272999.02607777773</v>
      </c>
      <c r="Y173" s="410">
        <v>267555</v>
      </c>
      <c r="Z173" s="575">
        <f t="shared" si="292"/>
        <v>282592</v>
      </c>
      <c r="AA173" s="31">
        <v>347976</v>
      </c>
      <c r="AB173" s="31">
        <v>452369</v>
      </c>
      <c r="AC173" s="472">
        <v>304156.79999999999</v>
      </c>
      <c r="AD173" s="76">
        <f t="shared" si="312"/>
        <v>311574.93333333335</v>
      </c>
      <c r="AE173" s="24">
        <f t="shared" si="293"/>
        <v>28982.933333333349</v>
      </c>
      <c r="AF173" s="25">
        <f t="shared" si="362"/>
        <v>0.10832514187114181</v>
      </c>
      <c r="AG173" s="309">
        <f t="shared" si="363"/>
        <v>311574.93333333335</v>
      </c>
      <c r="AH173" s="601">
        <f t="shared" si="364"/>
        <v>311574.93333333335</v>
      </c>
      <c r="AI173" s="499">
        <v>180347</v>
      </c>
      <c r="AJ173" s="575">
        <f t="shared" si="294"/>
        <v>190483</v>
      </c>
      <c r="AK173" s="317"/>
      <c r="AL173" s="317">
        <v>209654</v>
      </c>
      <c r="AM173" s="45">
        <v>247000</v>
      </c>
      <c r="AN173" s="76">
        <f t="shared" si="300"/>
        <v>215712.33333333334</v>
      </c>
      <c r="AO173" s="24">
        <f t="shared" ref="AO173:AO175" si="380">AN173-AI173</f>
        <v>35365.333333333343</v>
      </c>
      <c r="AP173" s="281">
        <f t="shared" ref="AP173:AP175" si="381">+AO173/AI173</f>
        <v>0.19609604447722082</v>
      </c>
      <c r="AQ173" s="601">
        <f t="shared" ref="AQ173:AQ175" si="382">AN173</f>
        <v>215712.33333333334</v>
      </c>
      <c r="AR173" s="513">
        <v>181239</v>
      </c>
      <c r="AS173" s="575">
        <f t="shared" si="301"/>
        <v>191425</v>
      </c>
      <c r="AT173" s="88">
        <v>265000</v>
      </c>
      <c r="AU173" s="116">
        <v>290000</v>
      </c>
      <c r="AV173" s="74">
        <v>276136.07999999996</v>
      </c>
      <c r="AW173" s="76">
        <f>AVERAGE(AS173,AT173,AV173)</f>
        <v>244187.02666666664</v>
      </c>
      <c r="AX173" s="24">
        <f t="shared" si="368"/>
        <v>62948.026666666643</v>
      </c>
      <c r="AY173" s="25">
        <f t="shared" ref="AY173:AY177" si="383">+AX173/AR173</f>
        <v>0.3473205362348426</v>
      </c>
      <c r="AZ173" s="309">
        <f t="shared" ref="AZ173:AZ177" si="384">+IF(AY173&lt;35%,AW173,"REVISAR PRECIO")</f>
        <v>244187.02666666664</v>
      </c>
      <c r="BA173" s="604">
        <f t="shared" si="376"/>
        <v>244187.02666666664</v>
      </c>
      <c r="BB173" s="513">
        <v>181239</v>
      </c>
      <c r="BC173" s="575">
        <f t="shared" si="296"/>
        <v>191425</v>
      </c>
      <c r="BD173" s="74">
        <v>288687.71999999997</v>
      </c>
      <c r="BE173" s="74">
        <v>430000</v>
      </c>
      <c r="BF173" s="75">
        <v>332618.45999999996</v>
      </c>
      <c r="BG173" s="61">
        <v>288687.71999999997</v>
      </c>
      <c r="BH173" s="60">
        <v>450000</v>
      </c>
      <c r="BI173" s="74">
        <v>331990.87799999997</v>
      </c>
      <c r="BJ173" s="79">
        <v>332618.45999999996</v>
      </c>
      <c r="BK173" s="79">
        <f>209194*1.2</f>
        <v>251032.8</v>
      </c>
      <c r="BL173" s="127">
        <v>288687.71999999997</v>
      </c>
      <c r="BM173" s="128">
        <v>330600</v>
      </c>
      <c r="BN173" s="128">
        <v>310000</v>
      </c>
      <c r="BO173" s="76">
        <f>AVERAGE(BC173,BD173,BE173,BG173,BI173,BJ173,BK173,BL173,BM173,BN173)</f>
        <v>304373.02979999996</v>
      </c>
      <c r="BP173" s="24">
        <f t="shared" si="371"/>
        <v>123134.02979999996</v>
      </c>
      <c r="BQ173" s="25">
        <f t="shared" si="372"/>
        <v>0.67940139705030356</v>
      </c>
      <c r="BR173" s="259" t="str">
        <f t="shared" si="373"/>
        <v>REVISAR PRECIO</v>
      </c>
      <c r="BS173" s="607">
        <f t="shared" si="297"/>
        <v>304373.02979999996</v>
      </c>
    </row>
    <row r="174" spans="1:71" ht="64.349999999999994" customHeight="1">
      <c r="A174" s="91" t="s">
        <v>28</v>
      </c>
      <c r="B174" s="358" t="s">
        <v>2365</v>
      </c>
      <c r="C174" s="50" t="s">
        <v>243</v>
      </c>
      <c r="D174" s="99" t="s">
        <v>586</v>
      </c>
      <c r="E174" s="391" t="s">
        <v>13</v>
      </c>
      <c r="F174" s="410">
        <v>1256644</v>
      </c>
      <c r="G174" s="589">
        <f t="shared" si="288"/>
        <v>1327267</v>
      </c>
      <c r="H174" s="10">
        <v>50262</v>
      </c>
      <c r="I174" s="167">
        <v>150786</v>
      </c>
      <c r="J174" s="10">
        <v>85600</v>
      </c>
      <c r="K174" s="76">
        <f>AVERAGE(I174,AA174,AB174,AC174,AS174)</f>
        <v>185783</v>
      </c>
      <c r="L174" s="24">
        <f t="shared" si="379"/>
        <v>-1070861</v>
      </c>
      <c r="M174" s="281">
        <f t="shared" si="287"/>
        <v>-0.80681656366051446</v>
      </c>
      <c r="N174" s="609">
        <f>K174</f>
        <v>185783</v>
      </c>
      <c r="O174" s="562">
        <v>1142174</v>
      </c>
      <c r="P174" s="579">
        <f t="shared" si="299"/>
        <v>1206364</v>
      </c>
      <c r="Q174" s="563"/>
      <c r="R174" s="563"/>
      <c r="S174" s="563"/>
      <c r="T174" s="563"/>
      <c r="U174" s="560"/>
      <c r="V174" s="561">
        <f t="shared" si="289"/>
        <v>-1206364</v>
      </c>
      <c r="W174" s="281">
        <f t="shared" si="378"/>
        <v>-1.0561998434564261</v>
      </c>
      <c r="X174" s="464">
        <f>N174</f>
        <v>185783</v>
      </c>
      <c r="Y174" s="410">
        <v>155700</v>
      </c>
      <c r="Z174" s="575">
        <f t="shared" si="292"/>
        <v>164450</v>
      </c>
      <c r="AA174" s="31">
        <v>202500</v>
      </c>
      <c r="AB174" s="31">
        <v>263250</v>
      </c>
      <c r="AC174" s="472">
        <v>177000</v>
      </c>
      <c r="AD174" s="76">
        <f t="shared" si="312"/>
        <v>181316.66666666666</v>
      </c>
      <c r="AE174" s="24">
        <f t="shared" si="293"/>
        <v>16866.666666666657</v>
      </c>
      <c r="AF174" s="25">
        <f t="shared" si="362"/>
        <v>0.10832798116035104</v>
      </c>
      <c r="AG174" s="309">
        <f t="shared" si="363"/>
        <v>181316.66666666666</v>
      </c>
      <c r="AH174" s="601">
        <f t="shared" si="364"/>
        <v>181316.66666666666</v>
      </c>
      <c r="AI174" s="410">
        <v>1275400</v>
      </c>
      <c r="AJ174" s="575">
        <f t="shared" si="294"/>
        <v>1347077</v>
      </c>
      <c r="AK174" s="45"/>
      <c r="AL174" s="45">
        <v>1482696</v>
      </c>
      <c r="AM174" s="45">
        <v>60000</v>
      </c>
      <c r="AN174" s="76">
        <f>AVERAGE(AK174,AL174,AJ174)</f>
        <v>1414886.5</v>
      </c>
      <c r="AO174" s="24">
        <f t="shared" si="380"/>
        <v>139486.5</v>
      </c>
      <c r="AP174" s="281">
        <f t="shared" si="381"/>
        <v>0.10936686529716168</v>
      </c>
      <c r="AQ174" s="601">
        <f>BA174</f>
        <v>135379</v>
      </c>
      <c r="AR174" s="513">
        <v>128176</v>
      </c>
      <c r="AS174" s="575">
        <f t="shared" si="301"/>
        <v>135379</v>
      </c>
      <c r="AT174" s="88">
        <v>53000</v>
      </c>
      <c r="AU174" s="116">
        <v>53000</v>
      </c>
      <c r="AV174" s="74">
        <v>55288.2</v>
      </c>
      <c r="AW174" s="76">
        <f t="shared" si="295"/>
        <v>74166.8</v>
      </c>
      <c r="AX174" s="24">
        <f t="shared" si="368"/>
        <v>-54009.2</v>
      </c>
      <c r="AY174" s="25">
        <f t="shared" si="383"/>
        <v>-0.42136749469479462</v>
      </c>
      <c r="AZ174" s="309">
        <f t="shared" si="384"/>
        <v>74166.8</v>
      </c>
      <c r="BA174" s="601">
        <f>AS174</f>
        <v>135379</v>
      </c>
      <c r="BB174" s="513">
        <v>128176</v>
      </c>
      <c r="BC174" s="575">
        <f t="shared" si="296"/>
        <v>135379</v>
      </c>
      <c r="BD174" s="74">
        <v>57801.3</v>
      </c>
      <c r="BE174" s="74">
        <v>80000</v>
      </c>
      <c r="BF174" s="75">
        <v>66597.149999999994</v>
      </c>
      <c r="BG174" s="61">
        <v>57801.299999999996</v>
      </c>
      <c r="BH174" s="60">
        <v>380000</v>
      </c>
      <c r="BI174" s="74">
        <v>66471.494999999995</v>
      </c>
      <c r="BJ174" s="79">
        <v>66597.149999999994</v>
      </c>
      <c r="BK174" s="79">
        <v>50262</v>
      </c>
      <c r="BL174" s="127">
        <v>60314.400000000001</v>
      </c>
      <c r="BM174" s="128">
        <v>52000</v>
      </c>
      <c r="BN174" s="128">
        <v>50000</v>
      </c>
      <c r="BO174" s="76">
        <f t="shared" si="314"/>
        <v>93601.98291666666</v>
      </c>
      <c r="BP174" s="24">
        <f t="shared" si="371"/>
        <v>-34574.01708333334</v>
      </c>
      <c r="BQ174" s="25">
        <f t="shared" si="372"/>
        <v>-0.26973861786397874</v>
      </c>
      <c r="BR174" s="259">
        <f t="shared" si="373"/>
        <v>93601.98291666666</v>
      </c>
      <c r="BS174" s="652">
        <f>BC174</f>
        <v>135379</v>
      </c>
    </row>
    <row r="175" spans="1:71" ht="39.6" customHeight="1">
      <c r="A175" s="91" t="s">
        <v>28</v>
      </c>
      <c r="B175" s="358" t="s">
        <v>2366</v>
      </c>
      <c r="C175" s="50" t="s">
        <v>244</v>
      </c>
      <c r="D175" s="99" t="s">
        <v>587</v>
      </c>
      <c r="E175" s="391" t="s">
        <v>14</v>
      </c>
      <c r="F175" s="410">
        <v>68375</v>
      </c>
      <c r="G175" s="589">
        <f t="shared" si="288"/>
        <v>72218</v>
      </c>
      <c r="H175" s="10">
        <v>65000</v>
      </c>
      <c r="I175" s="167">
        <v>130000</v>
      </c>
      <c r="J175" s="10">
        <v>60000</v>
      </c>
      <c r="K175" s="76">
        <f>AVERAGE(H175,G175)</f>
        <v>68609</v>
      </c>
      <c r="L175" s="24">
        <f t="shared" si="379"/>
        <v>234</v>
      </c>
      <c r="M175" s="281">
        <f t="shared" si="287"/>
        <v>3.2401894264587777E-3</v>
      </c>
      <c r="N175" s="597">
        <f t="shared" si="298"/>
        <v>68609</v>
      </c>
      <c r="O175" s="562">
        <v>62147</v>
      </c>
      <c r="P175" s="579">
        <f t="shared" si="299"/>
        <v>65640</v>
      </c>
      <c r="Q175" s="563">
        <v>60000</v>
      </c>
      <c r="R175" s="563"/>
      <c r="S175" s="563"/>
      <c r="T175" s="563"/>
      <c r="U175" s="560">
        <f>AVERAGE(P175:Q175,R175,S175,T175)</f>
        <v>62820</v>
      </c>
      <c r="V175" s="561">
        <f t="shared" si="289"/>
        <v>-2820</v>
      </c>
      <c r="W175" s="281">
        <f t="shared" si="378"/>
        <v>-4.5376285259143646E-2</v>
      </c>
      <c r="X175" s="464">
        <f>+U175</f>
        <v>62820</v>
      </c>
      <c r="Y175" s="410">
        <v>149887</v>
      </c>
      <c r="Z175" s="575">
        <f t="shared" si="292"/>
        <v>158311</v>
      </c>
      <c r="AA175" s="31">
        <v>194940</v>
      </c>
      <c r="AB175" s="31">
        <v>253422</v>
      </c>
      <c r="AC175" s="472">
        <v>170392</v>
      </c>
      <c r="AD175" s="76">
        <f t="shared" si="312"/>
        <v>174547.66666666666</v>
      </c>
      <c r="AE175" s="24">
        <f t="shared" si="293"/>
        <v>16236.666666666657</v>
      </c>
      <c r="AF175" s="25">
        <f t="shared" si="362"/>
        <v>0.10832605006882956</v>
      </c>
      <c r="AG175" s="309">
        <f t="shared" si="363"/>
        <v>174547.66666666666</v>
      </c>
      <c r="AH175" s="601">
        <f t="shared" si="364"/>
        <v>174547.66666666666</v>
      </c>
      <c r="AI175" s="410">
        <v>69389</v>
      </c>
      <c r="AJ175" s="575">
        <f t="shared" si="294"/>
        <v>73289</v>
      </c>
      <c r="AK175" s="45"/>
      <c r="AL175" s="45">
        <v>80669</v>
      </c>
      <c r="AM175" s="45">
        <v>65000</v>
      </c>
      <c r="AN175" s="76">
        <f t="shared" si="300"/>
        <v>72986</v>
      </c>
      <c r="AO175" s="24">
        <f t="shared" si="380"/>
        <v>3597</v>
      </c>
      <c r="AP175" s="281">
        <f t="shared" si="381"/>
        <v>5.1838187608987014E-2</v>
      </c>
      <c r="AQ175" s="601">
        <f t="shared" si="382"/>
        <v>72986</v>
      </c>
      <c r="AR175" s="513">
        <v>69741</v>
      </c>
      <c r="AS175" s="575">
        <f t="shared" si="301"/>
        <v>73660</v>
      </c>
      <c r="AT175" s="88">
        <v>70000</v>
      </c>
      <c r="AU175" s="116">
        <v>70000</v>
      </c>
      <c r="AV175" s="74">
        <v>71500</v>
      </c>
      <c r="AW175" s="76">
        <f t="shared" si="295"/>
        <v>71290</v>
      </c>
      <c r="AX175" s="24">
        <f t="shared" si="368"/>
        <v>1549</v>
      </c>
      <c r="AY175" s="25">
        <f t="shared" si="383"/>
        <v>2.2210751208041182E-2</v>
      </c>
      <c r="AZ175" s="309">
        <f t="shared" si="384"/>
        <v>71290</v>
      </c>
      <c r="BA175" s="601">
        <f t="shared" si="376"/>
        <v>71290</v>
      </c>
      <c r="BB175" s="513">
        <v>69741</v>
      </c>
      <c r="BC175" s="575">
        <f t="shared" si="296"/>
        <v>73660</v>
      </c>
      <c r="BD175" s="74">
        <v>74750</v>
      </c>
      <c r="BE175" s="74">
        <v>120000</v>
      </c>
      <c r="BF175" s="75">
        <v>86125</v>
      </c>
      <c r="BG175" s="61">
        <v>100049.99999999999</v>
      </c>
      <c r="BH175" s="60">
        <v>120000</v>
      </c>
      <c r="BI175" s="74">
        <v>115057.49999999997</v>
      </c>
      <c r="BJ175" s="79">
        <v>86125</v>
      </c>
      <c r="BK175" s="79">
        <v>65000</v>
      </c>
      <c r="BL175" s="127">
        <v>78000</v>
      </c>
      <c r="BM175" s="128">
        <v>72000</v>
      </c>
      <c r="BN175" s="128">
        <v>65000</v>
      </c>
      <c r="BO175" s="76">
        <f>AVERAGE(BC175,BD175,BE175,BF175,BI175,BJ175,BK175,BL175,BM175,BN175)</f>
        <v>83571.75</v>
      </c>
      <c r="BP175" s="24">
        <f t="shared" si="371"/>
        <v>13830.75</v>
      </c>
      <c r="BQ175" s="25">
        <f t="shared" si="372"/>
        <v>0.19831591173054589</v>
      </c>
      <c r="BR175" s="259">
        <f t="shared" si="373"/>
        <v>83571.75</v>
      </c>
      <c r="BS175" s="607">
        <f t="shared" si="297"/>
        <v>83571.75</v>
      </c>
    </row>
    <row r="176" spans="1:71" ht="50.1" customHeight="1">
      <c r="A176" s="91" t="s">
        <v>28</v>
      </c>
      <c r="B176" s="358" t="s">
        <v>2367</v>
      </c>
      <c r="C176" s="50" t="s">
        <v>245</v>
      </c>
      <c r="D176" s="99" t="s">
        <v>591</v>
      </c>
      <c r="E176" s="391" t="s">
        <v>10</v>
      </c>
      <c r="F176" s="410">
        <v>38806</v>
      </c>
      <c r="G176" s="589">
        <f t="shared" si="288"/>
        <v>40987</v>
      </c>
      <c r="H176" s="10">
        <v>56265</v>
      </c>
      <c r="I176" s="167">
        <v>56265</v>
      </c>
      <c r="J176" s="10">
        <v>108600</v>
      </c>
      <c r="K176" s="76">
        <f>AVERAGE(H176,G176)</f>
        <v>48626</v>
      </c>
      <c r="L176" s="24">
        <f t="shared" ref="L176:L177" si="385">K176-F176</f>
        <v>9820</v>
      </c>
      <c r="M176" s="281">
        <f t="shared" si="287"/>
        <v>0.23958816210017811</v>
      </c>
      <c r="N176" s="597">
        <f t="shared" si="298"/>
        <v>48626</v>
      </c>
      <c r="O176" s="562">
        <v>34116</v>
      </c>
      <c r="P176" s="579">
        <f t="shared" si="299"/>
        <v>36033</v>
      </c>
      <c r="Q176" s="563">
        <v>60000</v>
      </c>
      <c r="R176" s="563"/>
      <c r="S176" s="563"/>
      <c r="T176" s="563"/>
      <c r="U176" s="560">
        <f>AVERAGE(Q176,R176,S176,T176,P176)</f>
        <v>48016.5</v>
      </c>
      <c r="V176" s="561">
        <f t="shared" si="289"/>
        <v>11983.5</v>
      </c>
      <c r="W176" s="281">
        <f t="shared" ref="W176:W177" si="386">+V176/O176</f>
        <v>0.35125747449876893</v>
      </c>
      <c r="X176" s="464">
        <f t="shared" ref="X176:X177" si="387">U176</f>
        <v>48016.5</v>
      </c>
      <c r="Y176" s="410">
        <v>57277</v>
      </c>
      <c r="Z176" s="575">
        <f t="shared" si="292"/>
        <v>60496</v>
      </c>
      <c r="AA176" s="31">
        <v>74493</v>
      </c>
      <c r="AB176" s="31">
        <v>96841</v>
      </c>
      <c r="AC176" s="472">
        <v>65112.4</v>
      </c>
      <c r="AD176" s="76">
        <f t="shared" si="312"/>
        <v>66700.46666666666</v>
      </c>
      <c r="AE176" s="24">
        <f t="shared" si="293"/>
        <v>6204.4666666666599</v>
      </c>
      <c r="AF176" s="25">
        <f t="shared" si="362"/>
        <v>0.10832387636689526</v>
      </c>
      <c r="AG176" s="309">
        <f t="shared" si="363"/>
        <v>66700.46666666666</v>
      </c>
      <c r="AH176" s="601">
        <f t="shared" si="364"/>
        <v>66700.46666666666</v>
      </c>
      <c r="AI176" s="410">
        <v>38805</v>
      </c>
      <c r="AJ176" s="575">
        <f t="shared" si="294"/>
        <v>40986</v>
      </c>
      <c r="AK176" s="45"/>
      <c r="AL176" s="45">
        <v>45780</v>
      </c>
      <c r="AM176" s="45">
        <v>60000</v>
      </c>
      <c r="AN176" s="76">
        <f t="shared" si="300"/>
        <v>48922</v>
      </c>
      <c r="AO176" s="24">
        <f t="shared" ref="AO176:AO177" si="388">AN176-AI176</f>
        <v>10117</v>
      </c>
      <c r="AP176" s="281">
        <f t="shared" ref="AP176:AP177" si="389">+AO176/AI176</f>
        <v>0.26071382553794614</v>
      </c>
      <c r="AQ176" s="601">
        <f t="shared" ref="AQ176:AQ177" si="390">AN176</f>
        <v>48922</v>
      </c>
      <c r="AR176" s="513">
        <v>38805</v>
      </c>
      <c r="AS176" s="575">
        <f t="shared" si="301"/>
        <v>40986</v>
      </c>
      <c r="AT176" s="88">
        <v>60000</v>
      </c>
      <c r="AU176" s="116">
        <v>60000</v>
      </c>
      <c r="AV176" s="74">
        <v>61891.83</v>
      </c>
      <c r="AW176" s="76">
        <f t="shared" si="295"/>
        <v>55719.457500000004</v>
      </c>
      <c r="AX176" s="24">
        <f t="shared" si="368"/>
        <v>16914.457500000004</v>
      </c>
      <c r="AY176" s="25">
        <f t="shared" si="383"/>
        <v>0.43588345574023979</v>
      </c>
      <c r="AZ176" s="309" t="str">
        <f t="shared" si="384"/>
        <v>REVISAR PRECIO</v>
      </c>
      <c r="BA176" s="601">
        <f t="shared" si="376"/>
        <v>55719.457500000004</v>
      </c>
      <c r="BB176" s="513">
        <v>38805</v>
      </c>
      <c r="BC176" s="575">
        <f t="shared" si="296"/>
        <v>40986</v>
      </c>
      <c r="BD176" s="74">
        <v>64705.095000000001</v>
      </c>
      <c r="BE176" s="74">
        <v>150000</v>
      </c>
      <c r="BF176" s="75">
        <v>74551.522499999992</v>
      </c>
      <c r="BG176" s="61">
        <v>64705.095000000001</v>
      </c>
      <c r="BH176" s="60">
        <v>420000</v>
      </c>
      <c r="BI176" s="74">
        <v>74410.859249999994</v>
      </c>
      <c r="BJ176" s="79">
        <v>74551.522499999992</v>
      </c>
      <c r="BK176" s="79">
        <f>43281*1.3</f>
        <v>56265.3</v>
      </c>
      <c r="BL176" s="127">
        <v>67518.36</v>
      </c>
      <c r="BM176" s="128">
        <v>65900</v>
      </c>
      <c r="BN176" s="128">
        <v>60000</v>
      </c>
      <c r="BO176" s="76">
        <f>AVERAGE(BC176,BD176,BE176,BF176,BG176,BI176,BJ176,BK176,BL176,BM176,BN176)</f>
        <v>72144.886750000005</v>
      </c>
      <c r="BP176" s="24">
        <f t="shared" si="371"/>
        <v>33339.886750000005</v>
      </c>
      <c r="BQ176" s="25">
        <f t="shared" si="372"/>
        <v>0.8591647145986343</v>
      </c>
      <c r="BR176" s="259" t="str">
        <f t="shared" si="373"/>
        <v>REVISAR PRECIO</v>
      </c>
      <c r="BS176" s="607">
        <f t="shared" si="297"/>
        <v>72144.886750000005</v>
      </c>
    </row>
    <row r="177" spans="1:71" ht="58.35" customHeight="1">
      <c r="A177" s="91" t="s">
        <v>28</v>
      </c>
      <c r="B177" s="358" t="s">
        <v>2368</v>
      </c>
      <c r="C177" s="50" t="s">
        <v>246</v>
      </c>
      <c r="D177" s="99" t="s">
        <v>592</v>
      </c>
      <c r="E177" s="391" t="s">
        <v>10</v>
      </c>
      <c r="F177" s="410">
        <v>20039</v>
      </c>
      <c r="G177" s="589">
        <f t="shared" si="288"/>
        <v>21165</v>
      </c>
      <c r="H177" s="10">
        <v>28101</v>
      </c>
      <c r="I177" s="167">
        <v>56202</v>
      </c>
      <c r="J177" s="10">
        <v>35600</v>
      </c>
      <c r="K177" s="76">
        <f>AVERAGE(H177,J177,G177)</f>
        <v>28288.666666666668</v>
      </c>
      <c r="L177" s="24">
        <f t="shared" si="385"/>
        <v>8249.6666666666679</v>
      </c>
      <c r="M177" s="281">
        <f t="shared" si="287"/>
        <v>0.3897787227340736</v>
      </c>
      <c r="N177" s="597">
        <f t="shared" si="298"/>
        <v>28288.666666666668</v>
      </c>
      <c r="O177" s="562">
        <v>17314</v>
      </c>
      <c r="P177" s="579">
        <f t="shared" si="299"/>
        <v>18287</v>
      </c>
      <c r="Q177" s="563">
        <v>100000</v>
      </c>
      <c r="R177" s="563"/>
      <c r="S177" s="563"/>
      <c r="T177" s="563"/>
      <c r="U177" s="560">
        <f>AVERAGE(Q177,R177,S177,T177,P177,)</f>
        <v>39429</v>
      </c>
      <c r="V177" s="561">
        <f t="shared" si="289"/>
        <v>21142</v>
      </c>
      <c r="W177" s="281">
        <f t="shared" si="386"/>
        <v>1.2210927573062262</v>
      </c>
      <c r="X177" s="464">
        <f t="shared" si="387"/>
        <v>39429</v>
      </c>
      <c r="Y177" s="410">
        <v>29573</v>
      </c>
      <c r="Z177" s="575">
        <f t="shared" si="292"/>
        <v>31235</v>
      </c>
      <c r="AA177" s="31">
        <v>38462</v>
      </c>
      <c r="AB177" s="31">
        <v>50000</v>
      </c>
      <c r="AC177" s="472">
        <v>33618.199999999997</v>
      </c>
      <c r="AD177" s="76">
        <f t="shared" si="312"/>
        <v>34438.400000000001</v>
      </c>
      <c r="AE177" s="24">
        <f t="shared" si="293"/>
        <v>3203.4000000000015</v>
      </c>
      <c r="AF177" s="25">
        <f t="shared" si="362"/>
        <v>0.10832178000202893</v>
      </c>
      <c r="AG177" s="309">
        <f t="shared" si="363"/>
        <v>34438.400000000001</v>
      </c>
      <c r="AH177" s="601">
        <f t="shared" si="364"/>
        <v>34438.400000000001</v>
      </c>
      <c r="AI177" s="410">
        <v>21661</v>
      </c>
      <c r="AJ177" s="575">
        <f t="shared" si="294"/>
        <v>22878</v>
      </c>
      <c r="AK177" s="45"/>
      <c r="AL177" s="45">
        <v>23639</v>
      </c>
      <c r="AM177" s="45">
        <v>35000</v>
      </c>
      <c r="AN177" s="76">
        <f>AVERAGE(AL177,AM177,AJ177)</f>
        <v>27172.333333333332</v>
      </c>
      <c r="AO177" s="24">
        <f t="shared" si="388"/>
        <v>5511.3333333333321</v>
      </c>
      <c r="AP177" s="281">
        <f t="shared" si="389"/>
        <v>0.2544357755105181</v>
      </c>
      <c r="AQ177" s="601">
        <f t="shared" si="390"/>
        <v>27172.333333333332</v>
      </c>
      <c r="AR177" s="513">
        <v>20039</v>
      </c>
      <c r="AS177" s="575">
        <f t="shared" si="301"/>
        <v>21165</v>
      </c>
      <c r="AT177" s="88">
        <v>30000</v>
      </c>
      <c r="AU177" s="116">
        <v>30000</v>
      </c>
      <c r="AV177" s="74">
        <v>30910.879999999997</v>
      </c>
      <c r="AW177" s="76">
        <f t="shared" si="295"/>
        <v>28018.97</v>
      </c>
      <c r="AX177" s="24">
        <f t="shared" si="368"/>
        <v>7979.9700000000012</v>
      </c>
      <c r="AY177" s="25">
        <f t="shared" si="383"/>
        <v>0.39822196716403019</v>
      </c>
      <c r="AZ177" s="309" t="str">
        <f t="shared" si="384"/>
        <v>REVISAR PRECIO</v>
      </c>
      <c r="BA177" s="601">
        <f t="shared" si="376"/>
        <v>28018.97</v>
      </c>
      <c r="BB177" s="513">
        <v>20039</v>
      </c>
      <c r="BC177" s="575">
        <f t="shared" si="296"/>
        <v>21165</v>
      </c>
      <c r="BD177" s="74">
        <v>32315.919999999998</v>
      </c>
      <c r="BE177" s="74">
        <v>130000</v>
      </c>
      <c r="BF177" s="75">
        <v>37233.56</v>
      </c>
      <c r="BG177" s="61">
        <v>32315.919999999998</v>
      </c>
      <c r="BH177" s="60">
        <v>420000</v>
      </c>
      <c r="BI177" s="74">
        <v>37163.307999999997</v>
      </c>
      <c r="BJ177" s="79">
        <v>37233.56</v>
      </c>
      <c r="BK177" s="79">
        <f>21616*1.3</f>
        <v>28100.799999999999</v>
      </c>
      <c r="BL177" s="127">
        <v>33720.959999999999</v>
      </c>
      <c r="BM177" s="128">
        <v>27500</v>
      </c>
      <c r="BN177" s="128">
        <v>30000</v>
      </c>
      <c r="BO177" s="76">
        <f>AVERAGE(BC177,BD177,BE177,BF177,BG177,BI177,BJ177,BK177,BL177,BM177,BN177)</f>
        <v>40613.548000000003</v>
      </c>
      <c r="BP177" s="24">
        <f t="shared" si="371"/>
        <v>20574.548000000003</v>
      </c>
      <c r="BQ177" s="25">
        <f t="shared" si="372"/>
        <v>1.026725285692899</v>
      </c>
      <c r="BR177" s="259" t="str">
        <f t="shared" si="373"/>
        <v>REVISAR PRECIO</v>
      </c>
      <c r="BS177" s="607">
        <f t="shared" si="297"/>
        <v>40613.548000000003</v>
      </c>
    </row>
    <row r="178" spans="1:71" ht="36" customHeight="1">
      <c r="A178" s="91" t="s">
        <v>29</v>
      </c>
      <c r="B178" s="358" t="s">
        <v>2369</v>
      </c>
      <c r="C178" s="252" t="s">
        <v>758</v>
      </c>
      <c r="D178" s="47" t="s">
        <v>29</v>
      </c>
      <c r="E178" s="91"/>
      <c r="F178" s="411"/>
      <c r="G178" s="574"/>
      <c r="H178" s="173"/>
      <c r="I178" s="174"/>
      <c r="J178" s="173"/>
      <c r="K178" s="173"/>
      <c r="L178" s="173"/>
      <c r="M178" s="173"/>
      <c r="N178" s="173"/>
      <c r="O178" s="173"/>
      <c r="P178" s="173"/>
      <c r="Q178" s="173"/>
      <c r="R178" s="173"/>
      <c r="S178" s="173"/>
      <c r="T178" s="173"/>
      <c r="U178" s="173"/>
      <c r="V178" s="173"/>
      <c r="W178" s="173"/>
      <c r="X178" s="173"/>
      <c r="Y178" s="173"/>
      <c r="Z178" s="173"/>
      <c r="AA178" s="173"/>
      <c r="AB178" s="173"/>
      <c r="AC178" s="173"/>
      <c r="AD178" s="173"/>
      <c r="AE178" s="173"/>
      <c r="AF178" s="173"/>
      <c r="AG178" s="173"/>
      <c r="AH178" s="173"/>
      <c r="AI178" s="173"/>
      <c r="AJ178" s="173"/>
      <c r="AK178" s="173"/>
      <c r="AL178" s="173"/>
      <c r="AM178" s="173"/>
      <c r="AN178" s="173"/>
      <c r="AO178" s="173"/>
      <c r="AP178" s="173"/>
      <c r="AQ178" s="173"/>
      <c r="AR178" s="173"/>
      <c r="AS178" s="173"/>
      <c r="AT178" s="173"/>
      <c r="AU178" s="173"/>
      <c r="AV178" s="173"/>
      <c r="AW178" s="173"/>
      <c r="AX178" s="173"/>
      <c r="AY178" s="173"/>
      <c r="AZ178" s="173"/>
      <c r="BA178" s="173"/>
      <c r="BB178" s="173"/>
      <c r="BC178" s="173"/>
      <c r="BD178" s="173"/>
      <c r="BE178" s="173"/>
      <c r="BF178" s="173"/>
      <c r="BG178" s="173"/>
      <c r="BH178" s="173"/>
      <c r="BI178" s="173"/>
      <c r="BJ178" s="173"/>
      <c r="BK178" s="173"/>
      <c r="BL178" s="173"/>
      <c r="BM178" s="173"/>
      <c r="BN178" s="173"/>
      <c r="BO178" s="173"/>
      <c r="BP178" s="173"/>
      <c r="BQ178" s="173"/>
      <c r="BR178" s="173"/>
      <c r="BS178" s="173"/>
    </row>
    <row r="179" spans="1:71">
      <c r="A179" s="91" t="s">
        <v>29</v>
      </c>
      <c r="B179" s="358" t="s">
        <v>2370</v>
      </c>
      <c r="C179" s="50" t="s">
        <v>267</v>
      </c>
      <c r="D179" s="99" t="s">
        <v>607</v>
      </c>
      <c r="E179" s="391" t="s">
        <v>13</v>
      </c>
      <c r="F179" s="562">
        <v>32179</v>
      </c>
      <c r="G179" s="612">
        <f t="shared" si="288"/>
        <v>33987</v>
      </c>
      <c r="H179" s="611">
        <v>25000</v>
      </c>
      <c r="I179" s="611">
        <v>37412</v>
      </c>
      <c r="J179" s="611">
        <v>30000</v>
      </c>
      <c r="K179" s="560">
        <f>AVERAGE(G179,H179:J179)</f>
        <v>31599.75</v>
      </c>
      <c r="L179" s="561">
        <f t="shared" ref="L179:L183" si="391">K179-F179</f>
        <v>-579.25</v>
      </c>
      <c r="M179" s="281">
        <f t="shared" si="287"/>
        <v>-1.7043281254597347E-2</v>
      </c>
      <c r="N179" s="597">
        <f t="shared" si="298"/>
        <v>31599.75</v>
      </c>
      <c r="O179" s="410">
        <v>28819</v>
      </c>
      <c r="P179" s="575">
        <f t="shared" si="299"/>
        <v>30439</v>
      </c>
      <c r="Q179" s="10"/>
      <c r="R179" s="10"/>
      <c r="S179" s="10"/>
      <c r="T179" s="279">
        <f>+T180*0.4</f>
        <v>30000</v>
      </c>
      <c r="U179" s="76">
        <f>AVERAGE(Q179,R179,S179,T179,P179)</f>
        <v>30219.5</v>
      </c>
      <c r="V179" s="24">
        <f t="shared" si="289"/>
        <v>-219.5</v>
      </c>
      <c r="W179" s="281">
        <f t="shared" ref="W179:W181" si="392">+V179/O179</f>
        <v>-7.6165030014920714E-3</v>
      </c>
      <c r="X179" s="462">
        <f t="shared" ref="X179:X181" si="393">U179</f>
        <v>30219.5</v>
      </c>
      <c r="Y179" s="410">
        <v>60474</v>
      </c>
      <c r="Z179" s="575">
        <f t="shared" si="292"/>
        <v>63873</v>
      </c>
      <c r="AA179" s="33">
        <v>78651</v>
      </c>
      <c r="AB179" s="31">
        <v>102246</v>
      </c>
      <c r="AC179" s="472">
        <v>68746.8</v>
      </c>
      <c r="AD179" s="76">
        <f t="shared" si="312"/>
        <v>70423.599999999991</v>
      </c>
      <c r="AE179" s="24">
        <f t="shared" si="293"/>
        <v>6550.5999999999913</v>
      </c>
      <c r="AF179" s="25">
        <f t="shared" ref="AF179:AF184" si="394">+AE179/Y179</f>
        <v>0.10832093130932287</v>
      </c>
      <c r="AG179" s="309">
        <f t="shared" ref="AG179:AG184" si="395">+IF(AF179&lt;35%,AD179,"REVISAR PRECIO")</f>
        <v>70423.599999999991</v>
      </c>
      <c r="AH179" s="601">
        <f t="shared" ref="AH179:AH184" si="396">AD179</f>
        <v>70423.599999999991</v>
      </c>
      <c r="AI179" s="410">
        <v>32179</v>
      </c>
      <c r="AJ179" s="575">
        <f t="shared" si="294"/>
        <v>33987</v>
      </c>
      <c r="AK179" s="45">
        <v>25000</v>
      </c>
      <c r="AL179" s="45">
        <v>37412</v>
      </c>
      <c r="AM179" s="45">
        <v>30000</v>
      </c>
      <c r="AN179" s="76">
        <f>AVERAGE(AL179,AM179,AJ179)</f>
        <v>33799.666666666664</v>
      </c>
      <c r="AO179" s="24">
        <f t="shared" ref="AO179:AO184" si="397">AN179-AI179</f>
        <v>1620.6666666666642</v>
      </c>
      <c r="AP179" s="281">
        <f t="shared" ref="AP179:AP184" si="398">+AO179/AI179</f>
        <v>5.0364109098065948E-2</v>
      </c>
      <c r="AQ179" s="601">
        <f t="shared" ref="AQ179:AQ184" si="399">AN179</f>
        <v>33799.666666666664</v>
      </c>
      <c r="AR179" s="513">
        <v>32340</v>
      </c>
      <c r="AS179" s="575">
        <f t="shared" si="301"/>
        <v>34158</v>
      </c>
      <c r="AT179" s="88">
        <v>32000</v>
      </c>
      <c r="AU179" s="116">
        <v>32000</v>
      </c>
      <c r="AV179" s="74">
        <v>26011.128000000004</v>
      </c>
      <c r="AW179" s="76">
        <f t="shared" si="295"/>
        <v>31042.281999999999</v>
      </c>
      <c r="AX179" s="24">
        <f t="shared" ref="AX179:AX184" si="400">AW179-AR179</f>
        <v>-1297.7180000000008</v>
      </c>
      <c r="AY179" s="25">
        <f t="shared" ref="AY179:AY184" si="401">+AX179/AR179</f>
        <v>-4.0127334570191735E-2</v>
      </c>
      <c r="AZ179" s="309">
        <f t="shared" ref="AZ179:AZ184" si="402">+IF(AY179&lt;35%,AW179,"REVISAR PRECIO")</f>
        <v>31042.281999999999</v>
      </c>
      <c r="BA179" s="601">
        <f t="shared" ref="BA179:BA182" si="403">AW179</f>
        <v>31042.281999999999</v>
      </c>
      <c r="BB179" s="513">
        <v>32340</v>
      </c>
      <c r="BC179" s="575">
        <f t="shared" si="296"/>
        <v>34158</v>
      </c>
      <c r="BD179" s="74">
        <v>27193.452000000005</v>
      </c>
      <c r="BE179" s="74">
        <v>45000</v>
      </c>
      <c r="BF179" s="75">
        <v>31331.586000000003</v>
      </c>
      <c r="BG179" s="61">
        <v>52439.999999999993</v>
      </c>
      <c r="BH179" s="60">
        <v>32000</v>
      </c>
      <c r="BI179" s="74">
        <v>60305.999999999985</v>
      </c>
      <c r="BJ179" s="79">
        <v>31331.586000000003</v>
      </c>
      <c r="BK179" s="79">
        <f>+BK180*0.4</f>
        <v>23646.480000000003</v>
      </c>
      <c r="BL179" s="127">
        <v>28375.776000000005</v>
      </c>
      <c r="BM179" s="128">
        <v>25000</v>
      </c>
      <c r="BN179" s="128">
        <v>25000</v>
      </c>
      <c r="BO179" s="76">
        <f t="shared" si="314"/>
        <v>34648.573333333334</v>
      </c>
      <c r="BP179" s="24">
        <f t="shared" ref="BP179:BP184" si="404">BO179-BB179</f>
        <v>2308.5733333333337</v>
      </c>
      <c r="BQ179" s="25">
        <f t="shared" ref="BQ179:BQ184" si="405">+BP179/BB179</f>
        <v>7.1384456813028255E-2</v>
      </c>
      <c r="BR179" s="259">
        <f t="shared" ref="BR179:BR184" si="406">+IF(BQ179&lt;35%,BO179,"REVISAR PRECIO")</f>
        <v>34648.573333333334</v>
      </c>
      <c r="BS179" s="607">
        <f t="shared" si="297"/>
        <v>34648.573333333334</v>
      </c>
    </row>
    <row r="180" spans="1:71" ht="38.1" customHeight="1">
      <c r="A180" s="91" t="s">
        <v>29</v>
      </c>
      <c r="B180" s="358" t="s">
        <v>2371</v>
      </c>
      <c r="C180" s="50" t="s">
        <v>268</v>
      </c>
      <c r="D180" s="99" t="s">
        <v>608</v>
      </c>
      <c r="E180" s="391" t="s">
        <v>13</v>
      </c>
      <c r="F180" s="562">
        <v>50642</v>
      </c>
      <c r="G180" s="612">
        <f t="shared" si="288"/>
        <v>53488</v>
      </c>
      <c r="H180" s="611">
        <v>58000</v>
      </c>
      <c r="I180" s="611">
        <v>58867</v>
      </c>
      <c r="J180" s="611">
        <v>140000</v>
      </c>
      <c r="K180" s="560">
        <f>AVERAGE(G180,H180:I180)</f>
        <v>56785</v>
      </c>
      <c r="L180" s="561">
        <f t="shared" si="391"/>
        <v>6143</v>
      </c>
      <c r="M180" s="281">
        <f t="shared" si="287"/>
        <v>0.11484819024827998</v>
      </c>
      <c r="N180" s="597">
        <f t="shared" si="298"/>
        <v>56785</v>
      </c>
      <c r="O180" s="410">
        <v>45345</v>
      </c>
      <c r="P180" s="575">
        <f t="shared" si="299"/>
        <v>47893</v>
      </c>
      <c r="Q180" s="10">
        <v>75000</v>
      </c>
      <c r="R180" s="10">
        <v>81000</v>
      </c>
      <c r="S180" s="268">
        <v>81000</v>
      </c>
      <c r="T180" s="10">
        <v>75000</v>
      </c>
      <c r="U180" s="76">
        <f>AVERAGE(Q180,R180,S180,T180,P180)</f>
        <v>71978.600000000006</v>
      </c>
      <c r="V180" s="24">
        <f t="shared" si="289"/>
        <v>24085.600000000006</v>
      </c>
      <c r="W180" s="281">
        <f t="shared" si="392"/>
        <v>0.53116330356158359</v>
      </c>
      <c r="X180" s="462">
        <f t="shared" si="393"/>
        <v>71978.600000000006</v>
      </c>
      <c r="Y180" s="410">
        <v>156842</v>
      </c>
      <c r="Z180" s="575">
        <f t="shared" si="292"/>
        <v>165657</v>
      </c>
      <c r="AA180" s="31">
        <v>203985</v>
      </c>
      <c r="AB180" s="31">
        <v>265181</v>
      </c>
      <c r="AC180" s="472">
        <v>178298</v>
      </c>
      <c r="AD180" s="76">
        <f>AVERAGE(AC180,Z180)</f>
        <v>171977.5</v>
      </c>
      <c r="AE180" s="24">
        <f t="shared" si="293"/>
        <v>6320.5</v>
      </c>
      <c r="AF180" s="25">
        <f t="shared" si="394"/>
        <v>4.0298516978870456E-2</v>
      </c>
      <c r="AG180" s="309">
        <f t="shared" si="395"/>
        <v>171977.5</v>
      </c>
      <c r="AH180" s="601">
        <f t="shared" si="396"/>
        <v>171977.5</v>
      </c>
      <c r="AI180" s="410">
        <v>50642</v>
      </c>
      <c r="AJ180" s="575">
        <f t="shared" si="294"/>
        <v>53488</v>
      </c>
      <c r="AK180" s="45">
        <v>58000</v>
      </c>
      <c r="AL180" s="45">
        <v>58867</v>
      </c>
      <c r="AM180" s="45">
        <v>140000</v>
      </c>
      <c r="AN180" s="76">
        <f>AVERAGE(AK180,AL180,AJ180)</f>
        <v>56785</v>
      </c>
      <c r="AO180" s="24">
        <f t="shared" si="397"/>
        <v>6143</v>
      </c>
      <c r="AP180" s="281">
        <f t="shared" si="398"/>
        <v>0.12130247620552111</v>
      </c>
      <c r="AQ180" s="601">
        <f t="shared" si="399"/>
        <v>56785</v>
      </c>
      <c r="AR180" s="513">
        <v>73253</v>
      </c>
      <c r="AS180" s="575">
        <f t="shared" si="301"/>
        <v>77370</v>
      </c>
      <c r="AT180" s="88">
        <v>86000</v>
      </c>
      <c r="AU180" s="116">
        <v>86000</v>
      </c>
      <c r="AV180" s="74">
        <v>65027.820000000007</v>
      </c>
      <c r="AW180" s="76">
        <f t="shared" si="295"/>
        <v>78599.455000000002</v>
      </c>
      <c r="AX180" s="24">
        <f t="shared" si="400"/>
        <v>5346.4550000000017</v>
      </c>
      <c r="AY180" s="25">
        <f t="shared" si="401"/>
        <v>7.2986157563512774E-2</v>
      </c>
      <c r="AZ180" s="309">
        <f t="shared" si="402"/>
        <v>78599.455000000002</v>
      </c>
      <c r="BA180" s="601">
        <f t="shared" si="403"/>
        <v>78599.455000000002</v>
      </c>
      <c r="BB180" s="513">
        <v>73253</v>
      </c>
      <c r="BC180" s="575">
        <f t="shared" si="296"/>
        <v>77370</v>
      </c>
      <c r="BD180" s="74">
        <v>67983.63</v>
      </c>
      <c r="BE180" s="74">
        <v>85000</v>
      </c>
      <c r="BF180" s="75">
        <v>78328.964999999997</v>
      </c>
      <c r="BG180" s="61">
        <v>75210</v>
      </c>
      <c r="BH180" s="60">
        <v>70000</v>
      </c>
      <c r="BI180" s="74">
        <v>86491.5</v>
      </c>
      <c r="BJ180" s="79">
        <v>78328.964999999997</v>
      </c>
      <c r="BK180" s="79">
        <f>45474*1.3</f>
        <v>59116.200000000004</v>
      </c>
      <c r="BL180" s="127">
        <v>70939.44</v>
      </c>
      <c r="BM180" s="128">
        <v>68000</v>
      </c>
      <c r="BN180" s="128">
        <v>75000</v>
      </c>
      <c r="BO180" s="76">
        <f t="shared" si="314"/>
        <v>74314.058333333334</v>
      </c>
      <c r="BP180" s="24">
        <f t="shared" si="404"/>
        <v>1061.0583333333343</v>
      </c>
      <c r="BQ180" s="25">
        <f t="shared" si="405"/>
        <v>1.4484844761761762E-2</v>
      </c>
      <c r="BR180" s="259">
        <f t="shared" si="406"/>
        <v>74314.058333333334</v>
      </c>
      <c r="BS180" s="607">
        <f t="shared" si="297"/>
        <v>74314.058333333334</v>
      </c>
    </row>
    <row r="181" spans="1:71" ht="36" customHeight="1">
      <c r="A181" s="91" t="s">
        <v>29</v>
      </c>
      <c r="B181" s="358" t="s">
        <v>2372</v>
      </c>
      <c r="C181" s="50" t="s">
        <v>269</v>
      </c>
      <c r="D181" s="99" t="s">
        <v>609</v>
      </c>
      <c r="E181" s="391" t="s">
        <v>13</v>
      </c>
      <c r="F181" s="562">
        <v>75683</v>
      </c>
      <c r="G181" s="612">
        <f t="shared" si="288"/>
        <v>79936</v>
      </c>
      <c r="H181" s="611">
        <v>98000</v>
      </c>
      <c r="I181" s="611">
        <v>89301</v>
      </c>
      <c r="J181" s="611">
        <v>110000</v>
      </c>
      <c r="K181" s="560">
        <f>AVERAGE(G181,H181:J181)</f>
        <v>94309.25</v>
      </c>
      <c r="L181" s="561">
        <f t="shared" si="391"/>
        <v>18626.25</v>
      </c>
      <c r="M181" s="281">
        <f t="shared" si="287"/>
        <v>0.23301453662930344</v>
      </c>
      <c r="N181" s="597">
        <f t="shared" si="298"/>
        <v>94309.25</v>
      </c>
      <c r="O181" s="410">
        <v>68117</v>
      </c>
      <c r="P181" s="575">
        <f t="shared" si="299"/>
        <v>71945</v>
      </c>
      <c r="Q181" s="10">
        <v>115000</v>
      </c>
      <c r="R181" s="10">
        <v>120000</v>
      </c>
      <c r="S181" s="268">
        <v>120000</v>
      </c>
      <c r="T181" s="10">
        <v>115000</v>
      </c>
      <c r="U181" s="76">
        <f>AVERAGE(Q181,R181,S181,T181,P181)</f>
        <v>108389</v>
      </c>
      <c r="V181" s="24">
        <f t="shared" si="289"/>
        <v>36444</v>
      </c>
      <c r="W181" s="281">
        <f t="shared" si="392"/>
        <v>0.53502062627537916</v>
      </c>
      <c r="X181" s="462">
        <f t="shared" si="393"/>
        <v>108389</v>
      </c>
      <c r="Y181" s="410">
        <v>141521</v>
      </c>
      <c r="Z181" s="575">
        <f t="shared" si="292"/>
        <v>149474</v>
      </c>
      <c r="AA181" s="31">
        <v>184059</v>
      </c>
      <c r="AB181" s="31">
        <v>239277</v>
      </c>
      <c r="AC181" s="472">
        <v>160881.20000000001</v>
      </c>
      <c r="AD181" s="76">
        <f t="shared" si="312"/>
        <v>164804.73333333334</v>
      </c>
      <c r="AE181" s="24">
        <f t="shared" si="293"/>
        <v>15330.733333333337</v>
      </c>
      <c r="AF181" s="25">
        <f t="shared" si="394"/>
        <v>0.10832832818686511</v>
      </c>
      <c r="AG181" s="309">
        <f t="shared" si="395"/>
        <v>164804.73333333334</v>
      </c>
      <c r="AH181" s="601">
        <f t="shared" si="396"/>
        <v>164804.73333333334</v>
      </c>
      <c r="AI181" s="410">
        <v>75683</v>
      </c>
      <c r="AJ181" s="575">
        <f t="shared" si="294"/>
        <v>79936</v>
      </c>
      <c r="AK181" s="45">
        <v>98000</v>
      </c>
      <c r="AL181" s="45">
        <v>89301</v>
      </c>
      <c r="AM181" s="45">
        <v>110000</v>
      </c>
      <c r="AN181" s="76">
        <f>AVERAGE(AK181,AL181,AJ181)</f>
        <v>89079</v>
      </c>
      <c r="AO181" s="24">
        <f t="shared" si="397"/>
        <v>13396</v>
      </c>
      <c r="AP181" s="281">
        <f t="shared" si="398"/>
        <v>0.17700144021775036</v>
      </c>
      <c r="AQ181" s="601">
        <f t="shared" si="399"/>
        <v>89079</v>
      </c>
      <c r="AR181" s="513">
        <v>50888</v>
      </c>
      <c r="AS181" s="575">
        <f t="shared" si="301"/>
        <v>53748</v>
      </c>
      <c r="AT181" s="88">
        <v>105000</v>
      </c>
      <c r="AU181" s="116">
        <v>105000</v>
      </c>
      <c r="AV181" s="74">
        <v>103101.23999999999</v>
      </c>
      <c r="AW181" s="76">
        <f t="shared" si="295"/>
        <v>91712.31</v>
      </c>
      <c r="AX181" s="24">
        <f t="shared" si="400"/>
        <v>40824.31</v>
      </c>
      <c r="AY181" s="25">
        <f t="shared" si="401"/>
        <v>0.80223844521301679</v>
      </c>
      <c r="AZ181" s="309" t="str">
        <f t="shared" si="402"/>
        <v>REVISAR PRECIO</v>
      </c>
      <c r="BA181" s="601">
        <f t="shared" si="403"/>
        <v>91712.31</v>
      </c>
      <c r="BB181" s="513">
        <v>50888</v>
      </c>
      <c r="BC181" s="575">
        <f t="shared" si="296"/>
        <v>53748</v>
      </c>
      <c r="BD181" s="74">
        <v>107787.65999999999</v>
      </c>
      <c r="BE181" s="74">
        <v>120000</v>
      </c>
      <c r="BF181" s="75">
        <v>124190.12999999999</v>
      </c>
      <c r="BG181" s="61">
        <v>138575</v>
      </c>
      <c r="BH181" s="60">
        <v>90000</v>
      </c>
      <c r="BI181" s="74">
        <v>159361.25</v>
      </c>
      <c r="BJ181" s="79">
        <v>124190.12999999999</v>
      </c>
      <c r="BK181" s="79">
        <f>78107*1.2</f>
        <v>93728.4</v>
      </c>
      <c r="BL181" s="127">
        <v>112474.07999999999</v>
      </c>
      <c r="BM181" s="128">
        <v>104000</v>
      </c>
      <c r="BN181" s="128">
        <v>115000</v>
      </c>
      <c r="BO181" s="76">
        <f>AVERAGE(BC181,BD181,BE181,BF181,BH181,BJ181,BK181,BL181,BM181,BN181)</f>
        <v>104511.84</v>
      </c>
      <c r="BP181" s="24">
        <f t="shared" si="404"/>
        <v>53623.839999999997</v>
      </c>
      <c r="BQ181" s="25">
        <f t="shared" si="405"/>
        <v>1.053761987108945</v>
      </c>
      <c r="BR181" s="259" t="str">
        <f t="shared" si="406"/>
        <v>REVISAR PRECIO</v>
      </c>
      <c r="BS181" s="607">
        <f t="shared" si="297"/>
        <v>104511.84</v>
      </c>
    </row>
    <row r="182" spans="1:71" ht="31.35" customHeight="1">
      <c r="A182" s="91" t="s">
        <v>29</v>
      </c>
      <c r="B182" s="358" t="s">
        <v>2373</v>
      </c>
      <c r="C182" s="50" t="s">
        <v>270</v>
      </c>
      <c r="D182" s="99" t="s">
        <v>611</v>
      </c>
      <c r="E182" s="391" t="s">
        <v>13</v>
      </c>
      <c r="F182" s="562">
        <v>65203</v>
      </c>
      <c r="G182" s="612">
        <f t="shared" si="288"/>
        <v>68867</v>
      </c>
      <c r="H182" s="611">
        <v>75000</v>
      </c>
      <c r="I182" s="611">
        <v>76929</v>
      </c>
      <c r="J182" s="611">
        <v>95000</v>
      </c>
      <c r="K182" s="560">
        <f>AVERAGE(G182,H182:J182)</f>
        <v>78949</v>
      </c>
      <c r="L182" s="561">
        <f t="shared" si="391"/>
        <v>13746</v>
      </c>
      <c r="M182" s="281">
        <f t="shared" si="287"/>
        <v>0.19960213164505497</v>
      </c>
      <c r="N182" s="597">
        <f t="shared" si="298"/>
        <v>78949</v>
      </c>
      <c r="O182" s="410">
        <v>58131</v>
      </c>
      <c r="P182" s="575">
        <f t="shared" si="299"/>
        <v>61398</v>
      </c>
      <c r="Q182" s="10"/>
      <c r="R182" s="10"/>
      <c r="S182" s="268"/>
      <c r="T182" s="10">
        <v>120000</v>
      </c>
      <c r="U182" s="76">
        <f>AVERAGE(Q182,R182,S182,T182,P182)</f>
        <v>90699</v>
      </c>
      <c r="V182" s="24">
        <f t="shared" si="289"/>
        <v>29301</v>
      </c>
      <c r="W182" s="281">
        <f t="shared" ref="W182:W183" si="407">+V182/O182</f>
        <v>0.50405119471538418</v>
      </c>
      <c r="X182" s="462">
        <f>P182</f>
        <v>61398</v>
      </c>
      <c r="Y182" s="410">
        <v>172412</v>
      </c>
      <c r="Z182" s="575">
        <f t="shared" si="292"/>
        <v>182102</v>
      </c>
      <c r="AA182" s="31">
        <v>224235</v>
      </c>
      <c r="AB182" s="31">
        <v>291506</v>
      </c>
      <c r="AC182" s="472">
        <v>195998</v>
      </c>
      <c r="AD182" s="76">
        <f t="shared" si="312"/>
        <v>200778.33333333334</v>
      </c>
      <c r="AE182" s="24">
        <f t="shared" si="293"/>
        <v>18676.333333333343</v>
      </c>
      <c r="AF182" s="25">
        <f t="shared" si="394"/>
        <v>0.10832385990147636</v>
      </c>
      <c r="AG182" s="309">
        <f t="shared" si="395"/>
        <v>200778.33333333334</v>
      </c>
      <c r="AH182" s="601">
        <f t="shared" si="396"/>
        <v>200778.33333333334</v>
      </c>
      <c r="AI182" s="410">
        <v>65203</v>
      </c>
      <c r="AJ182" s="575">
        <f t="shared" si="294"/>
        <v>68867</v>
      </c>
      <c r="AK182" s="45">
        <v>75000</v>
      </c>
      <c r="AL182" s="45">
        <v>76929</v>
      </c>
      <c r="AM182" s="45">
        <v>95000</v>
      </c>
      <c r="AN182" s="76">
        <f>AVERAGE(AK182,AL182,AJ182)</f>
        <v>73598.666666666672</v>
      </c>
      <c r="AO182" s="24">
        <f t="shared" si="397"/>
        <v>8395.6666666666715</v>
      </c>
      <c r="AP182" s="281">
        <f t="shared" si="398"/>
        <v>0.12876196903005493</v>
      </c>
      <c r="AQ182" s="601">
        <f t="shared" si="399"/>
        <v>73598.666666666672</v>
      </c>
      <c r="AR182" s="513">
        <v>65203</v>
      </c>
      <c r="AS182" s="575">
        <f t="shared" si="301"/>
        <v>68867</v>
      </c>
      <c r="AT182" s="88">
        <v>90000</v>
      </c>
      <c r="AU182" s="116">
        <v>90000</v>
      </c>
      <c r="AV182" s="74">
        <v>95345.25</v>
      </c>
      <c r="AW182" s="76">
        <f>AVERAGE(AS182,AT182,AU182)</f>
        <v>82955.666666666672</v>
      </c>
      <c r="AX182" s="24">
        <f t="shared" si="400"/>
        <v>17752.666666666672</v>
      </c>
      <c r="AY182" s="25">
        <f t="shared" si="401"/>
        <v>0.27226763594722131</v>
      </c>
      <c r="AZ182" s="309">
        <f t="shared" si="402"/>
        <v>82955.666666666672</v>
      </c>
      <c r="BA182" s="601">
        <f t="shared" si="403"/>
        <v>82955.666666666672</v>
      </c>
      <c r="BB182" s="513">
        <v>65203</v>
      </c>
      <c r="BC182" s="575">
        <f t="shared" si="296"/>
        <v>68867</v>
      </c>
      <c r="BD182" s="74">
        <v>99679.125</v>
      </c>
      <c r="BE182" s="74">
        <v>110000</v>
      </c>
      <c r="BF182" s="75">
        <v>114847.6875</v>
      </c>
      <c r="BG182" s="61">
        <v>99679.124999999985</v>
      </c>
      <c r="BH182" s="60">
        <v>70000</v>
      </c>
      <c r="BI182" s="74">
        <v>114630.99374999998</v>
      </c>
      <c r="BJ182" s="79">
        <v>114847.6875</v>
      </c>
      <c r="BK182" s="79">
        <f>69342*1.25</f>
        <v>86677.5</v>
      </c>
      <c r="BL182" s="127">
        <v>104013</v>
      </c>
      <c r="BM182" s="128">
        <v>86000</v>
      </c>
      <c r="BN182" s="128">
        <v>90000</v>
      </c>
      <c r="BO182" s="76">
        <f>AVERAGE(BC182,BD182,BE182,BG182,BH182,BJ182,BK182,BM182,BN182)</f>
        <v>91750.048611111109</v>
      </c>
      <c r="BP182" s="24">
        <f t="shared" si="404"/>
        <v>26547.048611111109</v>
      </c>
      <c r="BQ182" s="25">
        <f t="shared" si="405"/>
        <v>0.40714458860959019</v>
      </c>
      <c r="BR182" s="259" t="str">
        <f t="shared" si="406"/>
        <v>REVISAR PRECIO</v>
      </c>
      <c r="BS182" s="607">
        <f t="shared" si="297"/>
        <v>91750.048611111109</v>
      </c>
    </row>
    <row r="183" spans="1:71" ht="31.35" customHeight="1">
      <c r="A183" s="91" t="s">
        <v>29</v>
      </c>
      <c r="B183" s="358" t="s">
        <v>2374</v>
      </c>
      <c r="C183" s="50" t="s">
        <v>271</v>
      </c>
      <c r="D183" s="99" t="s">
        <v>612</v>
      </c>
      <c r="E183" s="391" t="s">
        <v>13</v>
      </c>
      <c r="F183" s="562">
        <v>53756</v>
      </c>
      <c r="G183" s="612">
        <f t="shared" si="288"/>
        <v>56777</v>
      </c>
      <c r="H183" s="611"/>
      <c r="I183" s="611">
        <v>62494</v>
      </c>
      <c r="J183" s="611">
        <v>45000</v>
      </c>
      <c r="K183" s="560">
        <f>AVERAGE(G183,I183:J183)</f>
        <v>54757</v>
      </c>
      <c r="L183" s="561">
        <f t="shared" si="391"/>
        <v>1001</v>
      </c>
      <c r="M183" s="281">
        <f t="shared" si="287"/>
        <v>1.7630378498335594E-2</v>
      </c>
      <c r="N183" s="597">
        <f t="shared" si="298"/>
        <v>54757</v>
      </c>
      <c r="O183" s="410">
        <v>48146</v>
      </c>
      <c r="P183" s="575">
        <f t="shared" si="299"/>
        <v>50852</v>
      </c>
      <c r="Q183" s="10">
        <v>70000</v>
      </c>
      <c r="R183" s="10">
        <v>75000</v>
      </c>
      <c r="S183" s="268">
        <v>75000</v>
      </c>
      <c r="T183" s="10">
        <v>120000</v>
      </c>
      <c r="U183" s="76">
        <f>AVERAGE(Q183,R183,S183,P183)</f>
        <v>67713</v>
      </c>
      <c r="V183" s="24">
        <f t="shared" si="289"/>
        <v>16861</v>
      </c>
      <c r="W183" s="281">
        <f t="shared" si="407"/>
        <v>0.35020562455863413</v>
      </c>
      <c r="X183" s="462">
        <f t="shared" ref="X183" si="408">U183</f>
        <v>67713</v>
      </c>
      <c r="Y183" s="410">
        <v>101018</v>
      </c>
      <c r="Z183" s="575">
        <f t="shared" si="292"/>
        <v>106695</v>
      </c>
      <c r="AA183" s="31">
        <v>131382</v>
      </c>
      <c r="AB183" s="31">
        <v>170797</v>
      </c>
      <c r="AC183" s="472">
        <v>114837.6</v>
      </c>
      <c r="AD183" s="76">
        <f t="shared" si="312"/>
        <v>117638.2</v>
      </c>
      <c r="AE183" s="24">
        <f t="shared" si="293"/>
        <v>10943.199999999997</v>
      </c>
      <c r="AF183" s="25">
        <f t="shared" si="394"/>
        <v>0.10832920865588308</v>
      </c>
      <c r="AG183" s="309">
        <f t="shared" si="395"/>
        <v>117638.2</v>
      </c>
      <c r="AH183" s="601">
        <f t="shared" si="396"/>
        <v>117638.2</v>
      </c>
      <c r="AI183" s="410">
        <v>53756</v>
      </c>
      <c r="AJ183" s="575">
        <f t="shared" si="294"/>
        <v>56777</v>
      </c>
      <c r="AK183" s="45"/>
      <c r="AL183" s="45">
        <v>62494</v>
      </c>
      <c r="AM183" s="45">
        <v>45000</v>
      </c>
      <c r="AN183" s="76">
        <f t="shared" si="300"/>
        <v>54757</v>
      </c>
      <c r="AO183" s="24">
        <f t="shared" si="397"/>
        <v>1001</v>
      </c>
      <c r="AP183" s="281">
        <f t="shared" si="398"/>
        <v>1.8621177170920454E-2</v>
      </c>
      <c r="AQ183" s="601">
        <f t="shared" si="399"/>
        <v>54757</v>
      </c>
      <c r="AR183" s="513">
        <v>54021</v>
      </c>
      <c r="AS183" s="575">
        <f t="shared" si="301"/>
        <v>57057</v>
      </c>
      <c r="AT183" s="88">
        <v>23000</v>
      </c>
      <c r="AU183" s="116">
        <v>23000</v>
      </c>
      <c r="AV183" s="74">
        <v>24200</v>
      </c>
      <c r="AW183" s="76">
        <f t="shared" si="295"/>
        <v>31814.25</v>
      </c>
      <c r="AX183" s="24">
        <f t="shared" si="400"/>
        <v>-22206.75</v>
      </c>
      <c r="AY183" s="25">
        <f t="shared" si="401"/>
        <v>-0.4110762481257289</v>
      </c>
      <c r="AZ183" s="309">
        <f t="shared" si="402"/>
        <v>31814.25</v>
      </c>
      <c r="BA183" s="601">
        <f>+AW183</f>
        <v>31814.25</v>
      </c>
      <c r="BB183" s="513">
        <v>54021</v>
      </c>
      <c r="BC183" s="575">
        <f t="shared" si="296"/>
        <v>57057</v>
      </c>
      <c r="BD183" s="74">
        <v>25300</v>
      </c>
      <c r="BE183" s="74">
        <v>50000</v>
      </c>
      <c r="BF183" s="75">
        <v>29150</v>
      </c>
      <c r="BG183" s="61">
        <v>39100</v>
      </c>
      <c r="BH183" s="60">
        <v>25000</v>
      </c>
      <c r="BI183" s="74">
        <v>44965</v>
      </c>
      <c r="BJ183" s="79">
        <v>29150</v>
      </c>
      <c r="BK183" s="79">
        <v>22000</v>
      </c>
      <c r="BL183" s="127">
        <v>26400</v>
      </c>
      <c r="BM183" s="128">
        <v>27000</v>
      </c>
      <c r="BN183" s="128">
        <v>25000</v>
      </c>
      <c r="BO183" s="76">
        <f t="shared" si="314"/>
        <v>33343.5</v>
      </c>
      <c r="BP183" s="24">
        <f t="shared" si="404"/>
        <v>-20677.5</v>
      </c>
      <c r="BQ183" s="25">
        <f t="shared" si="405"/>
        <v>-0.38276781251735437</v>
      </c>
      <c r="BR183" s="259">
        <f t="shared" si="406"/>
        <v>33343.5</v>
      </c>
      <c r="BS183" s="607">
        <f>+BO183</f>
        <v>33343.5</v>
      </c>
    </row>
    <row r="184" spans="1:71" ht="27.6" customHeight="1">
      <c r="A184" s="91" t="s">
        <v>29</v>
      </c>
      <c r="B184" s="358" t="s">
        <v>2375</v>
      </c>
      <c r="C184" s="50" t="s">
        <v>272</v>
      </c>
      <c r="D184" s="99" t="s">
        <v>614</v>
      </c>
      <c r="E184" s="391" t="s">
        <v>13</v>
      </c>
      <c r="F184" s="562">
        <v>43875</v>
      </c>
      <c r="G184" s="612">
        <f t="shared" si="288"/>
        <v>46341</v>
      </c>
      <c r="H184" s="611"/>
      <c r="I184" s="611">
        <v>51766</v>
      </c>
      <c r="J184" s="611">
        <v>65000</v>
      </c>
      <c r="K184" s="560">
        <f>AVERAGE(G184,I184:J184)</f>
        <v>54369</v>
      </c>
      <c r="L184" s="561">
        <f t="shared" ref="L184" si="409">K184-F184</f>
        <v>10494</v>
      </c>
      <c r="M184" s="281">
        <f t="shared" si="287"/>
        <v>0.22645173820159253</v>
      </c>
      <c r="N184" s="597">
        <f t="shared" si="298"/>
        <v>54369</v>
      </c>
      <c r="O184" s="410">
        <v>39878</v>
      </c>
      <c r="P184" s="575">
        <f t="shared" si="299"/>
        <v>42119</v>
      </c>
      <c r="Q184" s="10">
        <v>115000</v>
      </c>
      <c r="R184" s="10">
        <v>120000</v>
      </c>
      <c r="S184" s="268">
        <v>120000</v>
      </c>
      <c r="T184" s="10">
        <v>120000</v>
      </c>
      <c r="U184" s="76">
        <f>AVERAGE(Q184,R184,S184,T184,P184)</f>
        <v>103423.8</v>
      </c>
      <c r="V184" s="24">
        <f t="shared" si="289"/>
        <v>61304.800000000003</v>
      </c>
      <c r="W184" s="281">
        <f t="shared" ref="W184" si="410">+V184/O184</f>
        <v>1.5373087918150359</v>
      </c>
      <c r="X184" s="462">
        <f>AVERAGE(P184,U184)</f>
        <v>72771.399999999994</v>
      </c>
      <c r="Y184" s="410">
        <v>78400</v>
      </c>
      <c r="Z184" s="575">
        <f t="shared" si="292"/>
        <v>82806</v>
      </c>
      <c r="AA184" s="33">
        <v>101966</v>
      </c>
      <c r="AB184" s="31">
        <v>132555</v>
      </c>
      <c r="AC184" s="472">
        <v>89125.4</v>
      </c>
      <c r="AD184" s="76">
        <f t="shared" si="312"/>
        <v>91299.133333333346</v>
      </c>
      <c r="AE184" s="24">
        <f t="shared" si="293"/>
        <v>8493.1333333333459</v>
      </c>
      <c r="AF184" s="25">
        <f t="shared" si="394"/>
        <v>0.10833078231292533</v>
      </c>
      <c r="AG184" s="309">
        <f t="shared" si="395"/>
        <v>91299.133333333346</v>
      </c>
      <c r="AH184" s="601">
        <f t="shared" si="396"/>
        <v>91299.133333333346</v>
      </c>
      <c r="AI184" s="410">
        <v>44529</v>
      </c>
      <c r="AJ184" s="575">
        <f t="shared" si="294"/>
        <v>47032</v>
      </c>
      <c r="AK184" s="45"/>
      <c r="AL184" s="45">
        <v>51766</v>
      </c>
      <c r="AM184" s="45">
        <v>65000</v>
      </c>
      <c r="AN184" s="76">
        <f>AVERAGE(AK184,AL184,AJ184)</f>
        <v>49399</v>
      </c>
      <c r="AO184" s="24">
        <f t="shared" si="397"/>
        <v>4870</v>
      </c>
      <c r="AP184" s="281">
        <f t="shared" si="398"/>
        <v>0.10936692941678457</v>
      </c>
      <c r="AQ184" s="601">
        <f t="shared" si="399"/>
        <v>49399</v>
      </c>
      <c r="AR184" s="513">
        <v>44747</v>
      </c>
      <c r="AS184" s="575">
        <f t="shared" si="301"/>
        <v>47262</v>
      </c>
      <c r="AT184" s="88">
        <v>13000</v>
      </c>
      <c r="AU184" s="116">
        <v>13000</v>
      </c>
      <c r="AV184" s="74">
        <v>12650</v>
      </c>
      <c r="AW184" s="76">
        <f t="shared" si="295"/>
        <v>21478</v>
      </c>
      <c r="AX184" s="24">
        <f t="shared" si="400"/>
        <v>-23269</v>
      </c>
      <c r="AY184" s="25">
        <f t="shared" si="401"/>
        <v>-0.52001251480546185</v>
      </c>
      <c r="AZ184" s="309">
        <f t="shared" si="402"/>
        <v>21478</v>
      </c>
      <c r="BA184" s="601">
        <f>AS184</f>
        <v>47262</v>
      </c>
      <c r="BB184" s="513">
        <v>44747</v>
      </c>
      <c r="BC184" s="575">
        <f t="shared" si="296"/>
        <v>47262</v>
      </c>
      <c r="BD184" s="74">
        <v>13225</v>
      </c>
      <c r="BE184" s="74">
        <v>95000</v>
      </c>
      <c r="BF184" s="75">
        <v>15237.5</v>
      </c>
      <c r="BG184" s="61">
        <v>110399.99999999999</v>
      </c>
      <c r="BH184" s="60">
        <v>210000</v>
      </c>
      <c r="BI184" s="74">
        <v>126959.99999999997</v>
      </c>
      <c r="BJ184" s="79">
        <v>15237.5</v>
      </c>
      <c r="BK184" s="79">
        <v>11500</v>
      </c>
      <c r="BL184" s="127">
        <v>13800</v>
      </c>
      <c r="BM184" s="128">
        <v>11200</v>
      </c>
      <c r="BN184" s="128">
        <v>12000</v>
      </c>
      <c r="BO184" s="76">
        <f>AVERAGE(BC184,BD184,BE184,BF184,BG184,BH184,BJ184,BK184,BL184,BM184,BN184)</f>
        <v>50442</v>
      </c>
      <c r="BP184" s="24">
        <f t="shared" si="404"/>
        <v>5695</v>
      </c>
      <c r="BQ184" s="25">
        <f t="shared" si="405"/>
        <v>0.12727110197331665</v>
      </c>
      <c r="BR184" s="259">
        <f t="shared" si="406"/>
        <v>50442</v>
      </c>
      <c r="BS184" s="607">
        <f t="shared" si="297"/>
        <v>50442</v>
      </c>
    </row>
    <row r="185" spans="1:71" ht="32.450000000000003" customHeight="1">
      <c r="A185" s="91" t="s">
        <v>30</v>
      </c>
      <c r="B185" s="358" t="s">
        <v>2376</v>
      </c>
      <c r="C185" s="252" t="s">
        <v>759</v>
      </c>
      <c r="D185" s="47" t="s">
        <v>30</v>
      </c>
      <c r="E185" s="91"/>
      <c r="F185" s="91"/>
      <c r="G185" s="574"/>
      <c r="H185" s="91"/>
      <c r="I185" s="91"/>
      <c r="J185" s="91"/>
      <c r="K185" s="91"/>
      <c r="L185" s="91"/>
      <c r="M185" s="91"/>
      <c r="N185" s="431">
        <f t="shared" si="298"/>
        <v>0</v>
      </c>
      <c r="O185" s="91"/>
      <c r="P185" s="91"/>
      <c r="Q185" s="91"/>
      <c r="R185" s="91"/>
      <c r="S185" s="91"/>
      <c r="T185" s="91"/>
      <c r="U185" s="91"/>
      <c r="V185" s="91"/>
      <c r="W185" s="91"/>
      <c r="X185" s="91"/>
      <c r="Y185" s="91"/>
      <c r="Z185" s="91"/>
      <c r="AA185" s="91"/>
      <c r="AB185" s="91"/>
      <c r="AC185" s="91"/>
      <c r="AD185" s="91"/>
      <c r="AE185" s="91"/>
      <c r="AF185" s="91"/>
      <c r="AG185" s="91"/>
      <c r="AH185" s="91"/>
      <c r="AI185" s="91"/>
      <c r="AJ185" s="91"/>
      <c r="AK185" s="91"/>
      <c r="AL185" s="91"/>
      <c r="AM185" s="91"/>
      <c r="AN185" s="91"/>
      <c r="AO185" s="91"/>
      <c r="AP185" s="91"/>
      <c r="AQ185" s="91"/>
      <c r="AR185" s="91"/>
      <c r="AS185" s="91"/>
      <c r="AT185" s="91"/>
      <c r="AU185" s="91"/>
      <c r="AV185" s="91"/>
      <c r="AW185" s="91"/>
      <c r="AX185" s="91"/>
      <c r="AY185" s="91"/>
      <c r="AZ185" s="91"/>
      <c r="BA185" s="91"/>
      <c r="BB185" s="91"/>
      <c r="BC185" s="91"/>
      <c r="BD185" s="91"/>
      <c r="BE185" s="91"/>
      <c r="BF185" s="91"/>
      <c r="BG185" s="91"/>
      <c r="BH185" s="91"/>
      <c r="BI185" s="91"/>
      <c r="BJ185" s="91"/>
      <c r="BK185" s="91"/>
      <c r="BL185" s="91"/>
      <c r="BM185" s="91"/>
      <c r="BN185" s="91"/>
      <c r="BO185" s="91"/>
      <c r="BP185" s="91"/>
      <c r="BQ185" s="91"/>
      <c r="BR185" s="91"/>
      <c r="BS185" s="91"/>
    </row>
    <row r="186" spans="1:71" ht="30">
      <c r="A186" s="91" t="s">
        <v>30</v>
      </c>
      <c r="B186" s="358" t="s">
        <v>2377</v>
      </c>
      <c r="C186" s="50" t="s">
        <v>285</v>
      </c>
      <c r="D186" s="99" t="s">
        <v>625</v>
      </c>
      <c r="E186" s="391" t="s">
        <v>13</v>
      </c>
      <c r="F186" s="410">
        <v>19184</v>
      </c>
      <c r="G186" s="575">
        <f t="shared" ref="G186:G201" si="411">ROUND(F186*(100%+$D$1),0)</f>
        <v>20262</v>
      </c>
      <c r="H186" s="45">
        <v>30000</v>
      </c>
      <c r="I186" s="45">
        <v>22307</v>
      </c>
      <c r="J186" s="45">
        <v>30000</v>
      </c>
      <c r="K186" s="654">
        <f>AVERAGE(G186:J186)</f>
        <v>25642.25</v>
      </c>
      <c r="L186" s="293"/>
      <c r="M186" s="293"/>
      <c r="N186" s="431">
        <f t="shared" si="298"/>
        <v>25642.25</v>
      </c>
      <c r="O186" s="410">
        <v>17181</v>
      </c>
      <c r="P186" s="575">
        <f t="shared" si="299"/>
        <v>18147</v>
      </c>
      <c r="Q186" s="10">
        <v>35000</v>
      </c>
      <c r="R186" s="10"/>
      <c r="S186" s="268">
        <v>41000</v>
      </c>
      <c r="T186" s="10">
        <v>45000</v>
      </c>
      <c r="U186" s="76">
        <f t="shared" ref="U186:U201" si="412">AVERAGE(Q186,R186,S186,T186,P186)</f>
        <v>34786.75</v>
      </c>
      <c r="V186" s="24">
        <f t="shared" si="289"/>
        <v>16639.75</v>
      </c>
      <c r="W186" s="281">
        <f t="shared" ref="W186:W189" si="413">+V186/O186</f>
        <v>0.96849717711425409</v>
      </c>
      <c r="X186" s="462">
        <f t="shared" ref="X186:X189" si="414">U186</f>
        <v>34786.75</v>
      </c>
      <c r="Y186" s="410">
        <v>28472</v>
      </c>
      <c r="Z186" s="575">
        <f t="shared" si="292"/>
        <v>30072</v>
      </c>
      <c r="AA186" s="33">
        <v>37031</v>
      </c>
      <c r="AB186" s="33">
        <v>48140</v>
      </c>
      <c r="AC186" s="472">
        <v>32367.4</v>
      </c>
      <c r="AD186" s="76">
        <f t="shared" si="312"/>
        <v>33156.799999999996</v>
      </c>
      <c r="AE186" s="24">
        <f t="shared" si="293"/>
        <v>3084.7999999999956</v>
      </c>
      <c r="AF186" s="25">
        <f t="shared" ref="AF186:AF201" si="415">+AE186/Y186</f>
        <v>0.10834504074178125</v>
      </c>
      <c r="AG186" s="309">
        <f t="shared" ref="AG186:AG201" si="416">+IF(AF186&lt;35%,AD186,"REVISAR PRECIO")</f>
        <v>33156.799999999996</v>
      </c>
      <c r="AH186" s="601">
        <f t="shared" ref="AH186:AH201" si="417">AD186</f>
        <v>33156.799999999996</v>
      </c>
      <c r="AI186" s="410">
        <v>19184</v>
      </c>
      <c r="AJ186" s="575">
        <f t="shared" si="294"/>
        <v>20262</v>
      </c>
      <c r="AK186" s="45">
        <v>30000</v>
      </c>
      <c r="AL186" s="45">
        <v>22307</v>
      </c>
      <c r="AM186" s="45">
        <v>30000</v>
      </c>
      <c r="AN186" s="76">
        <f>AVERAGE(AK186,AL186,AJ186)</f>
        <v>24189.666666666668</v>
      </c>
      <c r="AO186" s="24">
        <f t="shared" ref="AO186:AO201" si="418">AN186-AI186</f>
        <v>5005.6666666666679</v>
      </c>
      <c r="AP186" s="281">
        <f t="shared" ref="AP186:AP201" si="419">+AO186/AI186</f>
        <v>0.26092924659438427</v>
      </c>
      <c r="AQ186" s="601">
        <f t="shared" ref="AQ186:AQ201" si="420">AN186</f>
        <v>24189.666666666668</v>
      </c>
      <c r="AR186" s="513">
        <v>19289</v>
      </c>
      <c r="AS186" s="575">
        <f t="shared" si="301"/>
        <v>20373</v>
      </c>
      <c r="AT186" s="88">
        <v>28000</v>
      </c>
      <c r="AU186" s="116">
        <v>28000</v>
      </c>
      <c r="AV186" s="74">
        <v>27500</v>
      </c>
      <c r="AW186" s="76">
        <f t="shared" si="295"/>
        <v>25968.25</v>
      </c>
      <c r="AX186" s="24">
        <f t="shared" ref="AX186:AX201" si="421">AW186-AR186</f>
        <v>6679.25</v>
      </c>
      <c r="AY186" s="25">
        <f t="shared" ref="AY186:AY198" si="422">+AX186/AR186</f>
        <v>0.34627248690963763</v>
      </c>
      <c r="AZ186" s="309">
        <f t="shared" ref="AZ186:AZ198" si="423">+IF(AY186&lt;35%,AW186,"REVISAR PRECIO")</f>
        <v>25968.25</v>
      </c>
      <c r="BA186" s="601">
        <f t="shared" ref="BA186:BA201" si="424">AW186</f>
        <v>25968.25</v>
      </c>
      <c r="BB186" s="513">
        <v>19289</v>
      </c>
      <c r="BC186" s="575">
        <f t="shared" si="296"/>
        <v>20373</v>
      </c>
      <c r="BD186" s="74">
        <v>28750</v>
      </c>
      <c r="BE186" s="74">
        <v>40000</v>
      </c>
      <c r="BF186" s="75">
        <v>33125</v>
      </c>
      <c r="BG186" s="61">
        <v>28749.999999999996</v>
      </c>
      <c r="BH186" s="60">
        <v>12000</v>
      </c>
      <c r="BI186" s="74">
        <v>33062.499999999993</v>
      </c>
      <c r="BJ186" s="79">
        <v>33125</v>
      </c>
      <c r="BK186" s="79">
        <v>25000</v>
      </c>
      <c r="BL186" s="127">
        <v>30000</v>
      </c>
      <c r="BM186" s="128">
        <v>23000</v>
      </c>
      <c r="BN186" s="128">
        <v>25000</v>
      </c>
      <c r="BO186" s="76">
        <f>AVERAGE(BC186,BD186,BE186,BG186,BH186,BI186,BK186,BL186,BM186,BN186)</f>
        <v>26593.55</v>
      </c>
      <c r="BP186" s="24">
        <f t="shared" ref="BP186:BP201" si="425">BO186-BB186</f>
        <v>7304.5499999999993</v>
      </c>
      <c r="BQ186" s="25">
        <f t="shared" ref="BQ186:BQ198" si="426">+BP186/BB186</f>
        <v>0.37868992690134268</v>
      </c>
      <c r="BR186" s="259" t="str">
        <f t="shared" ref="BR186:BR201" si="427">+IF(BQ186&lt;35%,BO186,"REVISAR PRECIO")</f>
        <v>REVISAR PRECIO</v>
      </c>
      <c r="BS186" s="607">
        <f t="shared" si="297"/>
        <v>26593.55</v>
      </c>
    </row>
    <row r="187" spans="1:71" ht="30">
      <c r="A187" s="91" t="s">
        <v>30</v>
      </c>
      <c r="B187" s="358" t="s">
        <v>2378</v>
      </c>
      <c r="C187" s="50" t="s">
        <v>286</v>
      </c>
      <c r="D187" s="99" t="s">
        <v>626</v>
      </c>
      <c r="E187" s="391" t="s">
        <v>13</v>
      </c>
      <c r="F187" s="562">
        <v>14866</v>
      </c>
      <c r="G187" s="579">
        <f t="shared" si="411"/>
        <v>15701</v>
      </c>
      <c r="H187" s="611">
        <v>25000</v>
      </c>
      <c r="I187" s="611">
        <v>17277</v>
      </c>
      <c r="J187" s="611">
        <v>70000</v>
      </c>
      <c r="K187" s="560">
        <f>AVERAGE(H187,I187,G187)</f>
        <v>19326</v>
      </c>
      <c r="L187" s="561">
        <f t="shared" ref="L187" si="428">K187-F187</f>
        <v>4460</v>
      </c>
      <c r="M187" s="281">
        <f t="shared" ref="M187" si="429">+L187/F187</f>
        <v>0.300013453518095</v>
      </c>
      <c r="N187" s="601">
        <f t="shared" ref="N187" si="430">K187</f>
        <v>19326</v>
      </c>
      <c r="O187" s="410">
        <v>13308</v>
      </c>
      <c r="P187" s="575">
        <f t="shared" si="299"/>
        <v>14056</v>
      </c>
      <c r="Q187" s="10">
        <v>8500</v>
      </c>
      <c r="R187" s="10"/>
      <c r="S187" s="268">
        <v>11000</v>
      </c>
      <c r="T187" s="10">
        <v>15000</v>
      </c>
      <c r="U187" s="76">
        <f t="shared" si="412"/>
        <v>12139</v>
      </c>
      <c r="V187" s="24">
        <f t="shared" si="289"/>
        <v>-1917</v>
      </c>
      <c r="W187" s="281">
        <f t="shared" si="413"/>
        <v>-0.14404869251577998</v>
      </c>
      <c r="X187" s="462">
        <f t="shared" si="414"/>
        <v>12139</v>
      </c>
      <c r="Y187" s="410">
        <v>46502</v>
      </c>
      <c r="Z187" s="575">
        <f t="shared" si="292"/>
        <v>49115</v>
      </c>
      <c r="AA187" s="33">
        <v>60480</v>
      </c>
      <c r="AB187" s="33">
        <v>78624</v>
      </c>
      <c r="AC187" s="472">
        <v>52864</v>
      </c>
      <c r="AD187" s="76">
        <f t="shared" si="312"/>
        <v>54153</v>
      </c>
      <c r="AE187" s="24">
        <f t="shared" si="293"/>
        <v>5038</v>
      </c>
      <c r="AF187" s="25">
        <f t="shared" si="415"/>
        <v>0.10833942626123608</v>
      </c>
      <c r="AG187" s="309">
        <f t="shared" si="416"/>
        <v>54153</v>
      </c>
      <c r="AH187" s="601">
        <f t="shared" si="417"/>
        <v>54153</v>
      </c>
      <c r="AI187" s="410">
        <v>14866</v>
      </c>
      <c r="AJ187" s="575">
        <f t="shared" si="294"/>
        <v>15701</v>
      </c>
      <c r="AK187" s="45">
        <v>25000</v>
      </c>
      <c r="AL187" s="45">
        <v>17277</v>
      </c>
      <c r="AM187" s="45">
        <v>70000</v>
      </c>
      <c r="AN187" s="76">
        <f>AVERAGE(AK187,AL187,AJ187)</f>
        <v>19326</v>
      </c>
      <c r="AO187" s="24">
        <f t="shared" si="418"/>
        <v>4460</v>
      </c>
      <c r="AP187" s="281">
        <f t="shared" si="419"/>
        <v>0.300013453518095</v>
      </c>
      <c r="AQ187" s="601">
        <f t="shared" si="420"/>
        <v>19326</v>
      </c>
      <c r="AR187" s="513">
        <v>14941</v>
      </c>
      <c r="AS187" s="575">
        <f t="shared" si="301"/>
        <v>15781</v>
      </c>
      <c r="AT187" s="88">
        <v>25000</v>
      </c>
      <c r="AU187" s="116">
        <v>23000</v>
      </c>
      <c r="AV187" s="74">
        <v>26853.75</v>
      </c>
      <c r="AW187" s="76">
        <f>AVERAGE(AS187,AT187,AU187)</f>
        <v>21260.333333333332</v>
      </c>
      <c r="AX187" s="24">
        <f t="shared" si="421"/>
        <v>6319.3333333333321</v>
      </c>
      <c r="AY187" s="25">
        <f t="shared" si="422"/>
        <v>0.42295250206367258</v>
      </c>
      <c r="AZ187" s="309" t="str">
        <f t="shared" si="423"/>
        <v>REVISAR PRECIO</v>
      </c>
      <c r="BA187" s="601">
        <f t="shared" si="424"/>
        <v>21260.333333333332</v>
      </c>
      <c r="BB187" s="513">
        <v>14941</v>
      </c>
      <c r="BC187" s="575">
        <f t="shared" si="296"/>
        <v>15781</v>
      </c>
      <c r="BD187" s="74">
        <v>28074.375</v>
      </c>
      <c r="BE187" s="74">
        <v>35000</v>
      </c>
      <c r="BF187" s="75">
        <v>32346.5625</v>
      </c>
      <c r="BG187" s="61">
        <v>28074.374999999996</v>
      </c>
      <c r="BH187" s="60">
        <v>9000</v>
      </c>
      <c r="BI187" s="74">
        <v>32285.531249999993</v>
      </c>
      <c r="BJ187" s="79">
        <v>32346.5625</v>
      </c>
      <c r="BK187" s="79">
        <f>+BK197</f>
        <v>24412.5</v>
      </c>
      <c r="BL187" s="127">
        <v>29295</v>
      </c>
      <c r="BM187" s="128">
        <v>30000</v>
      </c>
      <c r="BN187" s="128">
        <v>25000</v>
      </c>
      <c r="BO187" s="76">
        <f>AVERAGE(BC187,BD187,BE187,BG187,BH187,BJ187,BK187,BL187,BM187,BN187)</f>
        <v>25698.381249999999</v>
      </c>
      <c r="BP187" s="24">
        <f t="shared" si="425"/>
        <v>10757.381249999999</v>
      </c>
      <c r="BQ187" s="25">
        <f t="shared" si="426"/>
        <v>0.7199907134729937</v>
      </c>
      <c r="BR187" s="259" t="str">
        <f t="shared" si="427"/>
        <v>REVISAR PRECIO</v>
      </c>
      <c r="BS187" s="607">
        <f t="shared" si="297"/>
        <v>25698.381249999999</v>
      </c>
    </row>
    <row r="188" spans="1:71" ht="30">
      <c r="A188" s="91" t="s">
        <v>30</v>
      </c>
      <c r="B188" s="358" t="s">
        <v>2379</v>
      </c>
      <c r="C188" s="50" t="s">
        <v>287</v>
      </c>
      <c r="D188" s="99" t="s">
        <v>627</v>
      </c>
      <c r="E188" s="391" t="s">
        <v>10</v>
      </c>
      <c r="F188" s="562">
        <v>2866</v>
      </c>
      <c r="G188" s="579">
        <f t="shared" si="411"/>
        <v>3027</v>
      </c>
      <c r="H188" s="611">
        <v>12000</v>
      </c>
      <c r="I188" s="611">
        <v>15000</v>
      </c>
      <c r="J188" s="611">
        <v>15000</v>
      </c>
      <c r="K188" s="560">
        <f>AVERAGE(H188,I188:J188,G188)</f>
        <v>11256.75</v>
      </c>
      <c r="L188" s="561">
        <f t="shared" ref="L188:L201" si="431">K188-F188</f>
        <v>8390.75</v>
      </c>
      <c r="M188" s="281">
        <f t="shared" ref="M188:M201" si="432">+L188/F188</f>
        <v>2.9276866713189116</v>
      </c>
      <c r="N188" s="601">
        <f t="shared" ref="N188:N201" si="433">K188</f>
        <v>11256.75</v>
      </c>
      <c r="O188" s="410">
        <v>2573</v>
      </c>
      <c r="P188" s="575">
        <f t="shared" si="299"/>
        <v>2718</v>
      </c>
      <c r="Q188" s="10">
        <v>14000</v>
      </c>
      <c r="R188" s="10"/>
      <c r="S188" s="268">
        <v>17000</v>
      </c>
      <c r="T188" s="10">
        <v>20000</v>
      </c>
      <c r="U188" s="76">
        <f t="shared" si="412"/>
        <v>13429.5</v>
      </c>
      <c r="V188" s="24">
        <f t="shared" si="289"/>
        <v>10711.5</v>
      </c>
      <c r="W188" s="281">
        <f t="shared" si="413"/>
        <v>4.1630392537893508</v>
      </c>
      <c r="X188" s="462">
        <f t="shared" si="414"/>
        <v>13429.5</v>
      </c>
      <c r="Y188" s="410">
        <v>10006</v>
      </c>
      <c r="Z188" s="575">
        <f t="shared" si="292"/>
        <v>10568</v>
      </c>
      <c r="AA188" s="33">
        <v>13014</v>
      </c>
      <c r="AB188" s="31">
        <v>16918</v>
      </c>
      <c r="AC188" s="472">
        <v>11375.2</v>
      </c>
      <c r="AD188" s="76">
        <f t="shared" si="312"/>
        <v>11652.4</v>
      </c>
      <c r="AE188" s="24">
        <f t="shared" si="293"/>
        <v>1084.3999999999996</v>
      </c>
      <c r="AF188" s="25">
        <f t="shared" si="415"/>
        <v>0.10837497501499097</v>
      </c>
      <c r="AG188" s="309">
        <f t="shared" si="416"/>
        <v>11652.4</v>
      </c>
      <c r="AH188" s="601">
        <f t="shared" si="417"/>
        <v>11652.4</v>
      </c>
      <c r="AI188" s="410">
        <v>2866</v>
      </c>
      <c r="AJ188" s="575">
        <f t="shared" si="294"/>
        <v>3027</v>
      </c>
      <c r="AK188" s="45">
        <v>12000</v>
      </c>
      <c r="AL188" s="45">
        <v>15000</v>
      </c>
      <c r="AM188" s="45">
        <v>15000</v>
      </c>
      <c r="AN188" s="76">
        <f>AVERAGE(AK188,AL188,AJ188)</f>
        <v>10009</v>
      </c>
      <c r="AO188" s="24">
        <f t="shared" si="418"/>
        <v>7143</v>
      </c>
      <c r="AP188" s="281">
        <f t="shared" si="419"/>
        <v>2.4923237962316818</v>
      </c>
      <c r="AQ188" s="604">
        <f t="shared" si="420"/>
        <v>10009</v>
      </c>
      <c r="AR188" s="513">
        <v>2886</v>
      </c>
      <c r="AS188" s="575">
        <f t="shared" si="301"/>
        <v>3048</v>
      </c>
      <c r="AT188" s="88">
        <v>17000</v>
      </c>
      <c r="AU188" s="116">
        <v>17000</v>
      </c>
      <c r="AV188" s="74">
        <v>16500</v>
      </c>
      <c r="AW188" s="76">
        <f t="shared" si="295"/>
        <v>13387</v>
      </c>
      <c r="AX188" s="24">
        <f t="shared" si="421"/>
        <v>10501</v>
      </c>
      <c r="AY188" s="25">
        <f t="shared" si="422"/>
        <v>3.6386001386001388</v>
      </c>
      <c r="AZ188" s="309" t="str">
        <f t="shared" si="423"/>
        <v>REVISAR PRECIO</v>
      </c>
      <c r="BA188" s="601">
        <f t="shared" si="424"/>
        <v>13387</v>
      </c>
      <c r="BB188" s="513">
        <v>2886</v>
      </c>
      <c r="BC188" s="575">
        <f t="shared" si="296"/>
        <v>3048</v>
      </c>
      <c r="BD188" s="74">
        <v>17250</v>
      </c>
      <c r="BE188" s="74">
        <v>28000</v>
      </c>
      <c r="BF188" s="75">
        <v>19875</v>
      </c>
      <c r="BG188" s="61">
        <v>17250</v>
      </c>
      <c r="BH188" s="60">
        <v>18000</v>
      </c>
      <c r="BI188" s="74">
        <v>19837.5</v>
      </c>
      <c r="BJ188" s="79">
        <v>19875</v>
      </c>
      <c r="BK188" s="79">
        <f>+BK186*0.6</f>
        <v>15000</v>
      </c>
      <c r="BL188" s="127">
        <v>18000</v>
      </c>
      <c r="BM188" s="128">
        <v>15000</v>
      </c>
      <c r="BN188" s="128">
        <v>17000</v>
      </c>
      <c r="BO188" s="76">
        <f>AVERAGE(BC188,BD188,BE188,BG188,BH188,BJ188,BK188,BL188,BM188,BN188)</f>
        <v>16842.3</v>
      </c>
      <c r="BP188" s="24">
        <f t="shared" si="425"/>
        <v>13956.3</v>
      </c>
      <c r="BQ188" s="25">
        <f t="shared" si="426"/>
        <v>4.8358627858627852</v>
      </c>
      <c r="BR188" s="259" t="str">
        <f t="shared" si="427"/>
        <v>REVISAR PRECIO</v>
      </c>
      <c r="BS188" s="607">
        <f t="shared" si="297"/>
        <v>16842.3</v>
      </c>
    </row>
    <row r="189" spans="1:71" ht="30">
      <c r="A189" s="91" t="s">
        <v>30</v>
      </c>
      <c r="B189" s="358" t="s">
        <v>2380</v>
      </c>
      <c r="C189" s="50" t="s">
        <v>288</v>
      </c>
      <c r="D189" s="99" t="s">
        <v>628</v>
      </c>
      <c r="E189" s="391" t="s">
        <v>10</v>
      </c>
      <c r="F189" s="562">
        <v>2866</v>
      </c>
      <c r="G189" s="579">
        <f t="shared" si="411"/>
        <v>3027</v>
      </c>
      <c r="H189" s="611">
        <v>12000</v>
      </c>
      <c r="I189" s="611">
        <v>15000</v>
      </c>
      <c r="J189" s="611">
        <v>15000</v>
      </c>
      <c r="K189" s="560">
        <f>AVERAGE(H189,I189:J189,G189)</f>
        <v>11256.75</v>
      </c>
      <c r="L189" s="561">
        <f t="shared" si="431"/>
        <v>8390.75</v>
      </c>
      <c r="M189" s="281">
        <f t="shared" si="432"/>
        <v>2.9276866713189116</v>
      </c>
      <c r="N189" s="601">
        <f t="shared" si="433"/>
        <v>11256.75</v>
      </c>
      <c r="O189" s="410">
        <v>2573</v>
      </c>
      <c r="P189" s="575">
        <f t="shared" si="299"/>
        <v>2718</v>
      </c>
      <c r="Q189" s="10">
        <v>14000</v>
      </c>
      <c r="R189" s="10"/>
      <c r="S189" s="268">
        <v>17000</v>
      </c>
      <c r="T189" s="10">
        <v>20000</v>
      </c>
      <c r="U189" s="76">
        <f t="shared" si="412"/>
        <v>13429.5</v>
      </c>
      <c r="V189" s="24">
        <f t="shared" si="289"/>
        <v>10711.5</v>
      </c>
      <c r="W189" s="281">
        <f t="shared" si="413"/>
        <v>4.1630392537893508</v>
      </c>
      <c r="X189" s="462">
        <f t="shared" si="414"/>
        <v>13429.5</v>
      </c>
      <c r="Y189" s="410">
        <v>13743</v>
      </c>
      <c r="Z189" s="575">
        <f t="shared" si="292"/>
        <v>14515</v>
      </c>
      <c r="AA189" s="33">
        <v>17874</v>
      </c>
      <c r="AB189" s="31">
        <v>23236</v>
      </c>
      <c r="AC189" s="472">
        <v>15623.2</v>
      </c>
      <c r="AD189" s="76">
        <f t="shared" si="312"/>
        <v>16004.066666666666</v>
      </c>
      <c r="AE189" s="24">
        <f t="shared" si="293"/>
        <v>1489.0666666666657</v>
      </c>
      <c r="AF189" s="25">
        <f t="shared" si="415"/>
        <v>0.10835091804312491</v>
      </c>
      <c r="AG189" s="309">
        <f t="shared" si="416"/>
        <v>16004.066666666666</v>
      </c>
      <c r="AH189" s="601">
        <f t="shared" si="417"/>
        <v>16004.066666666666</v>
      </c>
      <c r="AI189" s="410">
        <v>2866</v>
      </c>
      <c r="AJ189" s="575">
        <f t="shared" si="294"/>
        <v>3027</v>
      </c>
      <c r="AK189" s="45">
        <v>12000</v>
      </c>
      <c r="AL189" s="45">
        <v>15000</v>
      </c>
      <c r="AM189" s="45">
        <v>15000</v>
      </c>
      <c r="AN189" s="76">
        <f>AVERAGE(AK189,AL189,AJ189)</f>
        <v>10009</v>
      </c>
      <c r="AO189" s="24">
        <f t="shared" si="418"/>
        <v>7143</v>
      </c>
      <c r="AP189" s="281">
        <f t="shared" si="419"/>
        <v>2.4923237962316818</v>
      </c>
      <c r="AQ189" s="604">
        <f t="shared" si="420"/>
        <v>10009</v>
      </c>
      <c r="AR189" s="513">
        <v>2886</v>
      </c>
      <c r="AS189" s="575">
        <f t="shared" si="301"/>
        <v>3048</v>
      </c>
      <c r="AT189" s="88">
        <v>15000</v>
      </c>
      <c r="AU189" s="116">
        <v>15000</v>
      </c>
      <c r="AV189" s="74">
        <v>16500</v>
      </c>
      <c r="AW189" s="76">
        <f t="shared" si="295"/>
        <v>12387</v>
      </c>
      <c r="AX189" s="24">
        <f t="shared" si="421"/>
        <v>9501</v>
      </c>
      <c r="AY189" s="25">
        <f t="shared" si="422"/>
        <v>3.2920997920997923</v>
      </c>
      <c r="AZ189" s="309" t="str">
        <f t="shared" si="423"/>
        <v>REVISAR PRECIO</v>
      </c>
      <c r="BA189" s="601">
        <f t="shared" si="424"/>
        <v>12387</v>
      </c>
      <c r="BB189" s="513">
        <v>2886</v>
      </c>
      <c r="BC189" s="575">
        <f t="shared" si="296"/>
        <v>3048</v>
      </c>
      <c r="BD189" s="74">
        <v>17250</v>
      </c>
      <c r="BE189" s="74">
        <v>28000</v>
      </c>
      <c r="BF189" s="75">
        <v>19875</v>
      </c>
      <c r="BG189" s="61">
        <v>17250</v>
      </c>
      <c r="BH189" s="60">
        <v>14000</v>
      </c>
      <c r="BI189" s="74">
        <v>19837.5</v>
      </c>
      <c r="BJ189" s="79">
        <v>19875</v>
      </c>
      <c r="BK189" s="79">
        <f>+BK188</f>
        <v>15000</v>
      </c>
      <c r="BL189" s="127">
        <v>18000</v>
      </c>
      <c r="BM189" s="128">
        <v>15000</v>
      </c>
      <c r="BN189" s="128">
        <v>15000</v>
      </c>
      <c r="BO189" s="76">
        <f>AVERAGE(BC189,BD189,BE189,BG189,BH189,BJ189,BK189,BL189,BM189,BN189)</f>
        <v>16242.3</v>
      </c>
      <c r="BP189" s="24">
        <f t="shared" si="425"/>
        <v>13356.3</v>
      </c>
      <c r="BQ189" s="25">
        <f t="shared" si="426"/>
        <v>4.6279625779625775</v>
      </c>
      <c r="BR189" s="259" t="str">
        <f t="shared" si="427"/>
        <v>REVISAR PRECIO</v>
      </c>
      <c r="BS189" s="607">
        <f t="shared" si="297"/>
        <v>16242.3</v>
      </c>
    </row>
    <row r="190" spans="1:71" ht="30">
      <c r="A190" s="91" t="s">
        <v>30</v>
      </c>
      <c r="B190" s="358" t="s">
        <v>2381</v>
      </c>
      <c r="C190" s="50" t="s">
        <v>289</v>
      </c>
      <c r="D190" s="99" t="s">
        <v>630</v>
      </c>
      <c r="E190" s="391" t="s">
        <v>13</v>
      </c>
      <c r="F190" s="562">
        <v>23902</v>
      </c>
      <c r="G190" s="579">
        <f t="shared" si="411"/>
        <v>25245</v>
      </c>
      <c r="H190" s="611">
        <v>40000</v>
      </c>
      <c r="I190" s="611">
        <v>29291</v>
      </c>
      <c r="J190" s="611">
        <v>45000</v>
      </c>
      <c r="K190" s="560">
        <f t="shared" ref="K190:K201" si="434">AVERAGE(H190,I190,G190)</f>
        <v>31512</v>
      </c>
      <c r="L190" s="561">
        <f t="shared" si="431"/>
        <v>7610</v>
      </c>
      <c r="M190" s="281">
        <f t="shared" si="432"/>
        <v>0.31838339887875494</v>
      </c>
      <c r="N190" s="601">
        <f t="shared" si="433"/>
        <v>31512</v>
      </c>
      <c r="O190" s="410">
        <v>21690</v>
      </c>
      <c r="P190" s="575">
        <f t="shared" si="299"/>
        <v>22909</v>
      </c>
      <c r="Q190" s="10">
        <v>22000</v>
      </c>
      <c r="R190" s="10"/>
      <c r="S190" s="268">
        <v>26000</v>
      </c>
      <c r="T190" s="10">
        <v>30000</v>
      </c>
      <c r="U190" s="76">
        <f>AVERAGE(R190,S190,T190)</f>
        <v>28000</v>
      </c>
      <c r="V190" s="24">
        <f t="shared" si="289"/>
        <v>5091</v>
      </c>
      <c r="W190" s="281">
        <f t="shared" ref="W190:W201" si="435">+V190/O190</f>
        <v>0.234716459197787</v>
      </c>
      <c r="X190" s="462">
        <f t="shared" ref="X190:X201" si="436">U190</f>
        <v>28000</v>
      </c>
      <c r="Y190" s="410">
        <v>46970</v>
      </c>
      <c r="Z190" s="575">
        <f t="shared" si="292"/>
        <v>49610</v>
      </c>
      <c r="AA190" s="33">
        <v>61088</v>
      </c>
      <c r="AB190" s="31">
        <v>79414</v>
      </c>
      <c r="AC190" s="472">
        <v>53395</v>
      </c>
      <c r="AD190" s="76">
        <f t="shared" si="312"/>
        <v>54697.666666666664</v>
      </c>
      <c r="AE190" s="24">
        <f t="shared" si="293"/>
        <v>5087.6666666666642</v>
      </c>
      <c r="AF190" s="25">
        <f t="shared" si="415"/>
        <v>0.10831736569441483</v>
      </c>
      <c r="AG190" s="309">
        <f t="shared" si="416"/>
        <v>54697.666666666664</v>
      </c>
      <c r="AH190" s="601">
        <f t="shared" si="417"/>
        <v>54697.666666666664</v>
      </c>
      <c r="AI190" s="410">
        <v>23902</v>
      </c>
      <c r="AJ190" s="575">
        <f t="shared" si="294"/>
        <v>25245</v>
      </c>
      <c r="AK190" s="45">
        <v>40000</v>
      </c>
      <c r="AL190" s="45">
        <v>29291</v>
      </c>
      <c r="AM190" s="45">
        <v>45000</v>
      </c>
      <c r="AN190" s="76">
        <f>AVERAGE(AL190,AJ190,AM190)</f>
        <v>33178.666666666664</v>
      </c>
      <c r="AO190" s="24">
        <f t="shared" si="418"/>
        <v>9276.6666666666642</v>
      </c>
      <c r="AP190" s="281">
        <f t="shared" si="419"/>
        <v>0.38811257077510936</v>
      </c>
      <c r="AQ190" s="601">
        <f t="shared" si="420"/>
        <v>33178.666666666664</v>
      </c>
      <c r="AR190" s="513">
        <v>25117</v>
      </c>
      <c r="AS190" s="575">
        <f t="shared" si="301"/>
        <v>26529</v>
      </c>
      <c r="AT190" s="88">
        <v>40000</v>
      </c>
      <c r="AU190" s="116">
        <v>40000</v>
      </c>
      <c r="AV190" s="74">
        <v>38676</v>
      </c>
      <c r="AW190" s="76">
        <f t="shared" si="295"/>
        <v>36301.25</v>
      </c>
      <c r="AX190" s="24">
        <f t="shared" si="421"/>
        <v>11184.25</v>
      </c>
      <c r="AY190" s="25">
        <f t="shared" si="422"/>
        <v>0.44528606123342757</v>
      </c>
      <c r="AZ190" s="309" t="str">
        <f t="shared" si="423"/>
        <v>REVISAR PRECIO</v>
      </c>
      <c r="BA190" s="601">
        <f t="shared" si="424"/>
        <v>36301.25</v>
      </c>
      <c r="BB190" s="513">
        <v>25117</v>
      </c>
      <c r="BC190" s="575">
        <f t="shared" si="296"/>
        <v>26529</v>
      </c>
      <c r="BD190" s="74">
        <v>40434</v>
      </c>
      <c r="BE190" s="74">
        <v>42000</v>
      </c>
      <c r="BF190" s="75">
        <v>46587</v>
      </c>
      <c r="BG190" s="61">
        <v>40434</v>
      </c>
      <c r="BH190" s="60">
        <v>45000</v>
      </c>
      <c r="BI190" s="74">
        <v>46499.1</v>
      </c>
      <c r="BJ190" s="79">
        <v>46587</v>
      </c>
      <c r="BK190" s="79">
        <f>29300*1.2</f>
        <v>35160</v>
      </c>
      <c r="BL190" s="127">
        <v>42192</v>
      </c>
      <c r="BM190" s="128">
        <v>48500</v>
      </c>
      <c r="BN190" s="128">
        <v>40000</v>
      </c>
      <c r="BO190" s="76">
        <f>AVERAGE(BC190,BD190,BE190,BG190,BH190,BJ190,BK190,BL190,BM190,BN190)</f>
        <v>40683.599999999999</v>
      </c>
      <c r="BP190" s="24">
        <f t="shared" si="425"/>
        <v>15566.599999999999</v>
      </c>
      <c r="BQ190" s="25">
        <f t="shared" si="426"/>
        <v>0.619763506788231</v>
      </c>
      <c r="BR190" s="259" t="str">
        <f t="shared" si="427"/>
        <v>REVISAR PRECIO</v>
      </c>
      <c r="BS190" s="607">
        <f t="shared" si="297"/>
        <v>40683.599999999999</v>
      </c>
    </row>
    <row r="191" spans="1:71" ht="30">
      <c r="A191" s="91" t="s">
        <v>30</v>
      </c>
      <c r="B191" s="358" t="s">
        <v>2382</v>
      </c>
      <c r="C191" s="50" t="s">
        <v>290</v>
      </c>
      <c r="D191" s="99" t="s">
        <v>631</v>
      </c>
      <c r="E191" s="391" t="s">
        <v>13</v>
      </c>
      <c r="F191" s="562">
        <v>25316</v>
      </c>
      <c r="G191" s="579">
        <f t="shared" si="411"/>
        <v>26739</v>
      </c>
      <c r="H191" s="611">
        <v>40000</v>
      </c>
      <c r="I191" s="611">
        <v>31237</v>
      </c>
      <c r="J191" s="611">
        <v>45000</v>
      </c>
      <c r="K191" s="560">
        <f t="shared" si="434"/>
        <v>32658.666666666668</v>
      </c>
      <c r="L191" s="561">
        <f t="shared" si="431"/>
        <v>7342.6666666666679</v>
      </c>
      <c r="M191" s="281">
        <f t="shared" si="432"/>
        <v>0.29004055406330653</v>
      </c>
      <c r="N191" s="601">
        <f t="shared" si="433"/>
        <v>32658.666666666668</v>
      </c>
      <c r="O191" s="410">
        <v>23010</v>
      </c>
      <c r="P191" s="575">
        <f t="shared" si="299"/>
        <v>24303</v>
      </c>
      <c r="Q191" s="10">
        <v>23000</v>
      </c>
      <c r="R191" s="10"/>
      <c r="S191" s="268">
        <v>26000</v>
      </c>
      <c r="T191" s="10">
        <v>30000</v>
      </c>
      <c r="U191" s="76">
        <f>AVERAGE(R191,S191,T191)</f>
        <v>28000</v>
      </c>
      <c r="V191" s="24">
        <f t="shared" si="289"/>
        <v>3697</v>
      </c>
      <c r="W191" s="281">
        <f t="shared" si="435"/>
        <v>0.16066927422859625</v>
      </c>
      <c r="X191" s="462">
        <f t="shared" si="436"/>
        <v>28000</v>
      </c>
      <c r="Y191" s="410">
        <v>50135</v>
      </c>
      <c r="Z191" s="575">
        <f t="shared" si="292"/>
        <v>52953</v>
      </c>
      <c r="AA191" s="33">
        <v>65205</v>
      </c>
      <c r="AB191" s="31">
        <v>65205</v>
      </c>
      <c r="AC191" s="472">
        <v>56994</v>
      </c>
      <c r="AD191" s="76">
        <f>AVERAGE(AA191,AC191,Z191,AB191)</f>
        <v>60089.25</v>
      </c>
      <c r="AE191" s="24">
        <f t="shared" si="293"/>
        <v>7136.25</v>
      </c>
      <c r="AF191" s="25">
        <f t="shared" si="415"/>
        <v>0.14234068016355839</v>
      </c>
      <c r="AG191" s="309">
        <f t="shared" si="416"/>
        <v>60089.25</v>
      </c>
      <c r="AH191" s="601">
        <f t="shared" si="417"/>
        <v>60089.25</v>
      </c>
      <c r="AI191" s="410">
        <v>25316</v>
      </c>
      <c r="AJ191" s="575">
        <f t="shared" si="294"/>
        <v>26739</v>
      </c>
      <c r="AK191" s="45">
        <v>40000</v>
      </c>
      <c r="AL191" s="45">
        <v>31237</v>
      </c>
      <c r="AM191" s="45">
        <v>45000</v>
      </c>
      <c r="AN191" s="76">
        <f>AVERAGE(AL191,AJ191)</f>
        <v>28988</v>
      </c>
      <c r="AO191" s="24">
        <f t="shared" si="418"/>
        <v>3672</v>
      </c>
      <c r="AP191" s="281">
        <f t="shared" si="419"/>
        <v>0.14504661083899509</v>
      </c>
      <c r="AQ191" s="601">
        <f t="shared" si="420"/>
        <v>28988</v>
      </c>
      <c r="AR191" s="513">
        <v>26816</v>
      </c>
      <c r="AS191" s="575">
        <f t="shared" si="301"/>
        <v>28323</v>
      </c>
      <c r="AT191" s="88">
        <v>40000</v>
      </c>
      <c r="AU191" s="116">
        <v>40000</v>
      </c>
      <c r="AV191" s="74">
        <v>41580</v>
      </c>
      <c r="AW191" s="76">
        <f t="shared" si="295"/>
        <v>37475.75</v>
      </c>
      <c r="AX191" s="24">
        <f t="shared" si="421"/>
        <v>10659.75</v>
      </c>
      <c r="AY191" s="25">
        <f t="shared" si="422"/>
        <v>0.3975145435560859</v>
      </c>
      <c r="AZ191" s="309" t="str">
        <f t="shared" si="423"/>
        <v>REVISAR PRECIO</v>
      </c>
      <c r="BA191" s="601">
        <f t="shared" si="424"/>
        <v>37475.75</v>
      </c>
      <c r="BB191" s="513">
        <v>26816</v>
      </c>
      <c r="BC191" s="575">
        <f t="shared" si="296"/>
        <v>28323</v>
      </c>
      <c r="BD191" s="74">
        <v>43470</v>
      </c>
      <c r="BE191" s="74">
        <v>46000</v>
      </c>
      <c r="BF191" s="75">
        <v>50085</v>
      </c>
      <c r="BG191" s="61">
        <v>43470</v>
      </c>
      <c r="BH191" s="60">
        <v>54000</v>
      </c>
      <c r="BI191" s="74">
        <v>49990.499999999993</v>
      </c>
      <c r="BJ191" s="79">
        <v>50085</v>
      </c>
      <c r="BK191" s="79">
        <f>31500*1.2</f>
        <v>37800</v>
      </c>
      <c r="BL191" s="127">
        <v>45360</v>
      </c>
      <c r="BM191" s="128">
        <v>48500</v>
      </c>
      <c r="BN191" s="128">
        <v>45000</v>
      </c>
      <c r="BO191" s="76">
        <f>AVERAGE(BC191,BD191,BE191,BG191,BI191,BJ191,BK191,BL191,BM191,BN191)</f>
        <v>43799.85</v>
      </c>
      <c r="BP191" s="24">
        <f t="shared" si="425"/>
        <v>16983.849999999999</v>
      </c>
      <c r="BQ191" s="25">
        <f t="shared" si="426"/>
        <v>0.63334762828162283</v>
      </c>
      <c r="BR191" s="259" t="str">
        <f t="shared" si="427"/>
        <v>REVISAR PRECIO</v>
      </c>
      <c r="BS191" s="607">
        <f t="shared" si="297"/>
        <v>43799.85</v>
      </c>
    </row>
    <row r="192" spans="1:71" ht="30">
      <c r="A192" s="91" t="s">
        <v>30</v>
      </c>
      <c r="B192" s="358" t="s">
        <v>2383</v>
      </c>
      <c r="C192" s="50" t="s">
        <v>291</v>
      </c>
      <c r="D192" s="99" t="s">
        <v>632</v>
      </c>
      <c r="E192" s="391" t="s">
        <v>13</v>
      </c>
      <c r="F192" s="562">
        <v>20428</v>
      </c>
      <c r="G192" s="579">
        <f t="shared" si="411"/>
        <v>21576</v>
      </c>
      <c r="H192" s="611"/>
      <c r="I192" s="611">
        <v>23750</v>
      </c>
      <c r="J192" s="611">
        <v>40000</v>
      </c>
      <c r="K192" s="560">
        <f t="shared" si="434"/>
        <v>22663</v>
      </c>
      <c r="L192" s="561">
        <f t="shared" si="431"/>
        <v>2235</v>
      </c>
      <c r="M192" s="281">
        <f t="shared" si="432"/>
        <v>0.10940865478754651</v>
      </c>
      <c r="N192" s="601">
        <f t="shared" si="433"/>
        <v>22663</v>
      </c>
      <c r="O192" s="410">
        <v>18292</v>
      </c>
      <c r="P192" s="575">
        <f t="shared" si="299"/>
        <v>19320</v>
      </c>
      <c r="Q192" s="10">
        <v>25000</v>
      </c>
      <c r="R192" s="10"/>
      <c r="S192" s="268">
        <v>28000</v>
      </c>
      <c r="T192" s="10">
        <v>30000</v>
      </c>
      <c r="U192" s="76">
        <f t="shared" si="412"/>
        <v>25580</v>
      </c>
      <c r="V192" s="24">
        <f t="shared" si="289"/>
        <v>6260</v>
      </c>
      <c r="W192" s="281">
        <f t="shared" si="435"/>
        <v>0.34222610977476492</v>
      </c>
      <c r="X192" s="462">
        <f t="shared" si="436"/>
        <v>25580</v>
      </c>
      <c r="Y192" s="410">
        <v>38396</v>
      </c>
      <c r="Z192" s="575">
        <f t="shared" si="292"/>
        <v>40554</v>
      </c>
      <c r="AA192" s="33">
        <v>49937</v>
      </c>
      <c r="AB192" s="31">
        <v>64917</v>
      </c>
      <c r="AC192" s="472">
        <v>43648.2</v>
      </c>
      <c r="AD192" s="76">
        <f t="shared" si="312"/>
        <v>44713.066666666673</v>
      </c>
      <c r="AE192" s="24">
        <f t="shared" si="293"/>
        <v>4159.066666666673</v>
      </c>
      <c r="AF192" s="25">
        <f t="shared" si="415"/>
        <v>0.10832031114352206</v>
      </c>
      <c r="AG192" s="309">
        <f t="shared" si="416"/>
        <v>44713.066666666673</v>
      </c>
      <c r="AH192" s="601">
        <f t="shared" si="417"/>
        <v>44713.066666666673</v>
      </c>
      <c r="AI192" s="410">
        <v>20428</v>
      </c>
      <c r="AJ192" s="575">
        <f t="shared" si="294"/>
        <v>21576</v>
      </c>
      <c r="AK192" s="45"/>
      <c r="AL192" s="45">
        <v>23750</v>
      </c>
      <c r="AM192" s="45">
        <v>40000</v>
      </c>
      <c r="AN192" s="76">
        <f>AVERAGE(AK192,AL192,AJ192)</f>
        <v>22663</v>
      </c>
      <c r="AO192" s="24">
        <f t="shared" si="418"/>
        <v>2235</v>
      </c>
      <c r="AP192" s="281">
        <f t="shared" si="419"/>
        <v>0.10940865478754651</v>
      </c>
      <c r="AQ192" s="601">
        <f t="shared" si="420"/>
        <v>22663</v>
      </c>
      <c r="AR192" s="513">
        <v>20532</v>
      </c>
      <c r="AS192" s="575">
        <f t="shared" si="301"/>
        <v>21686</v>
      </c>
      <c r="AT192" s="88">
        <v>25000</v>
      </c>
      <c r="AU192" s="116">
        <v>25000</v>
      </c>
      <c r="AV192" s="74">
        <v>25889.16</v>
      </c>
      <c r="AW192" s="76">
        <f t="shared" si="295"/>
        <v>24393.79</v>
      </c>
      <c r="AX192" s="24">
        <f t="shared" si="421"/>
        <v>3861.7900000000009</v>
      </c>
      <c r="AY192" s="25">
        <f t="shared" si="422"/>
        <v>0.18808640171439708</v>
      </c>
      <c r="AZ192" s="309">
        <f t="shared" si="423"/>
        <v>24393.79</v>
      </c>
      <c r="BA192" s="601">
        <f t="shared" si="424"/>
        <v>24393.79</v>
      </c>
      <c r="BB192" s="513">
        <v>20532</v>
      </c>
      <c r="BC192" s="575">
        <f t="shared" si="296"/>
        <v>21686</v>
      </c>
      <c r="BD192" s="74">
        <v>27065.94</v>
      </c>
      <c r="BE192" s="74">
        <v>38000</v>
      </c>
      <c r="BF192" s="75">
        <v>31184.67</v>
      </c>
      <c r="BG192" s="61">
        <v>27065.939999999995</v>
      </c>
      <c r="BH192" s="60">
        <v>65000</v>
      </c>
      <c r="BI192" s="74">
        <v>31125.830999999991</v>
      </c>
      <c r="BJ192" s="79">
        <v>31184.67</v>
      </c>
      <c r="BK192" s="79">
        <f>19613*1.2</f>
        <v>23535.599999999999</v>
      </c>
      <c r="BL192" s="127">
        <v>28242.719999999998</v>
      </c>
      <c r="BM192" s="128">
        <v>28500</v>
      </c>
      <c r="BN192" s="128">
        <v>25000</v>
      </c>
      <c r="BO192" s="76">
        <f>AVERAGE(BC192,BD192,BE192,BG192,BI192,BJ192,BK192,BL192,BM192,BN192)</f>
        <v>28140.670099999999</v>
      </c>
      <c r="BP192" s="24">
        <f t="shared" si="425"/>
        <v>7608.6700999999994</v>
      </c>
      <c r="BQ192" s="25">
        <f t="shared" si="426"/>
        <v>0.37057617864796411</v>
      </c>
      <c r="BR192" s="259" t="str">
        <f t="shared" si="427"/>
        <v>REVISAR PRECIO</v>
      </c>
      <c r="BS192" s="607">
        <f t="shared" si="297"/>
        <v>28140.670099999999</v>
      </c>
    </row>
    <row r="193" spans="1:71" ht="30">
      <c r="A193" s="91" t="s">
        <v>30</v>
      </c>
      <c r="B193" s="358" t="s">
        <v>2384</v>
      </c>
      <c r="C193" s="50" t="s">
        <v>292</v>
      </c>
      <c r="D193" s="99" t="s">
        <v>633</v>
      </c>
      <c r="E193" s="391" t="s">
        <v>13</v>
      </c>
      <c r="F193" s="562">
        <v>18966</v>
      </c>
      <c r="G193" s="579">
        <f t="shared" si="411"/>
        <v>20032</v>
      </c>
      <c r="H193" s="611"/>
      <c r="I193" s="611">
        <v>23100</v>
      </c>
      <c r="J193" s="611">
        <v>40000</v>
      </c>
      <c r="K193" s="560">
        <f t="shared" si="434"/>
        <v>21566</v>
      </c>
      <c r="L193" s="561">
        <f t="shared" si="431"/>
        <v>2600</v>
      </c>
      <c r="M193" s="281">
        <f t="shared" si="432"/>
        <v>0.13708741959295581</v>
      </c>
      <c r="N193" s="601">
        <f t="shared" si="433"/>
        <v>21566</v>
      </c>
      <c r="O193" s="410">
        <v>17181</v>
      </c>
      <c r="P193" s="575">
        <f t="shared" si="299"/>
        <v>18147</v>
      </c>
      <c r="Q193" s="10">
        <v>25000</v>
      </c>
      <c r="R193" s="10"/>
      <c r="S193" s="268">
        <v>28000</v>
      </c>
      <c r="T193" s="10">
        <v>30000</v>
      </c>
      <c r="U193" s="76">
        <f t="shared" si="412"/>
        <v>25286.75</v>
      </c>
      <c r="V193" s="24">
        <f t="shared" si="289"/>
        <v>7139.75</v>
      </c>
      <c r="W193" s="281">
        <f t="shared" si="435"/>
        <v>0.41556079390023865</v>
      </c>
      <c r="X193" s="462">
        <f t="shared" si="436"/>
        <v>25286.75</v>
      </c>
      <c r="Y193" s="410">
        <v>36974</v>
      </c>
      <c r="Z193" s="575">
        <f t="shared" si="292"/>
        <v>39052</v>
      </c>
      <c r="AA193" s="33">
        <v>48087</v>
      </c>
      <c r="AB193" s="33">
        <v>62513</v>
      </c>
      <c r="AC193" s="472">
        <v>42031.6</v>
      </c>
      <c r="AD193" s="76">
        <f t="shared" si="312"/>
        <v>43056.866666666669</v>
      </c>
      <c r="AE193" s="24">
        <f t="shared" si="293"/>
        <v>4004.8666666666686</v>
      </c>
      <c r="AF193" s="25">
        <f t="shared" si="415"/>
        <v>0.1083157534123078</v>
      </c>
      <c r="AG193" s="309">
        <f t="shared" si="416"/>
        <v>43056.866666666669</v>
      </c>
      <c r="AH193" s="601">
        <f t="shared" si="417"/>
        <v>43056.866666666669</v>
      </c>
      <c r="AI193" s="410">
        <v>18966</v>
      </c>
      <c r="AJ193" s="575">
        <f t="shared" si="294"/>
        <v>20032</v>
      </c>
      <c r="AK193" s="45"/>
      <c r="AL193" s="45">
        <v>23100</v>
      </c>
      <c r="AM193" s="45">
        <v>40000</v>
      </c>
      <c r="AN193" s="76">
        <f>AVERAGE(AK193,AL193,AJ193)</f>
        <v>21566</v>
      </c>
      <c r="AO193" s="24">
        <f t="shared" si="418"/>
        <v>2600</v>
      </c>
      <c r="AP193" s="281">
        <f t="shared" si="419"/>
        <v>0.13708741959295581</v>
      </c>
      <c r="AQ193" s="601">
        <f t="shared" si="420"/>
        <v>21566</v>
      </c>
      <c r="AR193" s="513">
        <v>19772</v>
      </c>
      <c r="AS193" s="575">
        <f t="shared" si="301"/>
        <v>20883</v>
      </c>
      <c r="AT193" s="88">
        <v>28000</v>
      </c>
      <c r="AU193" s="116">
        <v>28000</v>
      </c>
      <c r="AV193" s="74">
        <v>26471.5</v>
      </c>
      <c r="AW193" s="76">
        <f t="shared" si="295"/>
        <v>25838.625</v>
      </c>
      <c r="AX193" s="24">
        <f t="shared" si="421"/>
        <v>6066.625</v>
      </c>
      <c r="AY193" s="25">
        <f t="shared" si="422"/>
        <v>0.30682910176006473</v>
      </c>
      <c r="AZ193" s="309">
        <f t="shared" si="423"/>
        <v>25838.625</v>
      </c>
      <c r="BA193" s="601">
        <f t="shared" si="424"/>
        <v>25838.625</v>
      </c>
      <c r="BB193" s="513">
        <v>19772</v>
      </c>
      <c r="BC193" s="575">
        <f t="shared" si="296"/>
        <v>20883</v>
      </c>
      <c r="BD193" s="74">
        <v>27674.75</v>
      </c>
      <c r="BE193" s="74">
        <v>32000</v>
      </c>
      <c r="BF193" s="75">
        <v>31886.125</v>
      </c>
      <c r="BG193" s="61">
        <v>27674.749999999996</v>
      </c>
      <c r="BH193" s="60">
        <v>63000</v>
      </c>
      <c r="BI193" s="74">
        <v>31825.962499999994</v>
      </c>
      <c r="BJ193" s="79">
        <v>31886.125</v>
      </c>
      <c r="BK193" s="79">
        <f>19252*1.25</f>
        <v>24065</v>
      </c>
      <c r="BL193" s="127">
        <v>28878</v>
      </c>
      <c r="BM193" s="128">
        <v>28600</v>
      </c>
      <c r="BN193" s="128">
        <v>29000</v>
      </c>
      <c r="BO193" s="76">
        <f>AVERAGE(BC193,BD193,BE193,BG193,BI193,BJ193,BK193,BL193,BM193,BN193)</f>
        <v>28248.758750000001</v>
      </c>
      <c r="BP193" s="24">
        <f t="shared" si="425"/>
        <v>8476.7587500000009</v>
      </c>
      <c r="BQ193" s="25">
        <f t="shared" si="426"/>
        <v>0.42872540714141216</v>
      </c>
      <c r="BR193" s="259" t="str">
        <f t="shared" si="427"/>
        <v>REVISAR PRECIO</v>
      </c>
      <c r="BS193" s="607">
        <f t="shared" si="297"/>
        <v>28248.758750000001</v>
      </c>
    </row>
    <row r="194" spans="1:71" ht="30">
      <c r="A194" s="91" t="s">
        <v>30</v>
      </c>
      <c r="B194" s="358" t="s">
        <v>2385</v>
      </c>
      <c r="C194" s="50" t="s">
        <v>293</v>
      </c>
      <c r="D194" s="99" t="s">
        <v>634</v>
      </c>
      <c r="E194" s="391" t="s">
        <v>13</v>
      </c>
      <c r="F194" s="562">
        <v>18558</v>
      </c>
      <c r="G194" s="579">
        <f t="shared" si="411"/>
        <v>19601</v>
      </c>
      <c r="H194" s="611"/>
      <c r="I194" s="611">
        <v>22499</v>
      </c>
      <c r="J194" s="611">
        <v>40000</v>
      </c>
      <c r="K194" s="560">
        <f t="shared" si="434"/>
        <v>21050</v>
      </c>
      <c r="L194" s="561">
        <f t="shared" si="431"/>
        <v>2492</v>
      </c>
      <c r="M194" s="281">
        <f t="shared" si="432"/>
        <v>0.13428171139131373</v>
      </c>
      <c r="N194" s="601">
        <f t="shared" si="433"/>
        <v>21050</v>
      </c>
      <c r="O194" s="410">
        <v>16801</v>
      </c>
      <c r="P194" s="575">
        <f t="shared" si="299"/>
        <v>17745</v>
      </c>
      <c r="Q194" s="10">
        <v>26000</v>
      </c>
      <c r="R194" s="10"/>
      <c r="S194" s="268">
        <v>29000</v>
      </c>
      <c r="T194" s="10">
        <v>30000</v>
      </c>
      <c r="U194" s="76">
        <f t="shared" si="412"/>
        <v>25686.25</v>
      </c>
      <c r="V194" s="24">
        <f t="shared" si="289"/>
        <v>7941.25</v>
      </c>
      <c r="W194" s="281">
        <f t="shared" si="435"/>
        <v>0.47266531754062258</v>
      </c>
      <c r="X194" s="462">
        <f t="shared" si="436"/>
        <v>25686.25</v>
      </c>
      <c r="Y194" s="410">
        <v>35801</v>
      </c>
      <c r="Z194" s="575">
        <f t="shared" si="292"/>
        <v>37813</v>
      </c>
      <c r="AA194" s="33">
        <v>46562</v>
      </c>
      <c r="AB194" s="31">
        <v>60530</v>
      </c>
      <c r="AC194" s="472">
        <v>40698.199999999997</v>
      </c>
      <c r="AD194" s="76">
        <f t="shared" si="312"/>
        <v>41691.066666666666</v>
      </c>
      <c r="AE194" s="24">
        <f t="shared" si="293"/>
        <v>3878.0666666666657</v>
      </c>
      <c r="AF194" s="25">
        <f t="shared" si="415"/>
        <v>0.1083228587655838</v>
      </c>
      <c r="AG194" s="309">
        <f t="shared" si="416"/>
        <v>41691.066666666666</v>
      </c>
      <c r="AH194" s="601">
        <f t="shared" si="417"/>
        <v>41691.066666666666</v>
      </c>
      <c r="AI194" s="410">
        <v>18558</v>
      </c>
      <c r="AJ194" s="575">
        <f t="shared" si="294"/>
        <v>19601</v>
      </c>
      <c r="AK194" s="45"/>
      <c r="AL194" s="45">
        <v>22499</v>
      </c>
      <c r="AM194" s="45">
        <v>40000</v>
      </c>
      <c r="AN194" s="76">
        <f>AVERAGE(AK194,AL194,AJ194)</f>
        <v>21050</v>
      </c>
      <c r="AO194" s="24">
        <f t="shared" si="418"/>
        <v>2492</v>
      </c>
      <c r="AP194" s="281">
        <f t="shared" si="419"/>
        <v>0.13428171139131373</v>
      </c>
      <c r="AQ194" s="601">
        <f t="shared" si="420"/>
        <v>21050</v>
      </c>
      <c r="AR194" s="513">
        <v>19146</v>
      </c>
      <c r="AS194" s="575">
        <f t="shared" si="301"/>
        <v>20222</v>
      </c>
      <c r="AT194" s="88">
        <v>26000</v>
      </c>
      <c r="AU194" s="116">
        <v>26000</v>
      </c>
      <c r="AV194" s="74">
        <v>26123.625</v>
      </c>
      <c r="AW194" s="76">
        <f t="shared" si="295"/>
        <v>24586.40625</v>
      </c>
      <c r="AX194" s="24">
        <f t="shared" si="421"/>
        <v>5440.40625</v>
      </c>
      <c r="AY194" s="25">
        <f t="shared" si="422"/>
        <v>0.28415367439674083</v>
      </c>
      <c r="AZ194" s="309">
        <f t="shared" si="423"/>
        <v>24586.40625</v>
      </c>
      <c r="BA194" s="601">
        <f t="shared" si="424"/>
        <v>24586.40625</v>
      </c>
      <c r="BB194" s="513">
        <v>19146</v>
      </c>
      <c r="BC194" s="575">
        <f t="shared" si="296"/>
        <v>20222</v>
      </c>
      <c r="BD194" s="74">
        <v>27311.0625</v>
      </c>
      <c r="BE194" s="74">
        <v>30000</v>
      </c>
      <c r="BF194" s="75">
        <v>31467.09375</v>
      </c>
      <c r="BG194" s="61">
        <v>27311.062499999996</v>
      </c>
      <c r="BH194" s="60">
        <v>60000</v>
      </c>
      <c r="BI194" s="74">
        <v>31407.721874999992</v>
      </c>
      <c r="BJ194" s="79">
        <v>31467.09375</v>
      </c>
      <c r="BK194" s="79">
        <f>18999*1.25</f>
        <v>23748.75</v>
      </c>
      <c r="BL194" s="127">
        <v>28498.5</v>
      </c>
      <c r="BM194" s="128">
        <v>22900</v>
      </c>
      <c r="BN194" s="128">
        <v>32000</v>
      </c>
      <c r="BO194" s="76">
        <f>AVERAGE(BC194,BD194,BE194,BG194,BI194,BJ194,BK194,BL194,BM194,BN194)</f>
        <v>27486.619062499998</v>
      </c>
      <c r="BP194" s="24">
        <f t="shared" si="425"/>
        <v>8340.6190624999981</v>
      </c>
      <c r="BQ194" s="25">
        <f t="shared" si="426"/>
        <v>0.43563245912984427</v>
      </c>
      <c r="BR194" s="259" t="str">
        <f t="shared" si="427"/>
        <v>REVISAR PRECIO</v>
      </c>
      <c r="BS194" s="607">
        <f t="shared" si="297"/>
        <v>27486.619062499998</v>
      </c>
    </row>
    <row r="195" spans="1:71" ht="30">
      <c r="A195" s="91" t="s">
        <v>30</v>
      </c>
      <c r="B195" s="358" t="s">
        <v>2386</v>
      </c>
      <c r="C195" s="50" t="s">
        <v>294</v>
      </c>
      <c r="D195" s="99" t="s">
        <v>635</v>
      </c>
      <c r="E195" s="391" t="s">
        <v>10</v>
      </c>
      <c r="F195" s="562">
        <v>37524</v>
      </c>
      <c r="G195" s="579">
        <f t="shared" si="411"/>
        <v>39633</v>
      </c>
      <c r="H195" s="611">
        <v>25000</v>
      </c>
      <c r="I195" s="611">
        <v>43626</v>
      </c>
      <c r="J195" s="611">
        <v>25000</v>
      </c>
      <c r="K195" s="560">
        <f t="shared" si="434"/>
        <v>36086.333333333336</v>
      </c>
      <c r="L195" s="561">
        <f t="shared" si="431"/>
        <v>-1437.6666666666642</v>
      </c>
      <c r="M195" s="281">
        <f t="shared" si="432"/>
        <v>-3.8313257293110123E-2</v>
      </c>
      <c r="N195" s="601">
        <f t="shared" si="433"/>
        <v>36086.333333333336</v>
      </c>
      <c r="O195" s="410">
        <v>33603</v>
      </c>
      <c r="P195" s="575">
        <f t="shared" si="299"/>
        <v>35491</v>
      </c>
      <c r="Q195" s="10">
        <v>25000</v>
      </c>
      <c r="R195" s="10"/>
      <c r="S195" s="268">
        <v>28000</v>
      </c>
      <c r="T195" s="10">
        <v>40000</v>
      </c>
      <c r="U195" s="76">
        <f t="shared" si="412"/>
        <v>32122.75</v>
      </c>
      <c r="V195" s="24">
        <f t="shared" si="289"/>
        <v>-3368.25</v>
      </c>
      <c r="W195" s="281">
        <f t="shared" si="435"/>
        <v>-0.10023658601910544</v>
      </c>
      <c r="X195" s="462">
        <f t="shared" si="436"/>
        <v>32122.75</v>
      </c>
      <c r="Y195" s="410">
        <v>70522</v>
      </c>
      <c r="Z195" s="575">
        <f t="shared" si="292"/>
        <v>74485</v>
      </c>
      <c r="AA195" s="33">
        <v>91719</v>
      </c>
      <c r="AB195" s="31">
        <v>119235</v>
      </c>
      <c r="AC195" s="472">
        <v>80169.2</v>
      </c>
      <c r="AD195" s="76">
        <f t="shared" si="312"/>
        <v>82124.400000000009</v>
      </c>
      <c r="AE195" s="24">
        <f t="shared" si="293"/>
        <v>7639.4000000000087</v>
      </c>
      <c r="AF195" s="25">
        <f t="shared" si="415"/>
        <v>0.10832647968009995</v>
      </c>
      <c r="AG195" s="309">
        <f t="shared" si="416"/>
        <v>82124.400000000009</v>
      </c>
      <c r="AH195" s="601">
        <f t="shared" si="417"/>
        <v>82124.400000000009</v>
      </c>
      <c r="AI195" s="410">
        <v>37524</v>
      </c>
      <c r="AJ195" s="575">
        <f t="shared" si="294"/>
        <v>39633</v>
      </c>
      <c r="AK195" s="45">
        <v>25000</v>
      </c>
      <c r="AL195" s="45">
        <v>43626</v>
      </c>
      <c r="AM195" s="45">
        <v>25000</v>
      </c>
      <c r="AN195" s="76">
        <f t="shared" si="300"/>
        <v>33314.75</v>
      </c>
      <c r="AO195" s="24">
        <f t="shared" si="418"/>
        <v>-4209.25</v>
      </c>
      <c r="AP195" s="281">
        <f t="shared" si="419"/>
        <v>-0.11217487474682869</v>
      </c>
      <c r="AQ195" s="601">
        <f t="shared" si="420"/>
        <v>33314.75</v>
      </c>
      <c r="AR195" s="513">
        <v>37714</v>
      </c>
      <c r="AS195" s="575">
        <f t="shared" si="301"/>
        <v>39834</v>
      </c>
      <c r="AT195" s="88">
        <v>25000</v>
      </c>
      <c r="AU195" s="116">
        <v>25000</v>
      </c>
      <c r="AV195" s="74">
        <v>24200</v>
      </c>
      <c r="AW195" s="76">
        <f t="shared" si="295"/>
        <v>28508.5</v>
      </c>
      <c r="AX195" s="24">
        <f t="shared" si="421"/>
        <v>-9205.5</v>
      </c>
      <c r="AY195" s="25">
        <f t="shared" si="422"/>
        <v>-0.24408707641724559</v>
      </c>
      <c r="AZ195" s="309">
        <f t="shared" si="423"/>
        <v>28508.5</v>
      </c>
      <c r="BA195" s="601">
        <f>+AW195</f>
        <v>28508.5</v>
      </c>
      <c r="BB195" s="513">
        <v>37714</v>
      </c>
      <c r="BC195" s="575">
        <f t="shared" si="296"/>
        <v>39834</v>
      </c>
      <c r="BD195" s="74">
        <v>25300</v>
      </c>
      <c r="BE195" s="74">
        <v>85000</v>
      </c>
      <c r="BF195" s="75">
        <v>29150</v>
      </c>
      <c r="BG195" s="61">
        <v>25299.999999999996</v>
      </c>
      <c r="BH195" s="60">
        <v>120000</v>
      </c>
      <c r="BI195" s="74">
        <v>29094.999999999993</v>
      </c>
      <c r="BJ195" s="79">
        <v>29150</v>
      </c>
      <c r="BK195" s="79"/>
      <c r="BL195" s="127">
        <v>26400</v>
      </c>
      <c r="BM195" s="128">
        <v>28000</v>
      </c>
      <c r="BN195" s="128">
        <v>25000</v>
      </c>
      <c r="BO195" s="76">
        <f>AVERAGE(BC195,BD195,BE195,BF195,BG195,BI195,BJ195,BL195,BM195,BN195)</f>
        <v>34222.9</v>
      </c>
      <c r="BP195" s="24">
        <f t="shared" si="425"/>
        <v>-3491.0999999999985</v>
      </c>
      <c r="BQ195" s="25">
        <f t="shared" si="426"/>
        <v>-9.2567746725353936E-2</v>
      </c>
      <c r="BR195" s="259">
        <f t="shared" si="427"/>
        <v>34222.9</v>
      </c>
      <c r="BS195" s="607">
        <f t="shared" si="297"/>
        <v>34222.9</v>
      </c>
    </row>
    <row r="196" spans="1:71" ht="30">
      <c r="A196" s="91" t="s">
        <v>30</v>
      </c>
      <c r="B196" s="358" t="s">
        <v>2387</v>
      </c>
      <c r="C196" s="50" t="s">
        <v>295</v>
      </c>
      <c r="D196" s="99" t="s">
        <v>636</v>
      </c>
      <c r="E196" s="391" t="s">
        <v>13</v>
      </c>
      <c r="F196" s="562">
        <v>16593</v>
      </c>
      <c r="G196" s="579">
        <f t="shared" si="411"/>
        <v>17526</v>
      </c>
      <c r="H196" s="611">
        <v>30000</v>
      </c>
      <c r="I196" s="611">
        <v>20488</v>
      </c>
      <c r="J196" s="611">
        <v>35000</v>
      </c>
      <c r="K196" s="560">
        <f t="shared" si="434"/>
        <v>22671.333333333332</v>
      </c>
      <c r="L196" s="561">
        <f t="shared" si="431"/>
        <v>6078.3333333333321</v>
      </c>
      <c r="M196" s="281">
        <f t="shared" si="432"/>
        <v>0.36631913055706217</v>
      </c>
      <c r="N196" s="601">
        <f t="shared" si="433"/>
        <v>22671.333333333332</v>
      </c>
      <c r="O196" s="410">
        <v>15083</v>
      </c>
      <c r="P196" s="575">
        <f t="shared" si="299"/>
        <v>15931</v>
      </c>
      <c r="Q196" s="10">
        <v>22000</v>
      </c>
      <c r="R196" s="10"/>
      <c r="S196" s="268">
        <v>26000</v>
      </c>
      <c r="T196" s="10">
        <v>30000</v>
      </c>
      <c r="U196" s="76">
        <f t="shared" si="412"/>
        <v>23482.75</v>
      </c>
      <c r="V196" s="24">
        <f t="shared" si="289"/>
        <v>7551.75</v>
      </c>
      <c r="W196" s="281">
        <f t="shared" si="435"/>
        <v>0.50067957302923827</v>
      </c>
      <c r="X196" s="462">
        <f t="shared" si="436"/>
        <v>23482.75</v>
      </c>
      <c r="Y196" s="410">
        <v>32894</v>
      </c>
      <c r="Z196" s="575">
        <f t="shared" si="292"/>
        <v>34743</v>
      </c>
      <c r="AA196" s="33">
        <v>42782</v>
      </c>
      <c r="AB196" s="33">
        <v>55616</v>
      </c>
      <c r="AC196" s="472">
        <v>37394.199999999997</v>
      </c>
      <c r="AD196" s="76">
        <f t="shared" si="312"/>
        <v>38306.400000000001</v>
      </c>
      <c r="AE196" s="24">
        <f t="shared" si="293"/>
        <v>3563.4000000000015</v>
      </c>
      <c r="AF196" s="25">
        <f t="shared" si="415"/>
        <v>0.1083297865872196</v>
      </c>
      <c r="AG196" s="309">
        <f t="shared" si="416"/>
        <v>38306.400000000001</v>
      </c>
      <c r="AH196" s="601">
        <f t="shared" si="417"/>
        <v>38306.400000000001</v>
      </c>
      <c r="AI196" s="410">
        <v>16593</v>
      </c>
      <c r="AJ196" s="575">
        <f t="shared" si="294"/>
        <v>17526</v>
      </c>
      <c r="AK196" s="45">
        <v>30000</v>
      </c>
      <c r="AL196" s="45">
        <v>20488</v>
      </c>
      <c r="AM196" s="45">
        <v>35000</v>
      </c>
      <c r="AN196" s="76">
        <f>AVERAGE(AK196,AL196,AJ196)</f>
        <v>22671.333333333332</v>
      </c>
      <c r="AO196" s="24">
        <f t="shared" si="418"/>
        <v>6078.3333333333321</v>
      </c>
      <c r="AP196" s="281">
        <f t="shared" si="419"/>
        <v>0.36631913055706217</v>
      </c>
      <c r="AQ196" s="601">
        <f t="shared" si="420"/>
        <v>22671.333333333332</v>
      </c>
      <c r="AR196" s="513">
        <v>17590</v>
      </c>
      <c r="AS196" s="575">
        <f t="shared" si="301"/>
        <v>18579</v>
      </c>
      <c r="AT196" s="88">
        <v>26000</v>
      </c>
      <c r="AU196" s="116">
        <v>26000</v>
      </c>
      <c r="AV196" s="74">
        <v>26003.339999999997</v>
      </c>
      <c r="AW196" s="76">
        <f t="shared" si="295"/>
        <v>24145.584999999999</v>
      </c>
      <c r="AX196" s="24">
        <f t="shared" si="421"/>
        <v>6555.5849999999991</v>
      </c>
      <c r="AY196" s="25">
        <f t="shared" si="422"/>
        <v>0.37268817509948832</v>
      </c>
      <c r="AZ196" s="309" t="str">
        <f t="shared" si="423"/>
        <v>REVISAR PRECIO</v>
      </c>
      <c r="BA196" s="601">
        <f t="shared" si="424"/>
        <v>24145.584999999999</v>
      </c>
      <c r="BB196" s="513">
        <v>17590</v>
      </c>
      <c r="BC196" s="575">
        <f t="shared" si="296"/>
        <v>18579</v>
      </c>
      <c r="BD196" s="74">
        <v>27185.309999999998</v>
      </c>
      <c r="BE196" s="74">
        <v>42000</v>
      </c>
      <c r="BF196" s="75">
        <v>31322.204999999994</v>
      </c>
      <c r="BG196" s="61">
        <v>27185.309999999994</v>
      </c>
      <c r="BH196" s="60">
        <v>70000</v>
      </c>
      <c r="BI196" s="74">
        <v>31263.106499999991</v>
      </c>
      <c r="BJ196" s="79">
        <v>31322.204999999994</v>
      </c>
      <c r="BK196" s="79">
        <f>20556*1.15</f>
        <v>23639.399999999998</v>
      </c>
      <c r="BL196" s="127">
        <v>28367.279999999999</v>
      </c>
      <c r="BM196" s="128">
        <v>27000</v>
      </c>
      <c r="BN196" s="128">
        <v>24000</v>
      </c>
      <c r="BO196" s="76">
        <f>AVERAGE(BC196,BD196,BE196,BG196,BI196,BJ196,BK196,BL196,BM196,BN196)</f>
        <v>28054.16115</v>
      </c>
      <c r="BP196" s="24">
        <f t="shared" si="425"/>
        <v>10464.16115</v>
      </c>
      <c r="BQ196" s="25">
        <f t="shared" si="426"/>
        <v>0.59489261796475268</v>
      </c>
      <c r="BR196" s="259" t="str">
        <f t="shared" si="427"/>
        <v>REVISAR PRECIO</v>
      </c>
      <c r="BS196" s="607">
        <f t="shared" si="297"/>
        <v>28054.16115</v>
      </c>
    </row>
    <row r="197" spans="1:71" ht="30">
      <c r="A197" s="91" t="s">
        <v>30</v>
      </c>
      <c r="B197" s="358" t="s">
        <v>2388</v>
      </c>
      <c r="C197" s="50" t="s">
        <v>296</v>
      </c>
      <c r="D197" s="99" t="s">
        <v>637</v>
      </c>
      <c r="E197" s="391" t="s">
        <v>13</v>
      </c>
      <c r="F197" s="562">
        <v>15625</v>
      </c>
      <c r="G197" s="579">
        <f t="shared" si="411"/>
        <v>16503</v>
      </c>
      <c r="H197" s="611">
        <v>30000</v>
      </c>
      <c r="I197" s="611">
        <v>19041</v>
      </c>
      <c r="J197" s="611">
        <v>35000</v>
      </c>
      <c r="K197" s="560">
        <f t="shared" si="434"/>
        <v>21848</v>
      </c>
      <c r="L197" s="561">
        <f t="shared" si="431"/>
        <v>6223</v>
      </c>
      <c r="M197" s="281">
        <f t="shared" si="432"/>
        <v>0.39827200000000001</v>
      </c>
      <c r="N197" s="601">
        <f t="shared" si="433"/>
        <v>21848</v>
      </c>
      <c r="O197" s="410">
        <v>14162</v>
      </c>
      <c r="P197" s="575">
        <f t="shared" si="299"/>
        <v>14958</v>
      </c>
      <c r="Q197" s="10">
        <v>23000</v>
      </c>
      <c r="R197" s="10"/>
      <c r="S197" s="268">
        <v>26000</v>
      </c>
      <c r="T197" s="10">
        <v>30000</v>
      </c>
      <c r="U197" s="76">
        <f t="shared" si="412"/>
        <v>23489.5</v>
      </c>
      <c r="V197" s="24">
        <f t="shared" si="289"/>
        <v>8531.5</v>
      </c>
      <c r="W197" s="281">
        <f t="shared" si="435"/>
        <v>0.60242197429741562</v>
      </c>
      <c r="X197" s="462">
        <f t="shared" si="436"/>
        <v>23489.5</v>
      </c>
      <c r="Y197" s="410">
        <v>30507</v>
      </c>
      <c r="Z197" s="575">
        <f t="shared" si="292"/>
        <v>32221</v>
      </c>
      <c r="AA197" s="33">
        <v>39677</v>
      </c>
      <c r="AB197" s="31">
        <v>51579</v>
      </c>
      <c r="AC197" s="472">
        <v>34680.199999999997</v>
      </c>
      <c r="AD197" s="76">
        <f t="shared" si="312"/>
        <v>35526.066666666666</v>
      </c>
      <c r="AE197" s="24">
        <f t="shared" si="293"/>
        <v>3305.0666666666657</v>
      </c>
      <c r="AF197" s="25">
        <f t="shared" si="415"/>
        <v>0.1083379770762994</v>
      </c>
      <c r="AG197" s="309">
        <f t="shared" si="416"/>
        <v>35526.066666666666</v>
      </c>
      <c r="AH197" s="601">
        <f t="shared" si="417"/>
        <v>35526.066666666666</v>
      </c>
      <c r="AI197" s="410">
        <v>15625</v>
      </c>
      <c r="AJ197" s="575">
        <f t="shared" si="294"/>
        <v>16503</v>
      </c>
      <c r="AK197" s="45">
        <v>30000</v>
      </c>
      <c r="AL197" s="45">
        <v>19041</v>
      </c>
      <c r="AM197" s="45">
        <v>35000</v>
      </c>
      <c r="AN197" s="76">
        <f t="shared" si="300"/>
        <v>25136</v>
      </c>
      <c r="AO197" s="24">
        <f t="shared" si="418"/>
        <v>9511</v>
      </c>
      <c r="AP197" s="281">
        <f t="shared" si="419"/>
        <v>0.60870400000000002</v>
      </c>
      <c r="AQ197" s="601">
        <f t="shared" si="420"/>
        <v>25136</v>
      </c>
      <c r="AR197" s="513">
        <v>16308</v>
      </c>
      <c r="AS197" s="575">
        <f t="shared" si="301"/>
        <v>17225</v>
      </c>
      <c r="AT197" s="88">
        <v>27500</v>
      </c>
      <c r="AU197" s="116">
        <v>29000</v>
      </c>
      <c r="AV197" s="74">
        <v>26853.75</v>
      </c>
      <c r="AW197" s="76">
        <f t="shared" si="295"/>
        <v>25144.6875</v>
      </c>
      <c r="AX197" s="24">
        <f t="shared" si="421"/>
        <v>8836.6875</v>
      </c>
      <c r="AY197" s="25">
        <f t="shared" si="422"/>
        <v>0.54186212288447388</v>
      </c>
      <c r="AZ197" s="309" t="str">
        <f t="shared" si="423"/>
        <v>REVISAR PRECIO</v>
      </c>
      <c r="BA197" s="601">
        <f t="shared" si="424"/>
        <v>25144.6875</v>
      </c>
      <c r="BB197" s="513">
        <v>16308</v>
      </c>
      <c r="BC197" s="575">
        <f t="shared" si="296"/>
        <v>17225</v>
      </c>
      <c r="BD197" s="74">
        <v>28074.375</v>
      </c>
      <c r="BE197" s="74">
        <v>40000</v>
      </c>
      <c r="BF197" s="75">
        <v>32346.5625</v>
      </c>
      <c r="BG197" s="61">
        <v>28074.374999999996</v>
      </c>
      <c r="BH197" s="60">
        <v>65000</v>
      </c>
      <c r="BI197" s="74">
        <v>32285.531249999993</v>
      </c>
      <c r="BJ197" s="79">
        <v>32346.5625</v>
      </c>
      <c r="BK197" s="79">
        <f>19530*1.25</f>
        <v>24412.5</v>
      </c>
      <c r="BL197" s="127">
        <v>29295</v>
      </c>
      <c r="BM197" s="128">
        <v>27000</v>
      </c>
      <c r="BN197" s="128">
        <v>24000</v>
      </c>
      <c r="BO197" s="76">
        <f>AVERAGE(BC197,BD197,BE197,BG197,BI197,BJ197,BK197,BL197,BM197,BN197)</f>
        <v>28271.334374999999</v>
      </c>
      <c r="BP197" s="24">
        <f t="shared" si="425"/>
        <v>11963.334374999999</v>
      </c>
      <c r="BQ197" s="25">
        <f t="shared" si="426"/>
        <v>0.73358685154525383</v>
      </c>
      <c r="BR197" s="259" t="str">
        <f t="shared" si="427"/>
        <v>REVISAR PRECIO</v>
      </c>
      <c r="BS197" s="607">
        <f t="shared" si="297"/>
        <v>28271.334374999999</v>
      </c>
    </row>
    <row r="198" spans="1:71" ht="30">
      <c r="A198" s="91" t="s">
        <v>30</v>
      </c>
      <c r="B198" s="358" t="s">
        <v>2389</v>
      </c>
      <c r="C198" s="50" t="s">
        <v>297</v>
      </c>
      <c r="D198" s="99" t="s">
        <v>638</v>
      </c>
      <c r="E198" s="391" t="s">
        <v>13</v>
      </c>
      <c r="F198" s="562">
        <v>15330</v>
      </c>
      <c r="G198" s="579">
        <f t="shared" si="411"/>
        <v>16192</v>
      </c>
      <c r="H198" s="611">
        <v>30000</v>
      </c>
      <c r="I198" s="611">
        <v>18614</v>
      </c>
      <c r="J198" s="611">
        <v>35000</v>
      </c>
      <c r="K198" s="560">
        <f t="shared" si="434"/>
        <v>21602</v>
      </c>
      <c r="L198" s="561">
        <f t="shared" si="431"/>
        <v>6272</v>
      </c>
      <c r="M198" s="281">
        <f t="shared" si="432"/>
        <v>0.40913242009132422</v>
      </c>
      <c r="N198" s="601">
        <f t="shared" si="433"/>
        <v>21602</v>
      </c>
      <c r="O198" s="410">
        <v>13887</v>
      </c>
      <c r="P198" s="575">
        <f t="shared" si="299"/>
        <v>14667</v>
      </c>
      <c r="Q198" s="10">
        <v>22000</v>
      </c>
      <c r="R198" s="10"/>
      <c r="S198" s="268">
        <v>26000</v>
      </c>
      <c r="T198" s="10">
        <v>30000</v>
      </c>
      <c r="U198" s="76">
        <f t="shared" si="412"/>
        <v>23166.75</v>
      </c>
      <c r="V198" s="24">
        <f t="shared" si="289"/>
        <v>8499.75</v>
      </c>
      <c r="W198" s="281">
        <f t="shared" si="435"/>
        <v>0.61206524087275871</v>
      </c>
      <c r="X198" s="462">
        <f t="shared" si="436"/>
        <v>23166.75</v>
      </c>
      <c r="Y198" s="410">
        <v>43804</v>
      </c>
      <c r="Z198" s="575">
        <f t="shared" si="292"/>
        <v>46266</v>
      </c>
      <c r="AA198" s="33">
        <v>56970</v>
      </c>
      <c r="AB198" s="31">
        <v>74061</v>
      </c>
      <c r="AC198" s="472">
        <v>49796</v>
      </c>
      <c r="AD198" s="76">
        <f t="shared" si="312"/>
        <v>51010.666666666664</v>
      </c>
      <c r="AE198" s="24">
        <f t="shared" si="293"/>
        <v>4744.6666666666642</v>
      </c>
      <c r="AF198" s="25">
        <f t="shared" si="415"/>
        <v>0.10831583112653329</v>
      </c>
      <c r="AG198" s="309">
        <f t="shared" si="416"/>
        <v>51010.666666666664</v>
      </c>
      <c r="AH198" s="601">
        <f t="shared" si="417"/>
        <v>51010.666666666664</v>
      </c>
      <c r="AI198" s="410">
        <v>15330</v>
      </c>
      <c r="AJ198" s="575">
        <f t="shared" si="294"/>
        <v>16192</v>
      </c>
      <c r="AK198" s="45">
        <v>30000</v>
      </c>
      <c r="AL198" s="45">
        <v>18614</v>
      </c>
      <c r="AM198" s="45">
        <v>35000</v>
      </c>
      <c r="AN198" s="76">
        <f>AVERAGE(AK198,AL198,AJ198)</f>
        <v>21602</v>
      </c>
      <c r="AO198" s="24">
        <f t="shared" si="418"/>
        <v>6272</v>
      </c>
      <c r="AP198" s="281">
        <f t="shared" si="419"/>
        <v>0.40913242009132422</v>
      </c>
      <c r="AQ198" s="601">
        <f t="shared" si="420"/>
        <v>21602</v>
      </c>
      <c r="AR198" s="513">
        <v>15938</v>
      </c>
      <c r="AS198" s="575">
        <f t="shared" si="301"/>
        <v>16834</v>
      </c>
      <c r="AT198" s="88">
        <v>25000</v>
      </c>
      <c r="AU198" s="116">
        <v>25000</v>
      </c>
      <c r="AV198" s="74">
        <v>25300</v>
      </c>
      <c r="AW198" s="76">
        <f t="shared" si="295"/>
        <v>23033.5</v>
      </c>
      <c r="AX198" s="24">
        <f t="shared" si="421"/>
        <v>7095.5</v>
      </c>
      <c r="AY198" s="25">
        <f t="shared" si="422"/>
        <v>0.44519387627054835</v>
      </c>
      <c r="AZ198" s="309" t="str">
        <f t="shared" si="423"/>
        <v>REVISAR PRECIO</v>
      </c>
      <c r="BA198" s="601">
        <f t="shared" si="424"/>
        <v>23033.5</v>
      </c>
      <c r="BB198" s="513">
        <v>15938</v>
      </c>
      <c r="BC198" s="575">
        <f t="shared" si="296"/>
        <v>16834</v>
      </c>
      <c r="BD198" s="74">
        <v>26450</v>
      </c>
      <c r="BE198" s="74">
        <v>38000</v>
      </c>
      <c r="BF198" s="75">
        <v>30475</v>
      </c>
      <c r="BG198" s="61">
        <v>26449.999999999996</v>
      </c>
      <c r="BH198" s="60">
        <v>60000</v>
      </c>
      <c r="BI198" s="74">
        <v>30417.499999999993</v>
      </c>
      <c r="BJ198" s="79">
        <v>30475</v>
      </c>
      <c r="BK198" s="79">
        <f>18400*1.25</f>
        <v>23000</v>
      </c>
      <c r="BL198" s="127">
        <v>27600</v>
      </c>
      <c r="BM198" s="128">
        <v>27000</v>
      </c>
      <c r="BN198" s="128">
        <v>24000</v>
      </c>
      <c r="BO198" s="76">
        <f>AVERAGE(BC198,BD198,BE198,BG198,BI198,BJ198,BK198,BL198,BM198,BN198)</f>
        <v>27022.65</v>
      </c>
      <c r="BP198" s="24">
        <f t="shared" si="425"/>
        <v>11084.650000000001</v>
      </c>
      <c r="BQ198" s="25">
        <f t="shared" si="426"/>
        <v>0.69548563182331546</v>
      </c>
      <c r="BR198" s="259" t="str">
        <f t="shared" si="427"/>
        <v>REVISAR PRECIO</v>
      </c>
      <c r="BS198" s="607">
        <f t="shared" si="297"/>
        <v>27022.65</v>
      </c>
    </row>
    <row r="199" spans="1:71" ht="30">
      <c r="A199" s="91" t="s">
        <v>30</v>
      </c>
      <c r="B199" s="358" t="s">
        <v>2390</v>
      </c>
      <c r="C199" s="50" t="s">
        <v>298</v>
      </c>
      <c r="D199" s="99" t="s">
        <v>639</v>
      </c>
      <c r="E199" s="391" t="s">
        <v>13</v>
      </c>
      <c r="F199" s="562">
        <v>46105</v>
      </c>
      <c r="G199" s="579">
        <f t="shared" si="411"/>
        <v>48696</v>
      </c>
      <c r="H199" s="611">
        <v>35000</v>
      </c>
      <c r="I199" s="611">
        <v>53602</v>
      </c>
      <c r="J199" s="611">
        <v>35000</v>
      </c>
      <c r="K199" s="560">
        <f t="shared" si="434"/>
        <v>45766</v>
      </c>
      <c r="L199" s="561">
        <f t="shared" si="431"/>
        <v>-339</v>
      </c>
      <c r="M199" s="281">
        <f t="shared" si="432"/>
        <v>-7.3527816939594403E-3</v>
      </c>
      <c r="N199" s="601">
        <f t="shared" si="433"/>
        <v>45766</v>
      </c>
      <c r="O199" s="410">
        <v>41292</v>
      </c>
      <c r="P199" s="575">
        <f t="shared" si="299"/>
        <v>43613</v>
      </c>
      <c r="Q199" s="10"/>
      <c r="R199" s="10"/>
      <c r="S199" s="268"/>
      <c r="T199" s="10">
        <v>45000</v>
      </c>
      <c r="U199" s="76">
        <f t="shared" si="412"/>
        <v>44306.5</v>
      </c>
      <c r="V199" s="24">
        <f t="shared" ref="V199:V246" si="437">U199-P199</f>
        <v>693.5</v>
      </c>
      <c r="W199" s="281">
        <f t="shared" si="435"/>
        <v>1.6795020827278892E-2</v>
      </c>
      <c r="X199" s="462">
        <f t="shared" si="436"/>
        <v>44306.5</v>
      </c>
      <c r="Y199" s="410">
        <v>68404</v>
      </c>
      <c r="Z199" s="575">
        <f t="shared" ref="Z199:Z246" si="438">ROUND(Y199*(100%+$D$1),0)</f>
        <v>72248</v>
      </c>
      <c r="AA199" s="31">
        <v>88965</v>
      </c>
      <c r="AB199" s="33">
        <v>115655</v>
      </c>
      <c r="AC199" s="472">
        <v>77762</v>
      </c>
      <c r="AD199" s="76">
        <f t="shared" si="312"/>
        <v>79658.333333333328</v>
      </c>
      <c r="AE199" s="24">
        <f t="shared" ref="AE199:AE246" si="439">AD199-Z199</f>
        <v>7410.3333333333285</v>
      </c>
      <c r="AF199" s="25">
        <f t="shared" si="415"/>
        <v>0.10833187143052056</v>
      </c>
      <c r="AG199" s="309">
        <f t="shared" si="416"/>
        <v>79658.333333333328</v>
      </c>
      <c r="AH199" s="601">
        <f t="shared" si="417"/>
        <v>79658.333333333328</v>
      </c>
      <c r="AI199" s="410">
        <v>46105</v>
      </c>
      <c r="AJ199" s="575">
        <f t="shared" ref="AJ199:AJ246" si="440">ROUND(AI199*(100%+$D$1),0)</f>
        <v>48696</v>
      </c>
      <c r="AK199" s="45">
        <v>35000</v>
      </c>
      <c r="AL199" s="45">
        <v>53602</v>
      </c>
      <c r="AM199" s="45">
        <v>35000</v>
      </c>
      <c r="AN199" s="76">
        <f t="shared" ref="AN199:AN243" si="441">AVERAGE(AK199,AL199,AM199,AJ199)</f>
        <v>43074.5</v>
      </c>
      <c r="AO199" s="24">
        <f t="shared" si="418"/>
        <v>-3030.5</v>
      </c>
      <c r="AP199" s="281">
        <f t="shared" si="419"/>
        <v>-6.5730398004554824E-2</v>
      </c>
      <c r="AQ199" s="601">
        <f t="shared" si="420"/>
        <v>43074.5</v>
      </c>
      <c r="AR199" s="513"/>
      <c r="AS199" s="575">
        <f t="shared" si="301"/>
        <v>0</v>
      </c>
      <c r="AT199" s="88">
        <v>28000</v>
      </c>
      <c r="AU199" s="116">
        <v>32000</v>
      </c>
      <c r="AV199" s="74">
        <v>27500</v>
      </c>
      <c r="AW199" s="76">
        <f>AVERAGE(AT199,AU199)</f>
        <v>30000</v>
      </c>
      <c r="AX199" s="24">
        <f t="shared" si="421"/>
        <v>30000</v>
      </c>
      <c r="AY199" s="25"/>
      <c r="AZ199" s="309"/>
      <c r="BA199" s="601">
        <f t="shared" si="424"/>
        <v>30000</v>
      </c>
      <c r="BB199" s="513"/>
      <c r="BC199" s="575">
        <f t="shared" ref="BC199:BC246" si="442">ROUND(BB199*(100%+$D$1),0)</f>
        <v>0</v>
      </c>
      <c r="BD199" s="74">
        <v>28750</v>
      </c>
      <c r="BE199" s="74">
        <v>50000</v>
      </c>
      <c r="BF199" s="75">
        <v>33125</v>
      </c>
      <c r="BG199" s="61">
        <v>28749.999999999996</v>
      </c>
      <c r="BH199" s="60">
        <v>68000</v>
      </c>
      <c r="BI199" s="74">
        <v>33062.499999999993</v>
      </c>
      <c r="BJ199" s="79">
        <v>33125</v>
      </c>
      <c r="BK199" s="79">
        <f>+BK186</f>
        <v>25000</v>
      </c>
      <c r="BL199" s="127">
        <v>30000</v>
      </c>
      <c r="BM199" s="128">
        <v>26000</v>
      </c>
      <c r="BN199" s="128">
        <v>30000</v>
      </c>
      <c r="BO199" s="76">
        <f>AVERAGE(BD199,BE199,BG199,BI199,BJ199,BK199,BL199,BM199,BN199)</f>
        <v>31631.944444444445</v>
      </c>
      <c r="BP199" s="24">
        <f t="shared" si="425"/>
        <v>31631.944444444445</v>
      </c>
      <c r="BQ199" s="25"/>
      <c r="BR199" s="259">
        <f t="shared" si="427"/>
        <v>31631.944444444445</v>
      </c>
      <c r="BS199" s="607">
        <f t="shared" ref="BS199:BS246" si="443">BO199</f>
        <v>31631.944444444445</v>
      </c>
    </row>
    <row r="200" spans="1:71" ht="30">
      <c r="A200" s="91" t="s">
        <v>30</v>
      </c>
      <c r="B200" s="358" t="s">
        <v>2391</v>
      </c>
      <c r="C200" s="50" t="s">
        <v>299</v>
      </c>
      <c r="D200" s="99" t="s">
        <v>640</v>
      </c>
      <c r="E200" s="391" t="s">
        <v>13</v>
      </c>
      <c r="F200" s="562">
        <v>25392</v>
      </c>
      <c r="G200" s="579">
        <f t="shared" si="411"/>
        <v>26819</v>
      </c>
      <c r="H200" s="611"/>
      <c r="I200" s="611">
        <v>30867</v>
      </c>
      <c r="J200" s="611">
        <v>45000</v>
      </c>
      <c r="K200" s="560">
        <f t="shared" si="434"/>
        <v>28843</v>
      </c>
      <c r="L200" s="561">
        <f t="shared" si="431"/>
        <v>3451</v>
      </c>
      <c r="M200" s="281">
        <f t="shared" si="432"/>
        <v>0.13590894770006301</v>
      </c>
      <c r="N200" s="601">
        <f t="shared" si="433"/>
        <v>28843</v>
      </c>
      <c r="O200" s="410">
        <v>23000</v>
      </c>
      <c r="P200" s="575">
        <f t="shared" ref="P200:P246" si="444">ROUND(O200*(100%+$D$1),0)</f>
        <v>24293</v>
      </c>
      <c r="Q200" s="10">
        <v>25000</v>
      </c>
      <c r="R200" s="10"/>
      <c r="S200" s="268">
        <v>28000</v>
      </c>
      <c r="T200" s="10">
        <v>30000</v>
      </c>
      <c r="U200" s="76">
        <f t="shared" si="412"/>
        <v>26823.25</v>
      </c>
      <c r="V200" s="24">
        <f t="shared" si="437"/>
        <v>2530.25</v>
      </c>
      <c r="W200" s="281">
        <f t="shared" si="435"/>
        <v>0.1100108695652174</v>
      </c>
      <c r="X200" s="462">
        <f t="shared" si="436"/>
        <v>26823.25</v>
      </c>
      <c r="Y200" s="410">
        <v>39008</v>
      </c>
      <c r="Z200" s="575">
        <f t="shared" si="438"/>
        <v>41200</v>
      </c>
      <c r="AA200" s="33">
        <v>50733</v>
      </c>
      <c r="AB200" s="31">
        <v>50733</v>
      </c>
      <c r="AC200" s="472">
        <v>44344.4</v>
      </c>
      <c r="AD200" s="76">
        <f>AVERAGE(AA200,AC200,Z200,AB200)</f>
        <v>46752.6</v>
      </c>
      <c r="AE200" s="24">
        <f t="shared" si="439"/>
        <v>5552.5999999999985</v>
      </c>
      <c r="AF200" s="25">
        <f t="shared" si="415"/>
        <v>0.14234515996718619</v>
      </c>
      <c r="AG200" s="309">
        <f t="shared" si="416"/>
        <v>46752.6</v>
      </c>
      <c r="AH200" s="601">
        <f t="shared" si="417"/>
        <v>46752.6</v>
      </c>
      <c r="AI200" s="410">
        <v>25392</v>
      </c>
      <c r="AJ200" s="575">
        <f t="shared" si="440"/>
        <v>26819</v>
      </c>
      <c r="AK200" s="45"/>
      <c r="AL200" s="45">
        <v>30867</v>
      </c>
      <c r="AM200" s="45">
        <v>45000</v>
      </c>
      <c r="AN200" s="76">
        <f>AVERAGE(AK200,AL200,AJ200)</f>
        <v>28843</v>
      </c>
      <c r="AO200" s="24">
        <f t="shared" si="418"/>
        <v>3451</v>
      </c>
      <c r="AP200" s="281">
        <f t="shared" si="419"/>
        <v>0.13590894770006301</v>
      </c>
      <c r="AQ200" s="601">
        <f t="shared" si="420"/>
        <v>28843</v>
      </c>
      <c r="AR200" s="513">
        <v>26418</v>
      </c>
      <c r="AS200" s="575">
        <f t="shared" ref="AS200:AS246" si="445">ROUND(AR200*(100%+$D$1),0)</f>
        <v>27903</v>
      </c>
      <c r="AT200" s="88">
        <v>40000</v>
      </c>
      <c r="AU200" s="116">
        <v>40000</v>
      </c>
      <c r="AV200" s="74">
        <v>40128</v>
      </c>
      <c r="AW200" s="76">
        <f t="shared" ref="AW200:AW246" si="446">AVERAGE(AS200,AT200,AU200,AV200)</f>
        <v>37007.75</v>
      </c>
      <c r="AX200" s="24">
        <f t="shared" si="421"/>
        <v>10589.75</v>
      </c>
      <c r="AY200" s="25">
        <f t="shared" ref="AY200:AY201" si="447">+AX200/AR200</f>
        <v>0.40085358467711407</v>
      </c>
      <c r="AZ200" s="309" t="str">
        <f t="shared" ref="AZ200:AZ201" si="448">+IF(AY200&lt;35%,AW200,"REVISAR PRECIO")</f>
        <v>REVISAR PRECIO</v>
      </c>
      <c r="BA200" s="601">
        <f t="shared" si="424"/>
        <v>37007.75</v>
      </c>
      <c r="BB200" s="513">
        <v>26418</v>
      </c>
      <c r="BC200" s="575">
        <f t="shared" si="442"/>
        <v>27903</v>
      </c>
      <c r="BD200" s="74">
        <v>41952</v>
      </c>
      <c r="BE200" s="74">
        <v>38000</v>
      </c>
      <c r="BF200" s="75">
        <v>48336</v>
      </c>
      <c r="BG200" s="61">
        <v>41952</v>
      </c>
      <c r="BH200" s="60">
        <v>60000</v>
      </c>
      <c r="BI200" s="74">
        <v>48244.799999999996</v>
      </c>
      <c r="BJ200" s="79">
        <v>48336</v>
      </c>
      <c r="BK200" s="79">
        <f>30400*1.2</f>
        <v>36480</v>
      </c>
      <c r="BL200" s="127">
        <v>43776</v>
      </c>
      <c r="BM200" s="128">
        <v>45000</v>
      </c>
      <c r="BN200" s="128">
        <v>40000</v>
      </c>
      <c r="BO200" s="76">
        <f>AVERAGE(BC200,BD200,BE200,BG200,BI200,BJ200,BK200,BL200,BM200,BN200)</f>
        <v>41164.379999999997</v>
      </c>
      <c r="BP200" s="24">
        <f t="shared" si="425"/>
        <v>14746.379999999997</v>
      </c>
      <c r="BQ200" s="25">
        <f>+BP200/BB200</f>
        <v>0.55819441290029514</v>
      </c>
      <c r="BR200" s="259" t="str">
        <f t="shared" si="427"/>
        <v>REVISAR PRECIO</v>
      </c>
      <c r="BS200" s="607">
        <f t="shared" si="443"/>
        <v>41164.379999999997</v>
      </c>
    </row>
    <row r="201" spans="1:71" ht="30">
      <c r="A201" s="91" t="s">
        <v>30</v>
      </c>
      <c r="B201" s="358" t="s">
        <v>2392</v>
      </c>
      <c r="C201" s="50" t="s">
        <v>300</v>
      </c>
      <c r="D201" s="99" t="s">
        <v>641</v>
      </c>
      <c r="E201" s="391" t="s">
        <v>13</v>
      </c>
      <c r="F201" s="562">
        <v>22137</v>
      </c>
      <c r="G201" s="579">
        <f t="shared" si="411"/>
        <v>23381</v>
      </c>
      <c r="H201" s="611"/>
      <c r="I201" s="611">
        <v>27026</v>
      </c>
      <c r="J201" s="611">
        <v>45000</v>
      </c>
      <c r="K201" s="560">
        <f t="shared" si="434"/>
        <v>25203.5</v>
      </c>
      <c r="L201" s="561">
        <f t="shared" si="431"/>
        <v>3066.5</v>
      </c>
      <c r="M201" s="281">
        <f t="shared" si="432"/>
        <v>0.1385237385372905</v>
      </c>
      <c r="N201" s="601">
        <f t="shared" si="433"/>
        <v>25203.5</v>
      </c>
      <c r="O201" s="410">
        <v>20067</v>
      </c>
      <c r="P201" s="575">
        <f t="shared" si="444"/>
        <v>21195</v>
      </c>
      <c r="Q201" s="10">
        <v>24000</v>
      </c>
      <c r="R201" s="10"/>
      <c r="S201" s="268">
        <v>27000</v>
      </c>
      <c r="T201" s="10">
        <v>30000</v>
      </c>
      <c r="U201" s="76">
        <f t="shared" si="412"/>
        <v>25548.75</v>
      </c>
      <c r="V201" s="24">
        <f t="shared" si="437"/>
        <v>4353.75</v>
      </c>
      <c r="W201" s="281">
        <f t="shared" si="435"/>
        <v>0.21696068171625055</v>
      </c>
      <c r="X201" s="462">
        <f t="shared" si="436"/>
        <v>25548.75</v>
      </c>
      <c r="Y201" s="410">
        <v>34202</v>
      </c>
      <c r="Z201" s="575">
        <f t="shared" si="438"/>
        <v>36124</v>
      </c>
      <c r="AA201" s="33">
        <v>44483</v>
      </c>
      <c r="AB201" s="31">
        <v>57827</v>
      </c>
      <c r="AC201" s="472">
        <v>38881</v>
      </c>
      <c r="AD201" s="76">
        <f t="shared" si="312"/>
        <v>39829.333333333336</v>
      </c>
      <c r="AE201" s="24">
        <f t="shared" si="439"/>
        <v>3705.3333333333358</v>
      </c>
      <c r="AF201" s="25">
        <f t="shared" si="415"/>
        <v>0.10833674443989637</v>
      </c>
      <c r="AG201" s="309">
        <f t="shared" si="416"/>
        <v>39829.333333333336</v>
      </c>
      <c r="AH201" s="601">
        <f t="shared" si="417"/>
        <v>39829.333333333336</v>
      </c>
      <c r="AI201" s="410">
        <v>22137</v>
      </c>
      <c r="AJ201" s="575">
        <f t="shared" si="440"/>
        <v>23381</v>
      </c>
      <c r="AK201" s="45"/>
      <c r="AL201" s="45">
        <v>27026</v>
      </c>
      <c r="AM201" s="45">
        <v>45000</v>
      </c>
      <c r="AN201" s="76">
        <f>AVERAGE(AK201,AL201,AJ201)</f>
        <v>25203.5</v>
      </c>
      <c r="AO201" s="24">
        <f t="shared" si="418"/>
        <v>3066.5</v>
      </c>
      <c r="AP201" s="281">
        <f t="shared" si="419"/>
        <v>0.1385237385372905</v>
      </c>
      <c r="AQ201" s="601">
        <f t="shared" si="420"/>
        <v>25203.5</v>
      </c>
      <c r="AR201" s="513">
        <v>23161</v>
      </c>
      <c r="AS201" s="575">
        <f t="shared" si="445"/>
        <v>24463</v>
      </c>
      <c r="AT201" s="88">
        <v>35000</v>
      </c>
      <c r="AU201" s="116">
        <v>35000</v>
      </c>
      <c r="AV201" s="74">
        <v>35376</v>
      </c>
      <c r="AW201" s="76">
        <f t="shared" si="446"/>
        <v>32459.75</v>
      </c>
      <c r="AX201" s="24">
        <f t="shared" si="421"/>
        <v>9298.75</v>
      </c>
      <c r="AY201" s="25">
        <f t="shared" si="447"/>
        <v>0.40148309658477616</v>
      </c>
      <c r="AZ201" s="309" t="str">
        <f t="shared" si="448"/>
        <v>REVISAR PRECIO</v>
      </c>
      <c r="BA201" s="601">
        <f t="shared" si="424"/>
        <v>32459.75</v>
      </c>
      <c r="BB201" s="513">
        <v>23161</v>
      </c>
      <c r="BC201" s="575">
        <f t="shared" si="442"/>
        <v>24463</v>
      </c>
      <c r="BD201" s="74">
        <v>36984</v>
      </c>
      <c r="BE201" s="74">
        <v>38000</v>
      </c>
      <c r="BF201" s="75">
        <v>42612</v>
      </c>
      <c r="BG201" s="61">
        <v>36984</v>
      </c>
      <c r="BH201" s="60">
        <v>60000</v>
      </c>
      <c r="BI201" s="74">
        <v>42531.6</v>
      </c>
      <c r="BJ201" s="79">
        <v>42612</v>
      </c>
      <c r="BK201" s="79">
        <f>26800*1.2</f>
        <v>32160</v>
      </c>
      <c r="BL201" s="127">
        <v>38592</v>
      </c>
      <c r="BM201" s="128">
        <v>35000</v>
      </c>
      <c r="BN201" s="128">
        <v>35000</v>
      </c>
      <c r="BO201" s="76">
        <f>AVERAGE(BC201,BD201,BE201,BG201,BI201,BJ201,BK201,BL201,BM201,BN201)</f>
        <v>36232.659999999996</v>
      </c>
      <c r="BP201" s="24">
        <f t="shared" si="425"/>
        <v>13071.659999999996</v>
      </c>
      <c r="BQ201" s="25">
        <f>+BP201/BB201</f>
        <v>0.56438236690989152</v>
      </c>
      <c r="BR201" s="259" t="str">
        <f t="shared" si="427"/>
        <v>REVISAR PRECIO</v>
      </c>
      <c r="BS201" s="607">
        <f t="shared" si="443"/>
        <v>36232.659999999996</v>
      </c>
    </row>
    <row r="202" spans="1:71" ht="44.45" customHeight="1">
      <c r="A202" s="91" t="s">
        <v>31</v>
      </c>
      <c r="B202" s="358" t="s">
        <v>2393</v>
      </c>
      <c r="C202" s="252" t="s">
        <v>760</v>
      </c>
      <c r="D202" s="47" t="s">
        <v>31</v>
      </c>
      <c r="E202" s="91"/>
      <c r="F202" s="411"/>
      <c r="G202" s="574"/>
      <c r="H202" s="173"/>
      <c r="I202" s="174"/>
      <c r="J202" s="173"/>
      <c r="K202" s="173"/>
      <c r="L202" s="173"/>
      <c r="M202" s="173"/>
      <c r="N202" s="173"/>
      <c r="O202" s="173"/>
      <c r="P202" s="173"/>
      <c r="Q202" s="173"/>
      <c r="R202" s="173"/>
      <c r="S202" s="173"/>
      <c r="T202" s="173"/>
      <c r="U202" s="173"/>
      <c r="V202" s="173"/>
      <c r="W202" s="173"/>
      <c r="X202" s="173"/>
      <c r="Y202" s="173"/>
      <c r="Z202" s="173"/>
      <c r="AA202" s="173"/>
      <c r="AB202" s="173"/>
      <c r="AC202" s="173"/>
      <c r="AD202" s="173"/>
      <c r="AE202" s="173"/>
      <c r="AF202" s="173"/>
      <c r="AG202" s="173"/>
      <c r="AH202" s="173"/>
      <c r="AI202" s="173"/>
      <c r="AJ202" s="173"/>
      <c r="AK202" s="173"/>
      <c r="AL202" s="173"/>
      <c r="AM202" s="173"/>
      <c r="AN202" s="173"/>
      <c r="AO202" s="173"/>
      <c r="AP202" s="173"/>
      <c r="AQ202" s="173"/>
      <c r="AR202" s="173"/>
      <c r="AS202" s="173"/>
      <c r="AT202" s="173"/>
      <c r="AU202" s="173"/>
      <c r="AV202" s="173"/>
      <c r="AW202" s="173"/>
      <c r="AX202" s="173"/>
      <c r="AY202" s="173"/>
      <c r="AZ202" s="173"/>
      <c r="BA202" s="173"/>
      <c r="BB202" s="173"/>
      <c r="BC202" s="173"/>
      <c r="BD202" s="173"/>
      <c r="BE202" s="173"/>
      <c r="BF202" s="173"/>
      <c r="BG202" s="173"/>
      <c r="BH202" s="173"/>
      <c r="BI202" s="173"/>
      <c r="BJ202" s="173"/>
      <c r="BK202" s="173"/>
      <c r="BL202" s="173"/>
      <c r="BM202" s="173"/>
      <c r="BN202" s="173"/>
      <c r="BO202" s="47"/>
      <c r="BP202" s="47"/>
      <c r="BQ202" s="47"/>
      <c r="BR202" s="414"/>
      <c r="BS202" s="414"/>
    </row>
    <row r="203" spans="1:71" ht="39" customHeight="1">
      <c r="A203" s="91" t="s">
        <v>31</v>
      </c>
      <c r="B203" s="358" t="s">
        <v>2394</v>
      </c>
      <c r="C203" s="50" t="s">
        <v>302</v>
      </c>
      <c r="D203" s="99" t="s">
        <v>642</v>
      </c>
      <c r="E203" s="391" t="s">
        <v>13</v>
      </c>
      <c r="F203" s="410">
        <v>14382</v>
      </c>
      <c r="G203" s="589">
        <f t="shared" ref="G203:G246" si="449">ROUND(F203*(100%+$D$1),0)</f>
        <v>15190</v>
      </c>
      <c r="H203" s="10">
        <v>12000</v>
      </c>
      <c r="I203" s="167">
        <v>24000</v>
      </c>
      <c r="J203" s="10">
        <v>18700</v>
      </c>
      <c r="K203" s="76">
        <f>AVERAGE(H203,J203,G203)</f>
        <v>15296.666666666666</v>
      </c>
      <c r="L203" s="24">
        <f t="shared" ref="L203:L224" si="450">K203-F203</f>
        <v>914.66666666666606</v>
      </c>
      <c r="M203" s="281">
        <f t="shared" ref="M203:M246" si="451">+L203/G203</f>
        <v>6.0215053763440822E-2</v>
      </c>
      <c r="N203" s="597">
        <f t="shared" ref="N203:N246" si="452">+K203</f>
        <v>15296.666666666666</v>
      </c>
      <c r="O203" s="410">
        <v>12653</v>
      </c>
      <c r="P203" s="575">
        <f t="shared" si="444"/>
        <v>13364</v>
      </c>
      <c r="Q203" s="10">
        <v>28500</v>
      </c>
      <c r="R203" s="10"/>
      <c r="S203" s="268">
        <v>34000</v>
      </c>
      <c r="T203" s="10">
        <v>30000</v>
      </c>
      <c r="U203" s="76">
        <f>AVERAGE(Q203,R203,S203,T203,P203)</f>
        <v>26466</v>
      </c>
      <c r="V203" s="24">
        <f t="shared" si="437"/>
        <v>13102</v>
      </c>
      <c r="W203" s="281">
        <f t="shared" ref="W203:W224" si="453">+V203/O203</f>
        <v>1.0354856555757528</v>
      </c>
      <c r="X203" s="462">
        <f t="shared" ref="X203:X224" si="454">U203</f>
        <v>26466</v>
      </c>
      <c r="Y203" s="410">
        <v>20220</v>
      </c>
      <c r="Z203" s="575">
        <f t="shared" si="438"/>
        <v>21356</v>
      </c>
      <c r="AA203" s="33">
        <v>26298</v>
      </c>
      <c r="AB203" s="31">
        <v>34187</v>
      </c>
      <c r="AC203" s="472">
        <v>22986.400000000001</v>
      </c>
      <c r="AD203" s="76">
        <f t="shared" si="312"/>
        <v>23546.799999999999</v>
      </c>
      <c r="AE203" s="24">
        <f t="shared" si="439"/>
        <v>2190.7999999999993</v>
      </c>
      <c r="AF203" s="25">
        <f t="shared" ref="AF203:AF224" si="455">+AE203/Y203</f>
        <v>0.10834817012858552</v>
      </c>
      <c r="AG203" s="309">
        <f t="shared" ref="AG203:AG224" si="456">+IF(AF203&lt;35%,AD203,"REVISAR PRECIO")</f>
        <v>23546.799999999999</v>
      </c>
      <c r="AH203" s="601">
        <f t="shared" ref="AH203:AH224" si="457">AD203</f>
        <v>23546.799999999999</v>
      </c>
      <c r="AI203" s="410">
        <v>13716</v>
      </c>
      <c r="AJ203" s="575">
        <f t="shared" si="440"/>
        <v>14487</v>
      </c>
      <c r="AK203" s="45">
        <v>14000</v>
      </c>
      <c r="AL203" s="45">
        <v>16971</v>
      </c>
      <c r="AM203" s="45">
        <v>20000</v>
      </c>
      <c r="AN203" s="76">
        <f>AVERAGE(AK203,AL203,AJ203)</f>
        <v>15152.666666666666</v>
      </c>
      <c r="AO203" s="24">
        <f t="shared" ref="AO203:AO224" si="458">AN203-AI203</f>
        <v>1436.6666666666661</v>
      </c>
      <c r="AP203" s="281">
        <f t="shared" ref="AP203:AP224" si="459">+AO203/AI203</f>
        <v>0.10474385146301152</v>
      </c>
      <c r="AQ203" s="601">
        <f t="shared" ref="AQ203:AQ216" si="460">AN203</f>
        <v>15152.666666666666</v>
      </c>
      <c r="AR203" s="513">
        <v>15804</v>
      </c>
      <c r="AS203" s="575">
        <f t="shared" si="445"/>
        <v>16692</v>
      </c>
      <c r="AT203" s="88">
        <v>14600</v>
      </c>
      <c r="AU203" s="116">
        <v>16500</v>
      </c>
      <c r="AV203" s="74">
        <v>13200</v>
      </c>
      <c r="AW203" s="76">
        <f t="shared" si="446"/>
        <v>15248</v>
      </c>
      <c r="AX203" s="24">
        <f t="shared" ref="AX203:AX224" si="461">AW203-AR203</f>
        <v>-556</v>
      </c>
      <c r="AY203" s="25">
        <f t="shared" ref="AY203:AY224" si="462">+AX203/AR203</f>
        <v>-3.5180966843837001E-2</v>
      </c>
      <c r="AZ203" s="309">
        <f t="shared" ref="AZ203:AZ224" si="463">+IF(AY203&lt;35%,AW203,"REVISAR PRECIO")</f>
        <v>15248</v>
      </c>
      <c r="BA203" s="601">
        <f t="shared" ref="BA203:BA224" si="464">AW203</f>
        <v>15248</v>
      </c>
      <c r="BB203" s="513">
        <v>15804</v>
      </c>
      <c r="BC203" s="575">
        <f t="shared" si="442"/>
        <v>16692</v>
      </c>
      <c r="BD203" s="74">
        <v>13800</v>
      </c>
      <c r="BE203" s="74">
        <v>15000</v>
      </c>
      <c r="BF203" s="75">
        <v>15900</v>
      </c>
      <c r="BG203" s="61">
        <v>21505</v>
      </c>
      <c r="BH203" s="60">
        <v>60000</v>
      </c>
      <c r="BI203" s="74">
        <v>24730.749999999996</v>
      </c>
      <c r="BJ203" s="79">
        <v>15900</v>
      </c>
      <c r="BK203" s="79">
        <v>12000</v>
      </c>
      <c r="BL203" s="127">
        <v>14400</v>
      </c>
      <c r="BM203" s="128">
        <v>12500</v>
      </c>
      <c r="BN203" s="128">
        <v>13000</v>
      </c>
      <c r="BO203" s="76">
        <f>AVERAGE(BC203,BD203,BE203,BF203,BG203,BI203,BJ203,BK203,BL203,BM203,BN203)</f>
        <v>15947.977272727272</v>
      </c>
      <c r="BP203" s="24">
        <f t="shared" ref="BP203:BP224" si="465">BO203-BB203</f>
        <v>143.97727272727207</v>
      </c>
      <c r="BQ203" s="25">
        <f t="shared" ref="BQ203:BQ224" si="466">+BP203/BB203</f>
        <v>9.1101792411586984E-3</v>
      </c>
      <c r="BR203" s="259">
        <f t="shared" ref="BR203:BR224" si="467">+IF(BQ203&lt;35%,BO203,"REVISAR PRECIO")</f>
        <v>15947.977272727272</v>
      </c>
      <c r="BS203" s="607">
        <f t="shared" si="443"/>
        <v>15947.977272727272</v>
      </c>
    </row>
    <row r="204" spans="1:71" ht="39" customHeight="1">
      <c r="A204" s="91" t="s">
        <v>31</v>
      </c>
      <c r="B204" s="358" t="s">
        <v>2395</v>
      </c>
      <c r="C204" s="50" t="s">
        <v>303</v>
      </c>
      <c r="D204" s="99" t="s">
        <v>643</v>
      </c>
      <c r="E204" s="391" t="s">
        <v>13</v>
      </c>
      <c r="F204" s="410">
        <v>24122</v>
      </c>
      <c r="G204" s="589">
        <f t="shared" si="449"/>
        <v>25478</v>
      </c>
      <c r="H204" s="10">
        <v>29000</v>
      </c>
      <c r="I204" s="167">
        <v>58000</v>
      </c>
      <c r="J204" s="10">
        <v>26700</v>
      </c>
      <c r="K204" s="76">
        <f>AVERAGE(H204,J204,G204)</f>
        <v>27059.333333333332</v>
      </c>
      <c r="L204" s="24">
        <f t="shared" si="450"/>
        <v>2937.3333333333321</v>
      </c>
      <c r="M204" s="281">
        <f t="shared" si="451"/>
        <v>0.11528900750974692</v>
      </c>
      <c r="N204" s="597">
        <f t="shared" si="452"/>
        <v>27059.333333333332</v>
      </c>
      <c r="O204" s="410">
        <v>20561</v>
      </c>
      <c r="P204" s="575">
        <f t="shared" si="444"/>
        <v>21717</v>
      </c>
      <c r="Q204" s="10">
        <v>35000</v>
      </c>
      <c r="R204" s="10"/>
      <c r="S204" s="268">
        <v>40000</v>
      </c>
      <c r="T204" s="10">
        <v>30000</v>
      </c>
      <c r="U204" s="76">
        <f>AVERAGE(Q204,R204,S204,T204,P204)</f>
        <v>31679.25</v>
      </c>
      <c r="V204" s="24">
        <f t="shared" si="437"/>
        <v>9962.25</v>
      </c>
      <c r="W204" s="281">
        <f t="shared" si="453"/>
        <v>0.48452166723408396</v>
      </c>
      <c r="X204" s="462">
        <f t="shared" si="454"/>
        <v>31679.25</v>
      </c>
      <c r="Y204" s="410">
        <v>31462</v>
      </c>
      <c r="Z204" s="575">
        <f t="shared" si="438"/>
        <v>33230</v>
      </c>
      <c r="AA204" s="31">
        <v>40919</v>
      </c>
      <c r="AB204" s="31">
        <v>53194</v>
      </c>
      <c r="AC204" s="472">
        <v>35765.800000000003</v>
      </c>
      <c r="AD204" s="76">
        <f t="shared" si="312"/>
        <v>36638.26666666667</v>
      </c>
      <c r="AE204" s="24">
        <f t="shared" si="439"/>
        <v>3408.2666666666701</v>
      </c>
      <c r="AF204" s="25">
        <f t="shared" si="455"/>
        <v>0.10832962515627328</v>
      </c>
      <c r="AG204" s="309">
        <f t="shared" si="456"/>
        <v>36638.26666666667</v>
      </c>
      <c r="AH204" s="601">
        <f t="shared" si="457"/>
        <v>36638.26666666667</v>
      </c>
      <c r="AI204" s="410">
        <v>22507</v>
      </c>
      <c r="AJ204" s="575">
        <f t="shared" si="440"/>
        <v>23772</v>
      </c>
      <c r="AK204" s="45">
        <v>27000</v>
      </c>
      <c r="AL204" s="45">
        <v>28455</v>
      </c>
      <c r="AM204" s="45">
        <v>45000</v>
      </c>
      <c r="AN204" s="76">
        <f>AVERAGE(AK204,AL204,AJ204)</f>
        <v>26409</v>
      </c>
      <c r="AO204" s="24">
        <f t="shared" si="458"/>
        <v>3902</v>
      </c>
      <c r="AP204" s="281">
        <f t="shared" si="459"/>
        <v>0.17336828542231306</v>
      </c>
      <c r="AQ204" s="601">
        <f t="shared" si="460"/>
        <v>26409</v>
      </c>
      <c r="AR204" s="513">
        <v>24586</v>
      </c>
      <c r="AS204" s="575">
        <f t="shared" si="445"/>
        <v>25968</v>
      </c>
      <c r="AT204" s="88">
        <v>30000</v>
      </c>
      <c r="AU204" s="116">
        <v>30000</v>
      </c>
      <c r="AV204" s="74">
        <v>31900</v>
      </c>
      <c r="AW204" s="76">
        <f t="shared" si="446"/>
        <v>29467</v>
      </c>
      <c r="AX204" s="24">
        <f t="shared" si="461"/>
        <v>4881</v>
      </c>
      <c r="AY204" s="25">
        <f t="shared" si="462"/>
        <v>0.19852761734320346</v>
      </c>
      <c r="AZ204" s="309">
        <f t="shared" si="463"/>
        <v>29467</v>
      </c>
      <c r="BA204" s="601">
        <f t="shared" si="464"/>
        <v>29467</v>
      </c>
      <c r="BB204" s="513">
        <v>24586</v>
      </c>
      <c r="BC204" s="575">
        <f t="shared" si="442"/>
        <v>25968</v>
      </c>
      <c r="BD204" s="74">
        <v>33350</v>
      </c>
      <c r="BE204" s="74">
        <v>42000</v>
      </c>
      <c r="BF204" s="75">
        <v>38425</v>
      </c>
      <c r="BG204" s="61">
        <v>33350</v>
      </c>
      <c r="BH204" s="60">
        <v>65000</v>
      </c>
      <c r="BI204" s="74">
        <v>38352.5</v>
      </c>
      <c r="BJ204" s="79">
        <v>38425</v>
      </c>
      <c r="BK204" s="79">
        <v>29000</v>
      </c>
      <c r="BL204" s="127">
        <v>34800</v>
      </c>
      <c r="BM204" s="128">
        <v>29900</v>
      </c>
      <c r="BN204" s="128">
        <v>30000</v>
      </c>
      <c r="BO204" s="76">
        <f>AVERAGE(BC204,BD204,BE204,BG204,BI204,BJ204,BK204,BL204,BM204,BN204)</f>
        <v>33514.550000000003</v>
      </c>
      <c r="BP204" s="24">
        <f t="shared" si="465"/>
        <v>8928.5500000000029</v>
      </c>
      <c r="BQ204" s="25">
        <f t="shared" si="466"/>
        <v>0.36315586105913944</v>
      </c>
      <c r="BR204" s="259" t="str">
        <f t="shared" si="467"/>
        <v>REVISAR PRECIO</v>
      </c>
      <c r="BS204" s="607">
        <f t="shared" si="443"/>
        <v>33514.550000000003</v>
      </c>
    </row>
    <row r="205" spans="1:71" ht="39" customHeight="1">
      <c r="A205" s="91" t="s">
        <v>31</v>
      </c>
      <c r="B205" s="358" t="s">
        <v>2396</v>
      </c>
      <c r="C205" s="50" t="s">
        <v>304</v>
      </c>
      <c r="D205" s="99" t="s">
        <v>644</v>
      </c>
      <c r="E205" s="391" t="s">
        <v>13</v>
      </c>
      <c r="F205" s="410">
        <v>43391</v>
      </c>
      <c r="G205" s="589">
        <f t="shared" si="449"/>
        <v>45830</v>
      </c>
      <c r="H205" s="10">
        <v>48000</v>
      </c>
      <c r="I205" s="167">
        <v>96000</v>
      </c>
      <c r="J205" s="10">
        <v>45600</v>
      </c>
      <c r="K205" s="76">
        <f>AVERAGE(H205,J205,G205)</f>
        <v>46476.666666666664</v>
      </c>
      <c r="L205" s="24">
        <f t="shared" si="450"/>
        <v>3085.6666666666642</v>
      </c>
      <c r="M205" s="281">
        <f t="shared" si="451"/>
        <v>6.7328532984216982E-2</v>
      </c>
      <c r="N205" s="597">
        <f t="shared" si="452"/>
        <v>46476.666666666664</v>
      </c>
      <c r="O205" s="410">
        <v>39432</v>
      </c>
      <c r="P205" s="575">
        <f t="shared" si="444"/>
        <v>41648</v>
      </c>
      <c r="Q205" s="10"/>
      <c r="R205" s="10"/>
      <c r="S205" s="268"/>
      <c r="T205" s="10">
        <v>75000</v>
      </c>
      <c r="U205" s="76">
        <f>AVERAGE(Q205,R205,S205,T205,P205)</f>
        <v>58324</v>
      </c>
      <c r="V205" s="24">
        <f t="shared" si="437"/>
        <v>16676</v>
      </c>
      <c r="W205" s="281">
        <f t="shared" si="453"/>
        <v>0.42290525461554068</v>
      </c>
      <c r="X205" s="462">
        <f t="shared" si="454"/>
        <v>58324</v>
      </c>
      <c r="Y205" s="410">
        <v>56623</v>
      </c>
      <c r="Z205" s="575">
        <f t="shared" si="438"/>
        <v>59805</v>
      </c>
      <c r="AA205" s="31">
        <v>73643</v>
      </c>
      <c r="AB205" s="31">
        <v>95735</v>
      </c>
      <c r="AC205" s="472">
        <v>64369</v>
      </c>
      <c r="AD205" s="76">
        <f t="shared" si="312"/>
        <v>65939</v>
      </c>
      <c r="AE205" s="24">
        <f t="shared" si="439"/>
        <v>6134</v>
      </c>
      <c r="AF205" s="25">
        <f t="shared" si="455"/>
        <v>0.10833053706091164</v>
      </c>
      <c r="AG205" s="309">
        <f t="shared" si="456"/>
        <v>65939</v>
      </c>
      <c r="AH205" s="601">
        <f t="shared" si="457"/>
        <v>65939</v>
      </c>
      <c r="AI205" s="410">
        <v>44036</v>
      </c>
      <c r="AJ205" s="575">
        <f t="shared" si="440"/>
        <v>46511</v>
      </c>
      <c r="AK205" s="45">
        <v>65000</v>
      </c>
      <c r="AL205" s="45">
        <v>51191</v>
      </c>
      <c r="AM205" s="45">
        <v>75000</v>
      </c>
      <c r="AN205" s="76">
        <f>AVERAGE(AK205,AL205,AJ205)</f>
        <v>54234</v>
      </c>
      <c r="AO205" s="24">
        <f t="shared" si="458"/>
        <v>10198</v>
      </c>
      <c r="AP205" s="281">
        <f t="shared" si="459"/>
        <v>0.23158325006812608</v>
      </c>
      <c r="AQ205" s="601">
        <f t="shared" si="460"/>
        <v>54234</v>
      </c>
      <c r="AR205" s="513">
        <v>44253</v>
      </c>
      <c r="AS205" s="575">
        <f t="shared" si="445"/>
        <v>46740</v>
      </c>
      <c r="AT205" s="88">
        <v>50000</v>
      </c>
      <c r="AU205" s="116">
        <v>50000</v>
      </c>
      <c r="AV205" s="74">
        <v>52800</v>
      </c>
      <c r="AW205" s="76">
        <f t="shared" si="446"/>
        <v>49885</v>
      </c>
      <c r="AX205" s="24">
        <f t="shared" si="461"/>
        <v>5632</v>
      </c>
      <c r="AY205" s="25">
        <f t="shared" si="462"/>
        <v>0.12726820780512055</v>
      </c>
      <c r="AZ205" s="309">
        <f t="shared" si="463"/>
        <v>49885</v>
      </c>
      <c r="BA205" s="601">
        <f t="shared" si="464"/>
        <v>49885</v>
      </c>
      <c r="BB205" s="513">
        <v>44253</v>
      </c>
      <c r="BC205" s="575">
        <f t="shared" si="442"/>
        <v>46740</v>
      </c>
      <c r="BD205" s="74">
        <v>55200</v>
      </c>
      <c r="BE205" s="74">
        <v>65000</v>
      </c>
      <c r="BF205" s="75">
        <v>63600</v>
      </c>
      <c r="BG205" s="61">
        <v>75210</v>
      </c>
      <c r="BH205" s="60">
        <v>95000</v>
      </c>
      <c r="BI205" s="74">
        <v>86491.5</v>
      </c>
      <c r="BJ205" s="79">
        <v>63600</v>
      </c>
      <c r="BK205" s="79">
        <v>48000</v>
      </c>
      <c r="BL205" s="127">
        <v>57600</v>
      </c>
      <c r="BM205" s="128">
        <v>50000</v>
      </c>
      <c r="BN205" s="128">
        <v>50000</v>
      </c>
      <c r="BO205" s="76">
        <f>AVERAGE(BC205,BD205,BE205,BF205,BI205,BJ205,BK205,BL205,BM205,BN205)</f>
        <v>58623.15</v>
      </c>
      <c r="BP205" s="24">
        <f t="shared" si="465"/>
        <v>14370.150000000001</v>
      </c>
      <c r="BQ205" s="25">
        <f t="shared" si="466"/>
        <v>0.32472713714324458</v>
      </c>
      <c r="BR205" s="259">
        <f t="shared" si="467"/>
        <v>58623.15</v>
      </c>
      <c r="BS205" s="607">
        <f t="shared" si="443"/>
        <v>58623.15</v>
      </c>
    </row>
    <row r="206" spans="1:71" ht="50.1" customHeight="1">
      <c r="A206" s="91" t="s">
        <v>31</v>
      </c>
      <c r="B206" s="358" t="s">
        <v>2397</v>
      </c>
      <c r="C206" s="50" t="s">
        <v>305</v>
      </c>
      <c r="D206" s="99" t="s">
        <v>645</v>
      </c>
      <c r="E206" s="391" t="s">
        <v>13</v>
      </c>
      <c r="F206" s="410">
        <v>147095</v>
      </c>
      <c r="G206" s="589">
        <f t="shared" si="449"/>
        <v>155362</v>
      </c>
      <c r="H206" s="10">
        <v>85000</v>
      </c>
      <c r="I206" s="167">
        <v>170000</v>
      </c>
      <c r="J206" s="10">
        <v>82900</v>
      </c>
      <c r="K206" s="76">
        <f>AVERAGE(G206:H206,J206)</f>
        <v>107754</v>
      </c>
      <c r="L206" s="24">
        <f t="shared" si="450"/>
        <v>-39341</v>
      </c>
      <c r="M206" s="281">
        <f t="shared" si="451"/>
        <v>-0.25322150847697633</v>
      </c>
      <c r="N206" s="597">
        <f>+K206</f>
        <v>107754</v>
      </c>
      <c r="O206" s="410">
        <v>132391</v>
      </c>
      <c r="P206" s="575">
        <f t="shared" si="444"/>
        <v>139831</v>
      </c>
      <c r="Q206" s="10"/>
      <c r="R206" s="10"/>
      <c r="S206" s="268"/>
      <c r="T206" s="10">
        <v>220000</v>
      </c>
      <c r="U206" s="76">
        <f>AVERAGE(Q206,R206,S206,T206,P206)</f>
        <v>179915.5</v>
      </c>
      <c r="V206" s="24">
        <f t="shared" si="437"/>
        <v>40084.5</v>
      </c>
      <c r="W206" s="281">
        <f t="shared" si="453"/>
        <v>0.30277360243521084</v>
      </c>
      <c r="X206" s="462">
        <f t="shared" si="454"/>
        <v>179915.5</v>
      </c>
      <c r="Y206" s="410">
        <v>176149</v>
      </c>
      <c r="Z206" s="575">
        <f t="shared" si="438"/>
        <v>186049</v>
      </c>
      <c r="AA206" s="31">
        <v>229095</v>
      </c>
      <c r="AB206" s="31">
        <v>297824</v>
      </c>
      <c r="AC206" s="472">
        <v>200246</v>
      </c>
      <c r="AD206" s="76">
        <f t="shared" si="312"/>
        <v>205130</v>
      </c>
      <c r="AE206" s="24">
        <f t="shared" si="439"/>
        <v>19081</v>
      </c>
      <c r="AF206" s="25">
        <f t="shared" si="455"/>
        <v>0.10832306740316437</v>
      </c>
      <c r="AG206" s="309">
        <f t="shared" si="456"/>
        <v>205130</v>
      </c>
      <c r="AH206" s="601">
        <f t="shared" si="457"/>
        <v>205130</v>
      </c>
      <c r="AI206" s="410">
        <v>147095</v>
      </c>
      <c r="AJ206" s="575">
        <f t="shared" si="440"/>
        <v>155362</v>
      </c>
      <c r="AK206" s="45">
        <v>95000</v>
      </c>
      <c r="AL206" s="45">
        <v>173557</v>
      </c>
      <c r="AM206" s="45">
        <v>90000</v>
      </c>
      <c r="AN206" s="76">
        <f>AVERAGE(AK206,AL206,AJ206)</f>
        <v>141306.33333333334</v>
      </c>
      <c r="AO206" s="24">
        <f t="shared" si="458"/>
        <v>-5788.666666666657</v>
      </c>
      <c r="AP206" s="281">
        <f t="shared" si="459"/>
        <v>-3.9353252433234689E-2</v>
      </c>
      <c r="AQ206" s="601">
        <f t="shared" si="460"/>
        <v>141306.33333333334</v>
      </c>
      <c r="AR206" s="513">
        <v>147095</v>
      </c>
      <c r="AS206" s="575">
        <f t="shared" si="445"/>
        <v>155362</v>
      </c>
      <c r="AT206" s="88">
        <v>115000</v>
      </c>
      <c r="AU206" s="116">
        <v>135000</v>
      </c>
      <c r="AV206" s="74">
        <v>93500</v>
      </c>
      <c r="AW206" s="76">
        <f>AVERAGE(AS206,AT206,AU206)</f>
        <v>135120.66666666666</v>
      </c>
      <c r="AX206" s="24">
        <f t="shared" si="461"/>
        <v>-11974.333333333343</v>
      </c>
      <c r="AY206" s="25">
        <f t="shared" si="462"/>
        <v>-8.1405440928198403E-2</v>
      </c>
      <c r="AZ206" s="309">
        <f t="shared" si="463"/>
        <v>135120.66666666666</v>
      </c>
      <c r="BA206" s="601">
        <f t="shared" si="464"/>
        <v>135120.66666666666</v>
      </c>
      <c r="BB206" s="513">
        <v>147095</v>
      </c>
      <c r="BC206" s="575">
        <f t="shared" si="442"/>
        <v>155362</v>
      </c>
      <c r="BD206" s="74">
        <v>97750</v>
      </c>
      <c r="BE206" s="74">
        <v>130000</v>
      </c>
      <c r="BF206" s="75">
        <v>112625</v>
      </c>
      <c r="BG206" s="61">
        <v>128799.99999999999</v>
      </c>
      <c r="BH206" s="60">
        <v>160000</v>
      </c>
      <c r="BI206" s="74">
        <v>148119.99999999997</v>
      </c>
      <c r="BJ206" s="79">
        <v>112625</v>
      </c>
      <c r="BK206" s="79">
        <v>85000</v>
      </c>
      <c r="BL206" s="127">
        <v>102000</v>
      </c>
      <c r="BM206" s="128">
        <v>110000</v>
      </c>
      <c r="BN206" s="128">
        <v>108000</v>
      </c>
      <c r="BO206" s="76">
        <f t="shared" ref="BO206:BO236" si="468">AVERAGE(BC206,BD206,BE206,BF206,BG206,BH206,BI206,BJ206,BK206,BL206,BM206,BN206)</f>
        <v>120856.83333333333</v>
      </c>
      <c r="BP206" s="24">
        <f t="shared" si="465"/>
        <v>-26238.166666666672</v>
      </c>
      <c r="BQ206" s="25">
        <f t="shared" si="466"/>
        <v>-0.17837565292271437</v>
      </c>
      <c r="BR206" s="259">
        <f t="shared" si="467"/>
        <v>120856.83333333333</v>
      </c>
      <c r="BS206" s="652">
        <f>BC206</f>
        <v>155362</v>
      </c>
    </row>
    <row r="207" spans="1:71" ht="41.1" customHeight="1">
      <c r="A207" s="91" t="s">
        <v>31</v>
      </c>
      <c r="B207" s="358" t="s">
        <v>2398</v>
      </c>
      <c r="C207" s="50" t="s">
        <v>306</v>
      </c>
      <c r="D207" s="99" t="s">
        <v>646</v>
      </c>
      <c r="E207" s="391" t="s">
        <v>10</v>
      </c>
      <c r="F207" s="410">
        <v>12426</v>
      </c>
      <c r="G207" s="589">
        <f t="shared" si="449"/>
        <v>13124</v>
      </c>
      <c r="H207" s="10">
        <v>13000</v>
      </c>
      <c r="I207" s="167">
        <v>26000</v>
      </c>
      <c r="J207" s="10">
        <v>15000</v>
      </c>
      <c r="K207" s="76">
        <f>AVERAGE(H207,J207,G207)</f>
        <v>13708</v>
      </c>
      <c r="L207" s="24">
        <f t="shared" si="450"/>
        <v>1282</v>
      </c>
      <c r="M207" s="281">
        <f t="shared" si="451"/>
        <v>9.768363303870771E-2</v>
      </c>
      <c r="N207" s="597">
        <f t="shared" si="452"/>
        <v>13708</v>
      </c>
      <c r="O207" s="410">
        <v>11182</v>
      </c>
      <c r="P207" s="575">
        <f t="shared" si="444"/>
        <v>11810</v>
      </c>
      <c r="Q207" s="10">
        <v>22500</v>
      </c>
      <c r="R207" s="10"/>
      <c r="S207" s="268">
        <v>26000</v>
      </c>
      <c r="T207" s="10">
        <v>30000</v>
      </c>
      <c r="U207" s="76">
        <f>AVERAGE(Q207,R207,S207,P207)</f>
        <v>20103.333333333332</v>
      </c>
      <c r="V207" s="24">
        <f t="shared" si="437"/>
        <v>8293.3333333333321</v>
      </c>
      <c r="W207" s="281">
        <f t="shared" si="453"/>
        <v>0.74166815715733614</v>
      </c>
      <c r="X207" s="462">
        <f t="shared" si="454"/>
        <v>20103.333333333332</v>
      </c>
      <c r="Y207" s="410">
        <v>15902</v>
      </c>
      <c r="Z207" s="575">
        <f t="shared" si="438"/>
        <v>16796</v>
      </c>
      <c r="AA207" s="31">
        <v>20682</v>
      </c>
      <c r="AB207" s="31">
        <v>26887</v>
      </c>
      <c r="AC207" s="472">
        <v>18077.599999999999</v>
      </c>
      <c r="AD207" s="76">
        <f t="shared" ref="AD207:AD246" si="469">AVERAGE(AA207,AC207,Z207)</f>
        <v>18518.533333333333</v>
      </c>
      <c r="AE207" s="24">
        <f t="shared" si="439"/>
        <v>1722.5333333333328</v>
      </c>
      <c r="AF207" s="25">
        <f t="shared" si="455"/>
        <v>0.10832180438519261</v>
      </c>
      <c r="AG207" s="309">
        <f t="shared" si="456"/>
        <v>18518.533333333333</v>
      </c>
      <c r="AH207" s="601">
        <f t="shared" si="457"/>
        <v>18518.533333333333</v>
      </c>
      <c r="AI207" s="410">
        <v>12426</v>
      </c>
      <c r="AJ207" s="575">
        <f t="shared" si="440"/>
        <v>13124</v>
      </c>
      <c r="AK207" s="45">
        <v>19000</v>
      </c>
      <c r="AL207" s="45">
        <v>14664</v>
      </c>
      <c r="AM207" s="45">
        <v>45000</v>
      </c>
      <c r="AN207" s="76">
        <f>AVERAGE(AK207,AL207,AJ207)</f>
        <v>15596</v>
      </c>
      <c r="AO207" s="24">
        <f t="shared" si="458"/>
        <v>3170</v>
      </c>
      <c r="AP207" s="281">
        <f t="shared" si="459"/>
        <v>0.2551102526959601</v>
      </c>
      <c r="AQ207" s="601">
        <f t="shared" si="460"/>
        <v>15596</v>
      </c>
      <c r="AR207" s="513">
        <v>12426</v>
      </c>
      <c r="AS207" s="575">
        <f t="shared" si="445"/>
        <v>13124</v>
      </c>
      <c r="AT207" s="88">
        <v>15000</v>
      </c>
      <c r="AU207" s="116">
        <v>15000</v>
      </c>
      <c r="AV207" s="74">
        <v>14300</v>
      </c>
      <c r="AW207" s="76">
        <f t="shared" si="446"/>
        <v>14356</v>
      </c>
      <c r="AX207" s="24">
        <f t="shared" si="461"/>
        <v>1930</v>
      </c>
      <c r="AY207" s="25">
        <f t="shared" si="462"/>
        <v>0.15531949138902301</v>
      </c>
      <c r="AZ207" s="309">
        <f t="shared" si="463"/>
        <v>14356</v>
      </c>
      <c r="BA207" s="601">
        <f t="shared" si="464"/>
        <v>14356</v>
      </c>
      <c r="BB207" s="513">
        <v>12426</v>
      </c>
      <c r="BC207" s="575">
        <f t="shared" si="442"/>
        <v>13124</v>
      </c>
      <c r="BD207" s="74">
        <v>14950</v>
      </c>
      <c r="BE207" s="74">
        <v>22000</v>
      </c>
      <c r="BF207" s="75">
        <v>17225</v>
      </c>
      <c r="BG207" s="61">
        <v>14949.999999999998</v>
      </c>
      <c r="BH207" s="60">
        <v>38000</v>
      </c>
      <c r="BI207" s="74">
        <v>17192.499999999996</v>
      </c>
      <c r="BJ207" s="79">
        <v>17225</v>
      </c>
      <c r="BK207" s="79">
        <v>13000</v>
      </c>
      <c r="BL207" s="127">
        <v>15600</v>
      </c>
      <c r="BM207" s="128">
        <v>13000</v>
      </c>
      <c r="BN207" s="128">
        <v>13000</v>
      </c>
      <c r="BO207" s="76">
        <f>AVERAGE(BC207,BD207,BE207,BG207,BI207,BJ207,BK207,BL207,BM207,BN207)</f>
        <v>15404.15</v>
      </c>
      <c r="BP207" s="24">
        <f t="shared" si="465"/>
        <v>2978.1499999999996</v>
      </c>
      <c r="BQ207" s="25">
        <f t="shared" si="466"/>
        <v>0.23967085144052788</v>
      </c>
      <c r="BR207" s="259">
        <f t="shared" si="467"/>
        <v>15404.15</v>
      </c>
      <c r="BS207" s="607">
        <f t="shared" si="443"/>
        <v>15404.15</v>
      </c>
    </row>
    <row r="208" spans="1:71" ht="41.1" customHeight="1">
      <c r="A208" s="91" t="s">
        <v>31</v>
      </c>
      <c r="B208" s="358" t="s">
        <v>2399</v>
      </c>
      <c r="C208" s="50" t="s">
        <v>307</v>
      </c>
      <c r="D208" s="99" t="s">
        <v>647</v>
      </c>
      <c r="E208" s="391" t="s">
        <v>10</v>
      </c>
      <c r="F208" s="410">
        <v>40211</v>
      </c>
      <c r="G208" s="589">
        <f t="shared" si="449"/>
        <v>42471</v>
      </c>
      <c r="H208" s="10">
        <v>43000</v>
      </c>
      <c r="I208" s="167">
        <v>86000</v>
      </c>
      <c r="J208" s="10">
        <v>39000</v>
      </c>
      <c r="K208" s="76">
        <f>AVERAGE(H208,G208)</f>
        <v>42735.5</v>
      </c>
      <c r="L208" s="24">
        <f t="shared" si="450"/>
        <v>2524.5</v>
      </c>
      <c r="M208" s="281">
        <f t="shared" si="451"/>
        <v>5.944055944055944E-2</v>
      </c>
      <c r="N208" s="597">
        <f t="shared" si="452"/>
        <v>42735.5</v>
      </c>
      <c r="O208" s="410">
        <v>36185</v>
      </c>
      <c r="P208" s="575">
        <f t="shared" si="444"/>
        <v>38219</v>
      </c>
      <c r="Q208" s="10">
        <v>28500</v>
      </c>
      <c r="R208" s="10"/>
      <c r="S208" s="268">
        <v>35000</v>
      </c>
      <c r="T208" s="10">
        <v>30000</v>
      </c>
      <c r="U208" s="76">
        <f>AVERAGE(Q208,R208,S208,T208,P208)</f>
        <v>32929.75</v>
      </c>
      <c r="V208" s="24">
        <f t="shared" si="437"/>
        <v>-5289.25</v>
      </c>
      <c r="W208" s="281">
        <f t="shared" si="453"/>
        <v>-0.14617244714660771</v>
      </c>
      <c r="X208" s="462">
        <f t="shared" si="454"/>
        <v>32929.75</v>
      </c>
      <c r="Y208" s="410">
        <v>51443</v>
      </c>
      <c r="Z208" s="575">
        <f t="shared" si="438"/>
        <v>54334</v>
      </c>
      <c r="AA208" s="31">
        <v>66906</v>
      </c>
      <c r="AB208" s="33">
        <v>66906</v>
      </c>
      <c r="AC208" s="472">
        <v>58480.800000000003</v>
      </c>
      <c r="AD208" s="76">
        <f>AVERAGE(AA208,AC208,Z208,AB208)</f>
        <v>61656.7</v>
      </c>
      <c r="AE208" s="24">
        <f t="shared" si="439"/>
        <v>7322.6999999999971</v>
      </c>
      <c r="AF208" s="25">
        <f t="shared" si="455"/>
        <v>0.14234589740100689</v>
      </c>
      <c r="AG208" s="309">
        <f t="shared" si="456"/>
        <v>61656.7</v>
      </c>
      <c r="AH208" s="601">
        <f t="shared" si="457"/>
        <v>61656.7</v>
      </c>
      <c r="AI208" s="410">
        <v>40210</v>
      </c>
      <c r="AJ208" s="575">
        <f t="shared" si="440"/>
        <v>42470</v>
      </c>
      <c r="AK208" s="45">
        <v>60000</v>
      </c>
      <c r="AL208" s="45">
        <v>47440</v>
      </c>
      <c r="AM208" s="45">
        <v>58000</v>
      </c>
      <c r="AN208" s="76">
        <f>AVERAGE(AL208,AM208,AJ208)</f>
        <v>49303.333333333336</v>
      </c>
      <c r="AO208" s="24">
        <f t="shared" si="458"/>
        <v>9093.3333333333358</v>
      </c>
      <c r="AP208" s="281">
        <f t="shared" si="459"/>
        <v>0.22614606648429086</v>
      </c>
      <c r="AQ208" s="601">
        <f t="shared" si="460"/>
        <v>49303.333333333336</v>
      </c>
      <c r="AR208" s="513">
        <v>40210</v>
      </c>
      <c r="AS208" s="575">
        <f t="shared" si="445"/>
        <v>42470</v>
      </c>
      <c r="AT208" s="88">
        <v>50000</v>
      </c>
      <c r="AU208" s="116">
        <v>50000</v>
      </c>
      <c r="AV208" s="74">
        <v>47300</v>
      </c>
      <c r="AW208" s="76">
        <f t="shared" si="446"/>
        <v>47442.5</v>
      </c>
      <c r="AX208" s="24">
        <f t="shared" si="461"/>
        <v>7232.5</v>
      </c>
      <c r="AY208" s="25">
        <f t="shared" si="462"/>
        <v>0.17986819199204179</v>
      </c>
      <c r="AZ208" s="309">
        <f t="shared" si="463"/>
        <v>47442.5</v>
      </c>
      <c r="BA208" s="601">
        <f t="shared" si="464"/>
        <v>47442.5</v>
      </c>
      <c r="BB208" s="513">
        <v>40210</v>
      </c>
      <c r="BC208" s="575">
        <f t="shared" si="442"/>
        <v>42470</v>
      </c>
      <c r="BD208" s="74">
        <v>49450</v>
      </c>
      <c r="BE208" s="74">
        <v>55000</v>
      </c>
      <c r="BF208" s="75">
        <v>56975</v>
      </c>
      <c r="BG208" s="61">
        <v>49449.999999999993</v>
      </c>
      <c r="BH208" s="60">
        <v>35000</v>
      </c>
      <c r="BI208" s="74">
        <v>56867.499999999985</v>
      </c>
      <c r="BJ208" s="79">
        <v>56975</v>
      </c>
      <c r="BK208" s="79">
        <v>43000</v>
      </c>
      <c r="BL208" s="127">
        <v>51600</v>
      </c>
      <c r="BM208" s="128">
        <v>43000</v>
      </c>
      <c r="BN208" s="128">
        <v>45000</v>
      </c>
      <c r="BO208" s="76">
        <f t="shared" si="468"/>
        <v>48732.291666666664</v>
      </c>
      <c r="BP208" s="24">
        <f t="shared" si="465"/>
        <v>8522.2916666666642</v>
      </c>
      <c r="BQ208" s="25">
        <f t="shared" si="466"/>
        <v>0.21194458260797475</v>
      </c>
      <c r="BR208" s="259">
        <f t="shared" si="467"/>
        <v>48732.291666666664</v>
      </c>
      <c r="BS208" s="607">
        <f t="shared" si="443"/>
        <v>48732.291666666664</v>
      </c>
    </row>
    <row r="209" spans="1:71" ht="41.1" customHeight="1">
      <c r="A209" s="91" t="s">
        <v>31</v>
      </c>
      <c r="B209" s="358" t="s">
        <v>2400</v>
      </c>
      <c r="C209" s="50" t="s">
        <v>308</v>
      </c>
      <c r="D209" s="99" t="s">
        <v>648</v>
      </c>
      <c r="E209" s="391" t="s">
        <v>10</v>
      </c>
      <c r="F209" s="410">
        <v>6436</v>
      </c>
      <c r="G209" s="589">
        <f t="shared" si="449"/>
        <v>6798</v>
      </c>
      <c r="H209" s="10">
        <v>6000</v>
      </c>
      <c r="I209" s="167">
        <v>24000</v>
      </c>
      <c r="J209" s="10">
        <v>12000</v>
      </c>
      <c r="K209" s="76">
        <f>AVERAGE(H209,J209,G209,I209)</f>
        <v>12199.5</v>
      </c>
      <c r="L209" s="24">
        <f t="shared" si="450"/>
        <v>5763.5</v>
      </c>
      <c r="M209" s="281">
        <f t="shared" si="451"/>
        <v>0.84782288908502501</v>
      </c>
      <c r="N209" s="597">
        <f t="shared" si="452"/>
        <v>12199.5</v>
      </c>
      <c r="O209" s="410">
        <v>5791</v>
      </c>
      <c r="P209" s="575">
        <f t="shared" si="444"/>
        <v>6116</v>
      </c>
      <c r="Q209" s="10">
        <v>31000</v>
      </c>
      <c r="R209" s="10"/>
      <c r="S209" s="268">
        <v>35000</v>
      </c>
      <c r="T209" s="10">
        <v>30000</v>
      </c>
      <c r="U209" s="76">
        <f>AVERAGE(Q209,T209,P209)</f>
        <v>22372</v>
      </c>
      <c r="V209" s="24">
        <f t="shared" si="437"/>
        <v>16256</v>
      </c>
      <c r="W209" s="281">
        <f t="shared" si="453"/>
        <v>2.8071144879986187</v>
      </c>
      <c r="X209" s="462">
        <f>+U209</f>
        <v>22372</v>
      </c>
      <c r="Y209" s="410">
        <v>8231</v>
      </c>
      <c r="Z209" s="575">
        <f t="shared" si="438"/>
        <v>8694</v>
      </c>
      <c r="AA209" s="31">
        <v>10706</v>
      </c>
      <c r="AB209" s="33">
        <v>13917</v>
      </c>
      <c r="AC209" s="472">
        <v>9357.4</v>
      </c>
      <c r="AD209" s="76">
        <f t="shared" si="469"/>
        <v>9585.8000000000011</v>
      </c>
      <c r="AE209" s="24">
        <f t="shared" si="439"/>
        <v>891.80000000000109</v>
      </c>
      <c r="AF209" s="25">
        <f t="shared" si="455"/>
        <v>0.10834649495808542</v>
      </c>
      <c r="AG209" s="309">
        <f t="shared" si="456"/>
        <v>9585.8000000000011</v>
      </c>
      <c r="AH209" s="601">
        <f t="shared" si="457"/>
        <v>9585.8000000000011</v>
      </c>
      <c r="AI209" s="410">
        <v>6436</v>
      </c>
      <c r="AJ209" s="575">
        <f t="shared" si="440"/>
        <v>6798</v>
      </c>
      <c r="AK209" s="45">
        <v>13000</v>
      </c>
      <c r="AL209" s="45">
        <v>7594</v>
      </c>
      <c r="AM209" s="45">
        <v>13000</v>
      </c>
      <c r="AN209" s="76">
        <f>AVERAGE(AK209,AL209,AM209)</f>
        <v>11198</v>
      </c>
      <c r="AO209" s="24">
        <f t="shared" si="458"/>
        <v>4762</v>
      </c>
      <c r="AP209" s="281">
        <f t="shared" si="459"/>
        <v>0.73990055935363575</v>
      </c>
      <c r="AQ209" s="601">
        <f t="shared" si="460"/>
        <v>11198</v>
      </c>
      <c r="AR209" s="513">
        <v>6436</v>
      </c>
      <c r="AS209" s="575">
        <f t="shared" si="445"/>
        <v>6798</v>
      </c>
      <c r="AT209" s="88">
        <v>8000</v>
      </c>
      <c r="AU209" s="116">
        <v>8000</v>
      </c>
      <c r="AV209" s="74">
        <v>7590</v>
      </c>
      <c r="AW209" s="76">
        <f t="shared" si="446"/>
        <v>7597</v>
      </c>
      <c r="AX209" s="24">
        <f t="shared" si="461"/>
        <v>1161</v>
      </c>
      <c r="AY209" s="25">
        <f t="shared" si="462"/>
        <v>0.18039154754505904</v>
      </c>
      <c r="AZ209" s="309">
        <f t="shared" si="463"/>
        <v>7597</v>
      </c>
      <c r="BA209" s="601">
        <f t="shared" si="464"/>
        <v>7597</v>
      </c>
      <c r="BB209" s="513">
        <v>6436</v>
      </c>
      <c r="BC209" s="575">
        <f t="shared" si="442"/>
        <v>6798</v>
      </c>
      <c r="BD209" s="74">
        <v>7935</v>
      </c>
      <c r="BE209" s="74">
        <v>14500</v>
      </c>
      <c r="BF209" s="75">
        <v>9142.5</v>
      </c>
      <c r="BG209" s="61">
        <v>10062.5</v>
      </c>
      <c r="BH209" s="60">
        <v>38000</v>
      </c>
      <c r="BI209" s="74">
        <v>11571.875</v>
      </c>
      <c r="BJ209" s="79">
        <v>9142.5</v>
      </c>
      <c r="BK209" s="79">
        <v>6900</v>
      </c>
      <c r="BL209" s="127">
        <v>8280</v>
      </c>
      <c r="BM209" s="128">
        <v>7200</v>
      </c>
      <c r="BN209" s="128">
        <v>7000</v>
      </c>
      <c r="BO209" s="76">
        <f>AVERAGE(BC209,BD209,BE209,BF209,BG209,BI209,BJ209,BK209,BL209,BM209,BN209)</f>
        <v>8957.488636363636</v>
      </c>
      <c r="BP209" s="24">
        <f t="shared" si="465"/>
        <v>2521.488636363636</v>
      </c>
      <c r="BQ209" s="25">
        <f t="shared" si="466"/>
        <v>0.39177884343748232</v>
      </c>
      <c r="BR209" s="259" t="str">
        <f t="shared" si="467"/>
        <v>REVISAR PRECIO</v>
      </c>
      <c r="BS209" s="607">
        <f t="shared" si="443"/>
        <v>8957.488636363636</v>
      </c>
    </row>
    <row r="210" spans="1:71" ht="45" customHeight="1">
      <c r="A210" s="91" t="s">
        <v>31</v>
      </c>
      <c r="B210" s="358" t="s">
        <v>2401</v>
      </c>
      <c r="C210" s="50" t="s">
        <v>309</v>
      </c>
      <c r="D210" s="99" t="s">
        <v>649</v>
      </c>
      <c r="E210" s="391" t="s">
        <v>13</v>
      </c>
      <c r="F210" s="410">
        <v>58113</v>
      </c>
      <c r="G210" s="589">
        <f t="shared" si="449"/>
        <v>61379</v>
      </c>
      <c r="H210" s="10">
        <v>48000</v>
      </c>
      <c r="I210" s="167">
        <v>192000</v>
      </c>
      <c r="J210" s="10">
        <v>45600</v>
      </c>
      <c r="K210" s="76">
        <f>AVERAGE(G210:H210,J210)</f>
        <v>51659.666666666664</v>
      </c>
      <c r="L210" s="24">
        <f t="shared" si="450"/>
        <v>-6453.3333333333358</v>
      </c>
      <c r="M210" s="281">
        <f t="shared" si="451"/>
        <v>-0.10513910838125964</v>
      </c>
      <c r="N210" s="597">
        <f>+K210</f>
        <v>51659.666666666664</v>
      </c>
      <c r="O210" s="410">
        <v>52825</v>
      </c>
      <c r="P210" s="575">
        <f t="shared" si="444"/>
        <v>55794</v>
      </c>
      <c r="Q210" s="10">
        <v>215000</v>
      </c>
      <c r="R210" s="10"/>
      <c r="S210" s="268">
        <v>225000</v>
      </c>
      <c r="T210" s="10">
        <v>220000</v>
      </c>
      <c r="U210" s="76">
        <f>AVERAGE(Q210,R210,S210,T210,P210)</f>
        <v>178948.5</v>
      </c>
      <c r="V210" s="24">
        <f t="shared" si="437"/>
        <v>123154.5</v>
      </c>
      <c r="W210" s="281">
        <f t="shared" si="453"/>
        <v>2.3313677236157124</v>
      </c>
      <c r="X210" s="462">
        <f>P210</f>
        <v>55794</v>
      </c>
      <c r="Y210" s="410">
        <v>111191</v>
      </c>
      <c r="Z210" s="575">
        <f t="shared" si="438"/>
        <v>117440</v>
      </c>
      <c r="AA210" s="31">
        <v>144612</v>
      </c>
      <c r="AB210" s="31">
        <v>187996</v>
      </c>
      <c r="AC210" s="472">
        <v>126401.60000000001</v>
      </c>
      <c r="AD210" s="76">
        <f t="shared" si="469"/>
        <v>129484.53333333333</v>
      </c>
      <c r="AE210" s="24">
        <f t="shared" si="439"/>
        <v>12044.533333333326</v>
      </c>
      <c r="AF210" s="25">
        <f t="shared" si="455"/>
        <v>0.10832291582352281</v>
      </c>
      <c r="AG210" s="309">
        <f t="shared" si="456"/>
        <v>129484.53333333333</v>
      </c>
      <c r="AH210" s="601">
        <f t="shared" si="457"/>
        <v>129484.53333333333</v>
      </c>
      <c r="AI210" s="410">
        <v>58986</v>
      </c>
      <c r="AJ210" s="575">
        <f t="shared" si="440"/>
        <v>62301</v>
      </c>
      <c r="AK210" s="45">
        <v>55000</v>
      </c>
      <c r="AL210" s="45">
        <v>68581</v>
      </c>
      <c r="AM210" s="45">
        <v>70000</v>
      </c>
      <c r="AN210" s="76">
        <f t="shared" si="441"/>
        <v>63970.5</v>
      </c>
      <c r="AO210" s="24">
        <f t="shared" si="458"/>
        <v>4984.5</v>
      </c>
      <c r="AP210" s="281">
        <f t="shared" si="459"/>
        <v>8.4503102431085345E-2</v>
      </c>
      <c r="AQ210" s="601">
        <f t="shared" si="460"/>
        <v>63970.5</v>
      </c>
      <c r="AR210" s="513">
        <v>59280</v>
      </c>
      <c r="AS210" s="575">
        <f t="shared" si="445"/>
        <v>62612</v>
      </c>
      <c r="AT210" s="88">
        <v>60000</v>
      </c>
      <c r="AU210" s="116">
        <v>60000</v>
      </c>
      <c r="AV210" s="74">
        <v>52800</v>
      </c>
      <c r="AW210" s="76">
        <f>AVERAGE(AS210,AT210,AU210)</f>
        <v>60870.666666666664</v>
      </c>
      <c r="AX210" s="24">
        <f t="shared" si="461"/>
        <v>1590.6666666666642</v>
      </c>
      <c r="AY210" s="25">
        <f t="shared" si="462"/>
        <v>2.6833108412055738E-2</v>
      </c>
      <c r="AZ210" s="309">
        <f t="shared" si="463"/>
        <v>60870.666666666664</v>
      </c>
      <c r="BA210" s="601">
        <f t="shared" si="464"/>
        <v>60870.666666666664</v>
      </c>
      <c r="BB210" s="513">
        <v>59280</v>
      </c>
      <c r="BC210" s="575">
        <f t="shared" si="442"/>
        <v>62612</v>
      </c>
      <c r="BD210" s="74">
        <v>55200</v>
      </c>
      <c r="BE210" s="74">
        <v>85000</v>
      </c>
      <c r="BF210" s="75">
        <v>63600</v>
      </c>
      <c r="BG210" s="61">
        <v>66585</v>
      </c>
      <c r="BH210" s="60">
        <v>95000</v>
      </c>
      <c r="BI210" s="74">
        <v>76572.75</v>
      </c>
      <c r="BJ210" s="79">
        <v>63600</v>
      </c>
      <c r="BK210" s="79">
        <f>+BK205</f>
        <v>48000</v>
      </c>
      <c r="BL210" s="127">
        <v>57600</v>
      </c>
      <c r="BM210" s="128">
        <v>59000</v>
      </c>
      <c r="BN210" s="128">
        <v>50000</v>
      </c>
      <c r="BO210" s="76">
        <f>AVERAGE(BC210,BD210,BE210,BF210,BG210,BI210,BJ210,BK210,BL210,BM210,BN210)</f>
        <v>62524.522727272728</v>
      </c>
      <c r="BP210" s="24">
        <f t="shared" si="465"/>
        <v>3244.5227272727279</v>
      </c>
      <c r="BQ210" s="25">
        <f t="shared" si="466"/>
        <v>5.4732164765059516E-2</v>
      </c>
      <c r="BR210" s="259">
        <f t="shared" si="467"/>
        <v>62524.522727272728</v>
      </c>
      <c r="BS210" s="607">
        <f t="shared" si="443"/>
        <v>62524.522727272728</v>
      </c>
    </row>
    <row r="211" spans="1:71" ht="45" customHeight="1">
      <c r="A211" s="91" t="s">
        <v>31</v>
      </c>
      <c r="B211" s="358" t="s">
        <v>2402</v>
      </c>
      <c r="C211" s="50" t="s">
        <v>310</v>
      </c>
      <c r="D211" s="99" t="s">
        <v>650</v>
      </c>
      <c r="E211" s="391" t="s">
        <v>13</v>
      </c>
      <c r="F211" s="410">
        <v>38265</v>
      </c>
      <c r="G211" s="589">
        <f t="shared" si="449"/>
        <v>40415</v>
      </c>
      <c r="H211" s="10">
        <v>55000</v>
      </c>
      <c r="I211" s="167">
        <v>220000</v>
      </c>
      <c r="J211" s="10">
        <v>54000</v>
      </c>
      <c r="K211" s="76">
        <f>AVERAGE(H211,J211)</f>
        <v>54500</v>
      </c>
      <c r="L211" s="24">
        <f t="shared" si="450"/>
        <v>16235</v>
      </c>
      <c r="M211" s="281">
        <f t="shared" si="451"/>
        <v>0.40170728689842883</v>
      </c>
      <c r="N211" s="597">
        <f t="shared" si="452"/>
        <v>54500</v>
      </c>
      <c r="O211" s="410">
        <v>34780</v>
      </c>
      <c r="P211" s="575">
        <f t="shared" si="444"/>
        <v>36735</v>
      </c>
      <c r="Q211" s="10">
        <v>215000</v>
      </c>
      <c r="R211" s="10"/>
      <c r="S211" s="268">
        <v>225000</v>
      </c>
      <c r="T211" s="10">
        <v>220000</v>
      </c>
      <c r="U211" s="76">
        <f>AVERAGE(P211,Q211,T211)</f>
        <v>157245</v>
      </c>
      <c r="V211" s="24">
        <f t="shared" si="437"/>
        <v>120510</v>
      </c>
      <c r="W211" s="281">
        <f t="shared" si="453"/>
        <v>3.4649223691776885</v>
      </c>
      <c r="X211" s="462">
        <f>AVERAGE(P211,U211)</f>
        <v>96990</v>
      </c>
      <c r="Y211" s="410">
        <v>61460</v>
      </c>
      <c r="Z211" s="575">
        <f t="shared" si="438"/>
        <v>64914</v>
      </c>
      <c r="AA211" s="31">
        <v>79934</v>
      </c>
      <c r="AB211" s="31">
        <v>103914</v>
      </c>
      <c r="AC211" s="472">
        <v>69867.8</v>
      </c>
      <c r="AD211" s="76">
        <f>AVERAGE(AA211,AC211,Z211,AB211)</f>
        <v>79657.45</v>
      </c>
      <c r="AE211" s="24">
        <f t="shared" si="439"/>
        <v>14743.449999999997</v>
      </c>
      <c r="AF211" s="25">
        <f t="shared" si="455"/>
        <v>0.23988691832085904</v>
      </c>
      <c r="AG211" s="309">
        <f t="shared" si="456"/>
        <v>79657.45</v>
      </c>
      <c r="AH211" s="601">
        <f t="shared" si="457"/>
        <v>79657.45</v>
      </c>
      <c r="AI211" s="410">
        <v>38833</v>
      </c>
      <c r="AJ211" s="575">
        <f t="shared" si="440"/>
        <v>41015</v>
      </c>
      <c r="AK211" s="45">
        <v>55000</v>
      </c>
      <c r="AL211" s="45">
        <v>45149</v>
      </c>
      <c r="AM211" s="45">
        <v>75000</v>
      </c>
      <c r="AN211" s="76">
        <f>AVERAGE(AK211,AL211,AJ211,AM211)</f>
        <v>54041</v>
      </c>
      <c r="AO211" s="24">
        <f t="shared" si="458"/>
        <v>15208</v>
      </c>
      <c r="AP211" s="281">
        <f t="shared" si="459"/>
        <v>0.39162567919037933</v>
      </c>
      <c r="AQ211" s="601">
        <f t="shared" si="460"/>
        <v>54041</v>
      </c>
      <c r="AR211" s="513">
        <v>39032</v>
      </c>
      <c r="AS211" s="575">
        <f t="shared" si="445"/>
        <v>41226</v>
      </c>
      <c r="AT211" s="88">
        <v>60000</v>
      </c>
      <c r="AU211" s="116">
        <v>60000</v>
      </c>
      <c r="AV211" s="74">
        <v>60500</v>
      </c>
      <c r="AW211" s="76">
        <f t="shared" si="446"/>
        <v>55431.5</v>
      </c>
      <c r="AX211" s="24">
        <f t="shared" si="461"/>
        <v>16399.5</v>
      </c>
      <c r="AY211" s="25">
        <f t="shared" si="462"/>
        <v>0.42015525722484115</v>
      </c>
      <c r="AZ211" s="309" t="str">
        <f t="shared" si="463"/>
        <v>REVISAR PRECIO</v>
      </c>
      <c r="BA211" s="601">
        <f t="shared" si="464"/>
        <v>55431.5</v>
      </c>
      <c r="BB211" s="513">
        <v>39032</v>
      </c>
      <c r="BC211" s="575">
        <f t="shared" si="442"/>
        <v>41226</v>
      </c>
      <c r="BD211" s="74">
        <v>63250</v>
      </c>
      <c r="BE211" s="74">
        <v>80000</v>
      </c>
      <c r="BF211" s="75">
        <v>72875</v>
      </c>
      <c r="BG211" s="61">
        <v>66585</v>
      </c>
      <c r="BH211" s="60">
        <v>90000</v>
      </c>
      <c r="BI211" s="74">
        <v>76572.75</v>
      </c>
      <c r="BJ211" s="79">
        <v>72875</v>
      </c>
      <c r="BK211" s="79">
        <v>55000</v>
      </c>
      <c r="BL211" s="127">
        <v>66000</v>
      </c>
      <c r="BM211" s="128">
        <v>60000</v>
      </c>
      <c r="BN211" s="128">
        <v>60000</v>
      </c>
      <c r="BO211" s="76">
        <f>AVERAGE(BC211,BD211,BE211,BG211,BI211,BJ211,BK211,BL211,BM211,BN211)</f>
        <v>64150.875</v>
      </c>
      <c r="BP211" s="24">
        <f t="shared" si="465"/>
        <v>25118.875</v>
      </c>
      <c r="BQ211" s="25">
        <f t="shared" si="466"/>
        <v>0.64354568046730887</v>
      </c>
      <c r="BR211" s="259" t="str">
        <f t="shared" si="467"/>
        <v>REVISAR PRECIO</v>
      </c>
      <c r="BS211" s="607">
        <f t="shared" si="443"/>
        <v>64150.875</v>
      </c>
    </row>
    <row r="212" spans="1:71" ht="32.1" customHeight="1">
      <c r="A212" s="91" t="s">
        <v>31</v>
      </c>
      <c r="B212" s="358" t="s">
        <v>2403</v>
      </c>
      <c r="C212" s="50" t="s">
        <v>311</v>
      </c>
      <c r="D212" s="99" t="s">
        <v>651</v>
      </c>
      <c r="E212" s="391" t="s">
        <v>13</v>
      </c>
      <c r="F212" s="410">
        <v>3029</v>
      </c>
      <c r="G212" s="589">
        <f t="shared" si="449"/>
        <v>3199</v>
      </c>
      <c r="H212" s="10">
        <v>10000</v>
      </c>
      <c r="I212" s="167">
        <v>40000</v>
      </c>
      <c r="J212" s="10">
        <v>9000</v>
      </c>
      <c r="K212" s="76">
        <f>AVERAGE(H212,J212,H212)</f>
        <v>9666.6666666666661</v>
      </c>
      <c r="L212" s="24">
        <f t="shared" si="450"/>
        <v>6637.6666666666661</v>
      </c>
      <c r="M212" s="281">
        <f t="shared" si="451"/>
        <v>2.0749192455975822</v>
      </c>
      <c r="N212" s="597">
        <f t="shared" si="452"/>
        <v>9666.6666666666661</v>
      </c>
      <c r="O212" s="410">
        <v>2753</v>
      </c>
      <c r="P212" s="575">
        <f t="shared" si="444"/>
        <v>2908</v>
      </c>
      <c r="Q212" s="10">
        <v>3500</v>
      </c>
      <c r="R212" s="10"/>
      <c r="S212" s="268">
        <v>4300</v>
      </c>
      <c r="T212" s="10">
        <v>5000</v>
      </c>
      <c r="U212" s="76">
        <f>AVERAGE(Q212,R212,S212,T212,P212)</f>
        <v>3927</v>
      </c>
      <c r="V212" s="24">
        <f t="shared" si="437"/>
        <v>1019</v>
      </c>
      <c r="W212" s="281">
        <f t="shared" si="453"/>
        <v>0.37014166363966583</v>
      </c>
      <c r="X212" s="462">
        <f t="shared" si="454"/>
        <v>3927</v>
      </c>
      <c r="Y212" s="410">
        <v>4858</v>
      </c>
      <c r="Z212" s="575">
        <f t="shared" si="438"/>
        <v>5131</v>
      </c>
      <c r="AA212" s="33">
        <v>6318</v>
      </c>
      <c r="AB212" s="31">
        <v>8213</v>
      </c>
      <c r="AC212" s="98">
        <v>5522.4</v>
      </c>
      <c r="AD212" s="76">
        <f t="shared" si="469"/>
        <v>5657.1333333333341</v>
      </c>
      <c r="AE212" s="24">
        <f t="shared" si="439"/>
        <v>526.13333333333412</v>
      </c>
      <c r="AF212" s="25">
        <f t="shared" si="455"/>
        <v>0.10830245642925775</v>
      </c>
      <c r="AG212" s="309">
        <f t="shared" si="456"/>
        <v>5657.1333333333341</v>
      </c>
      <c r="AH212" s="601">
        <f t="shared" si="457"/>
        <v>5657.1333333333341</v>
      </c>
      <c r="AI212" s="410">
        <v>3066</v>
      </c>
      <c r="AJ212" s="575">
        <f t="shared" si="440"/>
        <v>3238</v>
      </c>
      <c r="AK212" s="45">
        <v>20000</v>
      </c>
      <c r="AL212" s="45">
        <v>3569</v>
      </c>
      <c r="AM212" s="45">
        <v>17000</v>
      </c>
      <c r="AN212" s="76">
        <f>AVERAGE(AL212,AM212,AJ212)</f>
        <v>7935.666666666667</v>
      </c>
      <c r="AO212" s="24">
        <f t="shared" si="458"/>
        <v>4869.666666666667</v>
      </c>
      <c r="AP212" s="281">
        <f t="shared" si="459"/>
        <v>1.5882800608828007</v>
      </c>
      <c r="AQ212" s="601">
        <f t="shared" si="460"/>
        <v>7935.666666666667</v>
      </c>
      <c r="AR212" s="513">
        <v>3085</v>
      </c>
      <c r="AS212" s="575">
        <f t="shared" si="445"/>
        <v>3258</v>
      </c>
      <c r="AT212" s="88">
        <v>14000</v>
      </c>
      <c r="AU212" s="116">
        <v>17000</v>
      </c>
      <c r="AV212" s="74">
        <v>11000</v>
      </c>
      <c r="AW212" s="76">
        <f>AVERAGE(AS212,AT212,AV212)</f>
        <v>9419.3333333333339</v>
      </c>
      <c r="AX212" s="24">
        <f t="shared" si="461"/>
        <v>6334.3333333333339</v>
      </c>
      <c r="AY212" s="25">
        <f t="shared" si="462"/>
        <v>2.0532685035116156</v>
      </c>
      <c r="AZ212" s="309" t="str">
        <f t="shared" si="463"/>
        <v>REVISAR PRECIO</v>
      </c>
      <c r="BA212" s="601">
        <f t="shared" si="464"/>
        <v>9419.3333333333339</v>
      </c>
      <c r="BB212" s="513">
        <v>3085</v>
      </c>
      <c r="BC212" s="575">
        <f t="shared" si="442"/>
        <v>3258</v>
      </c>
      <c r="BD212" s="74">
        <v>11500</v>
      </c>
      <c r="BE212" s="74">
        <v>12000</v>
      </c>
      <c r="BF212" s="75">
        <v>13250</v>
      </c>
      <c r="BG212" s="61">
        <v>16675</v>
      </c>
      <c r="BH212" s="60">
        <v>28000</v>
      </c>
      <c r="BI212" s="74">
        <v>19176.25</v>
      </c>
      <c r="BJ212" s="79">
        <v>13250</v>
      </c>
      <c r="BK212" s="79">
        <v>10000</v>
      </c>
      <c r="BL212" s="127">
        <v>12000</v>
      </c>
      <c r="BM212" s="128">
        <v>13800</v>
      </c>
      <c r="BN212" s="128">
        <v>10000</v>
      </c>
      <c r="BO212" s="76">
        <f>AVERAGE(BC212,BD212,BE212,BF212,BI212,BJ212,BK212,BL212,BM212,BN212)</f>
        <v>11823.424999999999</v>
      </c>
      <c r="BP212" s="24">
        <f t="shared" si="465"/>
        <v>8738.4249999999993</v>
      </c>
      <c r="BQ212" s="25">
        <f t="shared" si="466"/>
        <v>2.8325526742301457</v>
      </c>
      <c r="BR212" s="259" t="str">
        <f t="shared" si="467"/>
        <v>REVISAR PRECIO</v>
      </c>
      <c r="BS212" s="607">
        <f t="shared" si="443"/>
        <v>11823.424999999999</v>
      </c>
    </row>
    <row r="213" spans="1:71" ht="32.1" customHeight="1">
      <c r="A213" s="91" t="s">
        <v>31</v>
      </c>
      <c r="B213" s="358" t="s">
        <v>2404</v>
      </c>
      <c r="C213" s="50" t="s">
        <v>312</v>
      </c>
      <c r="D213" s="99" t="s">
        <v>652</v>
      </c>
      <c r="E213" s="391" t="s">
        <v>13</v>
      </c>
      <c r="F213" s="410">
        <v>41644</v>
      </c>
      <c r="G213" s="589">
        <f t="shared" si="449"/>
        <v>43984</v>
      </c>
      <c r="H213" s="10">
        <v>59953</v>
      </c>
      <c r="I213" s="167">
        <v>239812</v>
      </c>
      <c r="J213" s="10">
        <v>55670</v>
      </c>
      <c r="K213" s="76">
        <f t="shared" ref="K213:K217" si="470">AVERAGE(H213,J213,G213)</f>
        <v>53202.333333333336</v>
      </c>
      <c r="L213" s="24">
        <f t="shared" si="450"/>
        <v>11558.333333333336</v>
      </c>
      <c r="M213" s="281">
        <f t="shared" si="451"/>
        <v>0.26278495210379538</v>
      </c>
      <c r="N213" s="597">
        <f t="shared" si="452"/>
        <v>53202.333333333336</v>
      </c>
      <c r="O213" s="410">
        <v>36090</v>
      </c>
      <c r="P213" s="575">
        <f t="shared" si="444"/>
        <v>38118</v>
      </c>
      <c r="Q213" s="10">
        <v>135000</v>
      </c>
      <c r="R213" s="10"/>
      <c r="S213" s="268">
        <v>142000</v>
      </c>
      <c r="T213" s="10">
        <v>150000</v>
      </c>
      <c r="U213" s="76">
        <f>AVERAGE(Q213,R213,P213,S213,T213)</f>
        <v>116279.5</v>
      </c>
      <c r="V213" s="24">
        <f t="shared" si="437"/>
        <v>78161.5</v>
      </c>
      <c r="W213" s="281">
        <f t="shared" si="453"/>
        <v>2.1657384316985313</v>
      </c>
      <c r="X213" s="462">
        <f>AVERAGE(P213,U213)</f>
        <v>77198.75</v>
      </c>
      <c r="Y213" s="410">
        <v>66048</v>
      </c>
      <c r="Z213" s="575">
        <f t="shared" si="438"/>
        <v>69760</v>
      </c>
      <c r="AA213" s="31">
        <v>85901</v>
      </c>
      <c r="AB213" s="31">
        <v>111671</v>
      </c>
      <c r="AC213" s="98">
        <v>75083.399999999994</v>
      </c>
      <c r="AD213" s="76">
        <f t="shared" si="469"/>
        <v>76914.8</v>
      </c>
      <c r="AE213" s="24">
        <f t="shared" si="439"/>
        <v>7154.8000000000029</v>
      </c>
      <c r="AF213" s="25">
        <f t="shared" si="455"/>
        <v>0.10832727713178299</v>
      </c>
      <c r="AG213" s="309">
        <f t="shared" si="456"/>
        <v>76914.8</v>
      </c>
      <c r="AH213" s="601">
        <f t="shared" si="457"/>
        <v>76914.8</v>
      </c>
      <c r="AI213" s="410">
        <v>40665</v>
      </c>
      <c r="AJ213" s="575">
        <f t="shared" si="440"/>
        <v>42950</v>
      </c>
      <c r="AK213" s="45">
        <v>75000</v>
      </c>
      <c r="AL213" s="45">
        <v>49129</v>
      </c>
      <c r="AM213" s="45">
        <v>70000</v>
      </c>
      <c r="AN213" s="76">
        <f>AVERAGE(AL213,AM213,AJ213)</f>
        <v>54026.333333333336</v>
      </c>
      <c r="AO213" s="24">
        <f t="shared" si="458"/>
        <v>13361.333333333336</v>
      </c>
      <c r="AP213" s="281">
        <f t="shared" si="459"/>
        <v>0.32857084306733886</v>
      </c>
      <c r="AQ213" s="601">
        <f t="shared" si="460"/>
        <v>54026.333333333336</v>
      </c>
      <c r="AR213" s="513">
        <v>41947</v>
      </c>
      <c r="AS213" s="575">
        <f t="shared" si="445"/>
        <v>44304</v>
      </c>
      <c r="AT213" s="88">
        <v>65000</v>
      </c>
      <c r="AU213" s="116">
        <v>65000</v>
      </c>
      <c r="AV213" s="74">
        <v>65947.75</v>
      </c>
      <c r="AW213" s="76">
        <f t="shared" si="446"/>
        <v>60062.9375</v>
      </c>
      <c r="AX213" s="24">
        <f t="shared" si="461"/>
        <v>18115.9375</v>
      </c>
      <c r="AY213" s="25">
        <f t="shared" si="462"/>
        <v>0.43187683266979759</v>
      </c>
      <c r="AZ213" s="309" t="str">
        <f t="shared" si="463"/>
        <v>REVISAR PRECIO</v>
      </c>
      <c r="BA213" s="601">
        <f t="shared" si="464"/>
        <v>60062.9375</v>
      </c>
      <c r="BB213" s="513">
        <v>41947</v>
      </c>
      <c r="BC213" s="575">
        <f t="shared" si="442"/>
        <v>44304</v>
      </c>
      <c r="BD213" s="74">
        <v>68945.375</v>
      </c>
      <c r="BE213" s="74">
        <v>90000</v>
      </c>
      <c r="BF213" s="75">
        <v>79437.0625</v>
      </c>
      <c r="BG213" s="61">
        <v>68945.375</v>
      </c>
      <c r="BH213" s="60">
        <v>80000</v>
      </c>
      <c r="BI213" s="74">
        <v>79287.181249999994</v>
      </c>
      <c r="BJ213" s="79">
        <v>79437.0625</v>
      </c>
      <c r="BK213" s="79">
        <f>47962*1.25</f>
        <v>59952.5</v>
      </c>
      <c r="BL213" s="127">
        <v>71943</v>
      </c>
      <c r="BM213" s="128">
        <v>65000</v>
      </c>
      <c r="BN213" s="128">
        <v>60000</v>
      </c>
      <c r="BO213" s="76">
        <f>AVERAGE(BC213,BD213,BE213,BG213,BI213,BJ213,BK213,BM213,BN213)</f>
        <v>68430.165972222225</v>
      </c>
      <c r="BP213" s="24">
        <f t="shared" si="465"/>
        <v>26483.165972222225</v>
      </c>
      <c r="BQ213" s="25">
        <f t="shared" si="466"/>
        <v>0.63134827215825262</v>
      </c>
      <c r="BR213" s="259" t="str">
        <f t="shared" si="467"/>
        <v>REVISAR PRECIO</v>
      </c>
      <c r="BS213" s="607">
        <f t="shared" si="443"/>
        <v>68430.165972222225</v>
      </c>
    </row>
    <row r="214" spans="1:71" ht="32.1" customHeight="1">
      <c r="A214" s="91" t="s">
        <v>31</v>
      </c>
      <c r="B214" s="358" t="s">
        <v>2405</v>
      </c>
      <c r="C214" s="50" t="s">
        <v>313</v>
      </c>
      <c r="D214" s="99" t="s">
        <v>653</v>
      </c>
      <c r="E214" s="391" t="s">
        <v>13</v>
      </c>
      <c r="F214" s="410">
        <v>59974</v>
      </c>
      <c r="G214" s="589">
        <f t="shared" si="449"/>
        <v>63345</v>
      </c>
      <c r="H214" s="10">
        <v>91320</v>
      </c>
      <c r="I214" s="167">
        <v>273960</v>
      </c>
      <c r="J214" s="10">
        <v>87900</v>
      </c>
      <c r="K214" s="76">
        <f t="shared" si="470"/>
        <v>80855</v>
      </c>
      <c r="L214" s="24">
        <f t="shared" si="450"/>
        <v>20881</v>
      </c>
      <c r="M214" s="281">
        <f t="shared" si="451"/>
        <v>0.32963927697529405</v>
      </c>
      <c r="N214" s="597">
        <f t="shared" si="452"/>
        <v>80855</v>
      </c>
      <c r="O214" s="410">
        <v>51307</v>
      </c>
      <c r="P214" s="575">
        <f t="shared" si="444"/>
        <v>54190</v>
      </c>
      <c r="Q214" s="10">
        <v>120000</v>
      </c>
      <c r="R214" s="10"/>
      <c r="S214" s="268">
        <v>126000</v>
      </c>
      <c r="T214" s="10">
        <v>150000</v>
      </c>
      <c r="U214" s="76">
        <f>AVERAGE(Q214,R214,S214,T214)</f>
        <v>132000</v>
      </c>
      <c r="V214" s="24">
        <f t="shared" si="437"/>
        <v>77810</v>
      </c>
      <c r="W214" s="281">
        <f t="shared" si="453"/>
        <v>1.5165571949246692</v>
      </c>
      <c r="X214" s="462">
        <f>AVERAGE(P214,U214)</f>
        <v>93095</v>
      </c>
      <c r="Y214" s="410">
        <v>94925</v>
      </c>
      <c r="Z214" s="575">
        <f t="shared" si="438"/>
        <v>100260</v>
      </c>
      <c r="AA214" s="31">
        <v>123458</v>
      </c>
      <c r="AB214" s="33">
        <v>160495</v>
      </c>
      <c r="AC214" s="98">
        <v>107911</v>
      </c>
      <c r="AD214" s="76">
        <f t="shared" si="469"/>
        <v>110543</v>
      </c>
      <c r="AE214" s="24">
        <f t="shared" si="439"/>
        <v>10283</v>
      </c>
      <c r="AF214" s="25">
        <f t="shared" si="455"/>
        <v>0.1083276270740058</v>
      </c>
      <c r="AG214" s="309">
        <f t="shared" si="456"/>
        <v>110543</v>
      </c>
      <c r="AH214" s="601">
        <f t="shared" si="457"/>
        <v>110543</v>
      </c>
      <c r="AI214" s="499">
        <v>59005</v>
      </c>
      <c r="AJ214" s="575">
        <f t="shared" si="440"/>
        <v>62321</v>
      </c>
      <c r="AK214" s="317">
        <v>85000</v>
      </c>
      <c r="AL214" s="317">
        <v>70763</v>
      </c>
      <c r="AM214" s="45">
        <v>100000</v>
      </c>
      <c r="AN214" s="76">
        <f>AVERAGE(AK214,AL214,AJ214)</f>
        <v>72694.666666666672</v>
      </c>
      <c r="AO214" s="24">
        <f t="shared" si="458"/>
        <v>13689.666666666672</v>
      </c>
      <c r="AP214" s="281">
        <f t="shared" si="459"/>
        <v>0.232008586842923</v>
      </c>
      <c r="AQ214" s="601">
        <f t="shared" si="460"/>
        <v>72694.666666666672</v>
      </c>
      <c r="AR214" s="513">
        <v>60277</v>
      </c>
      <c r="AS214" s="575">
        <f t="shared" si="445"/>
        <v>63665</v>
      </c>
      <c r="AT214" s="88">
        <v>100000</v>
      </c>
      <c r="AU214" s="116">
        <v>100000</v>
      </c>
      <c r="AV214" s="74">
        <v>100452</v>
      </c>
      <c r="AW214" s="76">
        <f t="shared" si="446"/>
        <v>91029.25</v>
      </c>
      <c r="AX214" s="24">
        <f t="shared" si="461"/>
        <v>30752.25</v>
      </c>
      <c r="AY214" s="25">
        <f t="shared" si="462"/>
        <v>0.51018215903246678</v>
      </c>
      <c r="AZ214" s="309" t="str">
        <f t="shared" si="463"/>
        <v>REVISAR PRECIO</v>
      </c>
      <c r="BA214" s="601">
        <f t="shared" si="464"/>
        <v>91029.25</v>
      </c>
      <c r="BB214" s="513">
        <v>60277</v>
      </c>
      <c r="BC214" s="575">
        <f t="shared" si="442"/>
        <v>63665</v>
      </c>
      <c r="BD214" s="74">
        <v>105018</v>
      </c>
      <c r="BE214" s="74">
        <v>120000</v>
      </c>
      <c r="BF214" s="75">
        <v>120999</v>
      </c>
      <c r="BG214" s="61">
        <v>105017.99999999999</v>
      </c>
      <c r="BH214" s="60">
        <v>80000</v>
      </c>
      <c r="BI214" s="74">
        <v>120770.69999999997</v>
      </c>
      <c r="BJ214" s="79">
        <v>120999</v>
      </c>
      <c r="BK214" s="79">
        <f>76100*1.2</f>
        <v>91320</v>
      </c>
      <c r="BL214" s="127">
        <v>109584</v>
      </c>
      <c r="BM214" s="128">
        <v>98700</v>
      </c>
      <c r="BN214" s="128">
        <v>90000</v>
      </c>
      <c r="BO214" s="76">
        <f>AVERAGE(BC214,BD214,BE214,BG214,BH214,BJ214,BK214,BM214,BN214)</f>
        <v>97191.111111111109</v>
      </c>
      <c r="BP214" s="24">
        <f t="shared" si="465"/>
        <v>36914.111111111109</v>
      </c>
      <c r="BQ214" s="25">
        <f t="shared" si="466"/>
        <v>0.61240790203744566</v>
      </c>
      <c r="BR214" s="259" t="str">
        <f t="shared" si="467"/>
        <v>REVISAR PRECIO</v>
      </c>
      <c r="BS214" s="607">
        <f t="shared" si="443"/>
        <v>97191.111111111109</v>
      </c>
    </row>
    <row r="215" spans="1:71" ht="46.35" customHeight="1">
      <c r="A215" s="91" t="s">
        <v>31</v>
      </c>
      <c r="B215" s="358" t="s">
        <v>2406</v>
      </c>
      <c r="C215" s="50" t="s">
        <v>314</v>
      </c>
      <c r="D215" s="99" t="s">
        <v>654</v>
      </c>
      <c r="E215" s="391" t="s">
        <v>13</v>
      </c>
      <c r="F215" s="410">
        <v>193694</v>
      </c>
      <c r="G215" s="589">
        <f t="shared" si="449"/>
        <v>204580</v>
      </c>
      <c r="H215" s="10">
        <v>173500</v>
      </c>
      <c r="I215" s="167">
        <v>520500</v>
      </c>
      <c r="J215" s="10">
        <v>170900</v>
      </c>
      <c r="K215" s="76">
        <f t="shared" si="470"/>
        <v>182993.33333333334</v>
      </c>
      <c r="L215" s="24">
        <f t="shared" si="450"/>
        <v>-10700.666666666657</v>
      </c>
      <c r="M215" s="281">
        <f t="shared" si="451"/>
        <v>-5.2305536546420263E-2</v>
      </c>
      <c r="N215" s="597">
        <f t="shared" si="452"/>
        <v>182993.33333333334</v>
      </c>
      <c r="O215" s="410">
        <v>174328</v>
      </c>
      <c r="P215" s="575">
        <f t="shared" si="444"/>
        <v>184125</v>
      </c>
      <c r="Q215" s="10"/>
      <c r="R215" s="10"/>
      <c r="S215" s="268"/>
      <c r="T215" s="10">
        <v>250000</v>
      </c>
      <c r="U215" s="76">
        <f>AVERAGE(Q215,R215,S215,T215,P215)</f>
        <v>217062.5</v>
      </c>
      <c r="V215" s="24">
        <f t="shared" si="437"/>
        <v>32937.5</v>
      </c>
      <c r="W215" s="281">
        <f t="shared" si="453"/>
        <v>0.18893981460235879</v>
      </c>
      <c r="X215" s="462">
        <f t="shared" si="454"/>
        <v>217062.5</v>
      </c>
      <c r="Y215" s="410">
        <v>304996</v>
      </c>
      <c r="Z215" s="575">
        <f t="shared" si="438"/>
        <v>322137</v>
      </c>
      <c r="AA215" s="31">
        <v>396671</v>
      </c>
      <c r="AB215" s="31">
        <v>515672</v>
      </c>
      <c r="AC215" s="98">
        <v>346719.4</v>
      </c>
      <c r="AD215" s="76">
        <f t="shared" si="469"/>
        <v>355175.8</v>
      </c>
      <c r="AE215" s="24">
        <f t="shared" si="439"/>
        <v>33038.799999999988</v>
      </c>
      <c r="AF215" s="25">
        <f t="shared" si="455"/>
        <v>0.10832535508662405</v>
      </c>
      <c r="AG215" s="309">
        <f t="shared" si="456"/>
        <v>355175.8</v>
      </c>
      <c r="AH215" s="601">
        <f t="shared" si="457"/>
        <v>355175.8</v>
      </c>
      <c r="AI215" s="410">
        <v>193693</v>
      </c>
      <c r="AJ215" s="575">
        <f t="shared" si="440"/>
        <v>204579</v>
      </c>
      <c r="AK215" s="45"/>
      <c r="AL215" s="45">
        <v>228535</v>
      </c>
      <c r="AM215" s="45">
        <v>185000</v>
      </c>
      <c r="AN215" s="76">
        <f t="shared" si="441"/>
        <v>206038</v>
      </c>
      <c r="AO215" s="24">
        <f t="shared" si="458"/>
        <v>12345</v>
      </c>
      <c r="AP215" s="281">
        <f t="shared" si="459"/>
        <v>6.3734879422591414E-2</v>
      </c>
      <c r="AQ215" s="601">
        <f t="shared" si="460"/>
        <v>206038</v>
      </c>
      <c r="AR215" s="513">
        <v>193693</v>
      </c>
      <c r="AS215" s="575">
        <f t="shared" si="445"/>
        <v>204579</v>
      </c>
      <c r="AT215" s="88">
        <v>200000</v>
      </c>
      <c r="AU215" s="116">
        <v>200000</v>
      </c>
      <c r="AV215" s="74">
        <v>190850</v>
      </c>
      <c r="AW215" s="76">
        <f t="shared" si="446"/>
        <v>198857.25</v>
      </c>
      <c r="AX215" s="24">
        <f t="shared" si="461"/>
        <v>5164.25</v>
      </c>
      <c r="AY215" s="25">
        <f t="shared" si="462"/>
        <v>2.6662037347761663E-2</v>
      </c>
      <c r="AZ215" s="309">
        <f t="shared" si="463"/>
        <v>198857.25</v>
      </c>
      <c r="BA215" s="601">
        <f t="shared" si="464"/>
        <v>198857.25</v>
      </c>
      <c r="BB215" s="513">
        <v>193693</v>
      </c>
      <c r="BC215" s="575">
        <f t="shared" si="442"/>
        <v>204579</v>
      </c>
      <c r="BD215" s="74">
        <v>199525</v>
      </c>
      <c r="BE215" s="74">
        <v>280000</v>
      </c>
      <c r="BF215" s="75">
        <v>229887.5</v>
      </c>
      <c r="BG215" s="61">
        <v>224709.99999999997</v>
      </c>
      <c r="BH215" s="60">
        <v>130000</v>
      </c>
      <c r="BI215" s="74">
        <v>258416.49999999994</v>
      </c>
      <c r="BJ215" s="79">
        <v>229887.5</v>
      </c>
      <c r="BK215" s="79">
        <f>138800*1.25</f>
        <v>173500</v>
      </c>
      <c r="BL215" s="127">
        <v>208200</v>
      </c>
      <c r="BM215" s="128">
        <v>209700</v>
      </c>
      <c r="BN215" s="128">
        <v>200000</v>
      </c>
      <c r="BO215" s="76">
        <f>AVERAGE(BC215,BD215,BE215,BF215,BG215,BH215,BJ215,BK215,BL215,BM215,BN215)</f>
        <v>208180.81818181818</v>
      </c>
      <c r="BP215" s="24">
        <f t="shared" si="465"/>
        <v>14487.818181818177</v>
      </c>
      <c r="BQ215" s="25">
        <f t="shared" si="466"/>
        <v>7.4797840819328401E-2</v>
      </c>
      <c r="BR215" s="259">
        <f t="shared" si="467"/>
        <v>208180.81818181818</v>
      </c>
      <c r="BS215" s="607">
        <f t="shared" si="443"/>
        <v>208180.81818181818</v>
      </c>
    </row>
    <row r="216" spans="1:71" ht="34.35" customHeight="1">
      <c r="A216" s="91" t="s">
        <v>31</v>
      </c>
      <c r="B216" s="358" t="s">
        <v>2407</v>
      </c>
      <c r="C216" s="50" t="s">
        <v>315</v>
      </c>
      <c r="D216" s="99" t="s">
        <v>655</v>
      </c>
      <c r="E216" s="391" t="s">
        <v>13</v>
      </c>
      <c r="F216" s="410">
        <v>28469</v>
      </c>
      <c r="G216" s="589">
        <f t="shared" si="449"/>
        <v>30069</v>
      </c>
      <c r="H216" s="10">
        <v>35160</v>
      </c>
      <c r="I216" s="167">
        <v>105480</v>
      </c>
      <c r="J216" s="10">
        <v>34600</v>
      </c>
      <c r="K216" s="76">
        <f t="shared" si="470"/>
        <v>33276.333333333336</v>
      </c>
      <c r="L216" s="24">
        <f t="shared" si="450"/>
        <v>4807.3333333333358</v>
      </c>
      <c r="M216" s="281">
        <f t="shared" si="451"/>
        <v>0.15987672797011326</v>
      </c>
      <c r="N216" s="597">
        <f t="shared" si="452"/>
        <v>33276.333333333336</v>
      </c>
      <c r="O216" s="410">
        <v>25876</v>
      </c>
      <c r="P216" s="575">
        <f t="shared" si="444"/>
        <v>27330</v>
      </c>
      <c r="Q216" s="10">
        <v>24500</v>
      </c>
      <c r="R216" s="10"/>
      <c r="S216" s="268">
        <v>28000</v>
      </c>
      <c r="T216" s="10">
        <v>30000</v>
      </c>
      <c r="U216" s="76">
        <f>AVERAGE(Q216,R216,S216,T216,P216)</f>
        <v>27457.5</v>
      </c>
      <c r="V216" s="24">
        <f t="shared" si="437"/>
        <v>127.5</v>
      </c>
      <c r="W216" s="281">
        <f t="shared" si="453"/>
        <v>4.9273458030607512E-3</v>
      </c>
      <c r="X216" s="462">
        <f t="shared" si="454"/>
        <v>27457.5</v>
      </c>
      <c r="Y216" s="410">
        <v>45724</v>
      </c>
      <c r="Z216" s="575">
        <f t="shared" si="438"/>
        <v>48294</v>
      </c>
      <c r="AA216" s="31">
        <v>59468</v>
      </c>
      <c r="AB216" s="31">
        <v>77308</v>
      </c>
      <c r="AC216" s="98">
        <v>51979</v>
      </c>
      <c r="AD216" s="76">
        <f t="shared" si="469"/>
        <v>53247</v>
      </c>
      <c r="AE216" s="24">
        <f t="shared" si="439"/>
        <v>4953</v>
      </c>
      <c r="AF216" s="25">
        <f t="shared" si="455"/>
        <v>0.10832385618056163</v>
      </c>
      <c r="AG216" s="309">
        <f t="shared" si="456"/>
        <v>53247</v>
      </c>
      <c r="AH216" s="601">
        <f t="shared" si="457"/>
        <v>53247</v>
      </c>
      <c r="AI216" s="410">
        <v>28895</v>
      </c>
      <c r="AJ216" s="575">
        <f t="shared" si="440"/>
        <v>30519</v>
      </c>
      <c r="AK216" s="45"/>
      <c r="AL216" s="45">
        <v>33593</v>
      </c>
      <c r="AM216" s="45">
        <v>45000</v>
      </c>
      <c r="AN216" s="76">
        <f>AVERAGE(AK216,AL216,AJ216)</f>
        <v>32056</v>
      </c>
      <c r="AO216" s="24">
        <f t="shared" si="458"/>
        <v>3161</v>
      </c>
      <c r="AP216" s="281">
        <f t="shared" si="459"/>
        <v>0.10939608928880429</v>
      </c>
      <c r="AQ216" s="601">
        <f t="shared" si="460"/>
        <v>32056</v>
      </c>
      <c r="AR216" s="513">
        <v>29037</v>
      </c>
      <c r="AS216" s="575">
        <f t="shared" si="445"/>
        <v>30669</v>
      </c>
      <c r="AT216" s="88">
        <v>45000</v>
      </c>
      <c r="AU216" s="116">
        <v>45000</v>
      </c>
      <c r="AV216" s="74">
        <v>38676</v>
      </c>
      <c r="AW216" s="76">
        <f t="shared" si="446"/>
        <v>39836.25</v>
      </c>
      <c r="AX216" s="24">
        <f t="shared" si="461"/>
        <v>10799.25</v>
      </c>
      <c r="AY216" s="25">
        <f t="shared" si="462"/>
        <v>0.37191342080793471</v>
      </c>
      <c r="AZ216" s="309" t="str">
        <f t="shared" si="463"/>
        <v>REVISAR PRECIO</v>
      </c>
      <c r="BA216" s="601">
        <f t="shared" si="464"/>
        <v>39836.25</v>
      </c>
      <c r="BB216" s="513">
        <v>29037</v>
      </c>
      <c r="BC216" s="575">
        <f t="shared" si="442"/>
        <v>30669</v>
      </c>
      <c r="BD216" s="74">
        <v>40434</v>
      </c>
      <c r="BE216" s="74">
        <v>90000</v>
      </c>
      <c r="BF216" s="75">
        <v>46587</v>
      </c>
      <c r="BG216" s="61">
        <v>52497.499999999993</v>
      </c>
      <c r="BH216" s="60">
        <v>120000</v>
      </c>
      <c r="BI216" s="74">
        <v>60372.124999999985</v>
      </c>
      <c r="BJ216" s="79">
        <v>46587</v>
      </c>
      <c r="BK216" s="79">
        <f>+BK190</f>
        <v>35160</v>
      </c>
      <c r="BL216" s="127">
        <v>42192</v>
      </c>
      <c r="BM216" s="128">
        <v>33600</v>
      </c>
      <c r="BN216" s="128">
        <v>35000</v>
      </c>
      <c r="BO216" s="76">
        <f>AVERAGE(BC216,BD216,BE216,BF216,BI216,BJ216,BK216,BL216,BM216,BN216)</f>
        <v>46060.112500000003</v>
      </c>
      <c r="BP216" s="24">
        <f t="shared" si="465"/>
        <v>17023.112500000003</v>
      </c>
      <c r="BQ216" s="25">
        <f t="shared" si="466"/>
        <v>0.58625589764782871</v>
      </c>
      <c r="BR216" s="259" t="str">
        <f t="shared" si="467"/>
        <v>REVISAR PRECIO</v>
      </c>
      <c r="BS216" s="607">
        <f t="shared" si="443"/>
        <v>46060.112500000003</v>
      </c>
    </row>
    <row r="217" spans="1:71" ht="34.35" customHeight="1">
      <c r="A217" s="91" t="s">
        <v>31</v>
      </c>
      <c r="B217" s="358" t="s">
        <v>2408</v>
      </c>
      <c r="C217" s="50" t="s">
        <v>316</v>
      </c>
      <c r="D217" s="99" t="s">
        <v>656</v>
      </c>
      <c r="E217" s="391" t="s">
        <v>13</v>
      </c>
      <c r="F217" s="410">
        <v>28469</v>
      </c>
      <c r="G217" s="589">
        <f t="shared" si="449"/>
        <v>30069</v>
      </c>
      <c r="H217" s="10">
        <v>35160</v>
      </c>
      <c r="I217" s="167">
        <v>105480</v>
      </c>
      <c r="J217" s="10">
        <v>34600</v>
      </c>
      <c r="K217" s="76">
        <f t="shared" si="470"/>
        <v>33276.333333333336</v>
      </c>
      <c r="L217" s="24">
        <f t="shared" si="450"/>
        <v>4807.3333333333358</v>
      </c>
      <c r="M217" s="281">
        <f t="shared" si="451"/>
        <v>0.15987672797011326</v>
      </c>
      <c r="N217" s="597">
        <f t="shared" si="452"/>
        <v>33276.333333333336</v>
      </c>
      <c r="O217" s="410">
        <v>44567</v>
      </c>
      <c r="P217" s="575">
        <f t="shared" si="444"/>
        <v>47072</v>
      </c>
      <c r="Q217" s="10">
        <v>230000</v>
      </c>
      <c r="R217" s="10"/>
      <c r="S217" s="268">
        <v>245000</v>
      </c>
      <c r="T217" s="10">
        <v>250000</v>
      </c>
      <c r="U217" s="76">
        <f t="shared" ref="U217:U221" si="471">AVERAGE(Q217,R217,S217,T217)</f>
        <v>241666.66666666666</v>
      </c>
      <c r="V217" s="24">
        <f t="shared" si="437"/>
        <v>194594.66666666666</v>
      </c>
      <c r="W217" s="281">
        <f t="shared" si="453"/>
        <v>4.3663398179519968</v>
      </c>
      <c r="X217" s="462">
        <f>P217</f>
        <v>47072</v>
      </c>
      <c r="Y217" s="410">
        <v>78743</v>
      </c>
      <c r="Z217" s="575">
        <f t="shared" si="438"/>
        <v>83168</v>
      </c>
      <c r="AA217" s="31">
        <v>102411</v>
      </c>
      <c r="AB217" s="33">
        <v>102411</v>
      </c>
      <c r="AC217" s="98">
        <v>89514.8</v>
      </c>
      <c r="AD217" s="76">
        <f>AVERAGE(AA217,AC217,Z217,AB217)</f>
        <v>94376.2</v>
      </c>
      <c r="AE217" s="24">
        <f t="shared" si="439"/>
        <v>11208.199999999997</v>
      </c>
      <c r="AF217" s="25">
        <f t="shared" si="455"/>
        <v>0.14233900156204357</v>
      </c>
      <c r="AG217" s="309">
        <f t="shared" si="456"/>
        <v>94376.2</v>
      </c>
      <c r="AH217" s="601">
        <f t="shared" si="457"/>
        <v>94376.2</v>
      </c>
      <c r="AI217" s="410">
        <v>49759</v>
      </c>
      <c r="AJ217" s="575">
        <f t="shared" si="440"/>
        <v>52555</v>
      </c>
      <c r="AK217" s="45"/>
      <c r="AL217" s="45">
        <v>578648</v>
      </c>
      <c r="AM217" s="45">
        <v>40000</v>
      </c>
      <c r="AN217" s="76">
        <f t="shared" si="441"/>
        <v>223734.33333333334</v>
      </c>
      <c r="AO217" s="24">
        <f t="shared" si="458"/>
        <v>173975.33333333334</v>
      </c>
      <c r="AP217" s="281">
        <f t="shared" si="459"/>
        <v>3.4963591176135642</v>
      </c>
      <c r="AQ217" s="653">
        <f>AJ217</f>
        <v>52555</v>
      </c>
      <c r="AR217" s="513">
        <v>50006</v>
      </c>
      <c r="AS217" s="575">
        <f t="shared" si="445"/>
        <v>52816</v>
      </c>
      <c r="AT217" s="88">
        <v>26000</v>
      </c>
      <c r="AU217" s="116">
        <v>26000</v>
      </c>
      <c r="AV217" s="74">
        <v>27500</v>
      </c>
      <c r="AW217" s="76">
        <f t="shared" si="446"/>
        <v>33079</v>
      </c>
      <c r="AX217" s="24">
        <f t="shared" si="461"/>
        <v>-16927</v>
      </c>
      <c r="AY217" s="25">
        <f t="shared" si="462"/>
        <v>-0.33849938007439107</v>
      </c>
      <c r="AZ217" s="309">
        <f t="shared" si="463"/>
        <v>33079</v>
      </c>
      <c r="BA217" s="601">
        <f t="shared" si="464"/>
        <v>33079</v>
      </c>
      <c r="BB217" s="513">
        <v>50006</v>
      </c>
      <c r="BC217" s="575">
        <f t="shared" si="442"/>
        <v>52816</v>
      </c>
      <c r="BD217" s="74">
        <v>28750</v>
      </c>
      <c r="BE217" s="74">
        <v>55000</v>
      </c>
      <c r="BF217" s="75">
        <v>33125</v>
      </c>
      <c r="BG217" s="61">
        <v>37260</v>
      </c>
      <c r="BH217" s="60">
        <v>90000</v>
      </c>
      <c r="BI217" s="74">
        <v>42849</v>
      </c>
      <c r="BJ217" s="79">
        <v>33125</v>
      </c>
      <c r="BK217" s="79">
        <v>25000</v>
      </c>
      <c r="BL217" s="127">
        <v>30000</v>
      </c>
      <c r="BM217" s="128">
        <v>28000</v>
      </c>
      <c r="BN217" s="128">
        <v>30000</v>
      </c>
      <c r="BO217" s="76">
        <f t="shared" si="468"/>
        <v>40493.75</v>
      </c>
      <c r="BP217" s="24">
        <f t="shared" si="465"/>
        <v>-9512.25</v>
      </c>
      <c r="BQ217" s="25">
        <f t="shared" si="466"/>
        <v>-0.1902221733391993</v>
      </c>
      <c r="BR217" s="259">
        <f t="shared" si="467"/>
        <v>40493.75</v>
      </c>
      <c r="BS217" s="652">
        <f>BC217</f>
        <v>52816</v>
      </c>
    </row>
    <row r="218" spans="1:71" ht="34.35" customHeight="1">
      <c r="A218" s="91" t="s">
        <v>31</v>
      </c>
      <c r="B218" s="358" t="s">
        <v>2409</v>
      </c>
      <c r="C218" s="50" t="s">
        <v>317</v>
      </c>
      <c r="D218" s="99" t="s">
        <v>657</v>
      </c>
      <c r="E218" s="391" t="s">
        <v>10</v>
      </c>
      <c r="F218" s="410">
        <v>49029</v>
      </c>
      <c r="G218" s="589">
        <f t="shared" si="449"/>
        <v>51784</v>
      </c>
      <c r="H218" s="10">
        <v>25000</v>
      </c>
      <c r="I218" s="167">
        <v>75000</v>
      </c>
      <c r="J218" s="10">
        <v>35600</v>
      </c>
      <c r="K218" s="76">
        <f>AVERAGE(H218,J218,G218)</f>
        <v>37461.333333333336</v>
      </c>
      <c r="L218" s="24">
        <f t="shared" si="450"/>
        <v>-11567.666666666664</v>
      </c>
      <c r="M218" s="281">
        <f t="shared" si="451"/>
        <v>-0.22338302693238576</v>
      </c>
      <c r="N218" s="597">
        <f>K218</f>
        <v>37461.333333333336</v>
      </c>
      <c r="O218" s="410">
        <v>16744</v>
      </c>
      <c r="P218" s="575">
        <f t="shared" si="444"/>
        <v>17685</v>
      </c>
      <c r="Q218" s="10">
        <v>25000</v>
      </c>
      <c r="R218" s="10"/>
      <c r="S218" s="268">
        <v>29000</v>
      </c>
      <c r="T218" s="10">
        <v>30000</v>
      </c>
      <c r="U218" s="76">
        <f>AVERAGE(Q218,R218,S218,T218,P218)</f>
        <v>25421.25</v>
      </c>
      <c r="V218" s="24">
        <f t="shared" si="437"/>
        <v>7736.25</v>
      </c>
      <c r="W218" s="281">
        <f t="shared" si="453"/>
        <v>0.46203117534639276</v>
      </c>
      <c r="X218" s="462">
        <f t="shared" si="454"/>
        <v>25421.25</v>
      </c>
      <c r="Y218" s="410">
        <v>29593</v>
      </c>
      <c r="Z218" s="575">
        <f t="shared" si="438"/>
        <v>31256</v>
      </c>
      <c r="AA218" s="33">
        <v>38489</v>
      </c>
      <c r="AB218" s="31">
        <v>50035</v>
      </c>
      <c r="AC218" s="98">
        <v>33641.800000000003</v>
      </c>
      <c r="AD218" s="76">
        <f t="shared" si="469"/>
        <v>34462.26666666667</v>
      </c>
      <c r="AE218" s="24">
        <f t="shared" si="439"/>
        <v>3206.2666666666701</v>
      </c>
      <c r="AF218" s="25">
        <f t="shared" si="455"/>
        <v>0.10834544205273781</v>
      </c>
      <c r="AG218" s="309">
        <f t="shared" si="456"/>
        <v>34462.26666666667</v>
      </c>
      <c r="AH218" s="601">
        <f t="shared" si="457"/>
        <v>34462.26666666667</v>
      </c>
      <c r="AI218" s="410">
        <v>18700</v>
      </c>
      <c r="AJ218" s="575">
        <f t="shared" si="440"/>
        <v>19751</v>
      </c>
      <c r="AK218" s="45"/>
      <c r="AL218" s="45">
        <v>21740</v>
      </c>
      <c r="AM218" s="45">
        <v>35000</v>
      </c>
      <c r="AN218" s="76">
        <f>AVERAGE(AK218,AL218,AJ218)</f>
        <v>20745.5</v>
      </c>
      <c r="AO218" s="24">
        <f t="shared" si="458"/>
        <v>2045.5</v>
      </c>
      <c r="AP218" s="281">
        <f t="shared" si="459"/>
        <v>0.10938502673796792</v>
      </c>
      <c r="AQ218" s="601">
        <f t="shared" ref="AQ218:AQ224" si="472">AN218</f>
        <v>20745.5</v>
      </c>
      <c r="AR218" s="513">
        <v>18795</v>
      </c>
      <c r="AS218" s="575">
        <f t="shared" si="445"/>
        <v>19851</v>
      </c>
      <c r="AT218" s="88">
        <v>40000</v>
      </c>
      <c r="AU218" s="116">
        <v>40000</v>
      </c>
      <c r="AV218" s="74">
        <v>38500</v>
      </c>
      <c r="AW218" s="76">
        <f t="shared" si="446"/>
        <v>34587.75</v>
      </c>
      <c r="AX218" s="24">
        <f t="shared" si="461"/>
        <v>15792.75</v>
      </c>
      <c r="AY218" s="25">
        <f t="shared" si="462"/>
        <v>0.84026336791699918</v>
      </c>
      <c r="AZ218" s="309" t="str">
        <f t="shared" si="463"/>
        <v>REVISAR PRECIO</v>
      </c>
      <c r="BA218" s="601">
        <f t="shared" si="464"/>
        <v>34587.75</v>
      </c>
      <c r="BB218" s="513">
        <v>18795</v>
      </c>
      <c r="BC218" s="575">
        <f t="shared" si="442"/>
        <v>19851</v>
      </c>
      <c r="BD218" s="74">
        <v>40250</v>
      </c>
      <c r="BE218" s="74">
        <v>50000</v>
      </c>
      <c r="BF218" s="75">
        <v>46375</v>
      </c>
      <c r="BG218" s="61">
        <v>90505</v>
      </c>
      <c r="BH218" s="60">
        <v>40000</v>
      </c>
      <c r="BI218" s="74">
        <v>104080.74999999999</v>
      </c>
      <c r="BJ218" s="79">
        <v>46375</v>
      </c>
      <c r="BK218" s="79">
        <v>35000</v>
      </c>
      <c r="BL218" s="127">
        <v>42000</v>
      </c>
      <c r="BM218" s="128">
        <v>45000</v>
      </c>
      <c r="BN218" s="128">
        <v>40000</v>
      </c>
      <c r="BO218" s="76">
        <f>AVERAGE(BC218,BD218,BE218,BF218,BH218,BJ218,BK218,BL218,BM218,BN218)</f>
        <v>40485.1</v>
      </c>
      <c r="BP218" s="24">
        <f t="shared" si="465"/>
        <v>21690.1</v>
      </c>
      <c r="BQ218" s="25">
        <f t="shared" si="466"/>
        <v>1.1540356477786644</v>
      </c>
      <c r="BR218" s="259" t="str">
        <f t="shared" si="467"/>
        <v>REVISAR PRECIO</v>
      </c>
      <c r="BS218" s="607">
        <f t="shared" si="443"/>
        <v>40485.1</v>
      </c>
    </row>
    <row r="219" spans="1:71" ht="34.35" customHeight="1">
      <c r="A219" s="91" t="s">
        <v>31</v>
      </c>
      <c r="B219" s="358" t="s">
        <v>2410</v>
      </c>
      <c r="C219" s="50" t="s">
        <v>318</v>
      </c>
      <c r="D219" s="99" t="s">
        <v>658</v>
      </c>
      <c r="E219" s="391" t="s">
        <v>13</v>
      </c>
      <c r="F219" s="410">
        <v>18425</v>
      </c>
      <c r="G219" s="589">
        <f t="shared" si="449"/>
        <v>19460</v>
      </c>
      <c r="H219" s="10">
        <v>35000</v>
      </c>
      <c r="I219" s="167">
        <v>105000</v>
      </c>
      <c r="J219" s="10">
        <v>35000</v>
      </c>
      <c r="K219" s="76">
        <f t="shared" ref="K219:K224" si="473">AVERAGE(H219,J219,G219)</f>
        <v>29820</v>
      </c>
      <c r="L219" s="24">
        <f t="shared" si="450"/>
        <v>11395</v>
      </c>
      <c r="M219" s="281">
        <f t="shared" si="451"/>
        <v>0.58556012332990748</v>
      </c>
      <c r="N219" s="597">
        <f t="shared" si="452"/>
        <v>29820</v>
      </c>
      <c r="O219" s="410">
        <v>10166</v>
      </c>
      <c r="P219" s="575">
        <f t="shared" si="444"/>
        <v>10737</v>
      </c>
      <c r="Q219" s="10">
        <v>28500</v>
      </c>
      <c r="R219" s="10"/>
      <c r="S219" s="268">
        <v>31000</v>
      </c>
      <c r="T219" s="10">
        <v>30000</v>
      </c>
      <c r="U219" s="76">
        <f>AVERAGE(Q219,R219,S219,T219,P219)</f>
        <v>25059.25</v>
      </c>
      <c r="V219" s="24">
        <f t="shared" si="437"/>
        <v>14322.25</v>
      </c>
      <c r="W219" s="281">
        <f t="shared" si="453"/>
        <v>1.4088382844776706</v>
      </c>
      <c r="X219" s="462">
        <f t="shared" si="454"/>
        <v>25059.25</v>
      </c>
      <c r="Y219" s="410">
        <v>17957</v>
      </c>
      <c r="Z219" s="575">
        <f t="shared" si="438"/>
        <v>18966</v>
      </c>
      <c r="AA219" s="31">
        <v>23355</v>
      </c>
      <c r="AB219" s="31">
        <v>30362</v>
      </c>
      <c r="AC219" s="98">
        <v>20414</v>
      </c>
      <c r="AD219" s="76">
        <f t="shared" si="469"/>
        <v>20911.666666666668</v>
      </c>
      <c r="AE219" s="24">
        <f t="shared" si="439"/>
        <v>1945.6666666666679</v>
      </c>
      <c r="AF219" s="25">
        <f t="shared" si="455"/>
        <v>0.10835143212489101</v>
      </c>
      <c r="AG219" s="309">
        <f t="shared" si="456"/>
        <v>20911.666666666668</v>
      </c>
      <c r="AH219" s="601">
        <f t="shared" si="457"/>
        <v>20911.666666666668</v>
      </c>
      <c r="AI219" s="410">
        <v>11353</v>
      </c>
      <c r="AJ219" s="575">
        <f t="shared" si="440"/>
        <v>11991</v>
      </c>
      <c r="AK219" s="45"/>
      <c r="AL219" s="45">
        <v>13195</v>
      </c>
      <c r="AM219" s="45">
        <v>45000</v>
      </c>
      <c r="AN219" s="76">
        <f>AVERAGE(AK219,AL219,AJ219)</f>
        <v>12593</v>
      </c>
      <c r="AO219" s="24">
        <f t="shared" si="458"/>
        <v>1240</v>
      </c>
      <c r="AP219" s="281">
        <f t="shared" si="459"/>
        <v>0.10922223200916058</v>
      </c>
      <c r="AQ219" s="601">
        <f t="shared" si="472"/>
        <v>12593</v>
      </c>
      <c r="AR219" s="513">
        <v>11410</v>
      </c>
      <c r="AS219" s="575">
        <f t="shared" si="445"/>
        <v>12051</v>
      </c>
      <c r="AT219" s="88">
        <v>40000</v>
      </c>
      <c r="AU219" s="116">
        <v>40000</v>
      </c>
      <c r="AV219" s="74">
        <v>38676</v>
      </c>
      <c r="AW219" s="76">
        <f t="shared" si="446"/>
        <v>32681.75</v>
      </c>
      <c r="AX219" s="24">
        <f t="shared" si="461"/>
        <v>21271.75</v>
      </c>
      <c r="AY219" s="25">
        <f t="shared" si="462"/>
        <v>1.8643076248904469</v>
      </c>
      <c r="AZ219" s="309" t="str">
        <f t="shared" si="463"/>
        <v>REVISAR PRECIO</v>
      </c>
      <c r="BA219" s="601">
        <f t="shared" si="464"/>
        <v>32681.75</v>
      </c>
      <c r="BB219" s="513">
        <v>11410</v>
      </c>
      <c r="BC219" s="575">
        <f t="shared" si="442"/>
        <v>12051</v>
      </c>
      <c r="BD219" s="74">
        <v>40434</v>
      </c>
      <c r="BE219" s="74">
        <v>90000</v>
      </c>
      <c r="BF219" s="75">
        <v>46587</v>
      </c>
      <c r="BG219" s="61">
        <v>40434</v>
      </c>
      <c r="BH219" s="60">
        <v>60000</v>
      </c>
      <c r="BI219" s="74">
        <v>46499.1</v>
      </c>
      <c r="BJ219" s="79">
        <v>46587</v>
      </c>
      <c r="BK219" s="79">
        <f>+BK216</f>
        <v>35160</v>
      </c>
      <c r="BL219" s="127">
        <v>42192</v>
      </c>
      <c r="BM219" s="128">
        <v>46000</v>
      </c>
      <c r="BN219" s="128">
        <v>40000</v>
      </c>
      <c r="BO219" s="76">
        <f>AVERAGE(BC219,BD219,BE219,BG219,BI219,BJ219,BK219,BL219,BN219)</f>
        <v>43706.344444444439</v>
      </c>
      <c r="BP219" s="24">
        <f t="shared" si="465"/>
        <v>32296.344444444439</v>
      </c>
      <c r="BQ219" s="25">
        <f t="shared" si="466"/>
        <v>2.8305297497322033</v>
      </c>
      <c r="BR219" s="259" t="str">
        <f t="shared" si="467"/>
        <v>REVISAR PRECIO</v>
      </c>
      <c r="BS219" s="607">
        <f t="shared" si="443"/>
        <v>43706.344444444439</v>
      </c>
    </row>
    <row r="220" spans="1:71" ht="34.35" customHeight="1">
      <c r="A220" s="91" t="s">
        <v>31</v>
      </c>
      <c r="B220" s="358" t="s">
        <v>2411</v>
      </c>
      <c r="C220" s="50" t="s">
        <v>319</v>
      </c>
      <c r="D220" s="99" t="s">
        <v>659</v>
      </c>
      <c r="E220" s="391" t="s">
        <v>13</v>
      </c>
      <c r="F220" s="410">
        <v>11183</v>
      </c>
      <c r="G220" s="589">
        <f t="shared" si="449"/>
        <v>11811</v>
      </c>
      <c r="H220" s="10">
        <v>35160</v>
      </c>
      <c r="I220" s="167">
        <v>70320</v>
      </c>
      <c r="J220" s="60">
        <v>33000</v>
      </c>
      <c r="K220" s="76">
        <f>AVERAGE(H220,J220)</f>
        <v>34080</v>
      </c>
      <c r="L220" s="24">
        <f t="shared" si="450"/>
        <v>22897</v>
      </c>
      <c r="M220" s="281">
        <f t="shared" si="451"/>
        <v>1.9386165438997545</v>
      </c>
      <c r="N220" s="597">
        <f t="shared" si="452"/>
        <v>34080</v>
      </c>
      <c r="O220" s="410">
        <v>35882</v>
      </c>
      <c r="P220" s="575">
        <f t="shared" si="444"/>
        <v>37899</v>
      </c>
      <c r="Q220" s="10">
        <v>210000</v>
      </c>
      <c r="R220" s="10"/>
      <c r="S220" s="268">
        <v>220000</v>
      </c>
      <c r="T220" s="10">
        <v>250000</v>
      </c>
      <c r="U220" s="76">
        <f t="shared" si="471"/>
        <v>226666.66666666666</v>
      </c>
      <c r="V220" s="24">
        <f t="shared" si="437"/>
        <v>188767.66666666666</v>
      </c>
      <c r="W220" s="281">
        <f t="shared" si="453"/>
        <v>5.2607899968414991</v>
      </c>
      <c r="X220" s="462">
        <f>P220</f>
        <v>37899</v>
      </c>
      <c r="Y220" s="410">
        <v>62778</v>
      </c>
      <c r="Z220" s="575">
        <f t="shared" si="438"/>
        <v>66306</v>
      </c>
      <c r="AA220" s="31">
        <v>81648</v>
      </c>
      <c r="AB220" s="33">
        <v>106142</v>
      </c>
      <c r="AC220" s="98">
        <v>71366.399999999994</v>
      </c>
      <c r="AD220" s="76">
        <f t="shared" si="469"/>
        <v>73106.8</v>
      </c>
      <c r="AE220" s="24">
        <f t="shared" si="439"/>
        <v>6800.8000000000029</v>
      </c>
      <c r="AF220" s="25">
        <f t="shared" si="455"/>
        <v>0.10833094396126036</v>
      </c>
      <c r="AG220" s="309">
        <f t="shared" si="456"/>
        <v>73106.8</v>
      </c>
      <c r="AH220" s="601">
        <f t="shared" si="457"/>
        <v>73106.8</v>
      </c>
      <c r="AI220" s="410">
        <v>39868</v>
      </c>
      <c r="AJ220" s="575">
        <f t="shared" si="440"/>
        <v>42109</v>
      </c>
      <c r="AK220" s="45"/>
      <c r="AL220" s="45">
        <v>47036</v>
      </c>
      <c r="AM220" s="45">
        <v>70000</v>
      </c>
      <c r="AN220" s="76">
        <f>AVERAGE(AK220,AL220,AJ220)</f>
        <v>44572.5</v>
      </c>
      <c r="AO220" s="24">
        <f t="shared" si="458"/>
        <v>4704.5</v>
      </c>
      <c r="AP220" s="281">
        <f t="shared" si="459"/>
        <v>0.1180019062907595</v>
      </c>
      <c r="AQ220" s="601">
        <f t="shared" si="472"/>
        <v>44572.5</v>
      </c>
      <c r="AR220" s="513">
        <v>39868</v>
      </c>
      <c r="AS220" s="575">
        <f t="shared" si="445"/>
        <v>42109</v>
      </c>
      <c r="AT220" s="88">
        <v>60000</v>
      </c>
      <c r="AU220" s="116">
        <v>60000</v>
      </c>
      <c r="AV220" s="74">
        <v>57936.999999999993</v>
      </c>
      <c r="AW220" s="76">
        <f t="shared" si="446"/>
        <v>55011.5</v>
      </c>
      <c r="AX220" s="24">
        <f t="shared" si="461"/>
        <v>15143.5</v>
      </c>
      <c r="AY220" s="25">
        <f t="shared" si="462"/>
        <v>0.37984097521822013</v>
      </c>
      <c r="AZ220" s="309" t="str">
        <f t="shared" si="463"/>
        <v>REVISAR PRECIO</v>
      </c>
      <c r="BA220" s="601">
        <f t="shared" si="464"/>
        <v>55011.5</v>
      </c>
      <c r="BB220" s="513">
        <v>39868</v>
      </c>
      <c r="BC220" s="575">
        <f t="shared" si="442"/>
        <v>42109</v>
      </c>
      <c r="BD220" s="74">
        <v>60570.499999999993</v>
      </c>
      <c r="BE220" s="74">
        <v>90000</v>
      </c>
      <c r="BF220" s="75">
        <v>69787.749999999985</v>
      </c>
      <c r="BG220" s="61">
        <v>60570.499999999985</v>
      </c>
      <c r="BH220" s="60">
        <v>90000</v>
      </c>
      <c r="BI220" s="74">
        <v>69656.074999999983</v>
      </c>
      <c r="BJ220" s="79">
        <v>69787.749999999985</v>
      </c>
      <c r="BK220" s="79">
        <f>45800*1.15</f>
        <v>52669.999999999993</v>
      </c>
      <c r="BL220" s="127">
        <v>63203.999999999993</v>
      </c>
      <c r="BM220" s="128">
        <v>63000</v>
      </c>
      <c r="BN220" s="128">
        <v>60000</v>
      </c>
      <c r="BO220" s="76">
        <f>AVERAGE(BC220,BD220,BE220,BG220,BI220,BJ220,BK220,BL220,BM220,BN220)</f>
        <v>63156.782499999994</v>
      </c>
      <c r="BP220" s="24">
        <f t="shared" si="465"/>
        <v>23288.782499999994</v>
      </c>
      <c r="BQ220" s="25">
        <f t="shared" si="466"/>
        <v>0.58414724841978516</v>
      </c>
      <c r="BR220" s="259" t="str">
        <f t="shared" si="467"/>
        <v>REVISAR PRECIO</v>
      </c>
      <c r="BS220" s="607">
        <f t="shared" si="443"/>
        <v>63156.782499999994</v>
      </c>
    </row>
    <row r="221" spans="1:71" ht="34.35" customHeight="1">
      <c r="A221" s="91" t="s">
        <v>31</v>
      </c>
      <c r="B221" s="358" t="s">
        <v>2412</v>
      </c>
      <c r="C221" s="50" t="s">
        <v>320</v>
      </c>
      <c r="D221" s="99" t="s">
        <v>660</v>
      </c>
      <c r="E221" s="391" t="s">
        <v>13</v>
      </c>
      <c r="F221" s="410">
        <v>39869</v>
      </c>
      <c r="G221" s="589">
        <f t="shared" si="449"/>
        <v>42110</v>
      </c>
      <c r="H221" s="10">
        <v>52670</v>
      </c>
      <c r="I221" s="167">
        <v>105340</v>
      </c>
      <c r="J221" s="10">
        <v>51200</v>
      </c>
      <c r="K221" s="76">
        <f t="shared" si="473"/>
        <v>48660</v>
      </c>
      <c r="L221" s="24">
        <f t="shared" si="450"/>
        <v>8791</v>
      </c>
      <c r="M221" s="281">
        <f t="shared" si="451"/>
        <v>0.20876276418902873</v>
      </c>
      <c r="N221" s="597">
        <f t="shared" si="452"/>
        <v>48660</v>
      </c>
      <c r="O221" s="410">
        <v>41064</v>
      </c>
      <c r="P221" s="575">
        <f t="shared" si="444"/>
        <v>43372</v>
      </c>
      <c r="Q221" s="10">
        <v>225000</v>
      </c>
      <c r="R221" s="10"/>
      <c r="S221" s="268">
        <v>231000</v>
      </c>
      <c r="T221" s="10">
        <v>250000</v>
      </c>
      <c r="U221" s="76">
        <f t="shared" si="471"/>
        <v>235333.33333333334</v>
      </c>
      <c r="V221" s="24">
        <f t="shared" si="437"/>
        <v>191961.33333333334</v>
      </c>
      <c r="W221" s="281">
        <f t="shared" si="453"/>
        <v>4.6746866679654522</v>
      </c>
      <c r="X221" s="462">
        <f>P221</f>
        <v>43372</v>
      </c>
      <c r="Y221" s="410">
        <v>71840</v>
      </c>
      <c r="Z221" s="575">
        <f t="shared" si="438"/>
        <v>75877</v>
      </c>
      <c r="AA221" s="31">
        <v>93434</v>
      </c>
      <c r="AB221" s="31">
        <v>121464</v>
      </c>
      <c r="AC221" s="98">
        <v>81667.8</v>
      </c>
      <c r="AD221" s="76">
        <f t="shared" si="469"/>
        <v>83659.599999999991</v>
      </c>
      <c r="AE221" s="24">
        <f t="shared" si="439"/>
        <v>7782.5999999999913</v>
      </c>
      <c r="AF221" s="25">
        <f t="shared" si="455"/>
        <v>0.10833240534521146</v>
      </c>
      <c r="AG221" s="309">
        <f t="shared" si="456"/>
        <v>83659.599999999991</v>
      </c>
      <c r="AH221" s="601">
        <f t="shared" si="457"/>
        <v>83659.599999999991</v>
      </c>
      <c r="AI221" s="410">
        <v>45621</v>
      </c>
      <c r="AJ221" s="575">
        <f t="shared" si="440"/>
        <v>48185</v>
      </c>
      <c r="AK221" s="45"/>
      <c r="AL221" s="45">
        <v>53829</v>
      </c>
      <c r="AM221" s="45">
        <v>75000</v>
      </c>
      <c r="AN221" s="76">
        <f>AVERAGE(AK221,AL221,AJ221)</f>
        <v>51007</v>
      </c>
      <c r="AO221" s="24">
        <f t="shared" si="458"/>
        <v>5386</v>
      </c>
      <c r="AP221" s="281">
        <f t="shared" si="459"/>
        <v>0.11805966550492097</v>
      </c>
      <c r="AQ221" s="601">
        <f t="shared" si="472"/>
        <v>51007</v>
      </c>
      <c r="AR221" s="513">
        <v>45621</v>
      </c>
      <c r="AS221" s="575">
        <f t="shared" si="445"/>
        <v>48185</v>
      </c>
      <c r="AT221" s="88">
        <v>70000</v>
      </c>
      <c r="AU221" s="116">
        <v>70000</v>
      </c>
      <c r="AV221" s="74">
        <v>69759.360000000001</v>
      </c>
      <c r="AW221" s="76">
        <f t="shared" si="446"/>
        <v>64486.09</v>
      </c>
      <c r="AX221" s="24">
        <f t="shared" si="461"/>
        <v>18865.089999999997</v>
      </c>
      <c r="AY221" s="25">
        <f t="shared" si="462"/>
        <v>0.41351767826220376</v>
      </c>
      <c r="AZ221" s="309" t="str">
        <f t="shared" si="463"/>
        <v>REVISAR PRECIO</v>
      </c>
      <c r="BA221" s="601">
        <f t="shared" si="464"/>
        <v>64486.09</v>
      </c>
      <c r="BB221" s="513">
        <v>45621</v>
      </c>
      <c r="BC221" s="575">
        <f t="shared" si="442"/>
        <v>48185</v>
      </c>
      <c r="BD221" s="74">
        <v>72930.239999999991</v>
      </c>
      <c r="BE221" s="74">
        <v>100000</v>
      </c>
      <c r="BF221" s="75">
        <v>84028.319999999992</v>
      </c>
      <c r="BG221" s="61">
        <v>72930.239999999991</v>
      </c>
      <c r="BH221" s="60">
        <v>90000</v>
      </c>
      <c r="BI221" s="74">
        <v>83869.775999999983</v>
      </c>
      <c r="BJ221" s="79">
        <v>84028.319999999992</v>
      </c>
      <c r="BK221" s="79">
        <f>52848*1.2</f>
        <v>63417.599999999999</v>
      </c>
      <c r="BL221" s="127">
        <v>76101.119999999995</v>
      </c>
      <c r="BM221" s="128">
        <v>80000</v>
      </c>
      <c r="BN221" s="128">
        <v>70000</v>
      </c>
      <c r="BO221" s="76">
        <f>AVERAGE(BC221,BD221,BE221,BG221,BI221,BJ221,BK221,BL221,BN221)</f>
        <v>74606.921777777781</v>
      </c>
      <c r="BP221" s="24">
        <f t="shared" si="465"/>
        <v>28985.921777777781</v>
      </c>
      <c r="BQ221" s="25">
        <f t="shared" si="466"/>
        <v>0.63536357768961182</v>
      </c>
      <c r="BR221" s="259" t="str">
        <f t="shared" si="467"/>
        <v>REVISAR PRECIO</v>
      </c>
      <c r="BS221" s="607">
        <f t="shared" si="443"/>
        <v>74606.921777777781</v>
      </c>
    </row>
    <row r="222" spans="1:71" ht="34.35" customHeight="1">
      <c r="A222" s="91" t="s">
        <v>31</v>
      </c>
      <c r="B222" s="358" t="s">
        <v>2413</v>
      </c>
      <c r="C222" s="50" t="s">
        <v>321</v>
      </c>
      <c r="D222" s="99" t="s">
        <v>661</v>
      </c>
      <c r="E222" s="391" t="s">
        <v>12</v>
      </c>
      <c r="F222" s="410">
        <v>45621</v>
      </c>
      <c r="G222" s="589">
        <f t="shared" si="449"/>
        <v>48185</v>
      </c>
      <c r="H222" s="10">
        <v>63418</v>
      </c>
      <c r="I222" s="167">
        <v>126836</v>
      </c>
      <c r="J222" s="10">
        <v>58700</v>
      </c>
      <c r="K222" s="76">
        <f t="shared" si="473"/>
        <v>56767.666666666664</v>
      </c>
      <c r="L222" s="24">
        <f t="shared" si="450"/>
        <v>11146.666666666664</v>
      </c>
      <c r="M222" s="281">
        <f t="shared" si="451"/>
        <v>0.23133063539829127</v>
      </c>
      <c r="N222" s="597">
        <f>G222</f>
        <v>48185</v>
      </c>
      <c r="O222" s="410">
        <v>15140</v>
      </c>
      <c r="P222" s="575">
        <f t="shared" si="444"/>
        <v>15991</v>
      </c>
      <c r="Q222" s="10">
        <v>55000</v>
      </c>
      <c r="R222" s="10"/>
      <c r="S222" s="268">
        <v>60000</v>
      </c>
      <c r="T222" s="10">
        <v>60000</v>
      </c>
      <c r="U222" s="76">
        <f>AVERAGE(Q222,R222,S222,T222,P222)</f>
        <v>47747.75</v>
      </c>
      <c r="V222" s="24">
        <f t="shared" si="437"/>
        <v>31756.75</v>
      </c>
      <c r="W222" s="281">
        <f t="shared" si="453"/>
        <v>2.0975396301188902</v>
      </c>
      <c r="X222" s="462">
        <f t="shared" si="454"/>
        <v>47747.75</v>
      </c>
      <c r="Y222" s="410">
        <v>26760</v>
      </c>
      <c r="Z222" s="575">
        <f t="shared" si="438"/>
        <v>28264</v>
      </c>
      <c r="AA222" s="31">
        <v>34803</v>
      </c>
      <c r="AB222" s="33">
        <v>45244</v>
      </c>
      <c r="AC222" s="31">
        <v>30420</v>
      </c>
      <c r="AD222" s="76">
        <f t="shared" si="469"/>
        <v>31162.333333333332</v>
      </c>
      <c r="AE222" s="24">
        <f t="shared" si="439"/>
        <v>2898.3333333333321</v>
      </c>
      <c r="AF222" s="25">
        <f t="shared" si="455"/>
        <v>0.10830842052815143</v>
      </c>
      <c r="AG222" s="309">
        <f t="shared" si="456"/>
        <v>31162.333333333332</v>
      </c>
      <c r="AH222" s="601">
        <f t="shared" si="457"/>
        <v>31162.333333333332</v>
      </c>
      <c r="AI222" s="410">
        <v>16906</v>
      </c>
      <c r="AJ222" s="575">
        <f t="shared" si="440"/>
        <v>17856</v>
      </c>
      <c r="AK222" s="45"/>
      <c r="AL222" s="45">
        <v>19656</v>
      </c>
      <c r="AM222" s="45">
        <v>25000</v>
      </c>
      <c r="AN222" s="76">
        <f t="shared" si="441"/>
        <v>20837.333333333332</v>
      </c>
      <c r="AO222" s="24">
        <f t="shared" si="458"/>
        <v>3931.3333333333321</v>
      </c>
      <c r="AP222" s="281">
        <f t="shared" si="459"/>
        <v>0.23254071532789142</v>
      </c>
      <c r="AQ222" s="601">
        <f>AM222</f>
        <v>25000</v>
      </c>
      <c r="AR222" s="513">
        <v>16991</v>
      </c>
      <c r="AS222" s="575">
        <f t="shared" si="445"/>
        <v>17946</v>
      </c>
      <c r="AT222" s="88">
        <v>25000</v>
      </c>
      <c r="AU222" s="116">
        <v>25000</v>
      </c>
      <c r="AV222" s="74">
        <v>23100</v>
      </c>
      <c r="AW222" s="76">
        <f t="shared" si="446"/>
        <v>22761.5</v>
      </c>
      <c r="AX222" s="24">
        <f t="shared" si="461"/>
        <v>5770.5</v>
      </c>
      <c r="AY222" s="25">
        <f t="shared" si="462"/>
        <v>0.33962097581072331</v>
      </c>
      <c r="AZ222" s="309">
        <f>AU222</f>
        <v>25000</v>
      </c>
      <c r="BA222" s="601">
        <f t="shared" si="464"/>
        <v>22761.5</v>
      </c>
      <c r="BB222" s="513">
        <v>16991</v>
      </c>
      <c r="BC222" s="575">
        <f t="shared" si="442"/>
        <v>17946</v>
      </c>
      <c r="BD222" s="74">
        <v>24150</v>
      </c>
      <c r="BE222" s="74">
        <v>55000</v>
      </c>
      <c r="BF222" s="75">
        <v>27825</v>
      </c>
      <c r="BG222" s="61">
        <v>26909.999999999996</v>
      </c>
      <c r="BH222" s="60">
        <v>50000</v>
      </c>
      <c r="BI222" s="74">
        <v>30946.499999999993</v>
      </c>
      <c r="BJ222" s="79">
        <v>27825</v>
      </c>
      <c r="BK222" s="79">
        <f>+BK218*0.6</f>
        <v>21000</v>
      </c>
      <c r="BL222" s="127">
        <v>25200</v>
      </c>
      <c r="BM222" s="128">
        <v>18000</v>
      </c>
      <c r="BN222" s="128">
        <v>20000</v>
      </c>
      <c r="BO222" s="76">
        <f>AVERAGE(BC222,BD222,BE222,BF222,BG222,BI222,BJ222,BK222,BL222,BM222,BN222)</f>
        <v>26800.227272727272</v>
      </c>
      <c r="BP222" s="24">
        <f t="shared" si="465"/>
        <v>9809.2272727272721</v>
      </c>
      <c r="BQ222" s="25">
        <f t="shared" si="466"/>
        <v>0.57731900845902373</v>
      </c>
      <c r="BR222" s="259" t="str">
        <f t="shared" si="467"/>
        <v>REVISAR PRECIO</v>
      </c>
      <c r="BS222" s="607">
        <f t="shared" si="443"/>
        <v>26800.227272727272</v>
      </c>
    </row>
    <row r="223" spans="1:71" ht="34.35" customHeight="1">
      <c r="A223" s="91" t="s">
        <v>31</v>
      </c>
      <c r="B223" s="358" t="s">
        <v>2414</v>
      </c>
      <c r="C223" s="50" t="s">
        <v>322</v>
      </c>
      <c r="D223" s="99" t="s">
        <v>662</v>
      </c>
      <c r="E223" s="391" t="s">
        <v>12</v>
      </c>
      <c r="F223" s="410">
        <v>16660</v>
      </c>
      <c r="G223" s="589">
        <f t="shared" si="449"/>
        <v>17596</v>
      </c>
      <c r="H223" s="10">
        <v>21000</v>
      </c>
      <c r="I223" s="167">
        <v>21000</v>
      </c>
      <c r="J223" s="10">
        <v>20000</v>
      </c>
      <c r="K223" s="76">
        <f>AVERAGE(H223,J223,G223,I223)</f>
        <v>19899</v>
      </c>
      <c r="L223" s="24">
        <f t="shared" si="450"/>
        <v>3239</v>
      </c>
      <c r="M223" s="281">
        <f t="shared" si="451"/>
        <v>0.18407592634689701</v>
      </c>
      <c r="N223" s="597">
        <f>+X223</f>
        <v>206326.5</v>
      </c>
      <c r="O223" s="410">
        <v>90235</v>
      </c>
      <c r="P223" s="575">
        <f t="shared" si="444"/>
        <v>95306</v>
      </c>
      <c r="Q223" s="10">
        <v>235000</v>
      </c>
      <c r="R223" s="10"/>
      <c r="S223" s="268">
        <v>245000</v>
      </c>
      <c r="T223" s="10">
        <v>250000</v>
      </c>
      <c r="U223" s="76">
        <f>AVERAGE(Q223,R223,S223,T223,P223)</f>
        <v>206326.5</v>
      </c>
      <c r="V223" s="24">
        <f t="shared" ref="V223" si="474">U223-P223</f>
        <v>111020.5</v>
      </c>
      <c r="W223" s="281">
        <f t="shared" ref="W223" si="475">+V223/O223</f>
        <v>1.2303485343824458</v>
      </c>
      <c r="X223" s="462">
        <f t="shared" ref="X223" si="476">U223</f>
        <v>206326.5</v>
      </c>
      <c r="Y223" s="410">
        <v>159458</v>
      </c>
      <c r="Z223" s="575">
        <f t="shared" si="438"/>
        <v>168420</v>
      </c>
      <c r="AA223" s="31">
        <v>207387</v>
      </c>
      <c r="AB223" s="33">
        <v>269603</v>
      </c>
      <c r="AC223" s="98">
        <v>181271.6</v>
      </c>
      <c r="AD223" s="76">
        <f t="shared" si="469"/>
        <v>185692.86666666667</v>
      </c>
      <c r="AE223" s="24">
        <f t="shared" si="439"/>
        <v>17272.866666666669</v>
      </c>
      <c r="AF223" s="25">
        <f t="shared" si="455"/>
        <v>0.10832235865661596</v>
      </c>
      <c r="AG223" s="309">
        <f t="shared" si="456"/>
        <v>185692.86666666667</v>
      </c>
      <c r="AH223" s="601">
        <f t="shared" si="457"/>
        <v>185692.86666666667</v>
      </c>
      <c r="AI223" s="410">
        <v>100762</v>
      </c>
      <c r="AJ223" s="575">
        <f t="shared" si="440"/>
        <v>106425</v>
      </c>
      <c r="AK223" s="45"/>
      <c r="AL223" s="45">
        <v>117141</v>
      </c>
      <c r="AM223" s="45">
        <v>115000</v>
      </c>
      <c r="AN223" s="76">
        <f t="shared" si="441"/>
        <v>112855.33333333333</v>
      </c>
      <c r="AO223" s="24">
        <f t="shared" si="458"/>
        <v>12093.333333333328</v>
      </c>
      <c r="AP223" s="281">
        <f t="shared" si="459"/>
        <v>0.12001879015237221</v>
      </c>
      <c r="AQ223" s="601">
        <f t="shared" si="472"/>
        <v>112855.33333333333</v>
      </c>
      <c r="AR223" s="513">
        <v>101265</v>
      </c>
      <c r="AS223" s="575">
        <f t="shared" si="445"/>
        <v>106956</v>
      </c>
      <c r="AT223" s="88">
        <v>250000</v>
      </c>
      <c r="AU223" s="116">
        <v>250000</v>
      </c>
      <c r="AV223" s="74">
        <v>118800</v>
      </c>
      <c r="AW223" s="76">
        <f>AVERAGE(AS223,AT223,AV223)</f>
        <v>158585.33333333334</v>
      </c>
      <c r="AX223" s="24">
        <f t="shared" si="461"/>
        <v>57320.333333333343</v>
      </c>
      <c r="AY223" s="25">
        <f t="shared" si="462"/>
        <v>0.56604289076515424</v>
      </c>
      <c r="AZ223" s="309" t="str">
        <f t="shared" si="463"/>
        <v>REVISAR PRECIO</v>
      </c>
      <c r="BA223" s="601">
        <f t="shared" si="464"/>
        <v>158585.33333333334</v>
      </c>
      <c r="BB223" s="513">
        <v>101265</v>
      </c>
      <c r="BC223" s="575">
        <f t="shared" si="442"/>
        <v>106956</v>
      </c>
      <c r="BD223" s="74">
        <v>124200</v>
      </c>
      <c r="BE223" s="74">
        <v>160000</v>
      </c>
      <c r="BF223" s="75">
        <v>143100</v>
      </c>
      <c r="BG223" s="61">
        <v>495074.99999999994</v>
      </c>
      <c r="BH223" s="60">
        <v>180000</v>
      </c>
      <c r="BI223" s="74">
        <v>569336.24999999988</v>
      </c>
      <c r="BJ223" s="79">
        <v>143100</v>
      </c>
      <c r="BK223" s="79">
        <f>180000*0.6</f>
        <v>108000</v>
      </c>
      <c r="BL223" s="127">
        <v>129600</v>
      </c>
      <c r="BM223" s="128">
        <v>104000</v>
      </c>
      <c r="BN223" s="128">
        <v>110000</v>
      </c>
      <c r="BO223" s="76">
        <f>AVERAGE(BC223,BD223,BE223,BF223,BH223,BJ223,BK223,BL223,BM223,BN223)</f>
        <v>130895.6</v>
      </c>
      <c r="BP223" s="24">
        <f t="shared" si="465"/>
        <v>29630.600000000006</v>
      </c>
      <c r="BQ223" s="25">
        <f t="shared" si="466"/>
        <v>0.29260455241198841</v>
      </c>
      <c r="BR223" s="259">
        <f t="shared" si="467"/>
        <v>130895.6</v>
      </c>
      <c r="BS223" s="607">
        <f t="shared" si="443"/>
        <v>130895.6</v>
      </c>
    </row>
    <row r="224" spans="1:71" ht="44.45" customHeight="1">
      <c r="A224" s="91" t="s">
        <v>31</v>
      </c>
      <c r="B224" s="358" t="s">
        <v>2415</v>
      </c>
      <c r="C224" s="50" t="s">
        <v>323</v>
      </c>
      <c r="D224" s="99" t="s">
        <v>663</v>
      </c>
      <c r="E224" s="391" t="s">
        <v>12</v>
      </c>
      <c r="F224" s="410">
        <v>99282</v>
      </c>
      <c r="G224" s="589">
        <f t="shared" si="449"/>
        <v>104862</v>
      </c>
      <c r="H224" s="10">
        <v>108000</v>
      </c>
      <c r="I224" s="167">
        <v>108000</v>
      </c>
      <c r="J224" s="10">
        <v>107600</v>
      </c>
      <c r="K224" s="76">
        <f t="shared" si="473"/>
        <v>106820.66666666667</v>
      </c>
      <c r="L224" s="24">
        <f t="shared" si="450"/>
        <v>7538.6666666666715</v>
      </c>
      <c r="M224" s="281">
        <f t="shared" si="451"/>
        <v>7.189131112001175E-2</v>
      </c>
      <c r="N224" s="597">
        <f>AVERAGE(X224,AQ224,BA224,BS224,AH224)</f>
        <v>31487.081498333333</v>
      </c>
      <c r="O224" s="410">
        <v>19916</v>
      </c>
      <c r="P224" s="575">
        <f t="shared" si="444"/>
        <v>21035</v>
      </c>
      <c r="Q224" s="10">
        <v>55000</v>
      </c>
      <c r="R224" s="10"/>
      <c r="S224" s="268">
        <v>61000</v>
      </c>
      <c r="T224" s="10">
        <v>60000</v>
      </c>
      <c r="U224" s="76">
        <f>AVERAGE(Q224,R224,S224,T224,P224)</f>
        <v>49258.75</v>
      </c>
      <c r="V224" s="24">
        <f t="shared" si="437"/>
        <v>28223.75</v>
      </c>
      <c r="W224" s="281">
        <f t="shared" si="453"/>
        <v>1.4171394858405302</v>
      </c>
      <c r="X224" s="462">
        <f t="shared" si="454"/>
        <v>49258.75</v>
      </c>
      <c r="Y224" s="410">
        <v>35188</v>
      </c>
      <c r="Z224" s="575">
        <f t="shared" si="438"/>
        <v>37166</v>
      </c>
      <c r="AA224" s="31">
        <v>45765</v>
      </c>
      <c r="AB224" s="31">
        <v>59495</v>
      </c>
      <c r="AC224" s="98">
        <v>40002</v>
      </c>
      <c r="AD224" s="76">
        <f t="shared" si="469"/>
        <v>40977.666666666664</v>
      </c>
      <c r="AE224" s="24">
        <f t="shared" si="439"/>
        <v>3811.6666666666642</v>
      </c>
      <c r="AF224" s="25">
        <f t="shared" si="455"/>
        <v>0.1083229131143192</v>
      </c>
      <c r="AG224" s="309">
        <f t="shared" si="456"/>
        <v>40977.666666666664</v>
      </c>
      <c r="AH224" s="601">
        <f t="shared" si="457"/>
        <v>40977.666666666664</v>
      </c>
      <c r="AI224" s="410">
        <v>22231</v>
      </c>
      <c r="AJ224" s="575">
        <f t="shared" si="440"/>
        <v>23480</v>
      </c>
      <c r="AK224" s="45"/>
      <c r="AL224" s="45">
        <v>25848</v>
      </c>
      <c r="AM224" s="45">
        <v>18000</v>
      </c>
      <c r="AN224" s="76">
        <f>AVERAGE(AK224,AL224,AM224,AJ224)</f>
        <v>22442.666666666668</v>
      </c>
      <c r="AO224" s="24">
        <f t="shared" si="458"/>
        <v>211.66666666666788</v>
      </c>
      <c r="AP224" s="281">
        <f t="shared" si="459"/>
        <v>9.5212391105513865E-3</v>
      </c>
      <c r="AQ224" s="601">
        <f t="shared" si="472"/>
        <v>22442.666666666668</v>
      </c>
      <c r="AR224" s="513">
        <v>22345</v>
      </c>
      <c r="AS224" s="575">
        <f t="shared" si="445"/>
        <v>23601</v>
      </c>
      <c r="AT224" s="88">
        <v>20000</v>
      </c>
      <c r="AU224" s="116">
        <v>20000</v>
      </c>
      <c r="AV224" s="74">
        <v>15602.003999999997</v>
      </c>
      <c r="AW224" s="76">
        <f>AVERAGE(AS224,AT224,AU224)</f>
        <v>21200.333333333332</v>
      </c>
      <c r="AX224" s="24">
        <f t="shared" si="461"/>
        <v>-1144.6666666666679</v>
      </c>
      <c r="AY224" s="25">
        <f t="shared" si="462"/>
        <v>-5.1226970985306236E-2</v>
      </c>
      <c r="AZ224" s="309">
        <f t="shared" si="463"/>
        <v>21200.333333333332</v>
      </c>
      <c r="BA224" s="601">
        <f t="shared" si="464"/>
        <v>21200.333333333332</v>
      </c>
      <c r="BB224" s="513">
        <v>22345</v>
      </c>
      <c r="BC224" s="575">
        <f t="shared" si="442"/>
        <v>23601</v>
      </c>
      <c r="BD224" s="74">
        <v>16311.185999999998</v>
      </c>
      <c r="BE224" s="74">
        <v>40000</v>
      </c>
      <c r="BF224" s="75">
        <v>18793.322999999997</v>
      </c>
      <c r="BG224" s="61">
        <v>16311.185999999996</v>
      </c>
      <c r="BH224" s="60">
        <v>70000</v>
      </c>
      <c r="BI224" s="74">
        <v>18757.863899999993</v>
      </c>
      <c r="BJ224" s="79">
        <v>18793.322999999997</v>
      </c>
      <c r="BK224" s="79">
        <f>+BK196*0.6</f>
        <v>14183.639999999998</v>
      </c>
      <c r="BL224" s="127">
        <v>17020.367999999999</v>
      </c>
      <c r="BM224" s="128">
        <v>13900</v>
      </c>
      <c r="BN224" s="128">
        <v>15000</v>
      </c>
      <c r="BO224" s="76">
        <f>AVERAGE(BC224,BD224,BE224,BF224,BG224,BI224,BJ224,BK224,BL224,BM224,BN224,BH224)</f>
        <v>23555.990824999997</v>
      </c>
      <c r="BP224" s="24">
        <f t="shared" si="465"/>
        <v>1210.9908249999971</v>
      </c>
      <c r="BQ224" s="25">
        <f t="shared" si="466"/>
        <v>5.4195158872230795E-2</v>
      </c>
      <c r="BR224" s="259">
        <f t="shared" si="467"/>
        <v>23555.990824999997</v>
      </c>
      <c r="BS224" s="652">
        <f>BO224</f>
        <v>23555.990824999997</v>
      </c>
    </row>
    <row r="225" spans="1:71" ht="33" customHeight="1">
      <c r="A225" s="91" t="s">
        <v>32</v>
      </c>
      <c r="B225" s="358" t="s">
        <v>2416</v>
      </c>
      <c r="C225" s="252" t="s">
        <v>761</v>
      </c>
      <c r="D225" s="47" t="s">
        <v>32</v>
      </c>
      <c r="E225" s="91"/>
      <c r="F225" s="411"/>
      <c r="G225" s="574"/>
      <c r="H225" s="173"/>
      <c r="I225" s="174"/>
      <c r="J225" s="173"/>
      <c r="K225" s="173"/>
      <c r="L225" s="173"/>
      <c r="M225" s="173"/>
      <c r="N225" s="173"/>
      <c r="O225" s="173"/>
      <c r="P225" s="173"/>
      <c r="Q225" s="173"/>
      <c r="R225" s="173"/>
      <c r="S225" s="173"/>
      <c r="T225" s="173"/>
      <c r="U225" s="173"/>
      <c r="V225" s="173"/>
      <c r="W225" s="173"/>
      <c r="X225" s="173"/>
      <c r="Y225" s="173"/>
      <c r="Z225" s="173"/>
      <c r="AA225" s="173"/>
      <c r="AB225" s="173"/>
      <c r="AC225" s="173"/>
      <c r="AD225" s="173"/>
      <c r="AE225" s="173"/>
      <c r="AF225" s="173"/>
      <c r="AG225" s="173"/>
      <c r="AH225" s="173"/>
      <c r="AI225" s="173"/>
      <c r="AJ225" s="173"/>
      <c r="AK225" s="173"/>
      <c r="AL225" s="173"/>
      <c r="AM225" s="173"/>
      <c r="AN225" s="173"/>
      <c r="AO225" s="173"/>
      <c r="AP225" s="173"/>
      <c r="AQ225" s="173"/>
      <c r="AR225" s="173"/>
      <c r="AS225" s="173"/>
      <c r="AT225" s="173"/>
      <c r="AU225" s="173"/>
      <c r="AV225" s="173"/>
      <c r="AW225" s="173"/>
      <c r="AX225" s="173"/>
      <c r="AY225" s="173"/>
      <c r="AZ225" s="173"/>
      <c r="BA225" s="173"/>
      <c r="BB225" s="173"/>
      <c r="BC225" s="173"/>
      <c r="BD225" s="173"/>
      <c r="BE225" s="173"/>
      <c r="BF225" s="173"/>
      <c r="BG225" s="173"/>
      <c r="BH225" s="173"/>
      <c r="BI225" s="173"/>
      <c r="BJ225" s="173"/>
      <c r="BK225" s="173"/>
      <c r="BL225" s="173"/>
      <c r="BM225" s="155"/>
      <c r="BN225" s="155"/>
      <c r="BO225" s="47"/>
      <c r="BP225" s="47"/>
      <c r="BQ225" s="47"/>
      <c r="BR225" s="414"/>
      <c r="BS225" s="414"/>
    </row>
    <row r="226" spans="1:71" ht="47.45" customHeight="1">
      <c r="A226" s="91" t="s">
        <v>32</v>
      </c>
      <c r="B226" s="358" t="s">
        <v>2417</v>
      </c>
      <c r="C226" s="50" t="s">
        <v>327</v>
      </c>
      <c r="D226" s="99" t="s">
        <v>675</v>
      </c>
      <c r="E226" s="391" t="s">
        <v>14</v>
      </c>
      <c r="F226" s="410">
        <v>318006</v>
      </c>
      <c r="G226" s="589">
        <f t="shared" si="449"/>
        <v>335878</v>
      </c>
      <c r="H226" s="10">
        <v>347432</v>
      </c>
      <c r="I226" s="167">
        <v>694864</v>
      </c>
      <c r="J226" s="10">
        <v>325000</v>
      </c>
      <c r="K226" s="76">
        <f t="shared" ref="K226:K231" si="477">AVERAGE(H226,J226,G226)</f>
        <v>336103.33333333331</v>
      </c>
      <c r="L226" s="24">
        <f t="shared" ref="L226:L232" si="478">K226-F226</f>
        <v>18097.333333333314</v>
      </c>
      <c r="M226" s="281">
        <f t="shared" si="451"/>
        <v>5.3880674927602623E-2</v>
      </c>
      <c r="N226" s="597">
        <f t="shared" si="452"/>
        <v>336103.33333333331</v>
      </c>
      <c r="O226" s="410">
        <v>286206</v>
      </c>
      <c r="P226" s="575">
        <f t="shared" si="444"/>
        <v>302291</v>
      </c>
      <c r="Q226" s="10">
        <v>750000</v>
      </c>
      <c r="R226" s="10">
        <v>800000</v>
      </c>
      <c r="S226" s="268">
        <v>78000</v>
      </c>
      <c r="T226" s="10">
        <v>800000</v>
      </c>
      <c r="U226" s="76">
        <f>AVERAGE(Q226,P226,S226)</f>
        <v>376763.66666666669</v>
      </c>
      <c r="V226" s="24">
        <f t="shared" si="437"/>
        <v>74472.666666666686</v>
      </c>
      <c r="W226" s="281">
        <f t="shared" ref="W226:W229" si="479">+V226/O226</f>
        <v>0.26020651791599997</v>
      </c>
      <c r="X226" s="462">
        <f t="shared" ref="X226:X229" si="480">U226</f>
        <v>376763.66666666669</v>
      </c>
      <c r="Y226" s="410">
        <v>674700</v>
      </c>
      <c r="Z226" s="575">
        <f t="shared" si="438"/>
        <v>712618</v>
      </c>
      <c r="AA226" s="31">
        <v>877500</v>
      </c>
      <c r="AB226" s="31">
        <v>1140750</v>
      </c>
      <c r="AC226" s="98">
        <v>767000</v>
      </c>
      <c r="AD226" s="76">
        <f t="shared" si="469"/>
        <v>785706</v>
      </c>
      <c r="AE226" s="24">
        <f t="shared" si="439"/>
        <v>73088</v>
      </c>
      <c r="AF226" s="25">
        <f t="shared" ref="AF226:AF244" si="481">+AE226/Y226</f>
        <v>0.10832666370238625</v>
      </c>
      <c r="AG226" s="309">
        <f t="shared" ref="AG226:AG244" si="482">+IF(AF226&lt;35%,AD226,"REVISAR PRECIO")</f>
        <v>785706</v>
      </c>
      <c r="AH226" s="601">
        <f t="shared" ref="AH226:AH244" si="483">AD226</f>
        <v>785706</v>
      </c>
      <c r="AI226" s="410">
        <v>318005</v>
      </c>
      <c r="AJ226" s="575">
        <f t="shared" si="440"/>
        <v>335877</v>
      </c>
      <c r="AK226" s="45">
        <v>350000</v>
      </c>
      <c r="AL226" s="45">
        <v>375213</v>
      </c>
      <c r="AM226" s="45">
        <v>350000</v>
      </c>
      <c r="AN226" s="76">
        <f>AVERAGE(AK226,AM226,AJ226)</f>
        <v>345292.33333333331</v>
      </c>
      <c r="AO226" s="24">
        <f t="shared" ref="AO226:AO232" si="484">AN226-AI226</f>
        <v>27287.333333333314</v>
      </c>
      <c r="AP226" s="281">
        <f t="shared" ref="AP226:AP232" si="485">+AO226/AI226</f>
        <v>8.5807875138231515E-2</v>
      </c>
      <c r="AQ226" s="601">
        <f t="shared" ref="AQ226:AQ232" si="486">AN226</f>
        <v>345292.33333333331</v>
      </c>
      <c r="AR226" s="513">
        <v>318005</v>
      </c>
      <c r="AS226" s="575">
        <f t="shared" si="445"/>
        <v>335877</v>
      </c>
      <c r="AT226" s="88">
        <v>365000</v>
      </c>
      <c r="AU226" s="116">
        <v>365000</v>
      </c>
      <c r="AV226" s="74">
        <v>382174.87</v>
      </c>
      <c r="AW226" s="76">
        <f t="shared" si="446"/>
        <v>362012.96750000003</v>
      </c>
      <c r="AX226" s="24">
        <f t="shared" ref="AX226:AX244" si="487">AW226-AR226</f>
        <v>44007.967500000028</v>
      </c>
      <c r="AY226" s="25">
        <f t="shared" ref="AY226:AY244" si="488">+AX226/AR226</f>
        <v>0.13838765899907243</v>
      </c>
      <c r="AZ226" s="309">
        <f t="shared" ref="AZ226:AZ244" si="489">+IF(AY226&lt;35%,AW226,"REVISAR PRECIO")</f>
        <v>362012.96750000003</v>
      </c>
      <c r="BA226" s="601">
        <f t="shared" ref="BA226:BA244" si="490">AW226</f>
        <v>362012.96750000003</v>
      </c>
      <c r="BB226" s="513">
        <v>318005</v>
      </c>
      <c r="BC226" s="575">
        <f t="shared" si="442"/>
        <v>335877</v>
      </c>
      <c r="BD226" s="74">
        <v>399546.45500000002</v>
      </c>
      <c r="BE226" s="74">
        <v>450000</v>
      </c>
      <c r="BF226" s="75">
        <v>460347.00249999994</v>
      </c>
      <c r="BG226" s="61">
        <v>464599.99999999994</v>
      </c>
      <c r="BH226" s="60">
        <v>360000</v>
      </c>
      <c r="BI226" s="74">
        <v>534289.99999999988</v>
      </c>
      <c r="BJ226" s="79">
        <v>460347.00249999994</v>
      </c>
      <c r="BK226" s="79">
        <f>315847*1.1</f>
        <v>347431.7</v>
      </c>
      <c r="BL226" s="127">
        <v>416918.04000000004</v>
      </c>
      <c r="BM226" s="142">
        <v>372000</v>
      </c>
      <c r="BN226" s="142">
        <v>350000</v>
      </c>
      <c r="BO226" s="76">
        <f>AVERAGE(BC226,BD226,BE226,BF226,BH226,BJ226,BK226,BL226,BM226,BN226)</f>
        <v>395246.72000000003</v>
      </c>
      <c r="BP226" s="24">
        <f t="shared" ref="BP226:BP244" si="491">BO226-BB226</f>
        <v>77241.72000000003</v>
      </c>
      <c r="BQ226" s="25">
        <f t="shared" ref="BQ226:BQ244" si="492">+BP226/BB226</f>
        <v>0.24289467146742985</v>
      </c>
      <c r="BR226" s="259">
        <f t="shared" ref="BR226:BR244" si="493">+IF(BQ226&lt;35%,BO226,"REVISAR PRECIO")</f>
        <v>395246.72000000003</v>
      </c>
      <c r="BS226" s="607">
        <f t="shared" si="443"/>
        <v>395246.72000000003</v>
      </c>
    </row>
    <row r="227" spans="1:71" ht="39" customHeight="1">
      <c r="A227" s="91" t="s">
        <v>32</v>
      </c>
      <c r="B227" s="358" t="s">
        <v>2418</v>
      </c>
      <c r="C227" s="50" t="s">
        <v>328</v>
      </c>
      <c r="D227" s="99" t="s">
        <v>676</v>
      </c>
      <c r="E227" s="391" t="s">
        <v>14</v>
      </c>
      <c r="F227" s="410">
        <v>122177</v>
      </c>
      <c r="G227" s="589">
        <f t="shared" si="449"/>
        <v>129043</v>
      </c>
      <c r="H227" s="10">
        <v>176901</v>
      </c>
      <c r="I227" s="167">
        <v>353802</v>
      </c>
      <c r="J227" s="10">
        <v>200000</v>
      </c>
      <c r="K227" s="76">
        <f>AVERAGE(H227,J227,G227,I227)</f>
        <v>214936.5</v>
      </c>
      <c r="L227" s="24">
        <f t="shared" si="478"/>
        <v>92759.5</v>
      </c>
      <c r="M227" s="281">
        <f t="shared" si="451"/>
        <v>0.71882628271196425</v>
      </c>
      <c r="N227" s="597">
        <f t="shared" si="452"/>
        <v>214936.5</v>
      </c>
      <c r="O227" s="410">
        <v>109960</v>
      </c>
      <c r="P227" s="575">
        <f t="shared" si="444"/>
        <v>116140</v>
      </c>
      <c r="Q227" s="10">
        <v>450000</v>
      </c>
      <c r="R227" s="10">
        <v>480000</v>
      </c>
      <c r="S227" s="268">
        <v>480000</v>
      </c>
      <c r="T227" s="10">
        <v>500000</v>
      </c>
      <c r="U227" s="76">
        <f t="shared" ref="U227:U234" si="494">AVERAGE(Q227,R227,S227,T227,P227)</f>
        <v>405228</v>
      </c>
      <c r="V227" s="24">
        <f t="shared" si="437"/>
        <v>289088</v>
      </c>
      <c r="W227" s="281">
        <f t="shared" si="479"/>
        <v>2.6290287377228081</v>
      </c>
      <c r="X227" s="462">
        <f>AVERAGE(U227,P227)</f>
        <v>260684</v>
      </c>
      <c r="Y227" s="410">
        <v>228453</v>
      </c>
      <c r="Z227" s="575">
        <f t="shared" si="438"/>
        <v>241292</v>
      </c>
      <c r="AA227" s="31">
        <v>297122</v>
      </c>
      <c r="AB227" s="31">
        <v>386258</v>
      </c>
      <c r="AC227" s="98">
        <v>259706.2</v>
      </c>
      <c r="AD227" s="76">
        <f t="shared" si="469"/>
        <v>266040.06666666665</v>
      </c>
      <c r="AE227" s="24">
        <f t="shared" si="439"/>
        <v>24748.066666666651</v>
      </c>
      <c r="AF227" s="25">
        <f t="shared" si="481"/>
        <v>0.10832891958812819</v>
      </c>
      <c r="AG227" s="309">
        <f t="shared" si="482"/>
        <v>266040.06666666665</v>
      </c>
      <c r="AH227" s="601">
        <f t="shared" si="483"/>
        <v>266040.06666666665</v>
      </c>
      <c r="AI227" s="410">
        <v>122177</v>
      </c>
      <c r="AJ227" s="575">
        <f t="shared" si="440"/>
        <v>129043</v>
      </c>
      <c r="AK227" s="45">
        <v>160000</v>
      </c>
      <c r="AL227" s="45">
        <v>144155</v>
      </c>
      <c r="AM227" s="45">
        <v>180000</v>
      </c>
      <c r="AN227" s="76">
        <f>AVERAGE(AK227,AL227,AM227)</f>
        <v>161385</v>
      </c>
      <c r="AO227" s="24">
        <f t="shared" si="484"/>
        <v>39208</v>
      </c>
      <c r="AP227" s="281">
        <f t="shared" si="485"/>
        <v>0.32091146451459768</v>
      </c>
      <c r="AQ227" s="601">
        <f t="shared" si="486"/>
        <v>161385</v>
      </c>
      <c r="AR227" s="513">
        <v>535353</v>
      </c>
      <c r="AS227" s="575">
        <f t="shared" si="445"/>
        <v>565440</v>
      </c>
      <c r="AT227" s="88">
        <v>185000</v>
      </c>
      <c r="AU227" s="116">
        <v>185000</v>
      </c>
      <c r="AV227" s="74">
        <v>194591.155</v>
      </c>
      <c r="AW227" s="76">
        <f>AVERAGE(AT227,AV227,AU227,AS227)</f>
        <v>282507.78875000001</v>
      </c>
      <c r="AX227" s="24">
        <f t="shared" si="487"/>
        <v>-252845.21124999999</v>
      </c>
      <c r="AY227" s="25">
        <f t="shared" si="488"/>
        <v>-0.47229624425379141</v>
      </c>
      <c r="AZ227" s="309">
        <f t="shared" si="489"/>
        <v>282507.78875000001</v>
      </c>
      <c r="BA227" s="601">
        <f t="shared" si="490"/>
        <v>282507.78875000001</v>
      </c>
      <c r="BB227" s="513">
        <v>535353</v>
      </c>
      <c r="BC227" s="575">
        <f t="shared" si="442"/>
        <v>565440</v>
      </c>
      <c r="BD227" s="74">
        <v>203436.20749999999</v>
      </c>
      <c r="BE227" s="74">
        <v>260000</v>
      </c>
      <c r="BF227" s="75">
        <v>234393.89124999999</v>
      </c>
      <c r="BG227" s="61">
        <v>264500</v>
      </c>
      <c r="BH227" s="60">
        <v>280000</v>
      </c>
      <c r="BI227" s="74">
        <v>304175</v>
      </c>
      <c r="BJ227" s="79">
        <v>234393.89124999999</v>
      </c>
      <c r="BK227" s="79">
        <f>153827*1.15</f>
        <v>176901.05</v>
      </c>
      <c r="BL227" s="127">
        <v>212281.25999999998</v>
      </c>
      <c r="BM227" s="142">
        <v>214500</v>
      </c>
      <c r="BN227" s="142">
        <v>200000</v>
      </c>
      <c r="BO227" s="76">
        <f t="shared" si="468"/>
        <v>262501.77499999997</v>
      </c>
      <c r="BP227" s="24">
        <f t="shared" si="491"/>
        <v>-272851.22500000003</v>
      </c>
      <c r="BQ227" s="25">
        <f t="shared" si="492"/>
        <v>-0.50966600542072249</v>
      </c>
      <c r="BR227" s="259">
        <f t="shared" si="493"/>
        <v>262501.77499999997</v>
      </c>
      <c r="BS227" s="607">
        <f t="shared" si="443"/>
        <v>262501.77499999997</v>
      </c>
    </row>
    <row r="228" spans="1:71" ht="32.450000000000003" customHeight="1">
      <c r="A228" s="91" t="s">
        <v>32</v>
      </c>
      <c r="B228" s="358" t="s">
        <v>2419</v>
      </c>
      <c r="C228" s="50" t="s">
        <v>329</v>
      </c>
      <c r="D228" s="99" t="s">
        <v>677</v>
      </c>
      <c r="E228" s="391" t="s">
        <v>14</v>
      </c>
      <c r="F228" s="410">
        <v>535354</v>
      </c>
      <c r="G228" s="589">
        <f t="shared" si="449"/>
        <v>565441</v>
      </c>
      <c r="H228" s="10">
        <v>644006</v>
      </c>
      <c r="I228" s="167">
        <v>1288012</v>
      </c>
      <c r="J228" s="10">
        <v>564000</v>
      </c>
      <c r="K228" s="76">
        <f t="shared" si="477"/>
        <v>591149</v>
      </c>
      <c r="L228" s="24">
        <f t="shared" si="478"/>
        <v>55795</v>
      </c>
      <c r="M228" s="281">
        <f t="shared" si="451"/>
        <v>9.8675193344663722E-2</v>
      </c>
      <c r="N228" s="597">
        <f t="shared" si="452"/>
        <v>591149</v>
      </c>
      <c r="O228" s="410">
        <v>481815</v>
      </c>
      <c r="P228" s="575">
        <f t="shared" si="444"/>
        <v>508893</v>
      </c>
      <c r="Q228" s="10">
        <v>450000</v>
      </c>
      <c r="R228" s="10">
        <v>480000</v>
      </c>
      <c r="S228" s="268">
        <v>480000</v>
      </c>
      <c r="T228" s="10">
        <v>500000</v>
      </c>
      <c r="U228" s="76">
        <f t="shared" si="494"/>
        <v>483778.6</v>
      </c>
      <c r="V228" s="24">
        <f t="shared" si="437"/>
        <v>-25114.400000000023</v>
      </c>
      <c r="W228" s="281">
        <f t="shared" si="479"/>
        <v>-5.2124570633957062E-2</v>
      </c>
      <c r="X228" s="462">
        <f t="shared" si="480"/>
        <v>483778.6</v>
      </c>
      <c r="Y228" s="410">
        <v>1001047</v>
      </c>
      <c r="Z228" s="575">
        <f t="shared" si="438"/>
        <v>1057306</v>
      </c>
      <c r="AA228" s="31">
        <v>1301940</v>
      </c>
      <c r="AB228" s="31">
        <v>1692522</v>
      </c>
      <c r="AC228" s="98">
        <v>1137992</v>
      </c>
      <c r="AD228" s="76">
        <f t="shared" si="469"/>
        <v>1165746</v>
      </c>
      <c r="AE228" s="24">
        <f t="shared" si="439"/>
        <v>108440</v>
      </c>
      <c r="AF228" s="25">
        <f t="shared" si="481"/>
        <v>0.10832658206857421</v>
      </c>
      <c r="AG228" s="309">
        <f t="shared" si="482"/>
        <v>1165746</v>
      </c>
      <c r="AH228" s="601">
        <f t="shared" si="483"/>
        <v>1165746</v>
      </c>
      <c r="AI228" s="410">
        <v>535353</v>
      </c>
      <c r="AJ228" s="575">
        <f t="shared" si="440"/>
        <v>565440</v>
      </c>
      <c r="AK228" s="45">
        <v>600000</v>
      </c>
      <c r="AL228" s="45">
        <v>631654</v>
      </c>
      <c r="AM228" s="45">
        <v>635000</v>
      </c>
      <c r="AN228" s="76">
        <f t="shared" si="441"/>
        <v>608023.5</v>
      </c>
      <c r="AO228" s="24">
        <f t="shared" si="484"/>
        <v>72670.5</v>
      </c>
      <c r="AP228" s="281">
        <f t="shared" si="485"/>
        <v>0.13574314517710745</v>
      </c>
      <c r="AQ228" s="601">
        <f t="shared" si="486"/>
        <v>608023.5</v>
      </c>
      <c r="AR228" s="513">
        <v>122177</v>
      </c>
      <c r="AS228" s="575">
        <f t="shared" si="445"/>
        <v>129043</v>
      </c>
      <c r="AT228" s="88">
        <v>676000</v>
      </c>
      <c r="AU228" s="116">
        <v>750000</v>
      </c>
      <c r="AV228" s="74">
        <v>708406.32499999995</v>
      </c>
      <c r="AW228" s="76">
        <f t="shared" si="446"/>
        <v>565862.33125000005</v>
      </c>
      <c r="AX228" s="24">
        <f t="shared" si="487"/>
        <v>443685.33125000005</v>
      </c>
      <c r="AY228" s="25">
        <f t="shared" si="488"/>
        <v>3.6314963638819093</v>
      </c>
      <c r="AZ228" s="309" t="str">
        <f t="shared" si="489"/>
        <v>REVISAR PRECIO</v>
      </c>
      <c r="BA228" s="601">
        <f t="shared" si="490"/>
        <v>565862.33125000005</v>
      </c>
      <c r="BB228" s="513">
        <v>122177</v>
      </c>
      <c r="BC228" s="575">
        <f t="shared" si="442"/>
        <v>129043</v>
      </c>
      <c r="BD228" s="74">
        <v>740606.61250000005</v>
      </c>
      <c r="BE228" s="74">
        <v>850000</v>
      </c>
      <c r="BF228" s="75">
        <v>853307.61875000002</v>
      </c>
      <c r="BG228" s="61">
        <v>862499.99999999988</v>
      </c>
      <c r="BH228" s="60">
        <v>290000</v>
      </c>
      <c r="BI228" s="74">
        <v>991874.99999999977</v>
      </c>
      <c r="BJ228" s="79">
        <v>853307.61875000002</v>
      </c>
      <c r="BK228" s="79">
        <f>560005*1.15</f>
        <v>644005.75</v>
      </c>
      <c r="BL228" s="127">
        <v>772806.9</v>
      </c>
      <c r="BM228" s="142">
        <v>645000</v>
      </c>
      <c r="BN228" s="142">
        <v>650000</v>
      </c>
      <c r="BO228" s="76">
        <f>AVERAGE(BC228,BD228,BE228,BF228,BH228,BJ228,BK228,BM228,BN228)</f>
        <v>628363.39999999991</v>
      </c>
      <c r="BP228" s="24">
        <f t="shared" si="491"/>
        <v>506186.39999999991</v>
      </c>
      <c r="BQ228" s="25">
        <f t="shared" si="492"/>
        <v>4.1430580223773701</v>
      </c>
      <c r="BR228" s="259" t="str">
        <f t="shared" si="493"/>
        <v>REVISAR PRECIO</v>
      </c>
      <c r="BS228" s="607">
        <f t="shared" si="443"/>
        <v>628363.39999999991</v>
      </c>
    </row>
    <row r="229" spans="1:71" ht="30.6" customHeight="1">
      <c r="A229" s="91" t="s">
        <v>32</v>
      </c>
      <c r="B229" s="358" t="s">
        <v>2420</v>
      </c>
      <c r="C229" s="50" t="s">
        <v>330</v>
      </c>
      <c r="D229" s="99" t="s">
        <v>678</v>
      </c>
      <c r="E229" s="391" t="s">
        <v>14</v>
      </c>
      <c r="F229" s="410">
        <v>224486</v>
      </c>
      <c r="G229" s="589">
        <f t="shared" si="449"/>
        <v>237102</v>
      </c>
      <c r="H229" s="10">
        <v>269067</v>
      </c>
      <c r="I229" s="167">
        <v>807201</v>
      </c>
      <c r="J229" s="10">
        <v>245000</v>
      </c>
      <c r="K229" s="76">
        <f t="shared" si="477"/>
        <v>250389.66666666666</v>
      </c>
      <c r="L229" s="24">
        <f t="shared" si="478"/>
        <v>25903.666666666657</v>
      </c>
      <c r="M229" s="281">
        <f t="shared" si="451"/>
        <v>0.10925115210612588</v>
      </c>
      <c r="N229" s="597">
        <f t="shared" si="452"/>
        <v>250389.66666666666</v>
      </c>
      <c r="O229" s="410">
        <v>198448</v>
      </c>
      <c r="P229" s="575">
        <f t="shared" si="444"/>
        <v>209601</v>
      </c>
      <c r="Q229" s="10">
        <v>321000</v>
      </c>
      <c r="R229" s="10">
        <v>335000</v>
      </c>
      <c r="S229" s="268">
        <v>326000</v>
      </c>
      <c r="T229" s="10">
        <v>350000</v>
      </c>
      <c r="U229" s="76">
        <f t="shared" si="494"/>
        <v>308320.2</v>
      </c>
      <c r="V229" s="24">
        <f t="shared" si="437"/>
        <v>98719.200000000012</v>
      </c>
      <c r="W229" s="281">
        <f t="shared" si="479"/>
        <v>0.49745626058211728</v>
      </c>
      <c r="X229" s="462">
        <f t="shared" si="480"/>
        <v>308320.2</v>
      </c>
      <c r="Y229" s="410">
        <v>419757</v>
      </c>
      <c r="Z229" s="575">
        <f t="shared" si="438"/>
        <v>443347</v>
      </c>
      <c r="AA229" s="31">
        <v>545927</v>
      </c>
      <c r="AB229" s="33">
        <v>709704</v>
      </c>
      <c r="AC229" s="98">
        <v>477180.2</v>
      </c>
      <c r="AD229" s="76">
        <f t="shared" si="469"/>
        <v>488818.06666666665</v>
      </c>
      <c r="AE229" s="24">
        <f t="shared" si="439"/>
        <v>45471.066666666651</v>
      </c>
      <c r="AF229" s="25">
        <f t="shared" si="481"/>
        <v>0.10832711942068066</v>
      </c>
      <c r="AG229" s="309">
        <f t="shared" si="482"/>
        <v>488818.06666666665</v>
      </c>
      <c r="AH229" s="601">
        <f t="shared" si="483"/>
        <v>488818.06666666665</v>
      </c>
      <c r="AI229" s="410">
        <v>224486</v>
      </c>
      <c r="AJ229" s="575">
        <f t="shared" si="440"/>
        <v>237102</v>
      </c>
      <c r="AK229" s="45">
        <v>250000</v>
      </c>
      <c r="AL229" s="45">
        <v>264864</v>
      </c>
      <c r="AM229" s="45">
        <v>270000</v>
      </c>
      <c r="AN229" s="76">
        <f>AVERAGE(AK229,AL229,AJ229)</f>
        <v>250655.33333333334</v>
      </c>
      <c r="AO229" s="24">
        <f t="shared" si="484"/>
        <v>26169.333333333343</v>
      </c>
      <c r="AP229" s="281">
        <f t="shared" si="485"/>
        <v>0.11657445601655936</v>
      </c>
      <c r="AQ229" s="601">
        <f t="shared" si="486"/>
        <v>250655.33333333334</v>
      </c>
      <c r="AR229" s="513">
        <v>236490</v>
      </c>
      <c r="AS229" s="575">
        <f t="shared" si="445"/>
        <v>249781</v>
      </c>
      <c r="AT229" s="88">
        <v>291000</v>
      </c>
      <c r="AU229" s="116">
        <v>325000</v>
      </c>
      <c r="AV229" s="74">
        <v>295973.31499999994</v>
      </c>
      <c r="AW229" s="76">
        <f>AVERAGE(AS229,AT229,AV229)</f>
        <v>278918.10499999998</v>
      </c>
      <c r="AX229" s="24">
        <f t="shared" si="487"/>
        <v>42428.104999999981</v>
      </c>
      <c r="AY229" s="25">
        <f t="shared" si="488"/>
        <v>0.17940760708698034</v>
      </c>
      <c r="AZ229" s="309">
        <f t="shared" si="489"/>
        <v>278918.10499999998</v>
      </c>
      <c r="BA229" s="601">
        <f t="shared" si="490"/>
        <v>278918.10499999998</v>
      </c>
      <c r="BB229" s="513">
        <v>236490</v>
      </c>
      <c r="BC229" s="575">
        <f t="shared" si="442"/>
        <v>249781</v>
      </c>
      <c r="BD229" s="74">
        <v>309426.64749999996</v>
      </c>
      <c r="BE229" s="74">
        <v>350000</v>
      </c>
      <c r="BF229" s="75">
        <v>356513.31124999991</v>
      </c>
      <c r="BG229" s="61">
        <v>309426.64749999996</v>
      </c>
      <c r="BH229" s="60">
        <v>260000</v>
      </c>
      <c r="BI229" s="74">
        <v>355840.64462499996</v>
      </c>
      <c r="BJ229" s="79">
        <v>356513.31124999991</v>
      </c>
      <c r="BK229" s="79">
        <f>233971*1.15</f>
        <v>269066.64999999997</v>
      </c>
      <c r="BL229" s="127">
        <v>322879.98</v>
      </c>
      <c r="BM229" s="142">
        <v>321000</v>
      </c>
      <c r="BN229" s="142">
        <v>300000</v>
      </c>
      <c r="BO229" s="76">
        <f t="shared" si="468"/>
        <v>313370.6826770833</v>
      </c>
      <c r="BP229" s="24">
        <f t="shared" si="491"/>
        <v>76880.682677083299</v>
      </c>
      <c r="BQ229" s="25">
        <f t="shared" si="492"/>
        <v>0.32509062825947527</v>
      </c>
      <c r="BR229" s="259">
        <f t="shared" si="493"/>
        <v>313370.6826770833</v>
      </c>
      <c r="BS229" s="607">
        <f t="shared" si="443"/>
        <v>313370.6826770833</v>
      </c>
    </row>
    <row r="230" spans="1:71" ht="40.9" customHeight="1">
      <c r="A230" s="91" t="s">
        <v>32</v>
      </c>
      <c r="B230" s="358" t="s">
        <v>2421</v>
      </c>
      <c r="C230" s="50" t="s">
        <v>331</v>
      </c>
      <c r="D230" s="99" t="s">
        <v>679</v>
      </c>
      <c r="E230" s="391" t="s">
        <v>14</v>
      </c>
      <c r="F230" s="410">
        <v>48317</v>
      </c>
      <c r="G230" s="589">
        <f t="shared" si="449"/>
        <v>51032</v>
      </c>
      <c r="H230" s="10">
        <v>96000</v>
      </c>
      <c r="I230" s="167">
        <v>288000</v>
      </c>
      <c r="J230" s="10">
        <v>110500</v>
      </c>
      <c r="K230" s="76">
        <f t="shared" si="477"/>
        <v>85844</v>
      </c>
      <c r="L230" s="24">
        <f t="shared" si="478"/>
        <v>37527</v>
      </c>
      <c r="M230" s="281">
        <f t="shared" si="451"/>
        <v>0.73536212572503523</v>
      </c>
      <c r="N230" s="597">
        <f t="shared" si="452"/>
        <v>85844</v>
      </c>
      <c r="O230" s="566">
        <v>48317</v>
      </c>
      <c r="P230" s="579">
        <f t="shared" si="444"/>
        <v>51032</v>
      </c>
      <c r="Q230" s="568">
        <v>127200</v>
      </c>
      <c r="R230" s="568">
        <v>96000</v>
      </c>
      <c r="S230" s="572">
        <v>96000</v>
      </c>
      <c r="T230" s="632">
        <v>92000</v>
      </c>
      <c r="U230" s="560">
        <f t="shared" si="494"/>
        <v>92446.399999999994</v>
      </c>
      <c r="V230" s="561">
        <f t="shared" ref="V230" si="495">U230-P230</f>
        <v>41414.399999999994</v>
      </c>
      <c r="W230" s="281">
        <f t="shared" ref="W230" si="496">+V230/O230</f>
        <v>0.85713930914584913</v>
      </c>
      <c r="X230" s="462">
        <f t="shared" ref="X230" si="497">U230</f>
        <v>92446.399999999994</v>
      </c>
      <c r="Y230" s="410">
        <v>222132</v>
      </c>
      <c r="Z230" s="575">
        <f t="shared" si="438"/>
        <v>234616</v>
      </c>
      <c r="AA230" s="31">
        <v>288900</v>
      </c>
      <c r="AB230" s="31">
        <v>375570</v>
      </c>
      <c r="AC230" s="98">
        <v>252520</v>
      </c>
      <c r="AD230" s="76">
        <f t="shared" si="469"/>
        <v>258678.66666666666</v>
      </c>
      <c r="AE230" s="24">
        <f t="shared" si="439"/>
        <v>24062.666666666657</v>
      </c>
      <c r="AF230" s="25">
        <f t="shared" si="481"/>
        <v>0.10832598034802125</v>
      </c>
      <c r="AG230" s="309">
        <f t="shared" si="482"/>
        <v>258678.66666666666</v>
      </c>
      <c r="AH230" s="601">
        <f t="shared" si="483"/>
        <v>258678.66666666666</v>
      </c>
      <c r="AI230" s="410">
        <v>48317</v>
      </c>
      <c r="AJ230" s="575">
        <f t="shared" si="440"/>
        <v>51032</v>
      </c>
      <c r="AK230" s="45">
        <v>90000</v>
      </c>
      <c r="AL230" s="45">
        <v>57109</v>
      </c>
      <c r="AM230" s="45">
        <v>95000</v>
      </c>
      <c r="AN230" s="76">
        <f>AVERAGE(AK230,AL230,AJ230)</f>
        <v>66047</v>
      </c>
      <c r="AO230" s="24">
        <f t="shared" si="484"/>
        <v>17730</v>
      </c>
      <c r="AP230" s="281">
        <f t="shared" si="485"/>
        <v>0.36695159053749199</v>
      </c>
      <c r="AQ230" s="601">
        <f t="shared" si="486"/>
        <v>66047</v>
      </c>
      <c r="AR230" s="513">
        <v>48317</v>
      </c>
      <c r="AS230" s="575">
        <f t="shared" si="445"/>
        <v>51032</v>
      </c>
      <c r="AT230" s="88">
        <v>100000</v>
      </c>
      <c r="AU230" s="116">
        <v>100000</v>
      </c>
      <c r="AV230" s="74">
        <v>105600</v>
      </c>
      <c r="AW230" s="76">
        <f t="shared" si="446"/>
        <v>89158</v>
      </c>
      <c r="AX230" s="24">
        <f t="shared" si="487"/>
        <v>40841</v>
      </c>
      <c r="AY230" s="25">
        <f t="shared" si="488"/>
        <v>0.84527185048740605</v>
      </c>
      <c r="AZ230" s="309" t="str">
        <f t="shared" si="489"/>
        <v>REVISAR PRECIO</v>
      </c>
      <c r="BA230" s="601">
        <f t="shared" si="490"/>
        <v>89158</v>
      </c>
      <c r="BB230" s="513">
        <v>48317</v>
      </c>
      <c r="BC230" s="575">
        <f t="shared" si="442"/>
        <v>51032</v>
      </c>
      <c r="BD230" s="74">
        <v>110400</v>
      </c>
      <c r="BE230" s="74">
        <v>150000</v>
      </c>
      <c r="BF230" s="75">
        <v>127200</v>
      </c>
      <c r="BG230" s="61">
        <v>110399.99999999999</v>
      </c>
      <c r="BH230" s="60">
        <v>160000</v>
      </c>
      <c r="BI230" s="74">
        <v>126959.99999999997</v>
      </c>
      <c r="BJ230" s="79">
        <v>127200</v>
      </c>
      <c r="BK230" s="79">
        <v>96000</v>
      </c>
      <c r="BL230" s="127">
        <v>96000</v>
      </c>
      <c r="BM230" s="142">
        <v>92000</v>
      </c>
      <c r="BN230" s="142">
        <v>95000</v>
      </c>
      <c r="BO230" s="76">
        <f>AVERAGE(BC230,BD230,BE230,BG230,BI230,BJ230,BK230,BL230,BM230,BN230)</f>
        <v>105499.2</v>
      </c>
      <c r="BP230" s="24">
        <f t="shared" si="491"/>
        <v>57182.2</v>
      </c>
      <c r="BQ230" s="25">
        <f t="shared" si="492"/>
        <v>1.1834799345985885</v>
      </c>
      <c r="BR230" s="259" t="str">
        <f t="shared" si="493"/>
        <v>REVISAR PRECIO</v>
      </c>
      <c r="BS230" s="607">
        <f t="shared" si="443"/>
        <v>105499.2</v>
      </c>
    </row>
    <row r="231" spans="1:71" ht="41.1" customHeight="1">
      <c r="A231" s="91" t="s">
        <v>32</v>
      </c>
      <c r="B231" s="358" t="s">
        <v>2422</v>
      </c>
      <c r="C231" s="50" t="s">
        <v>332</v>
      </c>
      <c r="D231" s="99" t="s">
        <v>680</v>
      </c>
      <c r="E231" s="391" t="s">
        <v>14</v>
      </c>
      <c r="F231" s="410">
        <v>24349</v>
      </c>
      <c r="G231" s="589">
        <f t="shared" si="449"/>
        <v>25717</v>
      </c>
      <c r="H231" s="10">
        <v>22885</v>
      </c>
      <c r="I231" s="167">
        <v>68655</v>
      </c>
      <c r="J231" s="10">
        <v>28000</v>
      </c>
      <c r="K231" s="76">
        <f t="shared" si="477"/>
        <v>25534</v>
      </c>
      <c r="L231" s="24">
        <f t="shared" si="478"/>
        <v>1185</v>
      </c>
      <c r="M231" s="281">
        <f t="shared" si="451"/>
        <v>4.6078469494886649E-2</v>
      </c>
      <c r="N231" s="597">
        <f t="shared" si="452"/>
        <v>25534</v>
      </c>
      <c r="O231" s="410">
        <v>21918</v>
      </c>
      <c r="P231" s="575">
        <f t="shared" si="444"/>
        <v>23150</v>
      </c>
      <c r="Q231" s="10">
        <v>60000</v>
      </c>
      <c r="R231" s="10">
        <v>68000</v>
      </c>
      <c r="S231" s="268">
        <v>68000</v>
      </c>
      <c r="T231" s="10">
        <v>65000</v>
      </c>
      <c r="U231" s="76">
        <f t="shared" si="494"/>
        <v>56830</v>
      </c>
      <c r="V231" s="24">
        <f t="shared" si="437"/>
        <v>33680</v>
      </c>
      <c r="W231" s="281">
        <f t="shared" ref="W231:W232" si="498">+V231/O231</f>
        <v>1.5366365544301488</v>
      </c>
      <c r="X231" s="462">
        <f>AVERAGE(U231,P231)</f>
        <v>39990</v>
      </c>
      <c r="Y231" s="410">
        <v>33548</v>
      </c>
      <c r="Z231" s="575">
        <f t="shared" si="438"/>
        <v>35433</v>
      </c>
      <c r="AA231" s="31">
        <v>43632</v>
      </c>
      <c r="AB231" s="33">
        <v>56722</v>
      </c>
      <c r="AC231" s="98">
        <v>38137.599999999999</v>
      </c>
      <c r="AD231" s="76">
        <f t="shared" si="469"/>
        <v>39067.533333333333</v>
      </c>
      <c r="AE231" s="24">
        <f t="shared" si="439"/>
        <v>3634.5333333333328</v>
      </c>
      <c r="AF231" s="25">
        <f t="shared" si="481"/>
        <v>0.10833830133937442</v>
      </c>
      <c r="AG231" s="309">
        <f t="shared" si="482"/>
        <v>39067.533333333333</v>
      </c>
      <c r="AH231" s="601">
        <f t="shared" si="483"/>
        <v>39067.533333333333</v>
      </c>
      <c r="AI231" s="410">
        <v>24348</v>
      </c>
      <c r="AJ231" s="575">
        <f t="shared" si="440"/>
        <v>25716</v>
      </c>
      <c r="AK231" s="45">
        <v>35000</v>
      </c>
      <c r="AL231" s="45">
        <v>28728</v>
      </c>
      <c r="AM231" s="45">
        <v>22000</v>
      </c>
      <c r="AN231" s="76">
        <f>AVERAGE(AL231,AM231,AJ231)</f>
        <v>25481.333333333332</v>
      </c>
      <c r="AO231" s="24">
        <f t="shared" si="484"/>
        <v>1133.3333333333321</v>
      </c>
      <c r="AP231" s="281">
        <f t="shared" si="485"/>
        <v>4.6547286567000662E-2</v>
      </c>
      <c r="AQ231" s="601">
        <f t="shared" si="486"/>
        <v>25481.333333333332</v>
      </c>
      <c r="AR231" s="513">
        <v>24348</v>
      </c>
      <c r="AS231" s="575">
        <f t="shared" si="445"/>
        <v>25716</v>
      </c>
      <c r="AT231" s="88">
        <v>25000</v>
      </c>
      <c r="AU231" s="116">
        <v>25000</v>
      </c>
      <c r="AV231" s="74">
        <v>25173.5</v>
      </c>
      <c r="AW231" s="76">
        <f t="shared" si="446"/>
        <v>25222.375</v>
      </c>
      <c r="AX231" s="24">
        <f t="shared" si="487"/>
        <v>874.375</v>
      </c>
      <c r="AY231" s="25">
        <f t="shared" si="488"/>
        <v>3.5911573845901101E-2</v>
      </c>
      <c r="AZ231" s="309">
        <f t="shared" si="489"/>
        <v>25222.375</v>
      </c>
      <c r="BA231" s="601">
        <f t="shared" si="490"/>
        <v>25222.375</v>
      </c>
      <c r="BB231" s="513">
        <v>24348</v>
      </c>
      <c r="BC231" s="575">
        <f t="shared" si="442"/>
        <v>25716</v>
      </c>
      <c r="BD231" s="74">
        <v>26317.75</v>
      </c>
      <c r="BE231" s="74">
        <v>50000</v>
      </c>
      <c r="BF231" s="75">
        <v>30322.625</v>
      </c>
      <c r="BG231" s="61">
        <v>26317.749999999996</v>
      </c>
      <c r="BH231" s="60">
        <v>85000</v>
      </c>
      <c r="BI231" s="74">
        <v>30265.412499999995</v>
      </c>
      <c r="BJ231" s="79">
        <v>30322.625</v>
      </c>
      <c r="BK231" s="79">
        <f>19900*1.15</f>
        <v>22885</v>
      </c>
      <c r="BL231" s="127">
        <v>27462</v>
      </c>
      <c r="BM231" s="142">
        <v>265000</v>
      </c>
      <c r="BN231" s="142">
        <v>30000</v>
      </c>
      <c r="BO231" s="76">
        <f>AVERAGE(BC231,BD231,BE231,BG231,BI231,BJ231,BK231,BL231,BM231,BN231)</f>
        <v>53428.653749999998</v>
      </c>
      <c r="BP231" s="24">
        <f t="shared" si="491"/>
        <v>29080.653749999998</v>
      </c>
      <c r="BQ231" s="25">
        <f t="shared" si="492"/>
        <v>1.1943754620502709</v>
      </c>
      <c r="BR231" s="259" t="str">
        <f t="shared" si="493"/>
        <v>REVISAR PRECIO</v>
      </c>
      <c r="BS231" s="607">
        <f t="shared" si="443"/>
        <v>53428.653749999998</v>
      </c>
    </row>
    <row r="232" spans="1:71" ht="41.1" customHeight="1">
      <c r="A232" s="91" t="s">
        <v>32</v>
      </c>
      <c r="B232" s="358" t="s">
        <v>2423</v>
      </c>
      <c r="C232" s="50" t="s">
        <v>333</v>
      </c>
      <c r="D232" s="99" t="s">
        <v>681</v>
      </c>
      <c r="E232" s="391" t="s">
        <v>14</v>
      </c>
      <c r="F232" s="410">
        <v>318006</v>
      </c>
      <c r="G232" s="589">
        <f t="shared" si="449"/>
        <v>335878</v>
      </c>
      <c r="H232" s="10">
        <v>334460</v>
      </c>
      <c r="I232" s="167">
        <v>668920</v>
      </c>
      <c r="J232" s="10">
        <v>328600</v>
      </c>
      <c r="K232" s="76">
        <f>AVERAGE(H232,G232)</f>
        <v>335169</v>
      </c>
      <c r="L232" s="24">
        <f t="shared" si="478"/>
        <v>17163</v>
      </c>
      <c r="M232" s="281">
        <f t="shared" si="451"/>
        <v>5.1098910914081898E-2</v>
      </c>
      <c r="N232" s="597">
        <f t="shared" si="452"/>
        <v>335169</v>
      </c>
      <c r="O232" s="410">
        <v>286206</v>
      </c>
      <c r="P232" s="575">
        <f t="shared" si="444"/>
        <v>302291</v>
      </c>
      <c r="Q232" s="10">
        <v>90000</v>
      </c>
      <c r="R232" s="10">
        <v>105000</v>
      </c>
      <c r="S232" s="268">
        <v>98000</v>
      </c>
      <c r="T232" s="10">
        <v>220000</v>
      </c>
      <c r="U232" s="76">
        <f t="shared" si="494"/>
        <v>163058.20000000001</v>
      </c>
      <c r="V232" s="24">
        <f t="shared" si="437"/>
        <v>-139232.79999999999</v>
      </c>
      <c r="W232" s="281">
        <f t="shared" si="498"/>
        <v>-0.48647757209841858</v>
      </c>
      <c r="X232" s="462">
        <f>P232</f>
        <v>302291</v>
      </c>
      <c r="Y232" s="410">
        <v>325486</v>
      </c>
      <c r="Z232" s="575">
        <f t="shared" si="438"/>
        <v>343778</v>
      </c>
      <c r="AA232" s="31">
        <v>423320</v>
      </c>
      <c r="AB232" s="31">
        <v>423320</v>
      </c>
      <c r="AC232" s="98">
        <v>370012.6</v>
      </c>
      <c r="AD232" s="76">
        <f>AVERAGE(AA232,AC232,Z232,AB232)</f>
        <v>390107.65</v>
      </c>
      <c r="AE232" s="24">
        <f t="shared" si="439"/>
        <v>46329.650000000023</v>
      </c>
      <c r="AF232" s="25">
        <f t="shared" si="481"/>
        <v>0.14233991630976456</v>
      </c>
      <c r="AG232" s="309">
        <f t="shared" si="482"/>
        <v>390107.65</v>
      </c>
      <c r="AH232" s="601">
        <f t="shared" si="483"/>
        <v>390107.65</v>
      </c>
      <c r="AI232" s="410">
        <v>318005</v>
      </c>
      <c r="AJ232" s="575">
        <f t="shared" si="440"/>
        <v>335877</v>
      </c>
      <c r="AK232" s="45">
        <v>350000</v>
      </c>
      <c r="AL232" s="45">
        <v>375213</v>
      </c>
      <c r="AM232" s="45">
        <v>340000</v>
      </c>
      <c r="AN232" s="76">
        <f>AVERAGE(AK232,AM232,AJ232)</f>
        <v>341959</v>
      </c>
      <c r="AO232" s="24">
        <f t="shared" si="484"/>
        <v>23954</v>
      </c>
      <c r="AP232" s="281">
        <f t="shared" si="485"/>
        <v>7.5325859656294708E-2</v>
      </c>
      <c r="AQ232" s="601">
        <f t="shared" si="486"/>
        <v>341959</v>
      </c>
      <c r="AR232" s="513">
        <v>318005</v>
      </c>
      <c r="AS232" s="575">
        <f t="shared" si="445"/>
        <v>335877</v>
      </c>
      <c r="AT232" s="88">
        <v>351000</v>
      </c>
      <c r="AU232" s="116">
        <v>351000</v>
      </c>
      <c r="AV232" s="74">
        <v>367906</v>
      </c>
      <c r="AW232" s="76">
        <f t="shared" si="446"/>
        <v>351445.75</v>
      </c>
      <c r="AX232" s="24">
        <f t="shared" si="487"/>
        <v>33440.75</v>
      </c>
      <c r="AY232" s="25">
        <f t="shared" si="488"/>
        <v>0.10515793776827409</v>
      </c>
      <c r="AZ232" s="309">
        <f t="shared" si="489"/>
        <v>351445.75</v>
      </c>
      <c r="BA232" s="601">
        <f t="shared" si="490"/>
        <v>351445.75</v>
      </c>
      <c r="BB232" s="513">
        <v>318005</v>
      </c>
      <c r="BC232" s="575">
        <f t="shared" si="442"/>
        <v>335877</v>
      </c>
      <c r="BD232" s="74">
        <v>384629</v>
      </c>
      <c r="BE232" s="74">
        <v>500000</v>
      </c>
      <c r="BF232" s="75">
        <v>443159.5</v>
      </c>
      <c r="BG232" s="61">
        <v>384628.99999999994</v>
      </c>
      <c r="BH232" s="60">
        <v>420000</v>
      </c>
      <c r="BI232" s="74">
        <v>442323.34999999992</v>
      </c>
      <c r="BJ232" s="79">
        <v>443159.5</v>
      </c>
      <c r="BK232" s="79">
        <f>238900*1.4</f>
        <v>334460</v>
      </c>
      <c r="BL232" s="127">
        <v>401352</v>
      </c>
      <c r="BM232" s="142">
        <v>411000</v>
      </c>
      <c r="BN232" s="142">
        <v>370000</v>
      </c>
      <c r="BO232" s="76">
        <f>AVERAGE(BC232,BD232,BE232,BG232,BH232,BJ232,BK232,BL232,BN232)</f>
        <v>397122.94444444444</v>
      </c>
      <c r="BP232" s="24">
        <f t="shared" si="491"/>
        <v>79117.944444444438</v>
      </c>
      <c r="BQ232" s="25">
        <f t="shared" si="492"/>
        <v>0.24879465556970626</v>
      </c>
      <c r="BR232" s="259">
        <f t="shared" si="493"/>
        <v>397122.94444444444</v>
      </c>
      <c r="BS232" s="607">
        <f t="shared" si="443"/>
        <v>397122.94444444444</v>
      </c>
    </row>
    <row r="233" spans="1:71" ht="42.6" customHeight="1">
      <c r="A233" s="91" t="s">
        <v>32</v>
      </c>
      <c r="B233" s="358" t="s">
        <v>2424</v>
      </c>
      <c r="C233" s="50" t="s">
        <v>334</v>
      </c>
      <c r="D233" s="99" t="s">
        <v>684</v>
      </c>
      <c r="E233" s="391" t="s">
        <v>14</v>
      </c>
      <c r="F233" s="410">
        <v>78247</v>
      </c>
      <c r="G233" s="589">
        <f t="shared" si="449"/>
        <v>82644</v>
      </c>
      <c r="H233" s="10">
        <v>103870</v>
      </c>
      <c r="I233" s="167">
        <v>207740</v>
      </c>
      <c r="J233" s="10">
        <v>110000</v>
      </c>
      <c r="K233" s="76">
        <f>AVERAGE(H233,J233,G233)</f>
        <v>98838</v>
      </c>
      <c r="L233" s="24">
        <f t="shared" ref="L233:L244" si="499">K233-F233</f>
        <v>20591</v>
      </c>
      <c r="M233" s="281">
        <f t="shared" si="451"/>
        <v>0.24915299356275108</v>
      </c>
      <c r="N233" s="597">
        <f t="shared" si="452"/>
        <v>98838</v>
      </c>
      <c r="O233" s="410">
        <v>71117</v>
      </c>
      <c r="P233" s="575">
        <f t="shared" si="444"/>
        <v>75114</v>
      </c>
      <c r="Q233" s="10">
        <v>600000</v>
      </c>
      <c r="R233" s="10">
        <v>680000</v>
      </c>
      <c r="S233" s="268">
        <v>630000</v>
      </c>
      <c r="T233" s="10">
        <v>600000</v>
      </c>
      <c r="U233" s="76">
        <f t="shared" si="494"/>
        <v>517022.8</v>
      </c>
      <c r="V233" s="24">
        <f t="shared" si="437"/>
        <v>441908.8</v>
      </c>
      <c r="W233" s="281">
        <f t="shared" ref="W233:W234" si="500">+V233/O233</f>
        <v>6.2138279173755926</v>
      </c>
      <c r="X233" s="462">
        <v>110000</v>
      </c>
      <c r="Y233" s="410">
        <v>102108</v>
      </c>
      <c r="Z233" s="575">
        <f t="shared" si="438"/>
        <v>107846</v>
      </c>
      <c r="AA233" s="31">
        <v>132800</v>
      </c>
      <c r="AB233" s="31">
        <v>172639</v>
      </c>
      <c r="AC233" s="98">
        <v>116076.6</v>
      </c>
      <c r="AD233" s="76">
        <f t="shared" si="469"/>
        <v>118907.53333333333</v>
      </c>
      <c r="AE233" s="24">
        <f t="shared" si="439"/>
        <v>11061.533333333326</v>
      </c>
      <c r="AF233" s="25">
        <f t="shared" si="481"/>
        <v>0.10833170107467902</v>
      </c>
      <c r="AG233" s="309">
        <f t="shared" si="482"/>
        <v>118907.53333333333</v>
      </c>
      <c r="AH233" s="601">
        <f t="shared" si="483"/>
        <v>118907.53333333333</v>
      </c>
      <c r="AI233" s="410">
        <v>79413</v>
      </c>
      <c r="AJ233" s="575">
        <f t="shared" si="440"/>
        <v>83876</v>
      </c>
      <c r="AK233" s="45">
        <v>150000</v>
      </c>
      <c r="AL233" s="45">
        <v>92319</v>
      </c>
      <c r="AM233" s="45">
        <v>100000</v>
      </c>
      <c r="AN233" s="76">
        <f>AVERAGE(AL233,AM233,AJ233)</f>
        <v>92065</v>
      </c>
      <c r="AO233" s="24">
        <f t="shared" ref="AO233:AO243" si="501">AN233-AI233</f>
        <v>12652</v>
      </c>
      <c r="AP233" s="281">
        <f t="shared" ref="AP233:AP243" si="502">+AO233/AI233</f>
        <v>0.15931900318587636</v>
      </c>
      <c r="AQ233" s="601">
        <f t="shared" ref="AQ233:AQ243" si="503">AN233</f>
        <v>92065</v>
      </c>
      <c r="AR233" s="513">
        <v>79813</v>
      </c>
      <c r="AS233" s="575">
        <f t="shared" si="445"/>
        <v>84298</v>
      </c>
      <c r="AT233" s="88">
        <v>115000</v>
      </c>
      <c r="AU233" s="116">
        <v>115000</v>
      </c>
      <c r="AV233" s="74">
        <v>114257</v>
      </c>
      <c r="AW233" s="76">
        <f t="shared" si="446"/>
        <v>107138.75</v>
      </c>
      <c r="AX233" s="24">
        <f t="shared" si="487"/>
        <v>27325.75</v>
      </c>
      <c r="AY233" s="25">
        <f t="shared" si="488"/>
        <v>0.34237216994725173</v>
      </c>
      <c r="AZ233" s="309">
        <f t="shared" si="489"/>
        <v>107138.75</v>
      </c>
      <c r="BA233" s="601">
        <f t="shared" si="490"/>
        <v>107138.75</v>
      </c>
      <c r="BB233" s="513">
        <v>79813</v>
      </c>
      <c r="BC233" s="575">
        <f t="shared" si="442"/>
        <v>84298</v>
      </c>
      <c r="BD233" s="74">
        <v>119450.5</v>
      </c>
      <c r="BE233" s="74">
        <v>200000</v>
      </c>
      <c r="BF233" s="75">
        <v>137627.75</v>
      </c>
      <c r="BG233" s="61">
        <v>119450.49999999999</v>
      </c>
      <c r="BH233" s="60">
        <v>360000</v>
      </c>
      <c r="BI233" s="74">
        <v>137368.07499999998</v>
      </c>
      <c r="BJ233" s="79">
        <v>137627.75</v>
      </c>
      <c r="BK233" s="79">
        <f>79900*1.3</f>
        <v>103870</v>
      </c>
      <c r="BL233" s="127">
        <v>124644</v>
      </c>
      <c r="BM233" s="142">
        <v>101800</v>
      </c>
      <c r="BN233" s="142">
        <v>100000</v>
      </c>
      <c r="BO233" s="76">
        <f>AVERAGE(BC233,BD233,BE233,BG233,BI233,BJ233,BK233,BM233,BN233)</f>
        <v>122651.64722222222</v>
      </c>
      <c r="BP233" s="24">
        <f t="shared" si="491"/>
        <v>42838.647222222222</v>
      </c>
      <c r="BQ233" s="25">
        <f t="shared" si="492"/>
        <v>0.53673771468585596</v>
      </c>
      <c r="BR233" s="259" t="str">
        <f t="shared" si="493"/>
        <v>REVISAR PRECIO</v>
      </c>
      <c r="BS233" s="607">
        <f t="shared" si="443"/>
        <v>122651.64722222222</v>
      </c>
    </row>
    <row r="234" spans="1:71" ht="42.6" customHeight="1">
      <c r="A234" s="91" t="s">
        <v>32</v>
      </c>
      <c r="B234" s="358" t="s">
        <v>2425</v>
      </c>
      <c r="C234" s="50" t="s">
        <v>335</v>
      </c>
      <c r="D234" s="99" t="s">
        <v>685</v>
      </c>
      <c r="E234" s="391" t="s">
        <v>13</v>
      </c>
      <c r="F234" s="410">
        <v>2346</v>
      </c>
      <c r="G234" s="589">
        <f t="shared" si="449"/>
        <v>2478</v>
      </c>
      <c r="H234" s="10">
        <v>10000</v>
      </c>
      <c r="I234" s="167">
        <v>30000</v>
      </c>
      <c r="J234" s="10">
        <v>6000</v>
      </c>
      <c r="K234" s="76">
        <f>AVERAGE(H234,J234,G234)</f>
        <v>6159.333333333333</v>
      </c>
      <c r="L234" s="24">
        <f t="shared" si="499"/>
        <v>3813.333333333333</v>
      </c>
      <c r="M234" s="281">
        <f t="shared" si="451"/>
        <v>1.5388754371805218</v>
      </c>
      <c r="N234" s="597">
        <f t="shared" si="452"/>
        <v>6159.333333333333</v>
      </c>
      <c r="O234" s="633">
        <v>2136</v>
      </c>
      <c r="P234" s="634">
        <f t="shared" si="444"/>
        <v>2256</v>
      </c>
      <c r="Q234" s="635">
        <v>15900</v>
      </c>
      <c r="R234" s="635">
        <v>12000</v>
      </c>
      <c r="S234" s="636">
        <v>12000</v>
      </c>
      <c r="T234" s="637">
        <v>10200</v>
      </c>
      <c r="U234" s="638">
        <f t="shared" si="494"/>
        <v>10471.200000000001</v>
      </c>
      <c r="V234" s="639">
        <f t="shared" si="437"/>
        <v>8215.2000000000007</v>
      </c>
      <c r="W234" s="281">
        <f t="shared" si="500"/>
        <v>3.8460674157303374</v>
      </c>
      <c r="X234" s="462">
        <f>+U234</f>
        <v>10471.200000000001</v>
      </c>
      <c r="Y234" s="410">
        <v>3062</v>
      </c>
      <c r="Z234" s="575">
        <f t="shared" si="438"/>
        <v>3234</v>
      </c>
      <c r="AA234" s="31">
        <v>3983</v>
      </c>
      <c r="AB234" s="31">
        <v>5177</v>
      </c>
      <c r="AC234" s="98">
        <v>3481</v>
      </c>
      <c r="AD234" s="76">
        <f t="shared" si="469"/>
        <v>3566</v>
      </c>
      <c r="AE234" s="24">
        <f t="shared" si="439"/>
        <v>332</v>
      </c>
      <c r="AF234" s="25">
        <f t="shared" si="481"/>
        <v>0.10842586544741999</v>
      </c>
      <c r="AG234" s="309">
        <f t="shared" si="482"/>
        <v>3566</v>
      </c>
      <c r="AH234" s="601">
        <f t="shared" si="483"/>
        <v>3566</v>
      </c>
      <c r="AI234" s="499">
        <v>2383</v>
      </c>
      <c r="AJ234" s="575">
        <f t="shared" si="440"/>
        <v>2517</v>
      </c>
      <c r="AK234" s="45">
        <v>20000</v>
      </c>
      <c r="AL234" s="45">
        <v>2768</v>
      </c>
      <c r="AM234" s="45">
        <v>12000</v>
      </c>
      <c r="AN234" s="76">
        <f>AVERAGE(AL234,AM234,AJ234)</f>
        <v>5761.666666666667</v>
      </c>
      <c r="AO234" s="24">
        <f t="shared" si="501"/>
        <v>3378.666666666667</v>
      </c>
      <c r="AP234" s="281">
        <f t="shared" si="502"/>
        <v>1.4178206742201709</v>
      </c>
      <c r="AQ234" s="604">
        <f t="shared" si="503"/>
        <v>5761.666666666667</v>
      </c>
      <c r="AR234" s="513">
        <v>2392</v>
      </c>
      <c r="AS234" s="575">
        <f t="shared" si="445"/>
        <v>2526</v>
      </c>
      <c r="AT234" s="88">
        <v>14000</v>
      </c>
      <c r="AU234" s="116">
        <v>14000</v>
      </c>
      <c r="AV234" s="74">
        <v>13200</v>
      </c>
      <c r="AW234" s="76">
        <f t="shared" si="446"/>
        <v>10931.5</v>
      </c>
      <c r="AX234" s="24">
        <f t="shared" si="487"/>
        <v>8539.5</v>
      </c>
      <c r="AY234" s="25">
        <f t="shared" si="488"/>
        <v>3.5700250836120402</v>
      </c>
      <c r="AZ234" s="309" t="str">
        <f t="shared" si="489"/>
        <v>REVISAR PRECIO</v>
      </c>
      <c r="BA234" s="601">
        <f t="shared" si="490"/>
        <v>10931.5</v>
      </c>
      <c r="BB234" s="513">
        <v>2392</v>
      </c>
      <c r="BC234" s="575">
        <f t="shared" si="442"/>
        <v>2526</v>
      </c>
      <c r="BD234" s="74">
        <v>13800</v>
      </c>
      <c r="BE234" s="74">
        <v>18000</v>
      </c>
      <c r="BF234" s="75">
        <v>15900</v>
      </c>
      <c r="BG234" s="61">
        <v>13799.999999999998</v>
      </c>
      <c r="BH234" s="60">
        <v>12000</v>
      </c>
      <c r="BI234" s="74">
        <v>15869.999999999996</v>
      </c>
      <c r="BJ234" s="79">
        <v>15900</v>
      </c>
      <c r="BK234" s="79">
        <v>12000</v>
      </c>
      <c r="BL234" s="127">
        <v>12000</v>
      </c>
      <c r="BM234" s="142">
        <v>10200</v>
      </c>
      <c r="BN234" s="142">
        <v>13000</v>
      </c>
      <c r="BO234" s="76">
        <f>AVERAGE(BC234,BD234,BE234,BG234,BH234,BJ234,BK234,BL234,BM234,BN234)</f>
        <v>12322.6</v>
      </c>
      <c r="BP234" s="24">
        <f t="shared" si="491"/>
        <v>9930.6</v>
      </c>
      <c r="BQ234" s="25">
        <f t="shared" si="492"/>
        <v>4.1515886287625419</v>
      </c>
      <c r="BR234" s="259" t="str">
        <f t="shared" si="493"/>
        <v>REVISAR PRECIO</v>
      </c>
      <c r="BS234" s="607">
        <f t="shared" si="443"/>
        <v>12322.6</v>
      </c>
    </row>
    <row r="235" spans="1:71" ht="42.6" customHeight="1">
      <c r="A235" s="91" t="s">
        <v>32</v>
      </c>
      <c r="B235" s="358" t="s">
        <v>2426</v>
      </c>
      <c r="C235" s="50" t="s">
        <v>336</v>
      </c>
      <c r="D235" s="99" t="s">
        <v>686</v>
      </c>
      <c r="E235" s="391" t="s">
        <v>14</v>
      </c>
      <c r="F235" s="410">
        <v>285504</v>
      </c>
      <c r="G235" s="589">
        <f t="shared" si="449"/>
        <v>301549</v>
      </c>
      <c r="H235" s="10">
        <v>426265</v>
      </c>
      <c r="I235" s="167">
        <v>1705060</v>
      </c>
      <c r="J235" s="10">
        <v>450000</v>
      </c>
      <c r="K235" s="76">
        <f>AVERAGE(H235,J235,G235)</f>
        <v>392604.66666666669</v>
      </c>
      <c r="L235" s="24">
        <f t="shared" si="499"/>
        <v>107100.66666666669</v>
      </c>
      <c r="M235" s="281">
        <f t="shared" si="451"/>
        <v>0.35516836954082648</v>
      </c>
      <c r="N235" s="597">
        <f>G235</f>
        <v>301549</v>
      </c>
      <c r="O235" s="566">
        <v>291208</v>
      </c>
      <c r="P235" s="579">
        <f t="shared" si="444"/>
        <v>307574</v>
      </c>
      <c r="Q235" s="568">
        <v>239109.5</v>
      </c>
      <c r="R235" s="568">
        <f>128900*1.4</f>
        <v>180460</v>
      </c>
      <c r="S235" s="572">
        <v>216552</v>
      </c>
      <c r="T235" s="632">
        <v>222900</v>
      </c>
      <c r="U235" s="638">
        <f>AVERAGE(Q235,S235,T235,P235)</f>
        <v>246533.875</v>
      </c>
      <c r="V235" s="639">
        <f t="shared" ref="V235:V239" si="504">U235-P235</f>
        <v>-61040.125</v>
      </c>
      <c r="W235" s="281">
        <f t="shared" ref="W235:W239" si="505">+V235/O235</f>
        <v>-0.2096100553556221</v>
      </c>
      <c r="X235" s="601">
        <f t="shared" ref="X235:X239" si="506">+U235</f>
        <v>246533.875</v>
      </c>
      <c r="Y235" s="410">
        <v>372549</v>
      </c>
      <c r="Z235" s="575">
        <f t="shared" si="438"/>
        <v>393486</v>
      </c>
      <c r="AA235" s="31">
        <v>484529</v>
      </c>
      <c r="AB235" s="31">
        <v>629887</v>
      </c>
      <c r="AC235" s="98">
        <v>423513.8</v>
      </c>
      <c r="AD235" s="76">
        <f t="shared" si="469"/>
        <v>433842.93333333335</v>
      </c>
      <c r="AE235" s="24">
        <f t="shared" si="439"/>
        <v>40356.933333333349</v>
      </c>
      <c r="AF235" s="25">
        <f t="shared" si="481"/>
        <v>0.10832651096455324</v>
      </c>
      <c r="AG235" s="309">
        <f t="shared" si="482"/>
        <v>433842.93333333335</v>
      </c>
      <c r="AH235" s="601">
        <f t="shared" si="483"/>
        <v>433842.93333333335</v>
      </c>
      <c r="AI235" s="410">
        <v>289765</v>
      </c>
      <c r="AJ235" s="575">
        <f t="shared" si="440"/>
        <v>306050</v>
      </c>
      <c r="AK235" s="45"/>
      <c r="AL235" s="45">
        <v>336861</v>
      </c>
      <c r="AM235" s="45">
        <v>185000</v>
      </c>
      <c r="AN235" s="76">
        <f>AVERAGE(AK235,AL235,AJ235)</f>
        <v>321455.5</v>
      </c>
      <c r="AO235" s="24">
        <f t="shared" si="501"/>
        <v>31690.5</v>
      </c>
      <c r="AP235" s="281">
        <f t="shared" si="502"/>
        <v>0.10936621054992839</v>
      </c>
      <c r="AQ235" s="601">
        <f t="shared" si="503"/>
        <v>321455.5</v>
      </c>
      <c r="AR235" s="513">
        <v>291208</v>
      </c>
      <c r="AS235" s="575">
        <f t="shared" si="445"/>
        <v>307574</v>
      </c>
      <c r="AT235" s="88">
        <v>200000</v>
      </c>
      <c r="AU235" s="116">
        <v>200000</v>
      </c>
      <c r="AV235" s="74">
        <v>198506</v>
      </c>
      <c r="AW235" s="76">
        <f t="shared" si="446"/>
        <v>226520</v>
      </c>
      <c r="AX235" s="24">
        <f t="shared" si="487"/>
        <v>-64688</v>
      </c>
      <c r="AY235" s="25">
        <f t="shared" si="488"/>
        <v>-0.22213675448476691</v>
      </c>
      <c r="AZ235" s="309">
        <f t="shared" si="489"/>
        <v>226520</v>
      </c>
      <c r="BA235" s="601">
        <f>AS235</f>
        <v>307574</v>
      </c>
      <c r="BB235" s="513">
        <v>291208</v>
      </c>
      <c r="BC235" s="575">
        <f t="shared" si="442"/>
        <v>307574</v>
      </c>
      <c r="BD235" s="74">
        <v>207529</v>
      </c>
      <c r="BE235" s="74">
        <v>240000</v>
      </c>
      <c r="BF235" s="75">
        <v>239109.5</v>
      </c>
      <c r="BG235" s="61">
        <v>207528.99999999997</v>
      </c>
      <c r="BH235" s="60">
        <v>450000</v>
      </c>
      <c r="BI235" s="74">
        <v>238658.34999999995</v>
      </c>
      <c r="BJ235" s="79">
        <v>239109.5</v>
      </c>
      <c r="BK235" s="79">
        <f>128900*1.4</f>
        <v>180460</v>
      </c>
      <c r="BL235" s="127">
        <v>216552</v>
      </c>
      <c r="BM235" s="142">
        <v>222900</v>
      </c>
      <c r="BN235" s="142">
        <v>200000</v>
      </c>
      <c r="BO235" s="76">
        <f t="shared" si="468"/>
        <v>245785.11249999996</v>
      </c>
      <c r="BP235" s="24">
        <f t="shared" si="491"/>
        <v>-45422.887500000041</v>
      </c>
      <c r="BQ235" s="25">
        <f t="shared" si="492"/>
        <v>-0.15598090540095066</v>
      </c>
      <c r="BR235" s="259">
        <f t="shared" si="493"/>
        <v>245785.11249999996</v>
      </c>
      <c r="BS235" s="652">
        <f>BC235</f>
        <v>307574</v>
      </c>
    </row>
    <row r="236" spans="1:71" ht="45" customHeight="1">
      <c r="A236" s="91" t="s">
        <v>32</v>
      </c>
      <c r="B236" s="358" t="s">
        <v>2427</v>
      </c>
      <c r="C236" s="50" t="s">
        <v>337</v>
      </c>
      <c r="D236" s="99" t="s">
        <v>687</v>
      </c>
      <c r="E236" s="391" t="s">
        <v>10</v>
      </c>
      <c r="F236" s="410">
        <v>367689</v>
      </c>
      <c r="G236" s="589">
        <f t="shared" si="449"/>
        <v>388353</v>
      </c>
      <c r="H236" s="10">
        <v>158250</v>
      </c>
      <c r="I236" s="167">
        <v>633000</v>
      </c>
      <c r="J236" s="10">
        <v>150600</v>
      </c>
      <c r="K236" s="76">
        <f>AVERAGE(H236,J236,G236)</f>
        <v>232401</v>
      </c>
      <c r="L236" s="24">
        <f t="shared" si="499"/>
        <v>-135288</v>
      </c>
      <c r="M236" s="281">
        <f t="shared" si="451"/>
        <v>-0.34836347343782592</v>
      </c>
      <c r="N236" s="597">
        <f>G236</f>
        <v>388353</v>
      </c>
      <c r="O236" s="566">
        <v>375045</v>
      </c>
      <c r="P236" s="579">
        <f t="shared" si="444"/>
        <v>396123</v>
      </c>
      <c r="Q236" s="568">
        <v>209681.25</v>
      </c>
      <c r="R236" s="568">
        <v>158250</v>
      </c>
      <c r="S236" s="572">
        <v>189900</v>
      </c>
      <c r="T236" s="632">
        <v>192100</v>
      </c>
      <c r="U236" s="638">
        <f t="shared" ref="U236:U239" si="507">AVERAGE(Q236,R236,S236,T236,P236)</f>
        <v>229210.85</v>
      </c>
      <c r="V236" s="639">
        <f t="shared" si="504"/>
        <v>-166912.15</v>
      </c>
      <c r="W236" s="281">
        <f t="shared" si="505"/>
        <v>-0.44504566118732419</v>
      </c>
      <c r="X236" s="462">
        <f>P236</f>
        <v>396123</v>
      </c>
      <c r="Y236" s="410">
        <v>553648</v>
      </c>
      <c r="Z236" s="575">
        <f t="shared" si="438"/>
        <v>584763</v>
      </c>
      <c r="AA236" s="31">
        <v>720063</v>
      </c>
      <c r="AB236" s="31">
        <v>936082</v>
      </c>
      <c r="AC236" s="98">
        <v>629388.4</v>
      </c>
      <c r="AD236" s="76">
        <f t="shared" si="469"/>
        <v>644738.1333333333</v>
      </c>
      <c r="AE236" s="24">
        <f t="shared" si="439"/>
        <v>59975.133333333302</v>
      </c>
      <c r="AF236" s="25">
        <f t="shared" si="481"/>
        <v>0.10832719224730028</v>
      </c>
      <c r="AG236" s="309">
        <f t="shared" si="482"/>
        <v>644738.1333333333</v>
      </c>
      <c r="AH236" s="601">
        <f t="shared" si="483"/>
        <v>644738.1333333333</v>
      </c>
      <c r="AI236" s="410">
        <v>373175</v>
      </c>
      <c r="AJ236" s="575">
        <f t="shared" si="440"/>
        <v>394147</v>
      </c>
      <c r="AK236" s="45"/>
      <c r="AL236" s="45">
        <v>433832</v>
      </c>
      <c r="AM236" s="45">
        <v>155000</v>
      </c>
      <c r="AN236" s="76">
        <f>AVERAGE(AK236,AL236,AJ236)</f>
        <v>413989.5</v>
      </c>
      <c r="AO236" s="24">
        <f t="shared" si="501"/>
        <v>40814.5</v>
      </c>
      <c r="AP236" s="281">
        <f t="shared" si="502"/>
        <v>0.10937093856769613</v>
      </c>
      <c r="AQ236" s="601">
        <f>AJ236</f>
        <v>394147</v>
      </c>
      <c r="AR236" s="513">
        <v>375045</v>
      </c>
      <c r="AS236" s="575">
        <f t="shared" si="445"/>
        <v>396123</v>
      </c>
      <c r="AT236" s="88">
        <v>175000</v>
      </c>
      <c r="AU236" s="116">
        <v>175000</v>
      </c>
      <c r="AV236" s="74">
        <v>174075</v>
      </c>
      <c r="AW236" s="76">
        <f t="shared" si="446"/>
        <v>230049.5</v>
      </c>
      <c r="AX236" s="24">
        <f t="shared" si="487"/>
        <v>-144995.5</v>
      </c>
      <c r="AY236" s="25">
        <f t="shared" si="488"/>
        <v>-0.38660827367382583</v>
      </c>
      <c r="AZ236" s="309">
        <f>AS236</f>
        <v>396123</v>
      </c>
      <c r="BA236" s="601">
        <f>AS236</f>
        <v>396123</v>
      </c>
      <c r="BB236" s="513">
        <v>375045</v>
      </c>
      <c r="BC236" s="575">
        <f t="shared" si="442"/>
        <v>396123</v>
      </c>
      <c r="BD236" s="74">
        <v>181987.5</v>
      </c>
      <c r="BE236" s="74">
        <v>450000</v>
      </c>
      <c r="BF236" s="75">
        <v>209681.25</v>
      </c>
      <c r="BG236" s="61">
        <v>181987.5</v>
      </c>
      <c r="BH236" s="60"/>
      <c r="BI236" s="74">
        <v>209285.62499999997</v>
      </c>
      <c r="BJ236" s="79">
        <v>209681.25</v>
      </c>
      <c r="BK236" s="79">
        <v>158250</v>
      </c>
      <c r="BL236" s="127">
        <v>189900</v>
      </c>
      <c r="BM236" s="142">
        <v>192100</v>
      </c>
      <c r="BN236" s="142">
        <v>160000</v>
      </c>
      <c r="BO236" s="76">
        <f t="shared" si="468"/>
        <v>230817.82954545456</v>
      </c>
      <c r="BP236" s="24">
        <f t="shared" si="491"/>
        <v>-144227.17045454544</v>
      </c>
      <c r="BQ236" s="25">
        <f t="shared" si="492"/>
        <v>-0.38455964072190124</v>
      </c>
      <c r="BR236" s="259">
        <f t="shared" si="493"/>
        <v>230817.82954545456</v>
      </c>
      <c r="BS236" s="652">
        <f>BC236</f>
        <v>396123</v>
      </c>
    </row>
    <row r="237" spans="1:71" ht="45" customHeight="1">
      <c r="A237" s="91" t="s">
        <v>32</v>
      </c>
      <c r="B237" s="358" t="s">
        <v>2428</v>
      </c>
      <c r="C237" s="50" t="s">
        <v>338</v>
      </c>
      <c r="D237" s="99" t="s">
        <v>688</v>
      </c>
      <c r="E237" s="391" t="s">
        <v>10</v>
      </c>
      <c r="F237" s="410">
        <v>174899</v>
      </c>
      <c r="G237" s="589">
        <f t="shared" si="449"/>
        <v>184728</v>
      </c>
      <c r="H237" s="10">
        <v>350000</v>
      </c>
      <c r="I237" s="167">
        <v>1400000</v>
      </c>
      <c r="J237" s="10">
        <v>345000</v>
      </c>
      <c r="K237" s="76">
        <f>AVERAGE(H237,J237,G237)</f>
        <v>293242.66666666669</v>
      </c>
      <c r="L237" s="24">
        <f t="shared" si="499"/>
        <v>118343.66666666669</v>
      </c>
      <c r="M237" s="281">
        <f t="shared" si="451"/>
        <v>0.6406374056270121</v>
      </c>
      <c r="N237" s="597">
        <f t="shared" si="452"/>
        <v>293242.66666666669</v>
      </c>
      <c r="O237" s="566">
        <v>178391</v>
      </c>
      <c r="P237" s="579">
        <f t="shared" si="444"/>
        <v>188417</v>
      </c>
      <c r="Q237" s="568">
        <v>463750</v>
      </c>
      <c r="R237" s="568">
        <v>350000</v>
      </c>
      <c r="S237" s="572">
        <v>420000</v>
      </c>
      <c r="T237" s="632">
        <v>428000</v>
      </c>
      <c r="U237" s="638">
        <f t="shared" si="507"/>
        <v>370033.4</v>
      </c>
      <c r="V237" s="639">
        <f t="shared" si="504"/>
        <v>181616.40000000002</v>
      </c>
      <c r="W237" s="281">
        <f t="shared" si="505"/>
        <v>1.0180805085458349</v>
      </c>
      <c r="X237" s="462">
        <f t="shared" si="506"/>
        <v>370033.4</v>
      </c>
      <c r="Y237" s="410">
        <v>263351</v>
      </c>
      <c r="Z237" s="575">
        <f t="shared" si="438"/>
        <v>278151</v>
      </c>
      <c r="AA237" s="31">
        <v>342509</v>
      </c>
      <c r="AB237" s="31">
        <v>445261</v>
      </c>
      <c r="AC237" s="98">
        <v>299377.8</v>
      </c>
      <c r="AD237" s="76">
        <f t="shared" si="469"/>
        <v>306679.26666666666</v>
      </c>
      <c r="AE237" s="24">
        <f t="shared" si="439"/>
        <v>28528.266666666663</v>
      </c>
      <c r="AF237" s="25">
        <f t="shared" si="481"/>
        <v>0.10832792230394668</v>
      </c>
      <c r="AG237" s="309">
        <f t="shared" si="482"/>
        <v>306679.26666666666</v>
      </c>
      <c r="AH237" s="601">
        <f t="shared" si="483"/>
        <v>306679.26666666666</v>
      </c>
      <c r="AI237" s="410">
        <v>177508</v>
      </c>
      <c r="AJ237" s="575">
        <f t="shared" si="440"/>
        <v>187484</v>
      </c>
      <c r="AK237" s="45"/>
      <c r="AL237" s="45">
        <v>206358</v>
      </c>
      <c r="AM237" s="45">
        <v>350000</v>
      </c>
      <c r="AN237" s="76">
        <f>AVERAGE(AK237,AL237,AJ237,AM237)</f>
        <v>247947.33333333334</v>
      </c>
      <c r="AO237" s="24">
        <f t="shared" si="501"/>
        <v>70439.333333333343</v>
      </c>
      <c r="AP237" s="281">
        <f t="shared" si="502"/>
        <v>0.39682342955434879</v>
      </c>
      <c r="AQ237" s="601">
        <f t="shared" si="503"/>
        <v>247947.33333333334</v>
      </c>
      <c r="AR237" s="513">
        <v>178391</v>
      </c>
      <c r="AS237" s="575">
        <f t="shared" si="445"/>
        <v>188417</v>
      </c>
      <c r="AT237" s="88">
        <v>367500</v>
      </c>
      <c r="AU237" s="116">
        <v>367500</v>
      </c>
      <c r="AV237" s="74">
        <v>385000</v>
      </c>
      <c r="AW237" s="76">
        <f t="shared" si="446"/>
        <v>327104.25</v>
      </c>
      <c r="AX237" s="24">
        <f t="shared" si="487"/>
        <v>148713.25</v>
      </c>
      <c r="AY237" s="25">
        <f t="shared" si="488"/>
        <v>0.83363650632599173</v>
      </c>
      <c r="AZ237" s="309" t="str">
        <f t="shared" si="489"/>
        <v>REVISAR PRECIO</v>
      </c>
      <c r="BA237" s="601">
        <f t="shared" si="490"/>
        <v>327104.25</v>
      </c>
      <c r="BB237" s="513">
        <v>178391</v>
      </c>
      <c r="BC237" s="575">
        <f t="shared" si="442"/>
        <v>188417</v>
      </c>
      <c r="BD237" s="74">
        <v>402500</v>
      </c>
      <c r="BE237" s="74">
        <v>480000</v>
      </c>
      <c r="BF237" s="75">
        <v>463750</v>
      </c>
      <c r="BG237" s="61">
        <v>402499.99999999994</v>
      </c>
      <c r="BH237" s="60">
        <v>380000</v>
      </c>
      <c r="BI237" s="74">
        <v>462874.99999999988</v>
      </c>
      <c r="BJ237" s="79">
        <v>463750</v>
      </c>
      <c r="BK237" s="79">
        <v>350000</v>
      </c>
      <c r="BL237" s="127">
        <v>420000</v>
      </c>
      <c r="BM237" s="142">
        <v>428000</v>
      </c>
      <c r="BN237" s="142">
        <v>400000</v>
      </c>
      <c r="BO237" s="76">
        <f>AVERAGE(BC237,BD237,BE237,BG237,BH237,BJ237,BK237,BL237,BN237)</f>
        <v>387463</v>
      </c>
      <c r="BP237" s="24">
        <f t="shared" si="491"/>
        <v>209072</v>
      </c>
      <c r="BQ237" s="25">
        <f t="shared" si="492"/>
        <v>1.1719873760447557</v>
      </c>
      <c r="BR237" s="259" t="str">
        <f t="shared" si="493"/>
        <v>REVISAR PRECIO</v>
      </c>
      <c r="BS237" s="607">
        <f t="shared" si="443"/>
        <v>387463</v>
      </c>
    </row>
    <row r="238" spans="1:71" ht="33" customHeight="1">
      <c r="A238" s="91" t="s">
        <v>32</v>
      </c>
      <c r="B238" s="358" t="s">
        <v>2429</v>
      </c>
      <c r="C238" s="50" t="s">
        <v>339</v>
      </c>
      <c r="D238" s="99" t="s">
        <v>689</v>
      </c>
      <c r="E238" s="391" t="s">
        <v>13</v>
      </c>
      <c r="F238" s="410">
        <v>68773</v>
      </c>
      <c r="G238" s="589">
        <f t="shared" si="449"/>
        <v>72638</v>
      </c>
      <c r="H238" s="10">
        <v>59900</v>
      </c>
      <c r="I238" s="167">
        <v>119800</v>
      </c>
      <c r="J238" s="10">
        <v>50000</v>
      </c>
      <c r="K238" s="76">
        <f>AVERAGE(G238:H238,J238)</f>
        <v>60846</v>
      </c>
      <c r="L238" s="24">
        <f t="shared" si="499"/>
        <v>-7927</v>
      </c>
      <c r="M238" s="281">
        <f t="shared" si="451"/>
        <v>-0.10913020732949696</v>
      </c>
      <c r="N238" s="597">
        <f>+K238</f>
        <v>60846</v>
      </c>
      <c r="O238" s="566">
        <v>70148</v>
      </c>
      <c r="P238" s="579">
        <f t="shared" si="444"/>
        <v>74090</v>
      </c>
      <c r="Q238" s="568">
        <v>79367.5</v>
      </c>
      <c r="R238" s="568">
        <v>59900</v>
      </c>
      <c r="S238" s="572">
        <v>71880</v>
      </c>
      <c r="T238" s="632">
        <v>58100</v>
      </c>
      <c r="U238" s="638">
        <f t="shared" si="507"/>
        <v>68667.5</v>
      </c>
      <c r="V238" s="639">
        <f t="shared" si="504"/>
        <v>-5422.5</v>
      </c>
      <c r="W238" s="281">
        <f t="shared" si="505"/>
        <v>-7.7300849632206195E-2</v>
      </c>
      <c r="X238" s="462">
        <f t="shared" si="506"/>
        <v>68667.5</v>
      </c>
      <c r="Y238" s="410">
        <v>89745</v>
      </c>
      <c r="Z238" s="575">
        <f t="shared" si="438"/>
        <v>94789</v>
      </c>
      <c r="AA238" s="31">
        <v>116721</v>
      </c>
      <c r="AB238" s="31">
        <v>151737</v>
      </c>
      <c r="AC238" s="98">
        <v>102022.8</v>
      </c>
      <c r="AD238" s="76">
        <f t="shared" si="469"/>
        <v>104510.93333333333</v>
      </c>
      <c r="AE238" s="24">
        <f t="shared" si="439"/>
        <v>9721.9333333333343</v>
      </c>
      <c r="AF238" s="25">
        <f t="shared" si="481"/>
        <v>0.10832841198209743</v>
      </c>
      <c r="AG238" s="309">
        <f t="shared" si="482"/>
        <v>104510.93333333333</v>
      </c>
      <c r="AH238" s="601">
        <f t="shared" si="483"/>
        <v>104510.93333333333</v>
      </c>
      <c r="AI238" s="410">
        <v>69798</v>
      </c>
      <c r="AJ238" s="575">
        <f t="shared" si="440"/>
        <v>73721</v>
      </c>
      <c r="AK238" s="45"/>
      <c r="AL238" s="45">
        <v>81146</v>
      </c>
      <c r="AM238" s="45">
        <v>48000</v>
      </c>
      <c r="AN238" s="76">
        <f>AVERAGE(AK238,AL238,AJ238)</f>
        <v>77433.5</v>
      </c>
      <c r="AO238" s="24">
        <f t="shared" si="501"/>
        <v>7635.5</v>
      </c>
      <c r="AP238" s="281">
        <f t="shared" si="502"/>
        <v>0.10939425198429754</v>
      </c>
      <c r="AQ238" s="601">
        <f t="shared" si="503"/>
        <v>77433.5</v>
      </c>
      <c r="AR238" s="513">
        <v>70148</v>
      </c>
      <c r="AS238" s="575">
        <f t="shared" si="445"/>
        <v>74090</v>
      </c>
      <c r="AT238" s="88">
        <v>63000</v>
      </c>
      <c r="AU238" s="116">
        <v>63000</v>
      </c>
      <c r="AV238" s="74">
        <v>65890</v>
      </c>
      <c r="AW238" s="76">
        <f t="shared" si="446"/>
        <v>66495</v>
      </c>
      <c r="AX238" s="24">
        <f t="shared" si="487"/>
        <v>-3653</v>
      </c>
      <c r="AY238" s="25">
        <f t="shared" si="488"/>
        <v>-5.207561156412157E-2</v>
      </c>
      <c r="AZ238" s="309">
        <f t="shared" si="489"/>
        <v>66495</v>
      </c>
      <c r="BA238" s="601">
        <f t="shared" si="490"/>
        <v>66495</v>
      </c>
      <c r="BB238" s="513">
        <v>70148</v>
      </c>
      <c r="BC238" s="575">
        <f t="shared" si="442"/>
        <v>74090</v>
      </c>
      <c r="BD238" s="74">
        <v>68885</v>
      </c>
      <c r="BE238" s="74">
        <v>70000</v>
      </c>
      <c r="BF238" s="75">
        <v>79367.5</v>
      </c>
      <c r="BG238" s="61">
        <v>68885</v>
      </c>
      <c r="BH238" s="60">
        <v>360000</v>
      </c>
      <c r="BI238" s="74">
        <v>79217.75</v>
      </c>
      <c r="BJ238" s="79">
        <v>79367.5</v>
      </c>
      <c r="BK238" s="79">
        <v>59900</v>
      </c>
      <c r="BL238" s="127">
        <v>71880</v>
      </c>
      <c r="BM238" s="142">
        <v>58100</v>
      </c>
      <c r="BN238" s="142">
        <v>60000</v>
      </c>
      <c r="BO238" s="76">
        <f>AVERAGE(BC238,BD238,BE238,BF238,BG238,BI238,BJ238,BK238,BL238,BM238,BN238)</f>
        <v>69972.068181818177</v>
      </c>
      <c r="BP238" s="24">
        <f t="shared" si="491"/>
        <v>-175.93181818182347</v>
      </c>
      <c r="BQ238" s="25">
        <f t="shared" si="492"/>
        <v>-2.5080090406258693E-3</v>
      </c>
      <c r="BR238" s="259">
        <f t="shared" si="493"/>
        <v>69972.068181818177</v>
      </c>
      <c r="BS238" s="607">
        <f t="shared" si="443"/>
        <v>69972.068181818177</v>
      </c>
    </row>
    <row r="239" spans="1:71" ht="33" customHeight="1">
      <c r="A239" s="91" t="s">
        <v>32</v>
      </c>
      <c r="B239" s="358" t="s">
        <v>2430</v>
      </c>
      <c r="C239" s="50" t="s">
        <v>340</v>
      </c>
      <c r="D239" s="99" t="s">
        <v>690</v>
      </c>
      <c r="E239" s="391" t="s">
        <v>10</v>
      </c>
      <c r="F239" s="410">
        <v>9370</v>
      </c>
      <c r="G239" s="589">
        <f t="shared" si="449"/>
        <v>9897</v>
      </c>
      <c r="H239" s="10">
        <v>10143</v>
      </c>
      <c r="I239" s="167">
        <v>20286</v>
      </c>
      <c r="J239" s="10">
        <v>22300</v>
      </c>
      <c r="K239" s="76">
        <f t="shared" ref="K239:K244" si="508">AVERAGE(H239,J239,G239)</f>
        <v>14113.333333333334</v>
      </c>
      <c r="L239" s="24">
        <f t="shared" si="499"/>
        <v>4743.3333333333339</v>
      </c>
      <c r="M239" s="281">
        <f t="shared" si="451"/>
        <v>0.47926981240106437</v>
      </c>
      <c r="N239" s="597">
        <f t="shared" si="452"/>
        <v>14113.333333333334</v>
      </c>
      <c r="O239" s="566">
        <v>9558</v>
      </c>
      <c r="P239" s="579">
        <f t="shared" si="444"/>
        <v>10095</v>
      </c>
      <c r="Q239" s="568">
        <v>13439.475</v>
      </c>
      <c r="R239" s="568">
        <f>7245*1.4</f>
        <v>10143</v>
      </c>
      <c r="S239" s="572">
        <v>12171.6</v>
      </c>
      <c r="T239" s="644">
        <v>9800</v>
      </c>
      <c r="U239" s="647">
        <f t="shared" si="507"/>
        <v>11129.814999999999</v>
      </c>
      <c r="V239" s="643">
        <f t="shared" si="504"/>
        <v>1034.8149999999987</v>
      </c>
      <c r="W239" s="646">
        <f t="shared" si="505"/>
        <v>0.10826689684034303</v>
      </c>
      <c r="X239" s="462">
        <f t="shared" si="506"/>
        <v>11129.814999999999</v>
      </c>
      <c r="Y239" s="410">
        <v>12228</v>
      </c>
      <c r="Z239" s="575">
        <f t="shared" si="438"/>
        <v>12915</v>
      </c>
      <c r="AA239" s="31">
        <v>15903</v>
      </c>
      <c r="AB239" s="31">
        <v>15903</v>
      </c>
      <c r="AC239" s="98">
        <v>13900.4</v>
      </c>
      <c r="AD239" s="76">
        <f>AVERAGE(AA239,AC239,Z239,AB239)</f>
        <v>14655.35</v>
      </c>
      <c r="AE239" s="24">
        <f t="shared" si="439"/>
        <v>1740.3500000000004</v>
      </c>
      <c r="AF239" s="25">
        <f t="shared" si="481"/>
        <v>0.1423249918220478</v>
      </c>
      <c r="AG239" s="309">
        <f t="shared" si="482"/>
        <v>14655.35</v>
      </c>
      <c r="AH239" s="601">
        <f t="shared" si="483"/>
        <v>14655.35</v>
      </c>
      <c r="AI239" s="410">
        <v>9512</v>
      </c>
      <c r="AJ239" s="575">
        <f t="shared" si="440"/>
        <v>10047</v>
      </c>
      <c r="AK239" s="45"/>
      <c r="AL239" s="45">
        <v>11052</v>
      </c>
      <c r="AM239" s="45">
        <v>10000</v>
      </c>
      <c r="AN239" s="76">
        <f t="shared" si="441"/>
        <v>10366.333333333334</v>
      </c>
      <c r="AO239" s="24">
        <f t="shared" si="501"/>
        <v>854.33333333333394</v>
      </c>
      <c r="AP239" s="281">
        <f t="shared" si="502"/>
        <v>8.981637230165411E-2</v>
      </c>
      <c r="AQ239" s="601">
        <f t="shared" si="503"/>
        <v>10366.333333333334</v>
      </c>
      <c r="AR239" s="513">
        <v>9558</v>
      </c>
      <c r="AS239" s="575">
        <f t="shared" si="445"/>
        <v>10095</v>
      </c>
      <c r="AT239" s="88">
        <v>11000</v>
      </c>
      <c r="AU239" s="116">
        <v>11000</v>
      </c>
      <c r="AV239" s="74">
        <v>11157.3</v>
      </c>
      <c r="AW239" s="76">
        <f t="shared" si="446"/>
        <v>10813.075000000001</v>
      </c>
      <c r="AX239" s="24">
        <f t="shared" si="487"/>
        <v>1255.0750000000007</v>
      </c>
      <c r="AY239" s="25">
        <f t="shared" si="488"/>
        <v>0.13131146683406578</v>
      </c>
      <c r="AZ239" s="309">
        <f t="shared" si="489"/>
        <v>10813.075000000001</v>
      </c>
      <c r="BA239" s="601">
        <f t="shared" si="490"/>
        <v>10813.075000000001</v>
      </c>
      <c r="BB239" s="513">
        <v>9558</v>
      </c>
      <c r="BC239" s="575">
        <f t="shared" si="442"/>
        <v>10095</v>
      </c>
      <c r="BD239" s="74">
        <v>11664.45</v>
      </c>
      <c r="BE239" s="74">
        <v>18000</v>
      </c>
      <c r="BF239" s="75">
        <v>13439.475</v>
      </c>
      <c r="BG239" s="61">
        <v>11664.449999999999</v>
      </c>
      <c r="BH239" s="60">
        <v>350000</v>
      </c>
      <c r="BI239" s="74">
        <v>13414.117499999998</v>
      </c>
      <c r="BJ239" s="79">
        <v>13439.475</v>
      </c>
      <c r="BK239" s="79">
        <f>7245*1.4</f>
        <v>10143</v>
      </c>
      <c r="BL239" s="127">
        <v>12171.6</v>
      </c>
      <c r="BM239" s="142">
        <v>9800</v>
      </c>
      <c r="BN239" s="142">
        <v>10000</v>
      </c>
      <c r="BO239" s="76">
        <f>AVERAGE(BC239,BD239,BE239,BF239,BG239,BI239,BJ239,BK239,BL239,BM239,BN239)</f>
        <v>12166.506136363636</v>
      </c>
      <c r="BP239" s="24">
        <f t="shared" si="491"/>
        <v>2608.506136363636</v>
      </c>
      <c r="BQ239" s="25">
        <f t="shared" si="492"/>
        <v>0.27291338526508013</v>
      </c>
      <c r="BR239" s="259">
        <f t="shared" si="493"/>
        <v>12166.506136363636</v>
      </c>
      <c r="BS239" s="607">
        <f t="shared" si="443"/>
        <v>12166.506136363636</v>
      </c>
    </row>
    <row r="240" spans="1:71" ht="33" customHeight="1">
      <c r="A240" s="91" t="s">
        <v>32</v>
      </c>
      <c r="B240" s="358" t="s">
        <v>2431</v>
      </c>
      <c r="C240" s="50" t="s">
        <v>341</v>
      </c>
      <c r="D240" s="99" t="s">
        <v>33</v>
      </c>
      <c r="E240" s="391" t="s">
        <v>14</v>
      </c>
      <c r="F240" s="410">
        <v>2088330</v>
      </c>
      <c r="G240" s="589">
        <f t="shared" si="449"/>
        <v>2205694</v>
      </c>
      <c r="H240" s="10">
        <v>2029860</v>
      </c>
      <c r="I240" s="167">
        <v>2029860</v>
      </c>
      <c r="J240" s="10">
        <v>1980000</v>
      </c>
      <c r="K240" s="76">
        <f t="shared" si="508"/>
        <v>2071851.3333333333</v>
      </c>
      <c r="L240" s="24">
        <f t="shared" si="499"/>
        <v>-16478.666666666744</v>
      </c>
      <c r="M240" s="281">
        <f t="shared" si="451"/>
        <v>-7.4709668098415939E-3</v>
      </c>
      <c r="N240" s="597">
        <f t="shared" si="452"/>
        <v>2071851.3333333333</v>
      </c>
      <c r="O240" s="640">
        <v>1879496</v>
      </c>
      <c r="P240" s="621">
        <f t="shared" si="444"/>
        <v>1985124</v>
      </c>
      <c r="Q240" s="641">
        <v>2130000</v>
      </c>
      <c r="R240" s="641">
        <v>2210000</v>
      </c>
      <c r="S240" s="642">
        <v>2200000</v>
      </c>
      <c r="T240" s="645">
        <v>2200000</v>
      </c>
      <c r="U240" s="648">
        <f>AVERAGE(Q240,R240,S240,T240,P240)</f>
        <v>2145024.7999999998</v>
      </c>
      <c r="V240" s="649">
        <f t="shared" si="437"/>
        <v>159900.79999999981</v>
      </c>
      <c r="W240" s="646">
        <f t="shared" ref="W240:W244" si="509">+V240/O240</f>
        <v>8.507642474365458E-2</v>
      </c>
      <c r="X240" s="462">
        <f t="shared" ref="X240:X244" si="510">U240</f>
        <v>2145024.7999999998</v>
      </c>
      <c r="Y240" s="410">
        <v>2702257</v>
      </c>
      <c r="Z240" s="575">
        <f t="shared" si="438"/>
        <v>2854124</v>
      </c>
      <c r="AA240" s="31">
        <v>3514496</v>
      </c>
      <c r="AB240" s="33">
        <v>4568844</v>
      </c>
      <c r="AC240" s="98">
        <v>3071929.4</v>
      </c>
      <c r="AD240" s="76">
        <f t="shared" si="469"/>
        <v>3146849.8000000003</v>
      </c>
      <c r="AE240" s="24">
        <f t="shared" si="439"/>
        <v>292725.80000000028</v>
      </c>
      <c r="AF240" s="25">
        <f t="shared" si="481"/>
        <v>0.10832641010829107</v>
      </c>
      <c r="AG240" s="309">
        <f t="shared" si="482"/>
        <v>3146849.8000000003</v>
      </c>
      <c r="AH240" s="601">
        <f t="shared" si="483"/>
        <v>3146849.8000000003</v>
      </c>
      <c r="AI240" s="410">
        <v>2088329</v>
      </c>
      <c r="AJ240" s="575">
        <f t="shared" si="440"/>
        <v>2205693</v>
      </c>
      <c r="AK240" s="45"/>
      <c r="AL240" s="317"/>
      <c r="AM240" s="45">
        <v>2105000</v>
      </c>
      <c r="AN240" s="76">
        <f t="shared" si="441"/>
        <v>2155346.5</v>
      </c>
      <c r="AO240" s="24">
        <f t="shared" si="501"/>
        <v>67017.5</v>
      </c>
      <c r="AP240" s="281">
        <f t="shared" si="502"/>
        <v>3.2091447276746142E-2</v>
      </c>
      <c r="AQ240" s="601">
        <f t="shared" si="503"/>
        <v>2155346.5</v>
      </c>
      <c r="AR240" s="513">
        <v>2088329</v>
      </c>
      <c r="AS240" s="575">
        <f t="shared" si="445"/>
        <v>2205693</v>
      </c>
      <c r="AT240" s="88">
        <v>2300000</v>
      </c>
      <c r="AU240" s="116">
        <v>2500000</v>
      </c>
      <c r="AV240" s="74">
        <v>2232846</v>
      </c>
      <c r="AW240" s="76">
        <f t="shared" si="446"/>
        <v>2309634.75</v>
      </c>
      <c r="AX240" s="24">
        <f t="shared" si="487"/>
        <v>221305.75</v>
      </c>
      <c r="AY240" s="25">
        <f t="shared" si="488"/>
        <v>0.10597264607252976</v>
      </c>
      <c r="AZ240" s="309">
        <f t="shared" si="489"/>
        <v>2309634.75</v>
      </c>
      <c r="BA240" s="601">
        <f t="shared" si="490"/>
        <v>2309634.75</v>
      </c>
      <c r="BB240" s="513">
        <v>2088329</v>
      </c>
      <c r="BC240" s="575">
        <f t="shared" si="442"/>
        <v>2205693</v>
      </c>
      <c r="BD240" s="74">
        <v>2334338.9999999995</v>
      </c>
      <c r="BE240" s="74">
        <v>2800000</v>
      </c>
      <c r="BF240" s="75">
        <v>2689564.4999999995</v>
      </c>
      <c r="BG240" s="61">
        <v>3384791.5499999993</v>
      </c>
      <c r="BH240" s="60">
        <v>2400000</v>
      </c>
      <c r="BI240" s="74">
        <v>3892510.2824999988</v>
      </c>
      <c r="BJ240" s="79">
        <v>2689564.4999999995</v>
      </c>
      <c r="BK240" s="79">
        <f>1449900*1.4</f>
        <v>2029859.9999999998</v>
      </c>
      <c r="BL240" s="127">
        <v>2435832</v>
      </c>
      <c r="BM240" s="142">
        <v>2456000</v>
      </c>
      <c r="BN240" s="142">
        <v>2300000</v>
      </c>
      <c r="BO240" s="76">
        <f>AVERAGE(BC240,BD240,BE240,BF240,BH240,BJ240,BK240,BL240,BM240,BN240)</f>
        <v>2434085.2999999998</v>
      </c>
      <c r="BP240" s="24">
        <f t="shared" si="491"/>
        <v>345756.29999999981</v>
      </c>
      <c r="BQ240" s="25">
        <f t="shared" si="492"/>
        <v>0.16556600995341242</v>
      </c>
      <c r="BR240" s="259">
        <f t="shared" si="493"/>
        <v>2434085.2999999998</v>
      </c>
      <c r="BS240" s="607">
        <f t="shared" si="443"/>
        <v>2434085.2999999998</v>
      </c>
    </row>
    <row r="241" spans="1:71" ht="33" customHeight="1">
      <c r="A241" s="91" t="s">
        <v>32</v>
      </c>
      <c r="B241" s="358" t="s">
        <v>2432</v>
      </c>
      <c r="C241" s="50" t="s">
        <v>342</v>
      </c>
      <c r="D241" s="99" t="s">
        <v>691</v>
      </c>
      <c r="E241" s="391" t="s">
        <v>14</v>
      </c>
      <c r="F241" s="562">
        <v>5243606</v>
      </c>
      <c r="G241" s="612">
        <f t="shared" si="449"/>
        <v>5538297</v>
      </c>
      <c r="H241" s="568">
        <v>1342834.4999999998</v>
      </c>
      <c r="I241" s="568">
        <f>723900*1.4</f>
        <v>1013459.9999999999</v>
      </c>
      <c r="J241" s="572">
        <v>1216152</v>
      </c>
      <c r="K241" s="560">
        <f>AVERAGE(H241,J241,H241,I241)</f>
        <v>1228820.25</v>
      </c>
      <c r="L241" s="561">
        <f t="shared" si="499"/>
        <v>-4014785.75</v>
      </c>
      <c r="M241" s="281">
        <f t="shared" si="451"/>
        <v>-0.72491340749692545</v>
      </c>
      <c r="N241" s="597">
        <f>+K241</f>
        <v>1228820.25</v>
      </c>
      <c r="O241" s="562">
        <v>4719245</v>
      </c>
      <c r="P241" s="579">
        <f t="shared" si="444"/>
        <v>4984467</v>
      </c>
      <c r="Q241" s="568">
        <v>1342834.4999999998</v>
      </c>
      <c r="R241" s="568">
        <f>723900*1.4</f>
        <v>1013459.9999999999</v>
      </c>
      <c r="S241" s="572">
        <v>1216152</v>
      </c>
      <c r="T241" s="632">
        <v>1010900</v>
      </c>
      <c r="U241" s="650">
        <f>AVERAGE(Q241,R241,S241,T241,Q241)</f>
        <v>1185236.2</v>
      </c>
      <c r="V241" s="651">
        <f t="shared" si="437"/>
        <v>-3799230.8</v>
      </c>
      <c r="W241" s="281">
        <f t="shared" si="509"/>
        <v>-0.80505055363728728</v>
      </c>
      <c r="X241" s="462">
        <f>+U241</f>
        <v>1185236.2</v>
      </c>
      <c r="Y241" s="410">
        <v>985353</v>
      </c>
      <c r="Z241" s="575">
        <f t="shared" si="438"/>
        <v>1040730</v>
      </c>
      <c r="AA241" s="31">
        <v>1281528</v>
      </c>
      <c r="AB241" s="33">
        <v>1665986</v>
      </c>
      <c r="AC241" s="98">
        <v>1120150.3999999999</v>
      </c>
      <c r="AD241" s="76">
        <f t="shared" si="469"/>
        <v>1147469.4666666666</v>
      </c>
      <c r="AE241" s="24">
        <f t="shared" si="439"/>
        <v>106739.46666666656</v>
      </c>
      <c r="AF241" s="25">
        <f t="shared" si="481"/>
        <v>0.10832611933658959</v>
      </c>
      <c r="AG241" s="309">
        <f t="shared" si="482"/>
        <v>1147469.4666666666</v>
      </c>
      <c r="AH241" s="601">
        <f t="shared" si="483"/>
        <v>1147469.4666666666</v>
      </c>
      <c r="AI241" s="410">
        <v>764290</v>
      </c>
      <c r="AJ241" s="575">
        <f t="shared" si="440"/>
        <v>807243</v>
      </c>
      <c r="AK241" s="45"/>
      <c r="AL241" s="317"/>
      <c r="AM241" s="45">
        <v>1100000</v>
      </c>
      <c r="AN241" s="76">
        <f t="shared" si="441"/>
        <v>953621.5</v>
      </c>
      <c r="AO241" s="24">
        <f t="shared" si="501"/>
        <v>189331.5</v>
      </c>
      <c r="AP241" s="281">
        <f t="shared" si="502"/>
        <v>0.24772206884821207</v>
      </c>
      <c r="AQ241" s="601">
        <f t="shared" si="503"/>
        <v>953621.5</v>
      </c>
      <c r="AR241" s="513">
        <v>764290</v>
      </c>
      <c r="AS241" s="575">
        <f t="shared" si="445"/>
        <v>807243</v>
      </c>
      <c r="AT241" s="88">
        <v>1115000</v>
      </c>
      <c r="AU241" s="116">
        <v>1300000</v>
      </c>
      <c r="AV241" s="74">
        <v>1114806</v>
      </c>
      <c r="AW241" s="76">
        <f t="shared" si="446"/>
        <v>1084262.25</v>
      </c>
      <c r="AX241" s="24">
        <f t="shared" si="487"/>
        <v>319972.25</v>
      </c>
      <c r="AY241" s="25">
        <f t="shared" si="488"/>
        <v>0.41865293278729276</v>
      </c>
      <c r="AZ241" s="309" t="str">
        <f t="shared" si="489"/>
        <v>REVISAR PRECIO</v>
      </c>
      <c r="BA241" s="601">
        <f t="shared" si="490"/>
        <v>1084262.25</v>
      </c>
      <c r="BB241" s="513">
        <v>764290</v>
      </c>
      <c r="BC241" s="575">
        <f t="shared" si="442"/>
        <v>807243</v>
      </c>
      <c r="BD241" s="74">
        <v>1165478.9999999998</v>
      </c>
      <c r="BE241" s="74">
        <v>1300000</v>
      </c>
      <c r="BF241" s="75">
        <v>1342834.4999999998</v>
      </c>
      <c r="BG241" s="61">
        <v>1689944.5499999996</v>
      </c>
      <c r="BH241" s="60">
        <v>4000000</v>
      </c>
      <c r="BI241" s="74">
        <v>1943436.2324999995</v>
      </c>
      <c r="BJ241" s="79">
        <v>1342834.4999999998</v>
      </c>
      <c r="BK241" s="79">
        <f>723900*1.4</f>
        <v>1013459.9999999999</v>
      </c>
      <c r="BL241" s="127">
        <v>1216152</v>
      </c>
      <c r="BM241" s="142">
        <v>1010900</v>
      </c>
      <c r="BN241" s="142">
        <v>1100000</v>
      </c>
      <c r="BO241" s="76">
        <f>AVERAGE(BC241,BD241,BE241,BF241,BI241,BJ241,BK241,BL241,BM241,BN241)</f>
        <v>1224233.92325</v>
      </c>
      <c r="BP241" s="24">
        <f t="shared" si="491"/>
        <v>459943.92324999999</v>
      </c>
      <c r="BQ241" s="25">
        <f t="shared" si="492"/>
        <v>0.60179241289301177</v>
      </c>
      <c r="BR241" s="259" t="str">
        <f t="shared" si="493"/>
        <v>REVISAR PRECIO</v>
      </c>
      <c r="BS241" s="607">
        <f t="shared" si="443"/>
        <v>1224233.92325</v>
      </c>
    </row>
    <row r="242" spans="1:71" ht="33" customHeight="1">
      <c r="A242" s="91" t="s">
        <v>32</v>
      </c>
      <c r="B242" s="358" t="s">
        <v>2433</v>
      </c>
      <c r="C242" s="50" t="s">
        <v>343</v>
      </c>
      <c r="D242" s="99" t="s">
        <v>34</v>
      </c>
      <c r="E242" s="391" t="s">
        <v>14</v>
      </c>
      <c r="F242" s="410">
        <v>764292</v>
      </c>
      <c r="G242" s="589">
        <f t="shared" si="449"/>
        <v>807245</v>
      </c>
      <c r="H242" s="10">
        <v>1013459.9999999999</v>
      </c>
      <c r="I242" s="167">
        <v>1013459.9999999999</v>
      </c>
      <c r="J242" s="10">
        <v>1200000</v>
      </c>
      <c r="K242" s="76">
        <f t="shared" si="508"/>
        <v>1006901.6666666666</v>
      </c>
      <c r="L242" s="24">
        <f t="shared" si="499"/>
        <v>242609.66666666663</v>
      </c>
      <c r="M242" s="281">
        <f t="shared" si="451"/>
        <v>0.30054031510466667</v>
      </c>
      <c r="N242" s="597">
        <f t="shared" si="452"/>
        <v>1006901.6666666666</v>
      </c>
      <c r="O242" s="410">
        <v>687858</v>
      </c>
      <c r="P242" s="575">
        <f t="shared" si="444"/>
        <v>726516</v>
      </c>
      <c r="Q242" s="10">
        <v>1350000</v>
      </c>
      <c r="R242" s="10">
        <v>1400000</v>
      </c>
      <c r="S242" s="268">
        <v>1420000</v>
      </c>
      <c r="T242" s="10">
        <v>1800000</v>
      </c>
      <c r="U242" s="76">
        <f>AVERAGE(Q242,R242,S242,T242,P242)</f>
        <v>1339303.2</v>
      </c>
      <c r="V242" s="24">
        <f t="shared" si="437"/>
        <v>612787.19999999995</v>
      </c>
      <c r="W242" s="281">
        <f t="shared" si="509"/>
        <v>0.89086293973465447</v>
      </c>
      <c r="X242" s="462">
        <f t="shared" si="510"/>
        <v>1339303.2</v>
      </c>
      <c r="Y242" s="410">
        <v>1428527</v>
      </c>
      <c r="Z242" s="575">
        <f t="shared" si="438"/>
        <v>1508810</v>
      </c>
      <c r="AA242" s="31">
        <v>1857911</v>
      </c>
      <c r="AB242" s="31">
        <v>2415284</v>
      </c>
      <c r="AC242" s="98">
        <v>1623951.4</v>
      </c>
      <c r="AD242" s="76">
        <f t="shared" si="469"/>
        <v>1663557.4666666668</v>
      </c>
      <c r="AE242" s="24">
        <f t="shared" si="439"/>
        <v>154747.46666666679</v>
      </c>
      <c r="AF242" s="25">
        <f t="shared" si="481"/>
        <v>0.10832659562379066</v>
      </c>
      <c r="AG242" s="309">
        <f t="shared" si="482"/>
        <v>1663557.4666666668</v>
      </c>
      <c r="AH242" s="601">
        <f t="shared" si="483"/>
        <v>1663557.4666666668</v>
      </c>
      <c r="AI242" s="410">
        <v>1108039</v>
      </c>
      <c r="AJ242" s="575">
        <f t="shared" si="440"/>
        <v>1170311</v>
      </c>
      <c r="AK242" s="45"/>
      <c r="AL242" s="317"/>
      <c r="AM242" s="45">
        <v>1450000</v>
      </c>
      <c r="AN242" s="76">
        <f t="shared" si="441"/>
        <v>1310155.5</v>
      </c>
      <c r="AO242" s="24">
        <f t="shared" si="501"/>
        <v>202116.5</v>
      </c>
      <c r="AP242" s="281">
        <f t="shared" si="502"/>
        <v>0.18240919317821847</v>
      </c>
      <c r="AQ242" s="601">
        <f t="shared" si="503"/>
        <v>1310155.5</v>
      </c>
      <c r="AR242" s="513">
        <v>1108039</v>
      </c>
      <c r="AS242" s="575">
        <f t="shared" si="445"/>
        <v>1170311</v>
      </c>
      <c r="AT242" s="88">
        <v>1460000</v>
      </c>
      <c r="AU242" s="116">
        <v>1600000</v>
      </c>
      <c r="AV242" s="74">
        <v>1536766</v>
      </c>
      <c r="AW242" s="76">
        <f>AVERAGE(AS242,AT242,AV242)</f>
        <v>1389025.6666666667</v>
      </c>
      <c r="AX242" s="24">
        <f t="shared" si="487"/>
        <v>280986.66666666674</v>
      </c>
      <c r="AY242" s="25">
        <f t="shared" si="488"/>
        <v>0.25358914863706672</v>
      </c>
      <c r="AZ242" s="309">
        <f t="shared" si="489"/>
        <v>1389025.6666666667</v>
      </c>
      <c r="BA242" s="601">
        <f t="shared" si="490"/>
        <v>1389025.6666666667</v>
      </c>
      <c r="BB242" s="513">
        <v>1108039</v>
      </c>
      <c r="BC242" s="575">
        <f t="shared" si="442"/>
        <v>1170311</v>
      </c>
      <c r="BD242" s="74">
        <v>1606619</v>
      </c>
      <c r="BE242" s="74">
        <v>2300000</v>
      </c>
      <c r="BF242" s="75">
        <v>1851104.5</v>
      </c>
      <c r="BG242" s="61">
        <v>2329597.5499999998</v>
      </c>
      <c r="BH242" s="60">
        <v>5000000</v>
      </c>
      <c r="BI242" s="74">
        <v>2679037.1824999996</v>
      </c>
      <c r="BJ242" s="79">
        <v>1851104.5</v>
      </c>
      <c r="BK242" s="79">
        <f>997900*1.4</f>
        <v>1397060</v>
      </c>
      <c r="BL242" s="127">
        <v>1676472</v>
      </c>
      <c r="BM242" s="142">
        <v>1650200</v>
      </c>
      <c r="BN242" s="142">
        <v>1400000</v>
      </c>
      <c r="BO242" s="76">
        <f>AVERAGE(BC242,BD242,BE242,BF242,BI242,BJ242,BK242,BL242,BM242,BN242)</f>
        <v>1758190.8182499998</v>
      </c>
      <c r="BP242" s="24">
        <f t="shared" si="491"/>
        <v>650151.81824999978</v>
      </c>
      <c r="BQ242" s="25">
        <f t="shared" si="492"/>
        <v>0.58675896629089752</v>
      </c>
      <c r="BR242" s="259" t="str">
        <f t="shared" si="493"/>
        <v>REVISAR PRECIO</v>
      </c>
      <c r="BS242" s="607">
        <f t="shared" si="443"/>
        <v>1758190.8182499998</v>
      </c>
    </row>
    <row r="243" spans="1:71" ht="33" customHeight="1">
      <c r="A243" s="91" t="s">
        <v>32</v>
      </c>
      <c r="B243" s="358" t="s">
        <v>2434</v>
      </c>
      <c r="C243" s="50" t="s">
        <v>344</v>
      </c>
      <c r="D243" s="99" t="s">
        <v>35</v>
      </c>
      <c r="E243" s="391" t="s">
        <v>14</v>
      </c>
      <c r="F243" s="410">
        <v>1108040</v>
      </c>
      <c r="G243" s="589">
        <f t="shared" si="449"/>
        <v>1170312</v>
      </c>
      <c r="H243" s="10">
        <v>1397060</v>
      </c>
      <c r="I243" s="167">
        <v>2794120</v>
      </c>
      <c r="J243" s="10">
        <v>1367000</v>
      </c>
      <c r="K243" s="76">
        <f t="shared" si="508"/>
        <v>1311457.3333333333</v>
      </c>
      <c r="L243" s="24">
        <f t="shared" si="499"/>
        <v>203417.33333333326</v>
      </c>
      <c r="M243" s="281">
        <f t="shared" si="451"/>
        <v>0.17381461809614296</v>
      </c>
      <c r="N243" s="597">
        <f t="shared" si="452"/>
        <v>1311457.3333333333</v>
      </c>
      <c r="O243" s="410">
        <v>997234</v>
      </c>
      <c r="P243" s="575">
        <f t="shared" si="444"/>
        <v>1053279</v>
      </c>
      <c r="Q243" s="10">
        <v>1600000</v>
      </c>
      <c r="R243" s="10">
        <v>1680000</v>
      </c>
      <c r="S243" s="268">
        <v>1680000</v>
      </c>
      <c r="T243" s="10">
        <v>2000000</v>
      </c>
      <c r="U243" s="76">
        <f>AVERAGE(Q243,R243,S243,T243,P243)</f>
        <v>1602655.8</v>
      </c>
      <c r="V243" s="24">
        <f t="shared" si="437"/>
        <v>549376.80000000005</v>
      </c>
      <c r="W243" s="281">
        <f t="shared" si="509"/>
        <v>0.55090059103480227</v>
      </c>
      <c r="X243" s="462">
        <f t="shared" si="510"/>
        <v>1602655.8</v>
      </c>
      <c r="Y243" s="410">
        <v>2375743</v>
      </c>
      <c r="Z243" s="575">
        <f t="shared" si="438"/>
        <v>2509260</v>
      </c>
      <c r="AA243" s="31">
        <v>3089840</v>
      </c>
      <c r="AB243" s="31">
        <v>4016791</v>
      </c>
      <c r="AC243" s="98">
        <v>2700748.6</v>
      </c>
      <c r="AD243" s="76">
        <f t="shared" si="469"/>
        <v>2766616.1999999997</v>
      </c>
      <c r="AE243" s="24">
        <f t="shared" si="439"/>
        <v>257356.19999999972</v>
      </c>
      <c r="AF243" s="25">
        <f t="shared" si="481"/>
        <v>0.1083266161365096</v>
      </c>
      <c r="AG243" s="309">
        <f t="shared" si="482"/>
        <v>2766616.1999999997</v>
      </c>
      <c r="AH243" s="601">
        <f t="shared" si="483"/>
        <v>2766616.1999999997</v>
      </c>
      <c r="AI243" s="410">
        <v>1842742</v>
      </c>
      <c r="AJ243" s="575">
        <f t="shared" si="440"/>
        <v>1946304</v>
      </c>
      <c r="AK243" s="45"/>
      <c r="AL243" s="317"/>
      <c r="AM243" s="45">
        <v>1890000</v>
      </c>
      <c r="AN243" s="76">
        <f t="shared" si="441"/>
        <v>1918152</v>
      </c>
      <c r="AO243" s="24">
        <f t="shared" si="501"/>
        <v>75410</v>
      </c>
      <c r="AP243" s="281">
        <f t="shared" si="502"/>
        <v>4.0922711915178579E-2</v>
      </c>
      <c r="AQ243" s="601">
        <f t="shared" si="503"/>
        <v>1918152</v>
      </c>
      <c r="AR243" s="513">
        <v>1842742</v>
      </c>
      <c r="AS243" s="575">
        <f t="shared" si="445"/>
        <v>1946304</v>
      </c>
      <c r="AT243" s="88">
        <v>2000000</v>
      </c>
      <c r="AU243" s="116">
        <v>2200000</v>
      </c>
      <c r="AV243" s="74">
        <v>2060365.9999999998</v>
      </c>
      <c r="AW243" s="76">
        <f t="shared" si="446"/>
        <v>2051667.5</v>
      </c>
      <c r="AX243" s="24">
        <f t="shared" si="487"/>
        <v>208925.5</v>
      </c>
      <c r="AY243" s="25">
        <f t="shared" si="488"/>
        <v>0.11337751025374143</v>
      </c>
      <c r="AZ243" s="309">
        <f t="shared" si="489"/>
        <v>2051667.5</v>
      </c>
      <c r="BA243" s="601">
        <f t="shared" si="490"/>
        <v>2051667.5</v>
      </c>
      <c r="BB243" s="513">
        <v>1842742</v>
      </c>
      <c r="BC243" s="575">
        <f t="shared" si="442"/>
        <v>1946304</v>
      </c>
      <c r="BD243" s="74">
        <v>2154018.9999999995</v>
      </c>
      <c r="BE243" s="74">
        <v>3200000</v>
      </c>
      <c r="BF243" s="75">
        <v>2481804.4999999995</v>
      </c>
      <c r="BG243" s="61">
        <v>3123327.5499999993</v>
      </c>
      <c r="BH243" s="60">
        <v>6000000</v>
      </c>
      <c r="BI243" s="74">
        <v>3591826.6824999992</v>
      </c>
      <c r="BJ243" s="79">
        <v>2481804.4999999995</v>
      </c>
      <c r="BK243" s="79">
        <f>1337900*1.4</f>
        <v>1873059.9999999998</v>
      </c>
      <c r="BL243" s="127">
        <v>2247672</v>
      </c>
      <c r="BM243" s="142">
        <v>1859000</v>
      </c>
      <c r="BN243" s="142">
        <v>1900000</v>
      </c>
      <c r="BO243" s="76">
        <f>AVERAGE(BC243,BD243,BE243,BF243,BI243,BJ243,BK243,BL243,BM243,BN243)</f>
        <v>2373549.0682499995</v>
      </c>
      <c r="BP243" s="24">
        <f t="shared" si="491"/>
        <v>530807.06824999955</v>
      </c>
      <c r="BQ243" s="25">
        <f t="shared" si="492"/>
        <v>0.28805284095657424</v>
      </c>
      <c r="BR243" s="259">
        <f t="shared" si="493"/>
        <v>2373549.0682499995</v>
      </c>
      <c r="BS243" s="607">
        <f t="shared" si="443"/>
        <v>2373549.0682499995</v>
      </c>
    </row>
    <row r="244" spans="1:71" ht="33" customHeight="1">
      <c r="A244" s="91" t="s">
        <v>32</v>
      </c>
      <c r="B244" s="358" t="s">
        <v>2435</v>
      </c>
      <c r="C244" s="50" t="s">
        <v>345</v>
      </c>
      <c r="D244" s="99" t="s">
        <v>692</v>
      </c>
      <c r="E244" s="391" t="s">
        <v>740</v>
      </c>
      <c r="F244" s="410">
        <v>1842743</v>
      </c>
      <c r="G244" s="589">
        <f t="shared" si="449"/>
        <v>1946305</v>
      </c>
      <c r="H244" s="10">
        <v>1873059.9999999998</v>
      </c>
      <c r="I244" s="167">
        <v>3746119.9999999995</v>
      </c>
      <c r="J244" s="10">
        <v>1845000</v>
      </c>
      <c r="K244" s="76">
        <f t="shared" si="508"/>
        <v>1888121.6666666667</v>
      </c>
      <c r="L244" s="24">
        <f t="shared" si="499"/>
        <v>45378.666666666744</v>
      </c>
      <c r="M244" s="281">
        <f t="shared" si="451"/>
        <v>2.3315290597653884E-2</v>
      </c>
      <c r="N244" s="597">
        <f t="shared" si="452"/>
        <v>1888121.6666666667</v>
      </c>
      <c r="O244" s="410">
        <v>1658466</v>
      </c>
      <c r="P244" s="575">
        <f t="shared" si="444"/>
        <v>1751672</v>
      </c>
      <c r="Q244" s="10">
        <v>2300000</v>
      </c>
      <c r="R244" s="10">
        <v>2400000</v>
      </c>
      <c r="S244" s="268">
        <v>2380000</v>
      </c>
      <c r="T244" s="10">
        <v>2300000</v>
      </c>
      <c r="U244" s="76">
        <f>AVERAGE(Q244,R244,S244,T244,P244)</f>
        <v>2226334.4</v>
      </c>
      <c r="V244" s="24">
        <f t="shared" si="437"/>
        <v>474662.39999999991</v>
      </c>
      <c r="W244" s="281">
        <f t="shared" si="509"/>
        <v>0.28620568645965605</v>
      </c>
      <c r="X244" s="462">
        <f t="shared" si="510"/>
        <v>2226334.4</v>
      </c>
      <c r="Y244" s="410">
        <v>1325786</v>
      </c>
      <c r="Z244" s="575">
        <f t="shared" si="438"/>
        <v>1400295</v>
      </c>
      <c r="AA244" s="31">
        <v>1724288</v>
      </c>
      <c r="AB244" s="33">
        <v>2241574</v>
      </c>
      <c r="AC244" s="98">
        <v>1507155</v>
      </c>
      <c r="AD244" s="76">
        <f t="shared" si="469"/>
        <v>1543912.6666666667</v>
      </c>
      <c r="AE244" s="24">
        <f t="shared" si="439"/>
        <v>143617.66666666674</v>
      </c>
      <c r="AF244" s="25">
        <f t="shared" si="481"/>
        <v>0.10832643176701726</v>
      </c>
      <c r="AG244" s="309">
        <f t="shared" si="482"/>
        <v>1543912.6666666667</v>
      </c>
      <c r="AH244" s="601">
        <f t="shared" si="483"/>
        <v>1543912.6666666667</v>
      </c>
      <c r="AI244" s="566">
        <v>925510</v>
      </c>
      <c r="AJ244" s="579">
        <f t="shared" si="440"/>
        <v>977524</v>
      </c>
      <c r="AK244" s="568">
        <v>1391064.5</v>
      </c>
      <c r="AL244" s="568">
        <f>749900*1.4</f>
        <v>1049860</v>
      </c>
      <c r="AM244" s="572">
        <v>1259832</v>
      </c>
      <c r="AN244" s="560">
        <f t="shared" ref="AN244" si="511">AVERAGE(AK244,AL244,AM244,AJ244)</f>
        <v>1169570.125</v>
      </c>
      <c r="AO244" s="561">
        <f t="shared" ref="AO244" si="512">AN244-AI244</f>
        <v>244060.125</v>
      </c>
      <c r="AP244" s="281">
        <f t="shared" ref="AP244" si="513">+AO244/AI244</f>
        <v>0.26370339056304093</v>
      </c>
      <c r="AQ244" s="601">
        <f t="shared" ref="AQ244" si="514">AN244</f>
        <v>1169570.125</v>
      </c>
      <c r="AR244" s="513">
        <v>925510</v>
      </c>
      <c r="AS244" s="575">
        <f t="shared" si="445"/>
        <v>977524</v>
      </c>
      <c r="AT244" s="88">
        <v>1100000</v>
      </c>
      <c r="AU244" s="116">
        <v>1300000</v>
      </c>
      <c r="AV244" s="74">
        <v>1154846</v>
      </c>
      <c r="AW244" s="76">
        <f t="shared" si="446"/>
        <v>1133092.5</v>
      </c>
      <c r="AX244" s="24">
        <f t="shared" si="487"/>
        <v>207582.5</v>
      </c>
      <c r="AY244" s="25">
        <f t="shared" si="488"/>
        <v>0.22428985100106968</v>
      </c>
      <c r="AZ244" s="309">
        <f t="shared" si="489"/>
        <v>1133092.5</v>
      </c>
      <c r="BA244" s="601">
        <f t="shared" si="490"/>
        <v>1133092.5</v>
      </c>
      <c r="BB244" s="513">
        <v>925510</v>
      </c>
      <c r="BC244" s="575">
        <f t="shared" si="442"/>
        <v>977524</v>
      </c>
      <c r="BD244" s="74">
        <v>1207339</v>
      </c>
      <c r="BE244" s="74">
        <v>1700000</v>
      </c>
      <c r="BF244" s="75">
        <v>1391064.5</v>
      </c>
      <c r="BG244" s="61">
        <v>1750641.5499999998</v>
      </c>
      <c r="BH244" s="60"/>
      <c r="BI244" s="74">
        <v>2013237.7824999997</v>
      </c>
      <c r="BJ244" s="79">
        <v>1391064.5</v>
      </c>
      <c r="BK244" s="79">
        <f>749900*1.4</f>
        <v>1049860</v>
      </c>
      <c r="BL244" s="127">
        <v>1259832</v>
      </c>
      <c r="BM244" s="142">
        <v>1270900</v>
      </c>
      <c r="BN244" s="142">
        <v>1000000</v>
      </c>
      <c r="BO244" s="76">
        <f>AVERAGE(BC244,BD244,BE244,BF244,BI244,BJ244,BK244,BL244,BM244,BN244)</f>
        <v>1326082.1782499999</v>
      </c>
      <c r="BP244" s="24">
        <f t="shared" si="491"/>
        <v>400572.17824999988</v>
      </c>
      <c r="BQ244" s="25">
        <f t="shared" si="492"/>
        <v>0.43281237182742477</v>
      </c>
      <c r="BR244" s="259" t="str">
        <f t="shared" si="493"/>
        <v>REVISAR PRECIO</v>
      </c>
      <c r="BS244" s="607">
        <f t="shared" si="443"/>
        <v>1326082.1782499999</v>
      </c>
    </row>
    <row r="245" spans="1:71" ht="35.1" customHeight="1">
      <c r="A245" s="91" t="s">
        <v>36</v>
      </c>
      <c r="B245" s="358" t="s">
        <v>2436</v>
      </c>
      <c r="C245" s="252" t="s">
        <v>762</v>
      </c>
      <c r="D245" s="100" t="s">
        <v>36</v>
      </c>
      <c r="E245" s="91"/>
      <c r="F245" s="413"/>
      <c r="G245" s="574"/>
      <c r="H245" s="47"/>
      <c r="I245" s="47"/>
      <c r="J245" s="47"/>
      <c r="K245" s="47"/>
      <c r="L245" s="47"/>
      <c r="M245" s="47"/>
      <c r="N245" s="91"/>
      <c r="O245" s="467"/>
      <c r="P245" s="47"/>
      <c r="Q245" s="47"/>
      <c r="R245" s="47"/>
      <c r="S245" s="47"/>
      <c r="T245" s="47"/>
      <c r="U245" s="47"/>
      <c r="V245" s="47"/>
      <c r="W245" s="91"/>
      <c r="X245" s="467"/>
      <c r="Y245" s="413"/>
      <c r="Z245" s="47"/>
      <c r="AA245" s="47"/>
      <c r="AB245" s="47"/>
      <c r="AC245" s="47"/>
      <c r="AD245" s="47"/>
      <c r="AE245" s="47"/>
      <c r="AF245" s="47"/>
      <c r="AG245" s="91"/>
      <c r="AH245" s="467"/>
      <c r="AI245" s="413"/>
      <c r="AJ245" s="47"/>
      <c r="AK245" s="47"/>
      <c r="AL245" s="47"/>
      <c r="AM245" s="47"/>
      <c r="AN245" s="47"/>
      <c r="AO245" s="47"/>
      <c r="AP245" s="91"/>
      <c r="AQ245" s="467"/>
      <c r="AR245" s="413"/>
      <c r="AS245" s="47"/>
      <c r="AT245" s="47"/>
      <c r="AU245" s="47"/>
      <c r="AV245" s="47"/>
      <c r="AW245" s="47"/>
      <c r="AX245" s="47"/>
      <c r="AY245" s="47"/>
      <c r="AZ245" s="91"/>
      <c r="BA245" s="467"/>
      <c r="BB245" s="413"/>
      <c r="BC245" s="47"/>
      <c r="BD245" s="47"/>
      <c r="BE245" s="47"/>
      <c r="BF245" s="47"/>
      <c r="BG245" s="47"/>
      <c r="BH245" s="47"/>
      <c r="BI245" s="47"/>
      <c r="BJ245" s="154"/>
      <c r="BK245" s="154"/>
      <c r="BL245" s="155"/>
      <c r="BM245" s="154"/>
      <c r="BN245" s="154"/>
      <c r="BO245" s="47"/>
      <c r="BP245" s="47"/>
      <c r="BQ245" s="47"/>
      <c r="BR245" s="414"/>
      <c r="BS245" s="414"/>
    </row>
    <row r="246" spans="1:71" ht="22.35" customHeight="1">
      <c r="A246" s="91" t="s">
        <v>36</v>
      </c>
      <c r="B246" s="358" t="s">
        <v>2437</v>
      </c>
      <c r="C246" s="50" t="s">
        <v>359</v>
      </c>
      <c r="D246" s="99" t="s">
        <v>717</v>
      </c>
      <c r="E246" s="391" t="s">
        <v>40</v>
      </c>
      <c r="F246" s="410">
        <v>17800</v>
      </c>
      <c r="G246" s="589">
        <f t="shared" si="449"/>
        <v>18800</v>
      </c>
      <c r="H246" s="10">
        <v>49072</v>
      </c>
      <c r="I246" s="167">
        <v>98144</v>
      </c>
      <c r="J246" s="10">
        <v>35600</v>
      </c>
      <c r="K246" s="76">
        <f>AVERAGE(J246,G246)</f>
        <v>27200</v>
      </c>
      <c r="L246" s="24">
        <f t="shared" ref="L246" si="515">K246-F246</f>
        <v>9400</v>
      </c>
      <c r="M246" s="281">
        <f t="shared" si="451"/>
        <v>0.5</v>
      </c>
      <c r="N246" s="597">
        <f t="shared" si="452"/>
        <v>27200</v>
      </c>
      <c r="O246" s="410">
        <v>16023</v>
      </c>
      <c r="P246" s="575">
        <f t="shared" si="444"/>
        <v>16923</v>
      </c>
      <c r="Q246" s="10">
        <v>16000000</v>
      </c>
      <c r="R246" s="10">
        <v>18000000</v>
      </c>
      <c r="S246" s="268">
        <v>17000000</v>
      </c>
      <c r="T246" s="10">
        <v>16000000</v>
      </c>
      <c r="U246" s="76">
        <f>AVERAGE(Q246,R246,S246,T246,P246)</f>
        <v>13403384.6</v>
      </c>
      <c r="V246" s="24">
        <f t="shared" si="437"/>
        <v>13386461.6</v>
      </c>
      <c r="W246" s="281">
        <f t="shared" ref="W246" si="516">+V246/O246</f>
        <v>835.45288647569112</v>
      </c>
      <c r="X246" s="462">
        <f>P246</f>
        <v>16923</v>
      </c>
      <c r="Y246" s="410">
        <v>25535</v>
      </c>
      <c r="Z246" s="575">
        <f t="shared" si="438"/>
        <v>26970</v>
      </c>
      <c r="AA246" s="33">
        <v>33210</v>
      </c>
      <c r="AB246" s="31">
        <v>43173</v>
      </c>
      <c r="AC246" s="98">
        <v>29028</v>
      </c>
      <c r="AD246" s="76">
        <f t="shared" si="469"/>
        <v>29736</v>
      </c>
      <c r="AE246" s="24">
        <f t="shared" si="439"/>
        <v>2766</v>
      </c>
      <c r="AF246" s="25">
        <f t="shared" ref="AF246" si="517">+AE246/Y246</f>
        <v>0.10832191110240846</v>
      </c>
      <c r="AG246" s="309">
        <f t="shared" ref="AG246" si="518">+IF(AF246&lt;35%,AD246,"REVISAR PRECIO")</f>
        <v>29736</v>
      </c>
      <c r="AH246" s="601">
        <f t="shared" ref="AH246" si="519">AD246</f>
        <v>29736</v>
      </c>
      <c r="AI246" s="410">
        <v>17798</v>
      </c>
      <c r="AJ246" s="575">
        <f t="shared" si="440"/>
        <v>18798</v>
      </c>
      <c r="AK246" s="45"/>
      <c r="AL246" s="45">
        <v>21000</v>
      </c>
      <c r="AM246" s="45">
        <v>50000</v>
      </c>
      <c r="AN246" s="76">
        <f>AVERAGE(AK246,AL246,AJ246)</f>
        <v>19899</v>
      </c>
      <c r="AO246" s="24">
        <f t="shared" ref="AO246" si="520">AN246-AI246</f>
        <v>2101</v>
      </c>
      <c r="AP246" s="281">
        <f t="shared" ref="AP246" si="521">+AO246/AI246</f>
        <v>0.1180469715698393</v>
      </c>
      <c r="AQ246" s="601">
        <f t="shared" ref="AQ246" si="522">AN246</f>
        <v>19899</v>
      </c>
      <c r="AR246" s="513">
        <v>2866</v>
      </c>
      <c r="AS246" s="575">
        <f t="shared" si="445"/>
        <v>3027</v>
      </c>
      <c r="AT246" s="88">
        <v>21000</v>
      </c>
      <c r="AU246" s="116">
        <v>21000</v>
      </c>
      <c r="AV246" s="74">
        <v>19800</v>
      </c>
      <c r="AW246" s="76">
        <f t="shared" si="446"/>
        <v>16206.75</v>
      </c>
      <c r="AX246" s="24">
        <f t="shared" ref="AX246" si="523">AW246-AR246</f>
        <v>13340.75</v>
      </c>
      <c r="AY246" s="25">
        <f t="shared" ref="AY246" si="524">+AX246/AR246</f>
        <v>4.6548325191905091</v>
      </c>
      <c r="AZ246" s="309" t="str">
        <f t="shared" ref="AZ246" si="525">+IF(AY246&lt;35%,AW246,"REVISAR PRECIO")</f>
        <v>REVISAR PRECIO</v>
      </c>
      <c r="BA246" s="601">
        <f t="shared" ref="BA246" si="526">AW246</f>
        <v>16206.75</v>
      </c>
      <c r="BB246" s="513">
        <v>2866</v>
      </c>
      <c r="BC246" s="575">
        <f t="shared" si="442"/>
        <v>3027</v>
      </c>
      <c r="BD246" s="74">
        <v>20700</v>
      </c>
      <c r="BE246" s="74">
        <v>35000</v>
      </c>
      <c r="BF246" s="75">
        <v>23850</v>
      </c>
      <c r="BG246" s="61">
        <v>20700</v>
      </c>
      <c r="BH246" s="60">
        <v>1600000</v>
      </c>
      <c r="BI246" s="74">
        <v>23804.999999999996</v>
      </c>
      <c r="BJ246" s="79">
        <v>23850</v>
      </c>
      <c r="BK246" s="79">
        <v>18000</v>
      </c>
      <c r="BL246" s="127">
        <v>21600</v>
      </c>
      <c r="BM246" s="142">
        <v>19100</v>
      </c>
      <c r="BN246" s="142">
        <v>18000</v>
      </c>
      <c r="BO246" s="76">
        <f>AVERAGE(BC246,BD246,BE246,BF246,BG246,BI246,BJ246,BK246,BL246,BM246,BN246)</f>
        <v>20693.81818181818</v>
      </c>
      <c r="BP246" s="24">
        <f>BO246-BB246</f>
        <v>17827.81818181818</v>
      </c>
      <c r="BQ246" s="25">
        <f>+BP246/BB246</f>
        <v>6.2204529594620306</v>
      </c>
      <c r="BR246" s="259" t="str">
        <f t="shared" ref="BR246" si="527">+IF(BQ246&lt;35%,BO246,"REVISAR PRECIO")</f>
        <v>REVISAR PRECIO</v>
      </c>
      <c r="BS246" s="607">
        <f t="shared" si="443"/>
        <v>20693.81818181818</v>
      </c>
    </row>
  </sheetData>
  <autoFilter ref="A4:BS246" xr:uid="{00000000-0009-0000-0000-000002000000}"/>
  <mergeCells count="18">
    <mergeCell ref="BO3:BQ3"/>
    <mergeCell ref="F2:M2"/>
    <mergeCell ref="O2:W2"/>
    <mergeCell ref="Y2:AG2"/>
    <mergeCell ref="AI2:AP2"/>
    <mergeCell ref="AR2:AZ2"/>
    <mergeCell ref="BB2:BR2"/>
    <mergeCell ref="K3:M3"/>
    <mergeCell ref="U3:W3"/>
    <mergeCell ref="AD3:AG3"/>
    <mergeCell ref="AN3:AP3"/>
    <mergeCell ref="AW3:AZ3"/>
    <mergeCell ref="BB1:BR1"/>
    <mergeCell ref="F1:M1"/>
    <mergeCell ref="O1:W1"/>
    <mergeCell ref="Y1:AG1"/>
    <mergeCell ref="AI1:AP1"/>
    <mergeCell ref="AR1:AZ1"/>
  </mergeCells>
  <phoneticPr fontId="21" type="noConversion"/>
  <conditionalFormatting sqref="M12:M30 AF12:AF30 BQ12:BQ30 AY12:AY30 M44:M49 AP44:AP52 AF32:AF52 BQ32:BQ52 AY32:AY52 AF54:AF62 BQ57:BQ62 AY57:AY62 BQ64:BQ91 AY64:AY91 M64:M98 AP77:AP105 AF64:AF105 BQ93:BQ105 AY93:AY105 AF107:AF125 AF127:AF152 BQ127:BQ152 AY127:AY152 AF154:AF155 BQ154:BQ155 AY154:AY155 AF157:AF167 BQ157:BQ167 AY157:AY167 AF169:AF177 BQ169:BQ177 AY169:AY177 AP182:AP184 AF179:AF184 BQ179:BQ184 AY179:AY184 AP188:AP199 AF186:AF201 BQ186:BQ201 AY186:AY201 AF203:AF224 BQ203:BQ224 AY203:AY224 AF226:AF244 BQ226:BQ244 AY226:AY244 AF246 M246 W246 AP246 AY6:AY10 BQ6:BQ10 AF6:AF10">
    <cfRule type="cellIs" dxfId="889" priority="2096" operator="lessThan">
      <formula>0</formula>
    </cfRule>
    <cfRule type="cellIs" dxfId="888" priority="2097" operator="greaterThan">
      <formula>100.00001%</formula>
    </cfRule>
    <cfRule type="cellIs" dxfId="887" priority="2098" operator="between">
      <formula>0.66</formula>
      <formula>1</formula>
    </cfRule>
    <cfRule type="cellIs" dxfId="886" priority="2099" operator="between">
      <formula>0.401</formula>
      <formula>0.659999999999</formula>
    </cfRule>
    <cfRule type="cellIs" dxfId="885" priority="2100" operator="between">
      <formula>0</formula>
      <formula>0.4</formula>
    </cfRule>
  </conditionalFormatting>
  <conditionalFormatting sqref="M6:M10 M12:M30 M32:M52 M64:M105 M107:M125 M154:M155 M169:M177 M157:M167 M203:M224 M226:M244 M246 M54:M62 M127:M152 M179:M184">
    <cfRule type="cellIs" dxfId="884" priority="2091" operator="lessThan">
      <formula>0</formula>
    </cfRule>
    <cfRule type="cellIs" dxfId="883" priority="2092" operator="greaterThan">
      <formula>100.00001%</formula>
    </cfRule>
    <cfRule type="cellIs" dxfId="882" priority="2093" operator="between">
      <formula>0.66</formula>
      <formula>1</formula>
    </cfRule>
    <cfRule type="cellIs" dxfId="881" priority="2094" operator="between">
      <formula>0.401</formula>
      <formula>0.659999999999</formula>
    </cfRule>
    <cfRule type="cellIs" dxfId="880" priority="2095" operator="between">
      <formula>0</formula>
      <formula>0.4</formula>
    </cfRule>
  </conditionalFormatting>
  <conditionalFormatting sqref="M7">
    <cfRule type="cellIs" dxfId="879" priority="2081" operator="lessThan">
      <formula>0</formula>
    </cfRule>
    <cfRule type="cellIs" dxfId="878" priority="2082" operator="greaterThan">
      <formula>100.00001%</formula>
    </cfRule>
    <cfRule type="cellIs" dxfId="877" priority="2083" operator="between">
      <formula>0.66</formula>
      <formula>1</formula>
    </cfRule>
    <cfRule type="cellIs" dxfId="876" priority="2084" operator="between">
      <formula>0.401</formula>
      <formula>0.659999999999</formula>
    </cfRule>
    <cfRule type="cellIs" dxfId="875" priority="2085" operator="between">
      <formula>0</formula>
      <formula>0.4</formula>
    </cfRule>
  </conditionalFormatting>
  <conditionalFormatting sqref="M8:M9">
    <cfRule type="cellIs" dxfId="874" priority="2076" operator="lessThan">
      <formula>0</formula>
    </cfRule>
    <cfRule type="cellIs" dxfId="873" priority="2077" operator="greaterThan">
      <formula>100.00001%</formula>
    </cfRule>
    <cfRule type="cellIs" dxfId="872" priority="2078" operator="between">
      <formula>0.66</formula>
      <formula>1</formula>
    </cfRule>
    <cfRule type="cellIs" dxfId="871" priority="2079" operator="between">
      <formula>0.401</formula>
      <formula>0.659999999999</formula>
    </cfRule>
    <cfRule type="cellIs" dxfId="870" priority="2080" operator="between">
      <formula>0</formula>
      <formula>0.4</formula>
    </cfRule>
  </conditionalFormatting>
  <conditionalFormatting sqref="M10">
    <cfRule type="cellIs" dxfId="869" priority="2071" operator="lessThan">
      <formula>0</formula>
    </cfRule>
    <cfRule type="cellIs" dxfId="868" priority="2072" operator="greaterThan">
      <formula>100.00001%</formula>
    </cfRule>
    <cfRule type="cellIs" dxfId="867" priority="2073" operator="between">
      <formula>0.66</formula>
      <formula>1</formula>
    </cfRule>
    <cfRule type="cellIs" dxfId="866" priority="2074" operator="between">
      <formula>0.401</formula>
      <formula>0.659999999999</formula>
    </cfRule>
    <cfRule type="cellIs" dxfId="865" priority="2075" operator="between">
      <formula>0</formula>
      <formula>0.4</formula>
    </cfRule>
  </conditionalFormatting>
  <conditionalFormatting sqref="M32:M36">
    <cfRule type="cellIs" dxfId="864" priority="2056" operator="lessThan">
      <formula>0</formula>
    </cfRule>
    <cfRule type="cellIs" dxfId="863" priority="2057" operator="greaterThan">
      <formula>100.00001%</formula>
    </cfRule>
    <cfRule type="cellIs" dxfId="862" priority="2058" operator="between">
      <formula>0.66</formula>
      <formula>1</formula>
    </cfRule>
    <cfRule type="cellIs" dxfId="861" priority="2059" operator="between">
      <formula>0.401</formula>
      <formula>0.659999999999</formula>
    </cfRule>
    <cfRule type="cellIs" dxfId="860" priority="2060" operator="between">
      <formula>0</formula>
      <formula>0.4</formula>
    </cfRule>
  </conditionalFormatting>
  <conditionalFormatting sqref="M37">
    <cfRule type="cellIs" dxfId="859" priority="2051" operator="lessThan">
      <formula>0</formula>
    </cfRule>
    <cfRule type="cellIs" dxfId="858" priority="2052" operator="greaterThan">
      <formula>100.00001%</formula>
    </cfRule>
    <cfRule type="cellIs" dxfId="857" priority="2053" operator="between">
      <formula>0.66</formula>
      <formula>1</formula>
    </cfRule>
    <cfRule type="cellIs" dxfId="856" priority="2054" operator="between">
      <formula>0.401</formula>
      <formula>0.659999999999</formula>
    </cfRule>
    <cfRule type="cellIs" dxfId="855" priority="2055" operator="between">
      <formula>0</formula>
      <formula>0.4</formula>
    </cfRule>
  </conditionalFormatting>
  <conditionalFormatting sqref="M38:M43">
    <cfRule type="cellIs" dxfId="854" priority="2046" operator="lessThan">
      <formula>0</formula>
    </cfRule>
    <cfRule type="cellIs" dxfId="853" priority="2047" operator="greaterThan">
      <formula>100.00001%</formula>
    </cfRule>
    <cfRule type="cellIs" dxfId="852" priority="2048" operator="between">
      <formula>0.66</formula>
      <formula>1</formula>
    </cfRule>
    <cfRule type="cellIs" dxfId="851" priority="2049" operator="between">
      <formula>0.401</formula>
      <formula>0.659999999999</formula>
    </cfRule>
    <cfRule type="cellIs" dxfId="850" priority="2050" operator="between">
      <formula>0</formula>
      <formula>0.4</formula>
    </cfRule>
  </conditionalFormatting>
  <conditionalFormatting sqref="M50:M52">
    <cfRule type="cellIs" dxfId="849" priority="2036" operator="lessThan">
      <formula>0</formula>
    </cfRule>
    <cfRule type="cellIs" dxfId="848" priority="2037" operator="greaterThan">
      <formula>100.00001%</formula>
    </cfRule>
    <cfRule type="cellIs" dxfId="847" priority="2038" operator="between">
      <formula>0.66</formula>
      <formula>1</formula>
    </cfRule>
    <cfRule type="cellIs" dxfId="846" priority="2039" operator="between">
      <formula>0.401</formula>
      <formula>0.659999999999</formula>
    </cfRule>
    <cfRule type="cellIs" dxfId="845" priority="2040" operator="between">
      <formula>0</formula>
      <formula>0.4</formula>
    </cfRule>
  </conditionalFormatting>
  <conditionalFormatting sqref="M54:M56">
    <cfRule type="cellIs" dxfId="844" priority="2021" operator="lessThan">
      <formula>0</formula>
    </cfRule>
    <cfRule type="cellIs" dxfId="843" priority="2022" operator="greaterThan">
      <formula>100.00001%</formula>
    </cfRule>
    <cfRule type="cellIs" dxfId="842" priority="2023" operator="between">
      <formula>0.66</formula>
      <formula>1</formula>
    </cfRule>
    <cfRule type="cellIs" dxfId="841" priority="2024" operator="between">
      <formula>0.401</formula>
      <formula>0.659999999999</formula>
    </cfRule>
    <cfRule type="cellIs" dxfId="840" priority="2025" operator="between">
      <formula>0</formula>
      <formula>0.4</formula>
    </cfRule>
  </conditionalFormatting>
  <conditionalFormatting sqref="M57">
    <cfRule type="cellIs" dxfId="839" priority="2016" operator="lessThan">
      <formula>0</formula>
    </cfRule>
    <cfRule type="cellIs" dxfId="838" priority="2017" operator="greaterThan">
      <formula>100.00001%</formula>
    </cfRule>
    <cfRule type="cellIs" dxfId="837" priority="2018" operator="between">
      <formula>0.66</formula>
      <formula>1</formula>
    </cfRule>
    <cfRule type="cellIs" dxfId="836" priority="2019" operator="between">
      <formula>0.401</formula>
      <formula>0.659999999999</formula>
    </cfRule>
    <cfRule type="cellIs" dxfId="835" priority="2020" operator="between">
      <formula>0</formula>
      <formula>0.4</formula>
    </cfRule>
  </conditionalFormatting>
  <conditionalFormatting sqref="M58:M59">
    <cfRule type="cellIs" dxfId="834" priority="2011" operator="lessThan">
      <formula>0</formula>
    </cfRule>
    <cfRule type="cellIs" dxfId="833" priority="2012" operator="greaterThan">
      <formula>100.00001%</formula>
    </cfRule>
    <cfRule type="cellIs" dxfId="832" priority="2013" operator="between">
      <formula>0.66</formula>
      <formula>1</formula>
    </cfRule>
    <cfRule type="cellIs" dxfId="831" priority="2014" operator="between">
      <formula>0.401</formula>
      <formula>0.659999999999</formula>
    </cfRule>
    <cfRule type="cellIs" dxfId="830" priority="2015" operator="between">
      <formula>0</formula>
      <formula>0.4</formula>
    </cfRule>
  </conditionalFormatting>
  <conditionalFormatting sqref="M60:M62">
    <cfRule type="cellIs" dxfId="829" priority="2006" operator="lessThan">
      <formula>0</formula>
    </cfRule>
    <cfRule type="cellIs" dxfId="828" priority="2007" operator="greaterThan">
      <formula>100.00001%</formula>
    </cfRule>
    <cfRule type="cellIs" dxfId="827" priority="2008" operator="between">
      <formula>0.66</formula>
      <formula>1</formula>
    </cfRule>
    <cfRule type="cellIs" dxfId="826" priority="2009" operator="between">
      <formula>0.401</formula>
      <formula>0.659999999999</formula>
    </cfRule>
    <cfRule type="cellIs" dxfId="825" priority="2010" operator="between">
      <formula>0</formula>
      <formula>0.4</formula>
    </cfRule>
  </conditionalFormatting>
  <conditionalFormatting sqref="M99:M105">
    <cfRule type="cellIs" dxfId="824" priority="1981" operator="lessThan">
      <formula>0</formula>
    </cfRule>
    <cfRule type="cellIs" dxfId="823" priority="1982" operator="greaterThan">
      <formula>100.00001%</formula>
    </cfRule>
    <cfRule type="cellIs" dxfId="822" priority="1983" operator="between">
      <formula>0.66</formula>
      <formula>1</formula>
    </cfRule>
    <cfRule type="cellIs" dxfId="821" priority="1984" operator="between">
      <formula>0.401</formula>
      <formula>0.659999999999</formula>
    </cfRule>
    <cfRule type="cellIs" dxfId="820" priority="1985" operator="between">
      <formula>0</formula>
      <formula>0.4</formula>
    </cfRule>
  </conditionalFormatting>
  <conditionalFormatting sqref="M107:M109">
    <cfRule type="cellIs" dxfId="819" priority="1966" operator="lessThan">
      <formula>0</formula>
    </cfRule>
    <cfRule type="cellIs" dxfId="818" priority="1967" operator="greaterThan">
      <formula>100.00001%</formula>
    </cfRule>
    <cfRule type="cellIs" dxfId="817" priority="1968" operator="between">
      <formula>0.66</formula>
      <formula>1</formula>
    </cfRule>
    <cfRule type="cellIs" dxfId="816" priority="1969" operator="between">
      <formula>0.401</formula>
      <formula>0.659999999999</formula>
    </cfRule>
    <cfRule type="cellIs" dxfId="815" priority="1970" operator="between">
      <formula>0</formula>
      <formula>0.4</formula>
    </cfRule>
  </conditionalFormatting>
  <conditionalFormatting sqref="M110">
    <cfRule type="cellIs" dxfId="814" priority="1961" operator="lessThan">
      <formula>0</formula>
    </cfRule>
    <cfRule type="cellIs" dxfId="813" priority="1962" operator="greaterThan">
      <formula>100.00001%</formula>
    </cfRule>
    <cfRule type="cellIs" dxfId="812" priority="1963" operator="between">
      <formula>0.66</formula>
      <formula>1</formula>
    </cfRule>
    <cfRule type="cellIs" dxfId="811" priority="1964" operator="between">
      <formula>0.401</formula>
      <formula>0.659999999999</formula>
    </cfRule>
    <cfRule type="cellIs" dxfId="810" priority="1965" operator="between">
      <formula>0</formula>
      <formula>0.4</formula>
    </cfRule>
  </conditionalFormatting>
  <conditionalFormatting sqref="M111:M113">
    <cfRule type="cellIs" dxfId="809" priority="1956" operator="lessThan">
      <formula>0</formula>
    </cfRule>
    <cfRule type="cellIs" dxfId="808" priority="1957" operator="greaterThan">
      <formula>100.00001%</formula>
    </cfRule>
    <cfRule type="cellIs" dxfId="807" priority="1958" operator="between">
      <formula>0.66</formula>
      <formula>1</formula>
    </cfRule>
    <cfRule type="cellIs" dxfId="806" priority="1959" operator="between">
      <formula>0.401</formula>
      <formula>0.659999999999</formula>
    </cfRule>
    <cfRule type="cellIs" dxfId="805" priority="1960" operator="between">
      <formula>0</formula>
      <formula>0.4</formula>
    </cfRule>
  </conditionalFormatting>
  <conditionalFormatting sqref="M114">
    <cfRule type="cellIs" dxfId="804" priority="1951" operator="lessThan">
      <formula>0</formula>
    </cfRule>
    <cfRule type="cellIs" dxfId="803" priority="1952" operator="greaterThan">
      <formula>100.00001%</formula>
    </cfRule>
    <cfRule type="cellIs" dxfId="802" priority="1953" operator="between">
      <formula>0.66</formula>
      <formula>1</formula>
    </cfRule>
    <cfRule type="cellIs" dxfId="801" priority="1954" operator="between">
      <formula>0.401</formula>
      <formula>0.659999999999</formula>
    </cfRule>
    <cfRule type="cellIs" dxfId="800" priority="1955" operator="between">
      <formula>0</formula>
      <formula>0.4</formula>
    </cfRule>
  </conditionalFormatting>
  <conditionalFormatting sqref="M115">
    <cfRule type="cellIs" dxfId="799" priority="1946" operator="lessThan">
      <formula>0</formula>
    </cfRule>
    <cfRule type="cellIs" dxfId="798" priority="1947" operator="greaterThan">
      <formula>100.00001%</formula>
    </cfRule>
    <cfRule type="cellIs" dxfId="797" priority="1948" operator="between">
      <formula>0.66</formula>
      <formula>1</formula>
    </cfRule>
    <cfRule type="cellIs" dxfId="796" priority="1949" operator="between">
      <formula>0.401</formula>
      <formula>0.659999999999</formula>
    </cfRule>
    <cfRule type="cellIs" dxfId="795" priority="1950" operator="between">
      <formula>0</formula>
      <formula>0.4</formula>
    </cfRule>
  </conditionalFormatting>
  <conditionalFormatting sqref="M116:M117">
    <cfRule type="cellIs" dxfId="794" priority="1941" operator="lessThan">
      <formula>0</formula>
    </cfRule>
    <cfRule type="cellIs" dxfId="793" priority="1942" operator="greaterThan">
      <formula>100.00001%</formula>
    </cfRule>
    <cfRule type="cellIs" dxfId="792" priority="1943" operator="between">
      <formula>0.66</formula>
      <formula>1</formula>
    </cfRule>
    <cfRule type="cellIs" dxfId="791" priority="1944" operator="between">
      <formula>0.401</formula>
      <formula>0.659999999999</formula>
    </cfRule>
    <cfRule type="cellIs" dxfId="790" priority="1945" operator="between">
      <formula>0</formula>
      <formula>0.4</formula>
    </cfRule>
  </conditionalFormatting>
  <conditionalFormatting sqref="M118:M119">
    <cfRule type="cellIs" dxfId="789" priority="1936" operator="lessThan">
      <formula>0</formula>
    </cfRule>
    <cfRule type="cellIs" dxfId="788" priority="1937" operator="greaterThan">
      <formula>100.00001%</formula>
    </cfRule>
    <cfRule type="cellIs" dxfId="787" priority="1938" operator="between">
      <formula>0.66</formula>
      <formula>1</formula>
    </cfRule>
    <cfRule type="cellIs" dxfId="786" priority="1939" operator="between">
      <formula>0.401</formula>
      <formula>0.659999999999</formula>
    </cfRule>
    <cfRule type="cellIs" dxfId="785" priority="1940" operator="between">
      <formula>0</formula>
      <formula>0.4</formula>
    </cfRule>
  </conditionalFormatting>
  <conditionalFormatting sqref="M120">
    <cfRule type="cellIs" dxfId="784" priority="1931" operator="lessThan">
      <formula>0</formula>
    </cfRule>
    <cfRule type="cellIs" dxfId="783" priority="1932" operator="greaterThan">
      <formula>100.00001%</formula>
    </cfRule>
    <cfRule type="cellIs" dxfId="782" priority="1933" operator="between">
      <formula>0.66</formula>
      <formula>1</formula>
    </cfRule>
    <cfRule type="cellIs" dxfId="781" priority="1934" operator="between">
      <formula>0.401</formula>
      <formula>0.659999999999</formula>
    </cfRule>
    <cfRule type="cellIs" dxfId="780" priority="1935" operator="between">
      <formula>0</formula>
      <formula>0.4</formula>
    </cfRule>
  </conditionalFormatting>
  <conditionalFormatting sqref="M121:M125">
    <cfRule type="cellIs" dxfId="779" priority="1926" operator="lessThan">
      <formula>0</formula>
    </cfRule>
    <cfRule type="cellIs" dxfId="778" priority="1927" operator="greaterThan">
      <formula>100.00001%</formula>
    </cfRule>
    <cfRule type="cellIs" dxfId="777" priority="1928" operator="between">
      <formula>0.66</formula>
      <formula>1</formula>
    </cfRule>
    <cfRule type="cellIs" dxfId="776" priority="1929" operator="between">
      <formula>0.401</formula>
      <formula>0.659999999999</formula>
    </cfRule>
    <cfRule type="cellIs" dxfId="775" priority="1930" operator="between">
      <formula>0</formula>
      <formula>0.4</formula>
    </cfRule>
  </conditionalFormatting>
  <conditionalFormatting sqref="M127:M138">
    <cfRule type="cellIs" dxfId="774" priority="1886" operator="lessThan">
      <formula>0</formula>
    </cfRule>
    <cfRule type="cellIs" dxfId="773" priority="1887" operator="greaterThan">
      <formula>100.00001%</formula>
    </cfRule>
    <cfRule type="cellIs" dxfId="772" priority="1888" operator="between">
      <formula>0.66</formula>
      <formula>1</formula>
    </cfRule>
    <cfRule type="cellIs" dxfId="771" priority="1889" operator="between">
      <formula>0.401</formula>
      <formula>0.659999999999</formula>
    </cfRule>
    <cfRule type="cellIs" dxfId="770" priority="1890" operator="between">
      <formula>0</formula>
      <formula>0.4</formula>
    </cfRule>
  </conditionalFormatting>
  <conditionalFormatting sqref="M139:M150">
    <cfRule type="cellIs" dxfId="769" priority="1881" operator="lessThan">
      <formula>0</formula>
    </cfRule>
    <cfRule type="cellIs" dxfId="768" priority="1882" operator="greaterThan">
      <formula>100.00001%</formula>
    </cfRule>
    <cfRule type="cellIs" dxfId="767" priority="1883" operator="between">
      <formula>0.66</formula>
      <formula>1</formula>
    </cfRule>
    <cfRule type="cellIs" dxfId="766" priority="1884" operator="between">
      <formula>0.401</formula>
      <formula>0.659999999999</formula>
    </cfRule>
    <cfRule type="cellIs" dxfId="765" priority="1885" operator="between">
      <formula>0</formula>
      <formula>0.4</formula>
    </cfRule>
  </conditionalFormatting>
  <conditionalFormatting sqref="M151:M152">
    <cfRule type="cellIs" dxfId="764" priority="1876" operator="lessThan">
      <formula>0</formula>
    </cfRule>
    <cfRule type="cellIs" dxfId="763" priority="1877" operator="greaterThan">
      <formula>100.00001%</formula>
    </cfRule>
    <cfRule type="cellIs" dxfId="762" priority="1878" operator="between">
      <formula>0.66</formula>
      <formula>1</formula>
    </cfRule>
    <cfRule type="cellIs" dxfId="761" priority="1879" operator="between">
      <formula>0.401</formula>
      <formula>0.659999999999</formula>
    </cfRule>
    <cfRule type="cellIs" dxfId="760" priority="1880" operator="between">
      <formula>0</formula>
      <formula>0.4</formula>
    </cfRule>
  </conditionalFormatting>
  <conditionalFormatting sqref="M154">
    <cfRule type="cellIs" dxfId="759" priority="1866" operator="lessThan">
      <formula>0</formula>
    </cfRule>
    <cfRule type="cellIs" dxfId="758" priority="1867" operator="greaterThan">
      <formula>100.00001%</formula>
    </cfRule>
    <cfRule type="cellIs" dxfId="757" priority="1868" operator="between">
      <formula>0.66</formula>
      <formula>1</formula>
    </cfRule>
    <cfRule type="cellIs" dxfId="756" priority="1869" operator="between">
      <formula>0.401</formula>
      <formula>0.659999999999</formula>
    </cfRule>
    <cfRule type="cellIs" dxfId="755" priority="1870" operator="between">
      <formula>0</formula>
      <formula>0.4</formula>
    </cfRule>
  </conditionalFormatting>
  <conditionalFormatting sqref="M155">
    <cfRule type="cellIs" dxfId="754" priority="1856" operator="lessThan">
      <formula>0</formula>
    </cfRule>
    <cfRule type="cellIs" dxfId="753" priority="1857" operator="greaterThan">
      <formula>100.00001%</formula>
    </cfRule>
    <cfRule type="cellIs" dxfId="752" priority="1858" operator="between">
      <formula>0.66</formula>
      <formula>1</formula>
    </cfRule>
    <cfRule type="cellIs" dxfId="751" priority="1859" operator="between">
      <formula>0.401</formula>
      <formula>0.659999999999</formula>
    </cfRule>
    <cfRule type="cellIs" dxfId="750" priority="1860" operator="between">
      <formula>0</formula>
      <formula>0.4</formula>
    </cfRule>
  </conditionalFormatting>
  <conditionalFormatting sqref="M157">
    <cfRule type="cellIs" dxfId="749" priority="1841" operator="lessThan">
      <formula>0</formula>
    </cfRule>
    <cfRule type="cellIs" dxfId="748" priority="1842" operator="greaterThan">
      <formula>100.00001%</formula>
    </cfRule>
    <cfRule type="cellIs" dxfId="747" priority="1843" operator="between">
      <formula>0.66</formula>
      <formula>1</formula>
    </cfRule>
    <cfRule type="cellIs" dxfId="746" priority="1844" operator="between">
      <formula>0.401</formula>
      <formula>0.659999999999</formula>
    </cfRule>
    <cfRule type="cellIs" dxfId="745" priority="1845" operator="between">
      <formula>0</formula>
      <formula>0.4</formula>
    </cfRule>
  </conditionalFormatting>
  <conditionalFormatting sqref="M158">
    <cfRule type="cellIs" dxfId="744" priority="1836" operator="lessThan">
      <formula>0</formula>
    </cfRule>
    <cfRule type="cellIs" dxfId="743" priority="1837" operator="greaterThan">
      <formula>100.00001%</formula>
    </cfRule>
    <cfRule type="cellIs" dxfId="742" priority="1838" operator="between">
      <formula>0.66</formula>
      <formula>1</formula>
    </cfRule>
    <cfRule type="cellIs" dxfId="741" priority="1839" operator="between">
      <formula>0.401</formula>
      <formula>0.659999999999</formula>
    </cfRule>
    <cfRule type="cellIs" dxfId="740" priority="1840" operator="between">
      <formula>0</formula>
      <formula>0.4</formula>
    </cfRule>
  </conditionalFormatting>
  <conditionalFormatting sqref="M159:M166">
    <cfRule type="cellIs" dxfId="739" priority="1831" operator="lessThan">
      <formula>0</formula>
    </cfRule>
    <cfRule type="cellIs" dxfId="738" priority="1832" operator="greaterThan">
      <formula>100.00001%</formula>
    </cfRule>
    <cfRule type="cellIs" dxfId="737" priority="1833" operator="between">
      <formula>0.66</formula>
      <formula>1</formula>
    </cfRule>
    <cfRule type="cellIs" dxfId="736" priority="1834" operator="between">
      <formula>0.401</formula>
      <formula>0.659999999999</formula>
    </cfRule>
    <cfRule type="cellIs" dxfId="735" priority="1835" operator="between">
      <formula>0</formula>
      <formula>0.4</formula>
    </cfRule>
  </conditionalFormatting>
  <conditionalFormatting sqref="M167">
    <cfRule type="cellIs" dxfId="734" priority="1826" operator="lessThan">
      <formula>0</formula>
    </cfRule>
    <cfRule type="cellIs" dxfId="733" priority="1827" operator="greaterThan">
      <formula>100.00001%</formula>
    </cfRule>
    <cfRule type="cellIs" dxfId="732" priority="1828" operator="between">
      <formula>0.66</formula>
      <formula>1</formula>
    </cfRule>
    <cfRule type="cellIs" dxfId="731" priority="1829" operator="between">
      <formula>0.401</formula>
      <formula>0.659999999999</formula>
    </cfRule>
    <cfRule type="cellIs" dxfId="730" priority="1830" operator="between">
      <formula>0</formula>
      <formula>0.4</formula>
    </cfRule>
  </conditionalFormatting>
  <conditionalFormatting sqref="M169:M172">
    <cfRule type="cellIs" dxfId="729" priority="1811" operator="lessThan">
      <formula>0</formula>
    </cfRule>
    <cfRule type="cellIs" dxfId="728" priority="1812" operator="greaterThan">
      <formula>100.00001%</formula>
    </cfRule>
    <cfRule type="cellIs" dxfId="727" priority="1813" operator="between">
      <formula>0.66</formula>
      <formula>1</formula>
    </cfRule>
    <cfRule type="cellIs" dxfId="726" priority="1814" operator="between">
      <formula>0.401</formula>
      <formula>0.659999999999</formula>
    </cfRule>
    <cfRule type="cellIs" dxfId="725" priority="1815" operator="between">
      <formula>0</formula>
      <formula>0.4</formula>
    </cfRule>
  </conditionalFormatting>
  <conditionalFormatting sqref="M173:M174">
    <cfRule type="cellIs" dxfId="724" priority="1806" operator="lessThan">
      <formula>0</formula>
    </cfRule>
    <cfRule type="cellIs" dxfId="723" priority="1807" operator="greaterThan">
      <formula>100.00001%</formula>
    </cfRule>
    <cfRule type="cellIs" dxfId="722" priority="1808" operator="between">
      <formula>0.66</formula>
      <formula>1</formula>
    </cfRule>
    <cfRule type="cellIs" dxfId="721" priority="1809" operator="between">
      <formula>0.401</formula>
      <formula>0.659999999999</formula>
    </cfRule>
    <cfRule type="cellIs" dxfId="720" priority="1810" operator="between">
      <formula>0</formula>
      <formula>0.4</formula>
    </cfRule>
  </conditionalFormatting>
  <conditionalFormatting sqref="M175">
    <cfRule type="cellIs" dxfId="719" priority="1801" operator="lessThan">
      <formula>0</formula>
    </cfRule>
    <cfRule type="cellIs" dxfId="718" priority="1802" operator="greaterThan">
      <formula>100.00001%</formula>
    </cfRule>
    <cfRule type="cellIs" dxfId="717" priority="1803" operator="between">
      <formula>0.66</formula>
      <formula>1</formula>
    </cfRule>
    <cfRule type="cellIs" dxfId="716" priority="1804" operator="between">
      <formula>0.401</formula>
      <formula>0.659999999999</formula>
    </cfRule>
    <cfRule type="cellIs" dxfId="715" priority="1805" operator="between">
      <formula>0</formula>
      <formula>0.4</formula>
    </cfRule>
  </conditionalFormatting>
  <conditionalFormatting sqref="M176">
    <cfRule type="cellIs" dxfId="714" priority="1796" operator="lessThan">
      <formula>0</formula>
    </cfRule>
    <cfRule type="cellIs" dxfId="713" priority="1797" operator="greaterThan">
      <formula>100.00001%</formula>
    </cfRule>
    <cfRule type="cellIs" dxfId="712" priority="1798" operator="between">
      <formula>0.66</formula>
      <formula>1</formula>
    </cfRule>
    <cfRule type="cellIs" dxfId="711" priority="1799" operator="between">
      <formula>0.401</formula>
      <formula>0.659999999999</formula>
    </cfRule>
    <cfRule type="cellIs" dxfId="710" priority="1800" operator="between">
      <formula>0</formula>
      <formula>0.4</formula>
    </cfRule>
  </conditionalFormatting>
  <conditionalFormatting sqref="M177">
    <cfRule type="cellIs" dxfId="709" priority="1791" operator="lessThan">
      <formula>0</formula>
    </cfRule>
    <cfRule type="cellIs" dxfId="708" priority="1792" operator="greaterThan">
      <formula>100.00001%</formula>
    </cfRule>
    <cfRule type="cellIs" dxfId="707" priority="1793" operator="between">
      <formula>0.66</formula>
      <formula>1</formula>
    </cfRule>
    <cfRule type="cellIs" dxfId="706" priority="1794" operator="between">
      <formula>0.401</formula>
      <formula>0.659999999999</formula>
    </cfRule>
    <cfRule type="cellIs" dxfId="705" priority="1795" operator="between">
      <formula>0</formula>
      <formula>0.4</formula>
    </cfRule>
  </conditionalFormatting>
  <conditionalFormatting sqref="M179:M184">
    <cfRule type="cellIs" dxfId="704" priority="1766" operator="lessThan">
      <formula>0</formula>
    </cfRule>
    <cfRule type="cellIs" dxfId="703" priority="1767" operator="greaterThan">
      <formula>100.00001%</formula>
    </cfRule>
    <cfRule type="cellIs" dxfId="702" priority="1768" operator="between">
      <formula>0.66</formula>
      <formula>1</formula>
    </cfRule>
    <cfRule type="cellIs" dxfId="701" priority="1769" operator="between">
      <formula>0.401</formula>
      <formula>0.659999999999</formula>
    </cfRule>
    <cfRule type="cellIs" dxfId="700" priority="1770" operator="between">
      <formula>0</formula>
      <formula>0.4</formula>
    </cfRule>
  </conditionalFormatting>
  <conditionalFormatting sqref="M203:M216">
    <cfRule type="cellIs" dxfId="699" priority="1741" operator="lessThan">
      <formula>0</formula>
    </cfRule>
    <cfRule type="cellIs" dxfId="698" priority="1742" operator="greaterThan">
      <formula>100.00001%</formula>
    </cfRule>
    <cfRule type="cellIs" dxfId="697" priority="1743" operator="between">
      <formula>0.66</formula>
      <formula>1</formula>
    </cfRule>
    <cfRule type="cellIs" dxfId="696" priority="1744" operator="between">
      <formula>0.401</formula>
      <formula>0.659999999999</formula>
    </cfRule>
    <cfRule type="cellIs" dxfId="695" priority="1745" operator="between">
      <formula>0</formula>
      <formula>0.4</formula>
    </cfRule>
  </conditionalFormatting>
  <conditionalFormatting sqref="M217:M224">
    <cfRule type="cellIs" dxfId="694" priority="1736" operator="lessThan">
      <formula>0</formula>
    </cfRule>
    <cfRule type="cellIs" dxfId="693" priority="1737" operator="greaterThan">
      <formula>100.00001%</formula>
    </cfRule>
    <cfRule type="cellIs" dxfId="692" priority="1738" operator="between">
      <formula>0.66</formula>
      <formula>1</formula>
    </cfRule>
    <cfRule type="cellIs" dxfId="691" priority="1739" operator="between">
      <formula>0.401</formula>
      <formula>0.659999999999</formula>
    </cfRule>
    <cfRule type="cellIs" dxfId="690" priority="1740" operator="between">
      <formula>0</formula>
      <formula>0.4</formula>
    </cfRule>
  </conditionalFormatting>
  <conditionalFormatting sqref="M237:M239">
    <cfRule type="cellIs" dxfId="689" priority="1686" operator="lessThan">
      <formula>0</formula>
    </cfRule>
    <cfRule type="cellIs" dxfId="688" priority="1687" operator="greaterThan">
      <formula>100.00001%</formula>
    </cfRule>
    <cfRule type="cellIs" dxfId="687" priority="1688" operator="between">
      <formula>0.66</formula>
      <formula>1</formula>
    </cfRule>
    <cfRule type="cellIs" dxfId="686" priority="1689" operator="between">
      <formula>0.401</formula>
      <formula>0.659999999999</formula>
    </cfRule>
    <cfRule type="cellIs" dxfId="685" priority="1690" operator="between">
      <formula>0</formula>
      <formula>0.4</formula>
    </cfRule>
  </conditionalFormatting>
  <conditionalFormatting sqref="M226">
    <cfRule type="cellIs" dxfId="684" priority="1716" operator="lessThan">
      <formula>0</formula>
    </cfRule>
    <cfRule type="cellIs" dxfId="683" priority="1717" operator="greaterThan">
      <formula>100.00001%</formula>
    </cfRule>
    <cfRule type="cellIs" dxfId="682" priority="1718" operator="between">
      <formula>0.66</formula>
      <formula>1</formula>
    </cfRule>
    <cfRule type="cellIs" dxfId="681" priority="1719" operator="between">
      <formula>0.401</formula>
      <formula>0.659999999999</formula>
    </cfRule>
    <cfRule type="cellIs" dxfId="680" priority="1720" operator="between">
      <formula>0</formula>
      <formula>0.4</formula>
    </cfRule>
  </conditionalFormatting>
  <conditionalFormatting sqref="M227:M228">
    <cfRule type="cellIs" dxfId="679" priority="1711" operator="lessThan">
      <formula>0</formula>
    </cfRule>
    <cfRule type="cellIs" dxfId="678" priority="1712" operator="greaterThan">
      <formula>100.00001%</formula>
    </cfRule>
    <cfRule type="cellIs" dxfId="677" priority="1713" operator="between">
      <formula>0.66</formula>
      <formula>1</formula>
    </cfRule>
    <cfRule type="cellIs" dxfId="676" priority="1714" operator="between">
      <formula>0.401</formula>
      <formula>0.659999999999</formula>
    </cfRule>
    <cfRule type="cellIs" dxfId="675" priority="1715" operator="between">
      <formula>0</formula>
      <formula>0.4</formula>
    </cfRule>
  </conditionalFormatting>
  <conditionalFormatting sqref="M229:M230">
    <cfRule type="cellIs" dxfId="674" priority="1706" operator="lessThan">
      <formula>0</formula>
    </cfRule>
    <cfRule type="cellIs" dxfId="673" priority="1707" operator="greaterThan">
      <formula>100.00001%</formula>
    </cfRule>
    <cfRule type="cellIs" dxfId="672" priority="1708" operator="between">
      <formula>0.66</formula>
      <formula>1</formula>
    </cfRule>
    <cfRule type="cellIs" dxfId="671" priority="1709" operator="between">
      <formula>0.401</formula>
      <formula>0.659999999999</formula>
    </cfRule>
    <cfRule type="cellIs" dxfId="670" priority="1710" operator="between">
      <formula>0</formula>
      <formula>0.4</formula>
    </cfRule>
  </conditionalFormatting>
  <conditionalFormatting sqref="M231:M232">
    <cfRule type="cellIs" dxfId="669" priority="1701" operator="lessThan">
      <formula>0</formula>
    </cfRule>
    <cfRule type="cellIs" dxfId="668" priority="1702" operator="greaterThan">
      <formula>100.00001%</formula>
    </cfRule>
    <cfRule type="cellIs" dxfId="667" priority="1703" operator="between">
      <formula>0.66</formula>
      <formula>1</formula>
    </cfRule>
    <cfRule type="cellIs" dxfId="666" priority="1704" operator="between">
      <formula>0.401</formula>
      <formula>0.659999999999</formula>
    </cfRule>
    <cfRule type="cellIs" dxfId="665" priority="1705" operator="between">
      <formula>0</formula>
      <formula>0.4</formula>
    </cfRule>
  </conditionalFormatting>
  <conditionalFormatting sqref="M233:M234">
    <cfRule type="cellIs" dxfId="664" priority="1696" operator="lessThan">
      <formula>0</formula>
    </cfRule>
    <cfRule type="cellIs" dxfId="663" priority="1697" operator="greaterThan">
      <formula>100.00001%</formula>
    </cfRule>
    <cfRule type="cellIs" dxfId="662" priority="1698" operator="between">
      <formula>0.66</formula>
      <formula>1</formula>
    </cfRule>
    <cfRule type="cellIs" dxfId="661" priority="1699" operator="between">
      <formula>0.401</formula>
      <formula>0.659999999999</formula>
    </cfRule>
    <cfRule type="cellIs" dxfId="660" priority="1700" operator="between">
      <formula>0</formula>
      <formula>0.4</formula>
    </cfRule>
  </conditionalFormatting>
  <conditionalFormatting sqref="M235:M236">
    <cfRule type="cellIs" dxfId="659" priority="1691" operator="lessThan">
      <formula>0</formula>
    </cfRule>
    <cfRule type="cellIs" dxfId="658" priority="1692" operator="greaterThan">
      <formula>100.00001%</formula>
    </cfRule>
    <cfRule type="cellIs" dxfId="657" priority="1693" operator="between">
      <formula>0.66</formula>
      <formula>1</formula>
    </cfRule>
    <cfRule type="cellIs" dxfId="656" priority="1694" operator="between">
      <formula>0.401</formula>
      <formula>0.659999999999</formula>
    </cfRule>
    <cfRule type="cellIs" dxfId="655" priority="1695" operator="between">
      <formula>0</formula>
      <formula>0.4</formula>
    </cfRule>
  </conditionalFormatting>
  <conditionalFormatting sqref="M240:M244">
    <cfRule type="cellIs" dxfId="654" priority="1631" operator="lessThan">
      <formula>0</formula>
    </cfRule>
    <cfRule type="cellIs" dxfId="653" priority="1632" operator="greaterThan">
      <formula>100.00001%</formula>
    </cfRule>
    <cfRule type="cellIs" dxfId="652" priority="1633" operator="between">
      <formula>0.66</formula>
      <formula>1</formula>
    </cfRule>
    <cfRule type="cellIs" dxfId="651" priority="1634" operator="between">
      <formula>0.401</formula>
      <formula>0.659999999999</formula>
    </cfRule>
    <cfRule type="cellIs" dxfId="650" priority="1635" operator="between">
      <formula>0</formula>
      <formula>0.4</formula>
    </cfRule>
  </conditionalFormatting>
  <conditionalFormatting sqref="W12:W15">
    <cfRule type="cellIs" dxfId="649" priority="1591" operator="lessThan">
      <formula>0</formula>
    </cfRule>
    <cfRule type="cellIs" dxfId="648" priority="1592" operator="greaterThan">
      <formula>100.00001%</formula>
    </cfRule>
    <cfRule type="cellIs" dxfId="647" priority="1593" operator="between">
      <formula>0.66</formula>
      <formula>1</formula>
    </cfRule>
    <cfRule type="cellIs" dxfId="646" priority="1594" operator="between">
      <formula>0.401</formula>
      <formula>0.659999999999</formula>
    </cfRule>
    <cfRule type="cellIs" dxfId="645" priority="1595" operator="between">
      <formula>0</formula>
      <formula>0.4</formula>
    </cfRule>
  </conditionalFormatting>
  <conditionalFormatting sqref="W10">
    <cfRule type="cellIs" dxfId="644" priority="1611" operator="lessThan">
      <formula>0</formula>
    </cfRule>
    <cfRule type="cellIs" dxfId="643" priority="1612" operator="greaterThan">
      <formula>100.00001%</formula>
    </cfRule>
    <cfRule type="cellIs" dxfId="642" priority="1613" operator="between">
      <formula>0.66</formula>
      <formula>1</formula>
    </cfRule>
    <cfRule type="cellIs" dxfId="641" priority="1614" operator="between">
      <formula>0.401</formula>
      <formula>0.659999999999</formula>
    </cfRule>
    <cfRule type="cellIs" dxfId="640" priority="1615" operator="between">
      <formula>0</formula>
      <formula>0.4</formula>
    </cfRule>
  </conditionalFormatting>
  <conditionalFormatting sqref="W49">
    <cfRule type="cellIs" dxfId="639" priority="1516" operator="lessThan">
      <formula>0</formula>
    </cfRule>
    <cfRule type="cellIs" dxfId="638" priority="1517" operator="greaterThan">
      <formula>100.00001%</formula>
    </cfRule>
    <cfRule type="cellIs" dxfId="637" priority="1518" operator="between">
      <formula>0.66</formula>
      <formula>1</formula>
    </cfRule>
    <cfRule type="cellIs" dxfId="636" priority="1519" operator="between">
      <formula>0.401</formula>
      <formula>0.659999999999</formula>
    </cfRule>
    <cfRule type="cellIs" dxfId="635" priority="1520" operator="between">
      <formula>0</formula>
      <formula>0.4</formula>
    </cfRule>
  </conditionalFormatting>
  <conditionalFormatting sqref="W6:W7">
    <cfRule type="cellIs" dxfId="634" priority="1621" operator="lessThan">
      <formula>0</formula>
    </cfRule>
    <cfRule type="cellIs" dxfId="633" priority="1622" operator="greaterThan">
      <formula>100.00001%</formula>
    </cfRule>
    <cfRule type="cellIs" dxfId="632" priority="1623" operator="between">
      <formula>0.66</formula>
      <formula>1</formula>
    </cfRule>
    <cfRule type="cellIs" dxfId="631" priority="1624" operator="between">
      <formula>0.401</formula>
      <formula>0.659999999999</formula>
    </cfRule>
    <cfRule type="cellIs" dxfId="630" priority="1625" operator="between">
      <formula>0</formula>
      <formula>0.4</formula>
    </cfRule>
  </conditionalFormatting>
  <conditionalFormatting sqref="W8:W9">
    <cfRule type="cellIs" dxfId="629" priority="1616" operator="lessThan">
      <formula>0</formula>
    </cfRule>
    <cfRule type="cellIs" dxfId="628" priority="1617" operator="greaterThan">
      <formula>100.00001%</formula>
    </cfRule>
    <cfRule type="cellIs" dxfId="627" priority="1618" operator="between">
      <formula>0.66</formula>
      <formula>1</formula>
    </cfRule>
    <cfRule type="cellIs" dxfId="626" priority="1619" operator="between">
      <formula>0.401</formula>
      <formula>0.659999999999</formula>
    </cfRule>
    <cfRule type="cellIs" dxfId="625" priority="1620" operator="between">
      <formula>0</formula>
      <formula>0.4</formula>
    </cfRule>
  </conditionalFormatting>
  <conditionalFormatting sqref="W16:W30">
    <cfRule type="cellIs" dxfId="624" priority="1586" operator="lessThan">
      <formula>0</formula>
    </cfRule>
    <cfRule type="cellIs" dxfId="623" priority="1587" operator="greaterThan">
      <formula>100.00001%</formula>
    </cfRule>
    <cfRule type="cellIs" dxfId="622" priority="1588" operator="between">
      <formula>0.66</formula>
      <formula>1</formula>
    </cfRule>
    <cfRule type="cellIs" dxfId="621" priority="1589" operator="between">
      <formula>0.401</formula>
      <formula>0.659999999999</formula>
    </cfRule>
    <cfRule type="cellIs" dxfId="620" priority="1590" operator="between">
      <formula>0</formula>
      <formula>0.4</formula>
    </cfRule>
  </conditionalFormatting>
  <conditionalFormatting sqref="W50:W51">
    <cfRule type="cellIs" dxfId="619" priority="1511" operator="lessThan">
      <formula>0</formula>
    </cfRule>
    <cfRule type="cellIs" dxfId="618" priority="1512" operator="greaterThan">
      <formula>100.00001%</formula>
    </cfRule>
    <cfRule type="cellIs" dxfId="617" priority="1513" operator="between">
      <formula>0.66</formula>
      <formula>1</formula>
    </cfRule>
    <cfRule type="cellIs" dxfId="616" priority="1514" operator="between">
      <formula>0.401</formula>
      <formula>0.659999999999</formula>
    </cfRule>
    <cfRule type="cellIs" dxfId="615" priority="1515" operator="between">
      <formula>0</formula>
      <formula>0.4</formula>
    </cfRule>
  </conditionalFormatting>
  <conditionalFormatting sqref="W33">
    <cfRule type="cellIs" dxfId="614" priority="1566" operator="lessThan">
      <formula>0</formula>
    </cfRule>
    <cfRule type="cellIs" dxfId="613" priority="1567" operator="greaterThan">
      <formula>100.00001%</formula>
    </cfRule>
    <cfRule type="cellIs" dxfId="612" priority="1568" operator="between">
      <formula>0.66</formula>
      <formula>1</formula>
    </cfRule>
    <cfRule type="cellIs" dxfId="611" priority="1569" operator="between">
      <formula>0.401</formula>
      <formula>0.659999999999</formula>
    </cfRule>
    <cfRule type="cellIs" dxfId="610" priority="1570" operator="between">
      <formula>0</formula>
      <formula>0.4</formula>
    </cfRule>
  </conditionalFormatting>
  <conditionalFormatting sqref="W44">
    <cfRule type="cellIs" dxfId="609" priority="1496" operator="lessThan">
      <formula>0</formula>
    </cfRule>
    <cfRule type="cellIs" dxfId="608" priority="1497" operator="greaterThan">
      <formula>100.00001%</formula>
    </cfRule>
    <cfRule type="cellIs" dxfId="607" priority="1498" operator="between">
      <formula>0.66</formula>
      <formula>1</formula>
    </cfRule>
    <cfRule type="cellIs" dxfId="606" priority="1499" operator="between">
      <formula>0.401</formula>
      <formula>0.659999999999</formula>
    </cfRule>
    <cfRule type="cellIs" dxfId="605" priority="1500" operator="between">
      <formula>0</formula>
      <formula>0.4</formula>
    </cfRule>
  </conditionalFormatting>
  <conditionalFormatting sqref="W32">
    <cfRule type="cellIs" dxfId="604" priority="1576" operator="lessThan">
      <formula>0</formula>
    </cfRule>
    <cfRule type="cellIs" dxfId="603" priority="1577" operator="greaterThan">
      <formula>100.00001%</formula>
    </cfRule>
    <cfRule type="cellIs" dxfId="602" priority="1578" operator="between">
      <formula>0.66</formula>
      <formula>1</formula>
    </cfRule>
    <cfRule type="cellIs" dxfId="601" priority="1579" operator="between">
      <formula>0.401</formula>
      <formula>0.659999999999</formula>
    </cfRule>
    <cfRule type="cellIs" dxfId="600" priority="1580" operator="between">
      <formula>0</formula>
      <formula>0.4</formula>
    </cfRule>
  </conditionalFormatting>
  <conditionalFormatting sqref="W36:W37">
    <cfRule type="cellIs" dxfId="599" priority="1551" operator="lessThan">
      <formula>0</formula>
    </cfRule>
    <cfRule type="cellIs" dxfId="598" priority="1552" operator="greaterThan">
      <formula>100.00001%</formula>
    </cfRule>
    <cfRule type="cellIs" dxfId="597" priority="1553" operator="between">
      <formula>0.66</formula>
      <formula>1</formula>
    </cfRule>
    <cfRule type="cellIs" dxfId="596" priority="1554" operator="between">
      <formula>0.401</formula>
      <formula>0.659999999999</formula>
    </cfRule>
    <cfRule type="cellIs" dxfId="595" priority="1555" operator="between">
      <formula>0</formula>
      <formula>0.4</formula>
    </cfRule>
  </conditionalFormatting>
  <conditionalFormatting sqref="W34:W35">
    <cfRule type="cellIs" dxfId="594" priority="1561" operator="lessThan">
      <formula>0</formula>
    </cfRule>
    <cfRule type="cellIs" dxfId="593" priority="1562" operator="greaterThan">
      <formula>100.00001%</formula>
    </cfRule>
    <cfRule type="cellIs" dxfId="592" priority="1563" operator="between">
      <formula>0.66</formula>
      <formula>1</formula>
    </cfRule>
    <cfRule type="cellIs" dxfId="591" priority="1564" operator="between">
      <formula>0.401</formula>
      <formula>0.659999999999</formula>
    </cfRule>
    <cfRule type="cellIs" dxfId="590" priority="1565" operator="between">
      <formula>0</formula>
      <formula>0.4</formula>
    </cfRule>
  </conditionalFormatting>
  <conditionalFormatting sqref="W39:W40">
    <cfRule type="cellIs" dxfId="589" priority="1556" operator="lessThan">
      <formula>0</formula>
    </cfRule>
    <cfRule type="cellIs" dxfId="588" priority="1557" operator="greaterThan">
      <formula>100.00001%</formula>
    </cfRule>
    <cfRule type="cellIs" dxfId="587" priority="1558" operator="between">
      <formula>0.66</formula>
      <formula>1</formula>
    </cfRule>
    <cfRule type="cellIs" dxfId="586" priority="1559" operator="between">
      <formula>0.401</formula>
      <formula>0.659999999999</formula>
    </cfRule>
    <cfRule type="cellIs" dxfId="585" priority="1560" operator="between">
      <formula>0</formula>
      <formula>0.4</formula>
    </cfRule>
  </conditionalFormatting>
  <conditionalFormatting sqref="W41:W42">
    <cfRule type="cellIs" dxfId="584" priority="1546" operator="lessThan">
      <formula>0</formula>
    </cfRule>
    <cfRule type="cellIs" dxfId="583" priority="1547" operator="greaterThan">
      <formula>100.00001%</formula>
    </cfRule>
    <cfRule type="cellIs" dxfId="582" priority="1548" operator="between">
      <formula>0.66</formula>
      <formula>1</formula>
    </cfRule>
    <cfRule type="cellIs" dxfId="581" priority="1549" operator="between">
      <formula>0.401</formula>
      <formula>0.659999999999</formula>
    </cfRule>
    <cfRule type="cellIs" dxfId="580" priority="1550" operator="between">
      <formula>0</formula>
      <formula>0.4</formula>
    </cfRule>
  </conditionalFormatting>
  <conditionalFormatting sqref="W38">
    <cfRule type="cellIs" dxfId="579" priority="1541" operator="lessThan">
      <formula>0</formula>
    </cfRule>
    <cfRule type="cellIs" dxfId="578" priority="1542" operator="greaterThan">
      <formula>100.00001%</formula>
    </cfRule>
    <cfRule type="cellIs" dxfId="577" priority="1543" operator="between">
      <formula>0.66</formula>
      <formula>1</formula>
    </cfRule>
    <cfRule type="cellIs" dxfId="576" priority="1544" operator="between">
      <formula>0.401</formula>
      <formula>0.659999999999</formula>
    </cfRule>
    <cfRule type="cellIs" dxfId="575" priority="1545" operator="between">
      <formula>0</formula>
      <formula>0.4</formula>
    </cfRule>
  </conditionalFormatting>
  <conditionalFormatting sqref="W43">
    <cfRule type="cellIs" dxfId="574" priority="1536" operator="lessThan">
      <formula>0</formula>
    </cfRule>
    <cfRule type="cellIs" dxfId="573" priority="1537" operator="greaterThan">
      <formula>100.00001%</formula>
    </cfRule>
    <cfRule type="cellIs" dxfId="572" priority="1538" operator="between">
      <formula>0.66</formula>
      <formula>1</formula>
    </cfRule>
    <cfRule type="cellIs" dxfId="571" priority="1539" operator="between">
      <formula>0.401</formula>
      <formula>0.659999999999</formula>
    </cfRule>
    <cfRule type="cellIs" dxfId="570" priority="1540" operator="between">
      <formula>0</formula>
      <formula>0.4</formula>
    </cfRule>
  </conditionalFormatting>
  <conditionalFormatting sqref="W46:W47">
    <cfRule type="cellIs" dxfId="569" priority="1531" operator="lessThan">
      <formula>0</formula>
    </cfRule>
    <cfRule type="cellIs" dxfId="568" priority="1532" operator="greaterThan">
      <formula>100.00001%</formula>
    </cfRule>
    <cfRule type="cellIs" dxfId="567" priority="1533" operator="between">
      <formula>0.66</formula>
      <formula>1</formula>
    </cfRule>
    <cfRule type="cellIs" dxfId="566" priority="1534" operator="between">
      <formula>0.401</formula>
      <formula>0.659999999999</formula>
    </cfRule>
    <cfRule type="cellIs" dxfId="565" priority="1535" operator="between">
      <formula>0</formula>
      <formula>0.4</formula>
    </cfRule>
  </conditionalFormatting>
  <conditionalFormatting sqref="W48">
    <cfRule type="cellIs" dxfId="564" priority="1526" operator="lessThan">
      <formula>0</formula>
    </cfRule>
    <cfRule type="cellIs" dxfId="563" priority="1527" operator="greaterThan">
      <formula>100.00001%</formula>
    </cfRule>
    <cfRule type="cellIs" dxfId="562" priority="1528" operator="between">
      <formula>0.66</formula>
      <formula>1</formula>
    </cfRule>
    <cfRule type="cellIs" dxfId="561" priority="1529" operator="between">
      <formula>0.401</formula>
      <formula>0.659999999999</formula>
    </cfRule>
    <cfRule type="cellIs" dxfId="560" priority="1530" operator="between">
      <formula>0</formula>
      <formula>0.4</formula>
    </cfRule>
  </conditionalFormatting>
  <conditionalFormatting sqref="W54:W56">
    <cfRule type="cellIs" dxfId="559" priority="1441" operator="lessThan">
      <formula>0</formula>
    </cfRule>
    <cfRule type="cellIs" dxfId="558" priority="1442" operator="greaterThan">
      <formula>100.00001%</formula>
    </cfRule>
    <cfRule type="cellIs" dxfId="557" priority="1443" operator="between">
      <formula>0.66</formula>
      <formula>1</formula>
    </cfRule>
    <cfRule type="cellIs" dxfId="556" priority="1444" operator="between">
      <formula>0.401</formula>
      <formula>0.659999999999</formula>
    </cfRule>
    <cfRule type="cellIs" dxfId="555" priority="1445" operator="between">
      <formula>0</formula>
      <formula>0.4</formula>
    </cfRule>
  </conditionalFormatting>
  <conditionalFormatting sqref="W52">
    <cfRule type="cellIs" dxfId="554" priority="1506" operator="lessThan">
      <formula>0</formula>
    </cfRule>
    <cfRule type="cellIs" dxfId="553" priority="1507" operator="greaterThan">
      <formula>100.00001%</formula>
    </cfRule>
    <cfRule type="cellIs" dxfId="552" priority="1508" operator="between">
      <formula>0.66</formula>
      <formula>1</formula>
    </cfRule>
    <cfRule type="cellIs" dxfId="551" priority="1509" operator="between">
      <formula>0.401</formula>
      <formula>0.659999999999</formula>
    </cfRule>
    <cfRule type="cellIs" dxfId="550" priority="1510" operator="between">
      <formula>0</formula>
      <formula>0.4</formula>
    </cfRule>
  </conditionalFormatting>
  <conditionalFormatting sqref="W45">
    <cfRule type="cellIs" dxfId="549" priority="1501" operator="lessThan">
      <formula>0</formula>
    </cfRule>
    <cfRule type="cellIs" dxfId="548" priority="1502" operator="greaterThan">
      <formula>100.00001%</formula>
    </cfRule>
    <cfRule type="cellIs" dxfId="547" priority="1503" operator="between">
      <formula>0.66</formula>
      <formula>1</formula>
    </cfRule>
    <cfRule type="cellIs" dxfId="546" priority="1504" operator="between">
      <formula>0.401</formula>
      <formula>0.659999999999</formula>
    </cfRule>
    <cfRule type="cellIs" dxfId="545" priority="1505" operator="between">
      <formula>0</formula>
      <formula>0.4</formula>
    </cfRule>
  </conditionalFormatting>
  <conditionalFormatting sqref="W62">
    <cfRule type="cellIs" dxfId="544" priority="1416" operator="lessThan">
      <formula>0</formula>
    </cfRule>
    <cfRule type="cellIs" dxfId="543" priority="1417" operator="greaterThan">
      <formula>100.00001%</formula>
    </cfRule>
    <cfRule type="cellIs" dxfId="542" priority="1418" operator="between">
      <formula>0.66</formula>
      <formula>1</formula>
    </cfRule>
    <cfRule type="cellIs" dxfId="541" priority="1419" operator="between">
      <formula>0.401</formula>
      <formula>0.659999999999</formula>
    </cfRule>
    <cfRule type="cellIs" dxfId="540" priority="1420" operator="between">
      <formula>0</formula>
      <formula>0.4</formula>
    </cfRule>
  </conditionalFormatting>
  <conditionalFormatting sqref="W93:W98">
    <cfRule type="cellIs" dxfId="539" priority="1366" operator="lessThan">
      <formula>0</formula>
    </cfRule>
    <cfRule type="cellIs" dxfId="538" priority="1367" operator="greaterThan">
      <formula>100.00001%</formula>
    </cfRule>
    <cfRule type="cellIs" dxfId="537" priority="1368" operator="between">
      <formula>0.66</formula>
      <formula>1</formula>
    </cfRule>
    <cfRule type="cellIs" dxfId="536" priority="1369" operator="between">
      <formula>0.401</formula>
      <formula>0.659999999999</formula>
    </cfRule>
    <cfRule type="cellIs" dxfId="535" priority="1370" operator="between">
      <formula>0</formula>
      <formula>0.4</formula>
    </cfRule>
  </conditionalFormatting>
  <conditionalFormatting sqref="W61">
    <cfRule type="cellIs" dxfId="534" priority="1421" operator="lessThan">
      <formula>0</formula>
    </cfRule>
    <cfRule type="cellIs" dxfId="533" priority="1422" operator="greaterThan">
      <formula>100.00001%</formula>
    </cfRule>
    <cfRule type="cellIs" dxfId="532" priority="1423" operator="between">
      <formula>0.66</formula>
      <formula>1</formula>
    </cfRule>
    <cfRule type="cellIs" dxfId="531" priority="1424" operator="between">
      <formula>0.401</formula>
      <formula>0.659999999999</formula>
    </cfRule>
    <cfRule type="cellIs" dxfId="530" priority="1425" operator="between">
      <formula>0</formula>
      <formula>0.4</formula>
    </cfRule>
  </conditionalFormatting>
  <conditionalFormatting sqref="W83:W91">
    <cfRule type="cellIs" dxfId="529" priority="1371" operator="lessThan">
      <formula>0</formula>
    </cfRule>
    <cfRule type="cellIs" dxfId="528" priority="1372" operator="greaterThan">
      <formula>100.00001%</formula>
    </cfRule>
    <cfRule type="cellIs" dxfId="527" priority="1373" operator="between">
      <formula>0.66</formula>
      <formula>1</formula>
    </cfRule>
    <cfRule type="cellIs" dxfId="526" priority="1374" operator="between">
      <formula>0.401</formula>
      <formula>0.659999999999</formula>
    </cfRule>
    <cfRule type="cellIs" dxfId="525" priority="1375" operator="between">
      <formula>0</formula>
      <formula>0.4</formula>
    </cfRule>
  </conditionalFormatting>
  <conditionalFormatting sqref="W58:W59">
    <cfRule type="cellIs" dxfId="524" priority="1431" operator="lessThan">
      <formula>0</formula>
    </cfRule>
    <cfRule type="cellIs" dxfId="523" priority="1432" operator="greaterThan">
      <formula>100.00001%</formula>
    </cfRule>
    <cfRule type="cellIs" dxfId="522" priority="1433" operator="between">
      <formula>0.66</formula>
      <formula>1</formula>
    </cfRule>
    <cfRule type="cellIs" dxfId="521" priority="1434" operator="between">
      <formula>0.401</formula>
      <formula>0.659999999999</formula>
    </cfRule>
    <cfRule type="cellIs" dxfId="520" priority="1435" operator="between">
      <formula>0</formula>
      <formula>0.4</formula>
    </cfRule>
  </conditionalFormatting>
  <conditionalFormatting sqref="W60">
    <cfRule type="cellIs" dxfId="519" priority="1426" operator="lessThan">
      <formula>0</formula>
    </cfRule>
    <cfRule type="cellIs" dxfId="518" priority="1427" operator="greaterThan">
      <formula>100.00001%</formula>
    </cfRule>
    <cfRule type="cellIs" dxfId="517" priority="1428" operator="between">
      <formula>0.66</formula>
      <formula>1</formula>
    </cfRule>
    <cfRule type="cellIs" dxfId="516" priority="1429" operator="between">
      <formula>0.401</formula>
      <formula>0.659999999999</formula>
    </cfRule>
    <cfRule type="cellIs" dxfId="515" priority="1430" operator="between">
      <formula>0</formula>
      <formula>0.4</formula>
    </cfRule>
  </conditionalFormatting>
  <conditionalFormatting sqref="W92">
    <cfRule type="cellIs" dxfId="514" priority="1336" operator="lessThan">
      <formula>0</formula>
    </cfRule>
    <cfRule type="cellIs" dxfId="513" priority="1337" operator="greaterThan">
      <formula>100.00001%</formula>
    </cfRule>
    <cfRule type="cellIs" dxfId="512" priority="1338" operator="between">
      <formula>0.66</formula>
      <formula>1</formula>
    </cfRule>
    <cfRule type="cellIs" dxfId="511" priority="1339" operator="between">
      <formula>0.401</formula>
      <formula>0.659999999999</formula>
    </cfRule>
    <cfRule type="cellIs" dxfId="510" priority="1340" operator="between">
      <formula>0</formula>
      <formula>0.4</formula>
    </cfRule>
  </conditionalFormatting>
  <conditionalFormatting sqref="W64:W74">
    <cfRule type="cellIs" dxfId="509" priority="1391" operator="lessThan">
      <formula>0</formula>
    </cfRule>
    <cfRule type="cellIs" dxfId="508" priority="1392" operator="greaterThan">
      <formula>100.00001%</formula>
    </cfRule>
    <cfRule type="cellIs" dxfId="507" priority="1393" operator="between">
      <formula>0.66</formula>
      <formula>1</formula>
    </cfRule>
    <cfRule type="cellIs" dxfId="506" priority="1394" operator="between">
      <formula>0.401</formula>
      <formula>0.659999999999</formula>
    </cfRule>
    <cfRule type="cellIs" dxfId="505" priority="1395" operator="between">
      <formula>0</formula>
      <formula>0.4</formula>
    </cfRule>
  </conditionalFormatting>
  <conditionalFormatting sqref="W75:W76">
    <cfRule type="cellIs" dxfId="504" priority="1381" operator="lessThan">
      <formula>0</formula>
    </cfRule>
    <cfRule type="cellIs" dxfId="503" priority="1382" operator="greaterThan">
      <formula>100.00001%</formula>
    </cfRule>
    <cfRule type="cellIs" dxfId="502" priority="1383" operator="between">
      <formula>0.66</formula>
      <formula>1</formula>
    </cfRule>
    <cfRule type="cellIs" dxfId="501" priority="1384" operator="between">
      <formula>0.401</formula>
      <formula>0.659999999999</formula>
    </cfRule>
    <cfRule type="cellIs" dxfId="500" priority="1385" operator="between">
      <formula>0</formula>
      <formula>0.4</formula>
    </cfRule>
  </conditionalFormatting>
  <conditionalFormatting sqref="W77:W82">
    <cfRule type="cellIs" dxfId="499" priority="1376" operator="lessThan">
      <formula>0</formula>
    </cfRule>
    <cfRule type="cellIs" dxfId="498" priority="1377" operator="greaterThan">
      <formula>100.00001%</formula>
    </cfRule>
    <cfRule type="cellIs" dxfId="497" priority="1378" operator="between">
      <formula>0.66</formula>
      <formula>1</formula>
    </cfRule>
    <cfRule type="cellIs" dxfId="496" priority="1379" operator="between">
      <formula>0.401</formula>
      <formula>0.659999999999</formula>
    </cfRule>
    <cfRule type="cellIs" dxfId="495" priority="1380" operator="between">
      <formula>0</formula>
      <formula>0.4</formula>
    </cfRule>
  </conditionalFormatting>
  <conditionalFormatting sqref="W107:W110">
    <cfRule type="cellIs" dxfId="494" priority="1331" operator="lessThan">
      <formula>0</formula>
    </cfRule>
    <cfRule type="cellIs" dxfId="493" priority="1332" operator="greaterThan">
      <formula>100.00001%</formula>
    </cfRule>
    <cfRule type="cellIs" dxfId="492" priority="1333" operator="between">
      <formula>0.66</formula>
      <formula>1</formula>
    </cfRule>
    <cfRule type="cellIs" dxfId="491" priority="1334" operator="between">
      <formula>0.401</formula>
      <formula>0.659999999999</formula>
    </cfRule>
    <cfRule type="cellIs" dxfId="490" priority="1335" operator="between">
      <formula>0</formula>
      <formula>0.4</formula>
    </cfRule>
  </conditionalFormatting>
  <conditionalFormatting sqref="W111:W113">
    <cfRule type="cellIs" dxfId="489" priority="1326" operator="lessThan">
      <formula>0</formula>
    </cfRule>
    <cfRule type="cellIs" dxfId="488" priority="1327" operator="greaterThan">
      <formula>100.00001%</formula>
    </cfRule>
    <cfRule type="cellIs" dxfId="487" priority="1328" operator="between">
      <formula>0.66</formula>
      <formula>1</formula>
    </cfRule>
    <cfRule type="cellIs" dxfId="486" priority="1329" operator="between">
      <formula>0.401</formula>
      <formula>0.659999999999</formula>
    </cfRule>
    <cfRule type="cellIs" dxfId="485" priority="1330" operator="between">
      <formula>0</formula>
      <formula>0.4</formula>
    </cfRule>
  </conditionalFormatting>
  <conditionalFormatting sqref="W114">
    <cfRule type="cellIs" dxfId="484" priority="1321" operator="lessThan">
      <formula>0</formula>
    </cfRule>
    <cfRule type="cellIs" dxfId="483" priority="1322" operator="greaterThan">
      <formula>100.00001%</formula>
    </cfRule>
    <cfRule type="cellIs" dxfId="482" priority="1323" operator="between">
      <formula>0.66</formula>
      <formula>1</formula>
    </cfRule>
    <cfRule type="cellIs" dxfId="481" priority="1324" operator="between">
      <formula>0.401</formula>
      <formula>0.659999999999</formula>
    </cfRule>
    <cfRule type="cellIs" dxfId="480" priority="1325" operator="between">
      <formula>0</formula>
      <formula>0.4</formula>
    </cfRule>
  </conditionalFormatting>
  <conditionalFormatting sqref="W117">
    <cfRule type="cellIs" dxfId="479" priority="1306" operator="lessThan">
      <formula>0</formula>
    </cfRule>
    <cfRule type="cellIs" dxfId="478" priority="1307" operator="greaterThan">
      <formula>100.00001%</formula>
    </cfRule>
    <cfRule type="cellIs" dxfId="477" priority="1308" operator="between">
      <formula>0.66</formula>
      <formula>1</formula>
    </cfRule>
    <cfRule type="cellIs" dxfId="476" priority="1309" operator="between">
      <formula>0.401</formula>
      <formula>0.659999999999</formula>
    </cfRule>
    <cfRule type="cellIs" dxfId="475" priority="1310" operator="between">
      <formula>0</formula>
      <formula>0.4</formula>
    </cfRule>
  </conditionalFormatting>
  <conditionalFormatting sqref="W118:W119">
    <cfRule type="cellIs" dxfId="474" priority="1291" operator="lessThan">
      <formula>0</formula>
    </cfRule>
    <cfRule type="cellIs" dxfId="473" priority="1292" operator="greaterThan">
      <formula>100.00001%</formula>
    </cfRule>
    <cfRule type="cellIs" dxfId="472" priority="1293" operator="between">
      <formula>0.66</formula>
      <formula>1</formula>
    </cfRule>
    <cfRule type="cellIs" dxfId="471" priority="1294" operator="between">
      <formula>0.401</formula>
      <formula>0.659999999999</formula>
    </cfRule>
    <cfRule type="cellIs" dxfId="470" priority="1295" operator="between">
      <formula>0</formula>
      <formula>0.4</formula>
    </cfRule>
  </conditionalFormatting>
  <conditionalFormatting sqref="W120">
    <cfRule type="cellIs" dxfId="469" priority="1281" operator="lessThan">
      <formula>0</formula>
    </cfRule>
    <cfRule type="cellIs" dxfId="468" priority="1282" operator="greaterThan">
      <formula>100.00001%</formula>
    </cfRule>
    <cfRule type="cellIs" dxfId="467" priority="1283" operator="between">
      <formula>0.66</formula>
      <formula>1</formula>
    </cfRule>
    <cfRule type="cellIs" dxfId="466" priority="1284" operator="between">
      <formula>0.401</formula>
      <formula>0.659999999999</formula>
    </cfRule>
    <cfRule type="cellIs" dxfId="465" priority="1285" operator="between">
      <formula>0</formula>
      <formula>0.4</formula>
    </cfRule>
  </conditionalFormatting>
  <conditionalFormatting sqref="W116">
    <cfRule type="cellIs" dxfId="464" priority="1261" operator="lessThan">
      <formula>0</formula>
    </cfRule>
    <cfRule type="cellIs" dxfId="463" priority="1262" operator="greaterThan">
      <formula>100.00001%</formula>
    </cfRule>
    <cfRule type="cellIs" dxfId="462" priority="1263" operator="between">
      <formula>0.66</formula>
      <formula>1</formula>
    </cfRule>
    <cfRule type="cellIs" dxfId="461" priority="1264" operator="between">
      <formula>0.401</formula>
      <formula>0.659999999999</formula>
    </cfRule>
    <cfRule type="cellIs" dxfId="460" priority="1265" operator="between">
      <formula>0</formula>
      <formula>0.4</formula>
    </cfRule>
  </conditionalFormatting>
  <conditionalFormatting sqref="W115">
    <cfRule type="cellIs" dxfId="459" priority="1256" operator="lessThan">
      <formula>0</formula>
    </cfRule>
    <cfRule type="cellIs" dxfId="458" priority="1257" operator="greaterThan">
      <formula>100.00001%</formula>
    </cfRule>
    <cfRule type="cellIs" dxfId="457" priority="1258" operator="between">
      <formula>0.66</formula>
      <formula>1</formula>
    </cfRule>
    <cfRule type="cellIs" dxfId="456" priority="1259" operator="between">
      <formula>0.401</formula>
      <formula>0.659999999999</formula>
    </cfRule>
    <cfRule type="cellIs" dxfId="455" priority="1260" operator="between">
      <formula>0</formula>
      <formula>0.4</formula>
    </cfRule>
  </conditionalFormatting>
  <conditionalFormatting sqref="W121:W125">
    <cfRule type="cellIs" dxfId="454" priority="1251" operator="lessThan">
      <formula>0</formula>
    </cfRule>
    <cfRule type="cellIs" dxfId="453" priority="1252" operator="greaterThan">
      <formula>100.00001%</formula>
    </cfRule>
    <cfRule type="cellIs" dxfId="452" priority="1253" operator="between">
      <formula>0.66</formula>
      <formula>1</formula>
    </cfRule>
    <cfRule type="cellIs" dxfId="451" priority="1254" operator="between">
      <formula>0.401</formula>
      <formula>0.659999999999</formula>
    </cfRule>
    <cfRule type="cellIs" dxfId="450" priority="1255" operator="between">
      <formula>0</formula>
      <formula>0.4</formula>
    </cfRule>
  </conditionalFormatting>
  <conditionalFormatting sqref="W141:W146">
    <cfRule type="cellIs" dxfId="449" priority="1226" operator="lessThan">
      <formula>0</formula>
    </cfRule>
    <cfRule type="cellIs" dxfId="448" priority="1227" operator="greaterThan">
      <formula>100.00001%</formula>
    </cfRule>
    <cfRule type="cellIs" dxfId="447" priority="1228" operator="between">
      <formula>0.66</formula>
      <formula>1</formula>
    </cfRule>
    <cfRule type="cellIs" dxfId="446" priority="1229" operator="between">
      <formula>0.401</formula>
      <formula>0.659999999999</formula>
    </cfRule>
    <cfRule type="cellIs" dxfId="445" priority="1230" operator="between">
      <formula>0</formula>
      <formula>0.4</formula>
    </cfRule>
  </conditionalFormatting>
  <conditionalFormatting sqref="W127:W137">
    <cfRule type="cellIs" dxfId="444" priority="1246" operator="lessThan">
      <formula>0</formula>
    </cfRule>
    <cfRule type="cellIs" dxfId="443" priority="1247" operator="greaterThan">
      <formula>100.00001%</formula>
    </cfRule>
    <cfRule type="cellIs" dxfId="442" priority="1248" operator="between">
      <formula>0.66</formula>
      <formula>1</formula>
    </cfRule>
    <cfRule type="cellIs" dxfId="441" priority="1249" operator="between">
      <formula>0.401</formula>
      <formula>0.659999999999</formula>
    </cfRule>
    <cfRule type="cellIs" dxfId="440" priority="1250" operator="between">
      <formula>0</formula>
      <formula>0.4</formula>
    </cfRule>
  </conditionalFormatting>
  <conditionalFormatting sqref="W151:W152 W154:W155">
    <cfRule type="cellIs" dxfId="439" priority="1216" operator="lessThan">
      <formula>0</formula>
    </cfRule>
    <cfRule type="cellIs" dxfId="438" priority="1217" operator="greaterThan">
      <formula>100.00001%</formula>
    </cfRule>
    <cfRule type="cellIs" dxfId="437" priority="1218" operator="between">
      <formula>0.66</formula>
      <formula>1</formula>
    </cfRule>
    <cfRule type="cellIs" dxfId="436" priority="1219" operator="between">
      <formula>0.401</formula>
      <formula>0.659999999999</formula>
    </cfRule>
    <cfRule type="cellIs" dxfId="435" priority="1220" operator="between">
      <formula>0</formula>
      <formula>0.4</formula>
    </cfRule>
  </conditionalFormatting>
  <conditionalFormatting sqref="W138:W140">
    <cfRule type="cellIs" dxfId="434" priority="1231" operator="lessThan">
      <formula>0</formula>
    </cfRule>
    <cfRule type="cellIs" dxfId="433" priority="1232" operator="greaterThan">
      <formula>100.00001%</formula>
    </cfRule>
    <cfRule type="cellIs" dxfId="432" priority="1233" operator="between">
      <formula>0.66</formula>
      <formula>1</formula>
    </cfRule>
    <cfRule type="cellIs" dxfId="431" priority="1234" operator="between">
      <formula>0.401</formula>
      <formula>0.659999999999</formula>
    </cfRule>
    <cfRule type="cellIs" dxfId="430" priority="1235" operator="between">
      <formula>0</formula>
      <formula>0.4</formula>
    </cfRule>
  </conditionalFormatting>
  <conditionalFormatting sqref="W147:W150">
    <cfRule type="cellIs" dxfId="429" priority="1221" operator="lessThan">
      <formula>0</formula>
    </cfRule>
    <cfRule type="cellIs" dxfId="428" priority="1222" operator="greaterThan">
      <formula>100.00001%</formula>
    </cfRule>
    <cfRule type="cellIs" dxfId="427" priority="1223" operator="between">
      <formula>0.66</formula>
      <formula>1</formula>
    </cfRule>
    <cfRule type="cellIs" dxfId="426" priority="1224" operator="between">
      <formula>0.401</formula>
      <formula>0.659999999999</formula>
    </cfRule>
    <cfRule type="cellIs" dxfId="425" priority="1225" operator="between">
      <formula>0</formula>
      <formula>0.4</formula>
    </cfRule>
  </conditionalFormatting>
  <conditionalFormatting sqref="W169:W175">
    <cfRule type="cellIs" dxfId="424" priority="1131" operator="lessThan">
      <formula>0</formula>
    </cfRule>
    <cfRule type="cellIs" dxfId="423" priority="1132" operator="greaterThan">
      <formula>100.00001%</formula>
    </cfRule>
    <cfRule type="cellIs" dxfId="422" priority="1133" operator="between">
      <formula>0.66</formula>
      <formula>1</formula>
    </cfRule>
    <cfRule type="cellIs" dxfId="421" priority="1134" operator="between">
      <formula>0.401</formula>
      <formula>0.659999999999</formula>
    </cfRule>
    <cfRule type="cellIs" dxfId="420" priority="1135" operator="between">
      <formula>0</formula>
      <formula>0.4</formula>
    </cfRule>
  </conditionalFormatting>
  <conditionalFormatting sqref="W157">
    <cfRule type="cellIs" dxfId="419" priority="1161" operator="lessThan">
      <formula>0</formula>
    </cfRule>
    <cfRule type="cellIs" dxfId="418" priority="1162" operator="greaterThan">
      <formula>100.00001%</formula>
    </cfRule>
    <cfRule type="cellIs" dxfId="417" priority="1163" operator="between">
      <formula>0.66</formula>
      <formula>1</formula>
    </cfRule>
    <cfRule type="cellIs" dxfId="416" priority="1164" operator="between">
      <formula>0.401</formula>
      <formula>0.659999999999</formula>
    </cfRule>
    <cfRule type="cellIs" dxfId="415" priority="1165" operator="between">
      <formula>0</formula>
      <formula>0.4</formula>
    </cfRule>
  </conditionalFormatting>
  <conditionalFormatting sqref="W158:W159">
    <cfRule type="cellIs" dxfId="414" priority="1156" operator="lessThan">
      <formula>0</formula>
    </cfRule>
    <cfRule type="cellIs" dxfId="413" priority="1157" operator="greaterThan">
      <formula>100.00001%</formula>
    </cfRule>
    <cfRule type="cellIs" dxfId="412" priority="1158" operator="between">
      <formula>0.66</formula>
      <formula>1</formula>
    </cfRule>
    <cfRule type="cellIs" dxfId="411" priority="1159" operator="between">
      <formula>0.401</formula>
      <formula>0.659999999999</formula>
    </cfRule>
    <cfRule type="cellIs" dxfId="410" priority="1160" operator="between">
      <formula>0</formula>
      <formula>0.4</formula>
    </cfRule>
  </conditionalFormatting>
  <conditionalFormatting sqref="W160:W167">
    <cfRule type="cellIs" dxfId="409" priority="1151" operator="lessThan">
      <formula>0</formula>
    </cfRule>
    <cfRule type="cellIs" dxfId="408" priority="1152" operator="greaterThan">
      <formula>100.00001%</formula>
    </cfRule>
    <cfRule type="cellIs" dxfId="407" priority="1153" operator="between">
      <formula>0.66</formula>
      <formula>1</formula>
    </cfRule>
    <cfRule type="cellIs" dxfId="406" priority="1154" operator="between">
      <formula>0.401</formula>
      <formula>0.659999999999</formula>
    </cfRule>
    <cfRule type="cellIs" dxfId="405" priority="1155" operator="between">
      <formula>0</formula>
      <formula>0.4</formula>
    </cfRule>
  </conditionalFormatting>
  <conditionalFormatting sqref="W176:W177">
    <cfRule type="cellIs" dxfId="404" priority="1116" operator="lessThan">
      <formula>0</formula>
    </cfRule>
    <cfRule type="cellIs" dxfId="403" priority="1117" operator="greaterThan">
      <formula>100.00001%</formula>
    </cfRule>
    <cfRule type="cellIs" dxfId="402" priority="1118" operator="between">
      <formula>0.66</formula>
      <formula>1</formula>
    </cfRule>
    <cfRule type="cellIs" dxfId="401" priority="1119" operator="between">
      <formula>0.401</formula>
      <formula>0.659999999999</formula>
    </cfRule>
    <cfRule type="cellIs" dxfId="400" priority="1120" operator="between">
      <formula>0</formula>
      <formula>0.4</formula>
    </cfRule>
  </conditionalFormatting>
  <conditionalFormatting sqref="W179">
    <cfRule type="cellIs" dxfId="399" priority="1081" operator="lessThan">
      <formula>0</formula>
    </cfRule>
    <cfRule type="cellIs" dxfId="398" priority="1082" operator="greaterThan">
      <formula>100.00001%</formula>
    </cfRule>
    <cfRule type="cellIs" dxfId="397" priority="1083" operator="between">
      <formula>0.66</formula>
      <formula>1</formula>
    </cfRule>
    <cfRule type="cellIs" dxfId="396" priority="1084" operator="between">
      <formula>0.401</formula>
      <formula>0.659999999999</formula>
    </cfRule>
    <cfRule type="cellIs" dxfId="395" priority="1085" operator="between">
      <formula>0</formula>
      <formula>0.4</formula>
    </cfRule>
  </conditionalFormatting>
  <conditionalFormatting sqref="W180:W181">
    <cfRule type="cellIs" dxfId="394" priority="1076" operator="lessThan">
      <formula>0</formula>
    </cfRule>
    <cfRule type="cellIs" dxfId="393" priority="1077" operator="greaterThan">
      <formula>100.00001%</formula>
    </cfRule>
    <cfRule type="cellIs" dxfId="392" priority="1078" operator="between">
      <formula>0.66</formula>
      <formula>1</formula>
    </cfRule>
    <cfRule type="cellIs" dxfId="391" priority="1079" operator="between">
      <formula>0.401</formula>
      <formula>0.659999999999</formula>
    </cfRule>
    <cfRule type="cellIs" dxfId="390" priority="1080" operator="between">
      <formula>0</formula>
      <formula>0.4</formula>
    </cfRule>
  </conditionalFormatting>
  <conditionalFormatting sqref="W182:W183">
    <cfRule type="cellIs" dxfId="389" priority="1071" operator="lessThan">
      <formula>0</formula>
    </cfRule>
    <cfRule type="cellIs" dxfId="388" priority="1072" operator="greaterThan">
      <formula>100.00001%</formula>
    </cfRule>
    <cfRule type="cellIs" dxfId="387" priority="1073" operator="between">
      <formula>0.66</formula>
      <formula>1</formula>
    </cfRule>
    <cfRule type="cellIs" dxfId="386" priority="1074" operator="between">
      <formula>0.401</formula>
      <formula>0.659999999999</formula>
    </cfRule>
    <cfRule type="cellIs" dxfId="385" priority="1075" operator="between">
      <formula>0</formula>
      <formula>0.4</formula>
    </cfRule>
  </conditionalFormatting>
  <conditionalFormatting sqref="W184">
    <cfRule type="cellIs" dxfId="384" priority="1066" operator="lessThan">
      <formula>0</formula>
    </cfRule>
    <cfRule type="cellIs" dxfId="383" priority="1067" operator="greaterThan">
      <formula>100.00001%</formula>
    </cfRule>
    <cfRule type="cellIs" dxfId="382" priority="1068" operator="between">
      <formula>0.66</formula>
      <formula>1</formula>
    </cfRule>
    <cfRule type="cellIs" dxfId="381" priority="1069" operator="between">
      <formula>0.401</formula>
      <formula>0.659999999999</formula>
    </cfRule>
    <cfRule type="cellIs" dxfId="380" priority="1070" operator="between">
      <formula>0</formula>
      <formula>0.4</formula>
    </cfRule>
  </conditionalFormatting>
  <conditionalFormatting sqref="W186">
    <cfRule type="cellIs" dxfId="379" priority="1021" operator="lessThan">
      <formula>0</formula>
    </cfRule>
    <cfRule type="cellIs" dxfId="378" priority="1022" operator="greaterThan">
      <formula>100.00001%</formula>
    </cfRule>
    <cfRule type="cellIs" dxfId="377" priority="1023" operator="between">
      <formula>0.66</formula>
      <formula>1</formula>
    </cfRule>
    <cfRule type="cellIs" dxfId="376" priority="1024" operator="between">
      <formula>0.401</formula>
      <formula>0.659999999999</formula>
    </cfRule>
    <cfRule type="cellIs" dxfId="375" priority="1025" operator="between">
      <formula>0</formula>
      <formula>0.4</formula>
    </cfRule>
  </conditionalFormatting>
  <conditionalFormatting sqref="W200:W201">
    <cfRule type="cellIs" dxfId="374" priority="991" operator="lessThan">
      <formula>0</formula>
    </cfRule>
    <cfRule type="cellIs" dxfId="373" priority="992" operator="greaterThan">
      <formula>100.00001%</formula>
    </cfRule>
    <cfRule type="cellIs" dxfId="372" priority="993" operator="between">
      <formula>0.66</formula>
      <formula>1</formula>
    </cfRule>
    <cfRule type="cellIs" dxfId="371" priority="994" operator="between">
      <formula>0.401</formula>
      <formula>0.659999999999</formula>
    </cfRule>
    <cfRule type="cellIs" dxfId="370" priority="995" operator="between">
      <formula>0</formula>
      <formula>0.4</formula>
    </cfRule>
  </conditionalFormatting>
  <conditionalFormatting sqref="W190:W198">
    <cfRule type="cellIs" dxfId="369" priority="1001" operator="lessThan">
      <formula>0</formula>
    </cfRule>
    <cfRule type="cellIs" dxfId="368" priority="1002" operator="greaterThan">
      <formula>100.00001%</formula>
    </cfRule>
    <cfRule type="cellIs" dxfId="367" priority="1003" operator="between">
      <formula>0.66</formula>
      <formula>1</formula>
    </cfRule>
    <cfRule type="cellIs" dxfId="366" priority="1004" operator="between">
      <formula>0.401</formula>
      <formula>0.659999999999</formula>
    </cfRule>
    <cfRule type="cellIs" dxfId="365" priority="1005" operator="between">
      <formula>0</formula>
      <formula>0.4</formula>
    </cfRule>
  </conditionalFormatting>
  <conditionalFormatting sqref="W187">
    <cfRule type="cellIs" dxfId="364" priority="1016" operator="lessThan">
      <formula>0</formula>
    </cfRule>
    <cfRule type="cellIs" dxfId="363" priority="1017" operator="greaterThan">
      <formula>100.00001%</formula>
    </cfRule>
    <cfRule type="cellIs" dxfId="362" priority="1018" operator="between">
      <formula>0.66</formula>
      <formula>1</formula>
    </cfRule>
    <cfRule type="cellIs" dxfId="361" priority="1019" operator="between">
      <formula>0.401</formula>
      <formula>0.659999999999</formula>
    </cfRule>
    <cfRule type="cellIs" dxfId="360" priority="1020" operator="between">
      <formula>0</formula>
      <formula>0.4</formula>
    </cfRule>
  </conditionalFormatting>
  <conditionalFormatting sqref="W188">
    <cfRule type="cellIs" dxfId="359" priority="1011" operator="lessThan">
      <formula>0</formula>
    </cfRule>
    <cfRule type="cellIs" dxfId="358" priority="1012" operator="greaterThan">
      <formula>100.00001%</formula>
    </cfRule>
    <cfRule type="cellIs" dxfId="357" priority="1013" operator="between">
      <formula>0.66</formula>
      <formula>1</formula>
    </cfRule>
    <cfRule type="cellIs" dxfId="356" priority="1014" operator="between">
      <formula>0.401</formula>
      <formula>0.659999999999</formula>
    </cfRule>
    <cfRule type="cellIs" dxfId="355" priority="1015" operator="between">
      <formula>0</formula>
      <formula>0.4</formula>
    </cfRule>
  </conditionalFormatting>
  <conditionalFormatting sqref="W189">
    <cfRule type="cellIs" dxfId="354" priority="1006" operator="lessThan">
      <formula>0</formula>
    </cfRule>
    <cfRule type="cellIs" dxfId="353" priority="1007" operator="greaterThan">
      <formula>100.00001%</formula>
    </cfRule>
    <cfRule type="cellIs" dxfId="352" priority="1008" operator="between">
      <formula>0.66</formula>
      <formula>1</formula>
    </cfRule>
    <cfRule type="cellIs" dxfId="351" priority="1009" operator="between">
      <formula>0.401</formula>
      <formula>0.659999999999</formula>
    </cfRule>
    <cfRule type="cellIs" dxfId="350" priority="1010" operator="between">
      <formula>0</formula>
      <formula>0.4</formula>
    </cfRule>
  </conditionalFormatting>
  <conditionalFormatting sqref="W199">
    <cfRule type="cellIs" dxfId="349" priority="996" operator="lessThan">
      <formula>0</formula>
    </cfRule>
    <cfRule type="cellIs" dxfId="348" priority="997" operator="greaterThan">
      <formula>100.00001%</formula>
    </cfRule>
    <cfRule type="cellIs" dxfId="347" priority="998" operator="between">
      <formula>0.66</formula>
      <formula>1</formula>
    </cfRule>
    <cfRule type="cellIs" dxfId="346" priority="999" operator="between">
      <formula>0.401</formula>
      <formula>0.659999999999</formula>
    </cfRule>
    <cfRule type="cellIs" dxfId="345" priority="1000" operator="between">
      <formula>0</formula>
      <formula>0.4</formula>
    </cfRule>
  </conditionalFormatting>
  <conditionalFormatting sqref="W227:W230">
    <cfRule type="cellIs" dxfId="344" priority="931" operator="lessThan">
      <formula>0</formula>
    </cfRule>
    <cfRule type="cellIs" dxfId="343" priority="932" operator="greaterThan">
      <formula>100.00001%</formula>
    </cfRule>
    <cfRule type="cellIs" dxfId="342" priority="933" operator="between">
      <formula>0.66</formula>
      <formula>1</formula>
    </cfRule>
    <cfRule type="cellIs" dxfId="341" priority="934" operator="between">
      <formula>0.401</formula>
      <formula>0.659999999999</formula>
    </cfRule>
    <cfRule type="cellIs" dxfId="340" priority="935" operator="between">
      <formula>0</formula>
      <formula>0.4</formula>
    </cfRule>
  </conditionalFormatting>
  <conditionalFormatting sqref="W203:W214">
    <cfRule type="cellIs" dxfId="339" priority="961" operator="lessThan">
      <formula>0</formula>
    </cfRule>
    <cfRule type="cellIs" dxfId="338" priority="962" operator="greaterThan">
      <formula>100.00001%</formula>
    </cfRule>
    <cfRule type="cellIs" dxfId="337" priority="963" operator="between">
      <formula>0.66</formula>
      <formula>1</formula>
    </cfRule>
    <cfRule type="cellIs" dxfId="336" priority="964" operator="between">
      <formula>0.401</formula>
      <formula>0.659999999999</formula>
    </cfRule>
    <cfRule type="cellIs" dxfId="335" priority="965" operator="between">
      <formula>0</formula>
      <formula>0.4</formula>
    </cfRule>
  </conditionalFormatting>
  <conditionalFormatting sqref="W215:W223">
    <cfRule type="cellIs" dxfId="334" priority="956" operator="lessThan">
      <formula>0</formula>
    </cfRule>
    <cfRule type="cellIs" dxfId="333" priority="957" operator="greaterThan">
      <formula>100.00001%</formula>
    </cfRule>
    <cfRule type="cellIs" dxfId="332" priority="958" operator="between">
      <formula>0.66</formula>
      <formula>1</formula>
    </cfRule>
    <cfRule type="cellIs" dxfId="331" priority="959" operator="between">
      <formula>0.401</formula>
      <formula>0.659999999999</formula>
    </cfRule>
    <cfRule type="cellIs" dxfId="330" priority="960" operator="between">
      <formula>0</formula>
      <formula>0.4</formula>
    </cfRule>
  </conditionalFormatting>
  <conditionalFormatting sqref="W240:W244">
    <cfRule type="cellIs" dxfId="329" priority="911" operator="lessThan">
      <formula>0</formula>
    </cfRule>
    <cfRule type="cellIs" dxfId="328" priority="912" operator="greaterThan">
      <formula>100.00001%</formula>
    </cfRule>
    <cfRule type="cellIs" dxfId="327" priority="913" operator="between">
      <formula>0.66</formula>
      <formula>1</formula>
    </cfRule>
    <cfRule type="cellIs" dxfId="326" priority="914" operator="between">
      <formula>0.401</formula>
      <formula>0.659999999999</formula>
    </cfRule>
    <cfRule type="cellIs" dxfId="325" priority="915" operator="between">
      <formula>0</formula>
      <formula>0.4</formula>
    </cfRule>
  </conditionalFormatting>
  <conditionalFormatting sqref="W224">
    <cfRule type="cellIs" dxfId="324" priority="951" operator="lessThan">
      <formula>0</formula>
    </cfRule>
    <cfRule type="cellIs" dxfId="323" priority="952" operator="greaterThan">
      <formula>100.00001%</formula>
    </cfRule>
    <cfRule type="cellIs" dxfId="322" priority="953" operator="between">
      <formula>0.66</formula>
      <formula>1</formula>
    </cfRule>
    <cfRule type="cellIs" dxfId="321" priority="954" operator="between">
      <formula>0.401</formula>
      <formula>0.659999999999</formula>
    </cfRule>
    <cfRule type="cellIs" dxfId="320" priority="955" operator="between">
      <formula>0</formula>
      <formula>0.4</formula>
    </cfRule>
  </conditionalFormatting>
  <conditionalFormatting sqref="W226">
    <cfRule type="cellIs" dxfId="319" priority="936" operator="lessThan">
      <formula>0</formula>
    </cfRule>
    <cfRule type="cellIs" dxfId="318" priority="937" operator="greaterThan">
      <formula>100.00001%</formula>
    </cfRule>
    <cfRule type="cellIs" dxfId="317" priority="938" operator="between">
      <formula>0.66</formula>
      <formula>1</formula>
    </cfRule>
    <cfRule type="cellIs" dxfId="316" priority="939" operator="between">
      <formula>0.401</formula>
      <formula>0.659999999999</formula>
    </cfRule>
    <cfRule type="cellIs" dxfId="315" priority="940" operator="between">
      <formula>0</formula>
      <formula>0.4</formula>
    </cfRule>
  </conditionalFormatting>
  <conditionalFormatting sqref="W231:W232">
    <cfRule type="cellIs" dxfId="314" priority="926" operator="lessThan">
      <formula>0</formula>
    </cfRule>
    <cfRule type="cellIs" dxfId="313" priority="927" operator="greaterThan">
      <formula>100.00001%</formula>
    </cfRule>
    <cfRule type="cellIs" dxfId="312" priority="928" operator="between">
      <formula>0.66</formula>
      <formula>1</formula>
    </cfRule>
    <cfRule type="cellIs" dxfId="311" priority="929" operator="between">
      <formula>0.401</formula>
      <formula>0.659999999999</formula>
    </cfRule>
    <cfRule type="cellIs" dxfId="310" priority="930" operator="between">
      <formula>0</formula>
      <formula>0.4</formula>
    </cfRule>
  </conditionalFormatting>
  <conditionalFormatting sqref="W233:W239">
    <cfRule type="cellIs" dxfId="309" priority="921" operator="lessThan">
      <formula>0</formula>
    </cfRule>
    <cfRule type="cellIs" dxfId="308" priority="922" operator="greaterThan">
      <formula>100.00001%</formula>
    </cfRule>
    <cfRule type="cellIs" dxfId="307" priority="923" operator="between">
      <formula>0.66</formula>
      <formula>1</formula>
    </cfRule>
    <cfRule type="cellIs" dxfId="306" priority="924" operator="between">
      <formula>0.401</formula>
      <formula>0.659999999999</formula>
    </cfRule>
    <cfRule type="cellIs" dxfId="305" priority="925" operator="between">
      <formula>0</formula>
      <formula>0.4</formula>
    </cfRule>
  </conditionalFormatting>
  <conditionalFormatting sqref="AP6">
    <cfRule type="cellIs" dxfId="304" priority="811" operator="lessThan">
      <formula>0</formula>
    </cfRule>
    <cfRule type="cellIs" dxfId="303" priority="812" operator="greaterThan">
      <formula>100.00001%</formula>
    </cfRule>
    <cfRule type="cellIs" dxfId="302" priority="813" operator="between">
      <formula>0.66</formula>
      <formula>1</formula>
    </cfRule>
    <cfRule type="cellIs" dxfId="301" priority="814" operator="between">
      <formula>0.401</formula>
      <formula>0.659999999999</formula>
    </cfRule>
    <cfRule type="cellIs" dxfId="300" priority="815" operator="between">
      <formula>0</formula>
      <formula>0.4</formula>
    </cfRule>
  </conditionalFormatting>
  <conditionalFormatting sqref="AP7:AP9">
    <cfRule type="cellIs" dxfId="299" priority="806" operator="lessThan">
      <formula>0</formula>
    </cfRule>
    <cfRule type="cellIs" dxfId="298" priority="807" operator="greaterThan">
      <formula>100.00001%</formula>
    </cfRule>
    <cfRule type="cellIs" dxfId="297" priority="808" operator="between">
      <formula>0.66</formula>
      <formula>1</formula>
    </cfRule>
    <cfRule type="cellIs" dxfId="296" priority="809" operator="between">
      <formula>0.401</formula>
      <formula>0.659999999999</formula>
    </cfRule>
    <cfRule type="cellIs" dxfId="295" priority="810" operator="between">
      <formula>0</formula>
      <formula>0.4</formula>
    </cfRule>
  </conditionalFormatting>
  <conditionalFormatting sqref="AP10">
    <cfRule type="cellIs" dxfId="294" priority="801" operator="lessThan">
      <formula>0</formula>
    </cfRule>
    <cfRule type="cellIs" dxfId="293" priority="802" operator="greaterThan">
      <formula>100.00001%</formula>
    </cfRule>
    <cfRule type="cellIs" dxfId="292" priority="803" operator="between">
      <formula>0.66</formula>
      <formula>1</formula>
    </cfRule>
    <cfRule type="cellIs" dxfId="291" priority="804" operator="between">
      <formula>0.401</formula>
      <formula>0.659999999999</formula>
    </cfRule>
    <cfRule type="cellIs" dxfId="290" priority="805" operator="between">
      <formula>0</formula>
      <formula>0.4</formula>
    </cfRule>
  </conditionalFormatting>
  <conditionalFormatting sqref="AP12:AP15">
    <cfRule type="cellIs" dxfId="289" priority="796" operator="lessThan">
      <formula>0</formula>
    </cfRule>
    <cfRule type="cellIs" dxfId="288" priority="797" operator="greaterThan">
      <formula>100.00001%</formula>
    </cfRule>
    <cfRule type="cellIs" dxfId="287" priority="798" operator="between">
      <formula>0.66</formula>
      <formula>1</formula>
    </cfRule>
    <cfRule type="cellIs" dxfId="286" priority="799" operator="between">
      <formula>0.401</formula>
      <formula>0.659999999999</formula>
    </cfRule>
    <cfRule type="cellIs" dxfId="285" priority="800" operator="between">
      <formula>0</formula>
      <formula>0.4</formula>
    </cfRule>
  </conditionalFormatting>
  <conditionalFormatting sqref="AP16:AP19">
    <cfRule type="cellIs" dxfId="284" priority="791" operator="lessThan">
      <formula>0</formula>
    </cfRule>
    <cfRule type="cellIs" dxfId="283" priority="792" operator="greaterThan">
      <formula>100.00001%</formula>
    </cfRule>
    <cfRule type="cellIs" dxfId="282" priority="793" operator="between">
      <formula>0.66</formula>
      <formula>1</formula>
    </cfRule>
    <cfRule type="cellIs" dxfId="281" priority="794" operator="between">
      <formula>0.401</formula>
      <formula>0.659999999999</formula>
    </cfRule>
    <cfRule type="cellIs" dxfId="280" priority="795" operator="between">
      <formula>0</formula>
      <formula>0.4</formula>
    </cfRule>
  </conditionalFormatting>
  <conditionalFormatting sqref="AP20:AP25">
    <cfRule type="cellIs" dxfId="279" priority="786" operator="lessThan">
      <formula>0</formula>
    </cfRule>
    <cfRule type="cellIs" dxfId="278" priority="787" operator="greaterThan">
      <formula>100.00001%</formula>
    </cfRule>
    <cfRule type="cellIs" dxfId="277" priority="788" operator="between">
      <formula>0.66</formula>
      <formula>1</formula>
    </cfRule>
    <cfRule type="cellIs" dxfId="276" priority="789" operator="between">
      <formula>0.401</formula>
      <formula>0.659999999999</formula>
    </cfRule>
    <cfRule type="cellIs" dxfId="275" priority="790" operator="between">
      <formula>0</formula>
      <formula>0.4</formula>
    </cfRule>
  </conditionalFormatting>
  <conditionalFormatting sqref="AP26:AP30">
    <cfRule type="cellIs" dxfId="274" priority="781" operator="lessThan">
      <formula>0</formula>
    </cfRule>
    <cfRule type="cellIs" dxfId="273" priority="782" operator="greaterThan">
      <formula>100.00001%</formula>
    </cfRule>
    <cfRule type="cellIs" dxfId="272" priority="783" operator="between">
      <formula>0.66</formula>
      <formula>1</formula>
    </cfRule>
    <cfRule type="cellIs" dxfId="271" priority="784" operator="between">
      <formula>0.401</formula>
      <formula>0.659999999999</formula>
    </cfRule>
    <cfRule type="cellIs" dxfId="270" priority="785" operator="between">
      <formula>0</formula>
      <formula>0.4</formula>
    </cfRule>
  </conditionalFormatting>
  <conditionalFormatting sqref="AP32:AP38">
    <cfRule type="cellIs" dxfId="269" priority="771" operator="lessThan">
      <formula>0</formula>
    </cfRule>
    <cfRule type="cellIs" dxfId="268" priority="772" operator="greaterThan">
      <formula>100.00001%</formula>
    </cfRule>
    <cfRule type="cellIs" dxfId="267" priority="773" operator="between">
      <formula>0.66</formula>
      <formula>1</formula>
    </cfRule>
    <cfRule type="cellIs" dxfId="266" priority="774" operator="between">
      <formula>0.401</formula>
      <formula>0.659999999999</formula>
    </cfRule>
    <cfRule type="cellIs" dxfId="265" priority="775" operator="between">
      <formula>0</formula>
      <formula>0.4</formula>
    </cfRule>
  </conditionalFormatting>
  <conditionalFormatting sqref="AP39:AP43">
    <cfRule type="cellIs" dxfId="264" priority="766" operator="lessThan">
      <formula>0</formula>
    </cfRule>
    <cfRule type="cellIs" dxfId="263" priority="767" operator="greaterThan">
      <formula>100.00001%</formula>
    </cfRule>
    <cfRule type="cellIs" dxfId="262" priority="768" operator="between">
      <formula>0.66</formula>
      <formula>1</formula>
    </cfRule>
    <cfRule type="cellIs" dxfId="261" priority="769" operator="between">
      <formula>0.401</formula>
      <formula>0.659999999999</formula>
    </cfRule>
    <cfRule type="cellIs" dxfId="260" priority="770" operator="between">
      <formula>0</formula>
      <formula>0.4</formula>
    </cfRule>
  </conditionalFormatting>
  <conditionalFormatting sqref="AP54:AP56">
    <cfRule type="cellIs" dxfId="259" priority="731" operator="lessThan">
      <formula>0</formula>
    </cfRule>
    <cfRule type="cellIs" dxfId="258" priority="732" operator="greaterThan">
      <formula>100.00001%</formula>
    </cfRule>
    <cfRule type="cellIs" dxfId="257" priority="733" operator="between">
      <formula>0.66</formula>
      <formula>1</formula>
    </cfRule>
    <cfRule type="cellIs" dxfId="256" priority="734" operator="between">
      <formula>0.401</formula>
      <formula>0.659999999999</formula>
    </cfRule>
    <cfRule type="cellIs" dxfId="255" priority="735" operator="between">
      <formula>0</formula>
      <formula>0.4</formula>
    </cfRule>
  </conditionalFormatting>
  <conditionalFormatting sqref="AP57:AP60">
    <cfRule type="cellIs" dxfId="254" priority="716" operator="lessThan">
      <formula>0</formula>
    </cfRule>
    <cfRule type="cellIs" dxfId="253" priority="717" operator="greaterThan">
      <formula>100.00001%</formula>
    </cfRule>
    <cfRule type="cellIs" dxfId="252" priority="718" operator="between">
      <formula>0.66</formula>
      <formula>1</formula>
    </cfRule>
    <cfRule type="cellIs" dxfId="251" priority="719" operator="between">
      <formula>0.401</formula>
      <formula>0.659999999999</formula>
    </cfRule>
    <cfRule type="cellIs" dxfId="250" priority="720" operator="between">
      <formula>0</formula>
      <formula>0.4</formula>
    </cfRule>
  </conditionalFormatting>
  <conditionalFormatting sqref="AP61">
    <cfRule type="cellIs" dxfId="249" priority="706" operator="lessThan">
      <formula>0</formula>
    </cfRule>
    <cfRule type="cellIs" dxfId="248" priority="707" operator="greaterThan">
      <formula>100.00001%</formula>
    </cfRule>
    <cfRule type="cellIs" dxfId="247" priority="708" operator="between">
      <formula>0.66</formula>
      <formula>1</formula>
    </cfRule>
    <cfRule type="cellIs" dxfId="246" priority="709" operator="between">
      <formula>0.401</formula>
      <formula>0.659999999999</formula>
    </cfRule>
    <cfRule type="cellIs" dxfId="245" priority="710" operator="between">
      <formula>0</formula>
      <formula>0.4</formula>
    </cfRule>
  </conditionalFormatting>
  <conditionalFormatting sqref="AP62">
    <cfRule type="cellIs" dxfId="244" priority="701" operator="lessThan">
      <formula>0</formula>
    </cfRule>
    <cfRule type="cellIs" dxfId="243" priority="702" operator="greaterThan">
      <formula>100.00001%</formula>
    </cfRule>
    <cfRule type="cellIs" dxfId="242" priority="703" operator="between">
      <formula>0.66</formula>
      <formula>1</formula>
    </cfRule>
    <cfRule type="cellIs" dxfId="241" priority="704" operator="between">
      <formula>0.401</formula>
      <formula>0.659999999999</formula>
    </cfRule>
    <cfRule type="cellIs" dxfId="240" priority="705" operator="between">
      <formula>0</formula>
      <formula>0.4</formula>
    </cfRule>
  </conditionalFormatting>
  <conditionalFormatting sqref="AP64:AP76">
    <cfRule type="cellIs" dxfId="239" priority="686" operator="lessThan">
      <formula>0</formula>
    </cfRule>
    <cfRule type="cellIs" dxfId="238" priority="687" operator="greaterThan">
      <formula>100.00001%</formula>
    </cfRule>
    <cfRule type="cellIs" dxfId="237" priority="688" operator="between">
      <formula>0.66</formula>
      <formula>1</formula>
    </cfRule>
    <cfRule type="cellIs" dxfId="236" priority="689" operator="between">
      <formula>0.401</formula>
      <formula>0.659999999999</formula>
    </cfRule>
    <cfRule type="cellIs" dxfId="235" priority="690" operator="between">
      <formula>0</formula>
      <formula>0.4</formula>
    </cfRule>
  </conditionalFormatting>
  <conditionalFormatting sqref="AP107:AP109">
    <cfRule type="cellIs" dxfId="234" priority="661" operator="lessThan">
      <formula>0</formula>
    </cfRule>
    <cfRule type="cellIs" dxfId="233" priority="662" operator="greaterThan">
      <formula>100.00001%</formula>
    </cfRule>
    <cfRule type="cellIs" dxfId="232" priority="663" operator="between">
      <formula>0.66</formula>
      <formula>1</formula>
    </cfRule>
    <cfRule type="cellIs" dxfId="231" priority="664" operator="between">
      <formula>0.401</formula>
      <formula>0.659999999999</formula>
    </cfRule>
    <cfRule type="cellIs" dxfId="230" priority="665" operator="between">
      <formula>0</formula>
      <formula>0.4</formula>
    </cfRule>
  </conditionalFormatting>
  <conditionalFormatting sqref="AP110">
    <cfRule type="cellIs" dxfId="229" priority="656" operator="lessThan">
      <formula>0</formula>
    </cfRule>
    <cfRule type="cellIs" dxfId="228" priority="657" operator="greaterThan">
      <formula>100.00001%</formula>
    </cfRule>
    <cfRule type="cellIs" dxfId="227" priority="658" operator="between">
      <formula>0.66</formula>
      <formula>1</formula>
    </cfRule>
    <cfRule type="cellIs" dxfId="226" priority="659" operator="between">
      <formula>0.401</formula>
      <formula>0.659999999999</formula>
    </cfRule>
    <cfRule type="cellIs" dxfId="225" priority="660" operator="between">
      <formula>0</formula>
      <formula>0.4</formula>
    </cfRule>
  </conditionalFormatting>
  <conditionalFormatting sqref="AP111:AP113">
    <cfRule type="cellIs" dxfId="224" priority="651" operator="lessThan">
      <formula>0</formula>
    </cfRule>
    <cfRule type="cellIs" dxfId="223" priority="652" operator="greaterThan">
      <formula>100.00001%</formula>
    </cfRule>
    <cfRule type="cellIs" dxfId="222" priority="653" operator="between">
      <formula>0.66</formula>
      <formula>1</formula>
    </cfRule>
    <cfRule type="cellIs" dxfId="221" priority="654" operator="between">
      <formula>0.401</formula>
      <formula>0.659999999999</formula>
    </cfRule>
    <cfRule type="cellIs" dxfId="220" priority="655" operator="between">
      <formula>0</formula>
      <formula>0.4</formula>
    </cfRule>
  </conditionalFormatting>
  <conditionalFormatting sqref="AP114">
    <cfRule type="cellIs" dxfId="219" priority="646" operator="lessThan">
      <formula>0</formula>
    </cfRule>
    <cfRule type="cellIs" dxfId="218" priority="647" operator="greaterThan">
      <formula>100.00001%</formula>
    </cfRule>
    <cfRule type="cellIs" dxfId="217" priority="648" operator="between">
      <formula>0.66</formula>
      <formula>1</formula>
    </cfRule>
    <cfRule type="cellIs" dxfId="216" priority="649" operator="between">
      <formula>0.401</formula>
      <formula>0.659999999999</formula>
    </cfRule>
    <cfRule type="cellIs" dxfId="215" priority="650" operator="between">
      <formula>0</formula>
      <formula>0.4</formula>
    </cfRule>
  </conditionalFormatting>
  <conditionalFormatting sqref="AP115">
    <cfRule type="cellIs" dxfId="214" priority="641" operator="lessThan">
      <formula>0</formula>
    </cfRule>
    <cfRule type="cellIs" dxfId="213" priority="642" operator="greaterThan">
      <formula>100.00001%</formula>
    </cfRule>
    <cfRule type="cellIs" dxfId="212" priority="643" operator="between">
      <formula>0.66</formula>
      <formula>1</formula>
    </cfRule>
    <cfRule type="cellIs" dxfId="211" priority="644" operator="between">
      <formula>0.401</formula>
      <formula>0.659999999999</formula>
    </cfRule>
    <cfRule type="cellIs" dxfId="210" priority="645" operator="between">
      <formula>0</formula>
      <formula>0.4</formula>
    </cfRule>
  </conditionalFormatting>
  <conditionalFormatting sqref="AP116:AP117">
    <cfRule type="cellIs" dxfId="209" priority="636" operator="lessThan">
      <formula>0</formula>
    </cfRule>
    <cfRule type="cellIs" dxfId="208" priority="637" operator="greaterThan">
      <formula>100.00001%</formula>
    </cfRule>
    <cfRule type="cellIs" dxfId="207" priority="638" operator="between">
      <formula>0.66</formula>
      <formula>1</formula>
    </cfRule>
    <cfRule type="cellIs" dxfId="206" priority="639" operator="between">
      <formula>0.401</formula>
      <formula>0.659999999999</formula>
    </cfRule>
    <cfRule type="cellIs" dxfId="205" priority="640" operator="between">
      <formula>0</formula>
      <formula>0.4</formula>
    </cfRule>
  </conditionalFormatting>
  <conditionalFormatting sqref="AP118:AP119">
    <cfRule type="cellIs" dxfId="204" priority="631" operator="lessThan">
      <formula>0</formula>
    </cfRule>
    <cfRule type="cellIs" dxfId="203" priority="632" operator="greaterThan">
      <formula>100.00001%</formula>
    </cfRule>
    <cfRule type="cellIs" dxfId="202" priority="633" operator="between">
      <formula>0.66</formula>
      <formula>1</formula>
    </cfRule>
    <cfRule type="cellIs" dxfId="201" priority="634" operator="between">
      <formula>0.401</formula>
      <formula>0.659999999999</formula>
    </cfRule>
    <cfRule type="cellIs" dxfId="200" priority="635" operator="between">
      <formula>0</formula>
      <formula>0.4</formula>
    </cfRule>
  </conditionalFormatting>
  <conditionalFormatting sqref="AP120">
    <cfRule type="cellIs" dxfId="199" priority="626" operator="lessThan">
      <formula>0</formula>
    </cfRule>
    <cfRule type="cellIs" dxfId="198" priority="627" operator="greaterThan">
      <formula>100.00001%</formula>
    </cfRule>
    <cfRule type="cellIs" dxfId="197" priority="628" operator="between">
      <formula>0.66</formula>
      <formula>1</formula>
    </cfRule>
    <cfRule type="cellIs" dxfId="196" priority="629" operator="between">
      <formula>0.401</formula>
      <formula>0.659999999999</formula>
    </cfRule>
    <cfRule type="cellIs" dxfId="195" priority="630" operator="between">
      <formula>0</formula>
      <formula>0.4</formula>
    </cfRule>
  </conditionalFormatting>
  <conditionalFormatting sqref="AP121:AP125">
    <cfRule type="cellIs" dxfId="194" priority="621" operator="lessThan">
      <formula>0</formula>
    </cfRule>
    <cfRule type="cellIs" dxfId="193" priority="622" operator="greaterThan">
      <formula>100.00001%</formula>
    </cfRule>
    <cfRule type="cellIs" dxfId="192" priority="623" operator="between">
      <formula>0.66</formula>
      <formula>1</formula>
    </cfRule>
    <cfRule type="cellIs" dxfId="191" priority="624" operator="between">
      <formula>0.401</formula>
      <formula>0.659999999999</formula>
    </cfRule>
    <cfRule type="cellIs" dxfId="190" priority="625" operator="between">
      <formula>0</formula>
      <formula>0.4</formula>
    </cfRule>
  </conditionalFormatting>
  <conditionalFormatting sqref="AP127:AP137">
    <cfRule type="cellIs" dxfId="189" priority="576" operator="lessThan">
      <formula>0</formula>
    </cfRule>
    <cfRule type="cellIs" dxfId="188" priority="577" operator="greaterThan">
      <formula>100.00001%</formula>
    </cfRule>
    <cfRule type="cellIs" dxfId="187" priority="578" operator="between">
      <formula>0.66</formula>
      <formula>1</formula>
    </cfRule>
    <cfRule type="cellIs" dxfId="186" priority="579" operator="between">
      <formula>0.401</formula>
      <formula>0.659999999999</formula>
    </cfRule>
    <cfRule type="cellIs" dxfId="185" priority="580" operator="between">
      <formula>0</formula>
      <formula>0.4</formula>
    </cfRule>
  </conditionalFormatting>
  <conditionalFormatting sqref="AP138:AP149">
    <cfRule type="cellIs" dxfId="184" priority="571" operator="lessThan">
      <formula>0</formula>
    </cfRule>
    <cfRule type="cellIs" dxfId="183" priority="572" operator="greaterThan">
      <formula>100.00001%</formula>
    </cfRule>
    <cfRule type="cellIs" dxfId="182" priority="573" operator="between">
      <formula>0.66</formula>
      <formula>1</formula>
    </cfRule>
    <cfRule type="cellIs" dxfId="181" priority="574" operator="between">
      <formula>0.401</formula>
      <formula>0.659999999999</formula>
    </cfRule>
    <cfRule type="cellIs" dxfId="180" priority="575" operator="between">
      <formula>0</formula>
      <formula>0.4</formula>
    </cfRule>
  </conditionalFormatting>
  <conditionalFormatting sqref="AP150:AP152">
    <cfRule type="cellIs" dxfId="179" priority="566" operator="lessThan">
      <formula>0</formula>
    </cfRule>
    <cfRule type="cellIs" dxfId="178" priority="567" operator="greaterThan">
      <formula>100.00001%</formula>
    </cfRule>
    <cfRule type="cellIs" dxfId="177" priority="568" operator="between">
      <formula>0.66</formula>
      <formula>1</formula>
    </cfRule>
    <cfRule type="cellIs" dxfId="176" priority="569" operator="between">
      <formula>0.401</formula>
      <formula>0.659999999999</formula>
    </cfRule>
    <cfRule type="cellIs" dxfId="175" priority="570" operator="between">
      <formula>0</formula>
      <formula>0.4</formula>
    </cfRule>
  </conditionalFormatting>
  <conditionalFormatting sqref="AP154:AP155">
    <cfRule type="cellIs" dxfId="174" priority="556" operator="lessThan">
      <formula>0</formula>
    </cfRule>
    <cfRule type="cellIs" dxfId="173" priority="557" operator="greaterThan">
      <formula>100.00001%</formula>
    </cfRule>
    <cfRule type="cellIs" dxfId="172" priority="558" operator="between">
      <formula>0.66</formula>
      <formula>1</formula>
    </cfRule>
    <cfRule type="cellIs" dxfId="171" priority="559" operator="between">
      <formula>0.401</formula>
      <formula>0.659999999999</formula>
    </cfRule>
    <cfRule type="cellIs" dxfId="170" priority="560" operator="between">
      <formula>0</formula>
      <formula>0.4</formula>
    </cfRule>
  </conditionalFormatting>
  <conditionalFormatting sqref="AP157">
    <cfRule type="cellIs" dxfId="169" priority="536" operator="lessThan">
      <formula>0</formula>
    </cfRule>
    <cfRule type="cellIs" dxfId="168" priority="537" operator="greaterThan">
      <formula>100.00001%</formula>
    </cfRule>
    <cfRule type="cellIs" dxfId="167" priority="538" operator="between">
      <formula>0.66</formula>
      <formula>1</formula>
    </cfRule>
    <cfRule type="cellIs" dxfId="166" priority="539" operator="between">
      <formula>0.401</formula>
      <formula>0.659999999999</formula>
    </cfRule>
    <cfRule type="cellIs" dxfId="165" priority="540" operator="between">
      <formula>0</formula>
      <formula>0.4</formula>
    </cfRule>
  </conditionalFormatting>
  <conditionalFormatting sqref="AP158">
    <cfRule type="cellIs" dxfId="164" priority="531" operator="lessThan">
      <formula>0</formula>
    </cfRule>
    <cfRule type="cellIs" dxfId="163" priority="532" operator="greaterThan">
      <formula>100.00001%</formula>
    </cfRule>
    <cfRule type="cellIs" dxfId="162" priority="533" operator="between">
      <formula>0.66</formula>
      <formula>1</formula>
    </cfRule>
    <cfRule type="cellIs" dxfId="161" priority="534" operator="between">
      <formula>0.401</formula>
      <formula>0.659999999999</formula>
    </cfRule>
    <cfRule type="cellIs" dxfId="160" priority="535" operator="between">
      <formula>0</formula>
      <formula>0.4</formula>
    </cfRule>
  </conditionalFormatting>
  <conditionalFormatting sqref="AP159:AP164">
    <cfRule type="cellIs" dxfId="159" priority="526" operator="lessThan">
      <formula>0</formula>
    </cfRule>
    <cfRule type="cellIs" dxfId="158" priority="527" operator="greaterThan">
      <formula>100.00001%</formula>
    </cfRule>
    <cfRule type="cellIs" dxfId="157" priority="528" operator="between">
      <formula>0.66</formula>
      <formula>1</formula>
    </cfRule>
    <cfRule type="cellIs" dxfId="156" priority="529" operator="between">
      <formula>0.401</formula>
      <formula>0.659999999999</formula>
    </cfRule>
    <cfRule type="cellIs" dxfId="155" priority="530" operator="between">
      <formula>0</formula>
      <formula>0.4</formula>
    </cfRule>
  </conditionalFormatting>
  <conditionalFormatting sqref="AP165:AP167">
    <cfRule type="cellIs" dxfId="154" priority="521" operator="lessThan">
      <formula>0</formula>
    </cfRule>
    <cfRule type="cellIs" dxfId="153" priority="522" operator="greaterThan">
      <formula>100.00001%</formula>
    </cfRule>
    <cfRule type="cellIs" dxfId="152" priority="523" operator="between">
      <formula>0.66</formula>
      <formula>1</formula>
    </cfRule>
    <cfRule type="cellIs" dxfId="151" priority="524" operator="between">
      <formula>0.401</formula>
      <formula>0.659999999999</formula>
    </cfRule>
    <cfRule type="cellIs" dxfId="150" priority="525" operator="between">
      <formula>0</formula>
      <formula>0.4</formula>
    </cfRule>
  </conditionalFormatting>
  <conditionalFormatting sqref="AP169:AP172">
    <cfRule type="cellIs" dxfId="149" priority="511" operator="lessThan">
      <formula>0</formula>
    </cfRule>
    <cfRule type="cellIs" dxfId="148" priority="512" operator="greaterThan">
      <formula>100.00001%</formula>
    </cfRule>
    <cfRule type="cellIs" dxfId="147" priority="513" operator="between">
      <formula>0.66</formula>
      <formula>1</formula>
    </cfRule>
    <cfRule type="cellIs" dxfId="146" priority="514" operator="between">
      <formula>0.401</formula>
      <formula>0.659999999999</formula>
    </cfRule>
    <cfRule type="cellIs" dxfId="145" priority="515" operator="between">
      <formula>0</formula>
      <formula>0.4</formula>
    </cfRule>
  </conditionalFormatting>
  <conditionalFormatting sqref="AP173:AP174">
    <cfRule type="cellIs" dxfId="144" priority="506" operator="lessThan">
      <formula>0</formula>
    </cfRule>
    <cfRule type="cellIs" dxfId="143" priority="507" operator="greaterThan">
      <formula>100.00001%</formula>
    </cfRule>
    <cfRule type="cellIs" dxfId="142" priority="508" operator="between">
      <formula>0.66</formula>
      <formula>1</formula>
    </cfRule>
    <cfRule type="cellIs" dxfId="141" priority="509" operator="between">
      <formula>0.401</formula>
      <formula>0.659999999999</formula>
    </cfRule>
    <cfRule type="cellIs" dxfId="140" priority="510" operator="between">
      <formula>0</formula>
      <formula>0.4</formula>
    </cfRule>
  </conditionalFormatting>
  <conditionalFormatting sqref="AP175">
    <cfRule type="cellIs" dxfId="139" priority="501" operator="lessThan">
      <formula>0</formula>
    </cfRule>
    <cfRule type="cellIs" dxfId="138" priority="502" operator="greaterThan">
      <formula>100.00001%</formula>
    </cfRule>
    <cfRule type="cellIs" dxfId="137" priority="503" operator="between">
      <formula>0.66</formula>
      <formula>1</formula>
    </cfRule>
    <cfRule type="cellIs" dxfId="136" priority="504" operator="between">
      <formula>0.401</formula>
      <formula>0.659999999999</formula>
    </cfRule>
    <cfRule type="cellIs" dxfId="135" priority="505" operator="between">
      <formula>0</formula>
      <formula>0.4</formula>
    </cfRule>
  </conditionalFormatting>
  <conditionalFormatting sqref="AP176:AP177">
    <cfRule type="cellIs" dxfId="134" priority="476" operator="lessThan">
      <formula>0</formula>
    </cfRule>
    <cfRule type="cellIs" dxfId="133" priority="477" operator="greaterThan">
      <formula>100.00001%</formula>
    </cfRule>
    <cfRule type="cellIs" dxfId="132" priority="478" operator="between">
      <formula>0.66</formula>
      <formula>1</formula>
    </cfRule>
    <cfRule type="cellIs" dxfId="131" priority="479" operator="between">
      <formula>0.401</formula>
      <formula>0.659999999999</formula>
    </cfRule>
    <cfRule type="cellIs" dxfId="130" priority="480" operator="between">
      <formula>0</formula>
      <formula>0.4</formula>
    </cfRule>
  </conditionalFormatting>
  <conditionalFormatting sqref="AP179">
    <cfRule type="cellIs" dxfId="129" priority="461" operator="lessThan">
      <formula>0</formula>
    </cfRule>
    <cfRule type="cellIs" dxfId="128" priority="462" operator="greaterThan">
      <formula>100.00001%</formula>
    </cfRule>
    <cfRule type="cellIs" dxfId="127" priority="463" operator="between">
      <formula>0.66</formula>
      <formula>1</formula>
    </cfRule>
    <cfRule type="cellIs" dxfId="126" priority="464" operator="between">
      <formula>0.401</formula>
      <formula>0.659999999999</formula>
    </cfRule>
    <cfRule type="cellIs" dxfId="125" priority="465" operator="between">
      <formula>0</formula>
      <formula>0.4</formula>
    </cfRule>
  </conditionalFormatting>
  <conditionalFormatting sqref="AP180:AP181">
    <cfRule type="cellIs" dxfId="124" priority="456" operator="lessThan">
      <formula>0</formula>
    </cfRule>
    <cfRule type="cellIs" dxfId="123" priority="457" operator="greaterThan">
      <formula>100.00001%</formula>
    </cfRule>
    <cfRule type="cellIs" dxfId="122" priority="458" operator="between">
      <formula>0.66</formula>
      <formula>1</formula>
    </cfRule>
    <cfRule type="cellIs" dxfId="121" priority="459" operator="between">
      <formula>0.401</formula>
      <formula>0.659999999999</formula>
    </cfRule>
    <cfRule type="cellIs" dxfId="120" priority="460" operator="between">
      <formula>0</formula>
      <formula>0.4</formula>
    </cfRule>
  </conditionalFormatting>
  <conditionalFormatting sqref="AP186">
    <cfRule type="cellIs" dxfId="119" priority="396" operator="lessThan">
      <formula>0</formula>
    </cfRule>
    <cfRule type="cellIs" dxfId="118" priority="397" operator="greaterThan">
      <formula>100.00001%</formula>
    </cfRule>
    <cfRule type="cellIs" dxfId="117" priority="398" operator="between">
      <formula>0.66</formula>
      <formula>1</formula>
    </cfRule>
    <cfRule type="cellIs" dxfId="116" priority="399" operator="between">
      <formula>0.401</formula>
      <formula>0.659999999999</formula>
    </cfRule>
    <cfRule type="cellIs" dxfId="115" priority="400" operator="between">
      <formula>0</formula>
      <formula>0.4</formula>
    </cfRule>
  </conditionalFormatting>
  <conditionalFormatting sqref="AP187">
    <cfRule type="cellIs" dxfId="114" priority="391" operator="lessThan">
      <formula>0</formula>
    </cfRule>
    <cfRule type="cellIs" dxfId="113" priority="392" operator="greaterThan">
      <formula>100.00001%</formula>
    </cfRule>
    <cfRule type="cellIs" dxfId="112" priority="393" operator="between">
      <formula>0.66</formula>
      <formula>1</formula>
    </cfRule>
    <cfRule type="cellIs" dxfId="111" priority="394" operator="between">
      <formula>0.401</formula>
      <formula>0.659999999999</formula>
    </cfRule>
    <cfRule type="cellIs" dxfId="110" priority="395" operator="between">
      <formula>0</formula>
      <formula>0.4</formula>
    </cfRule>
  </conditionalFormatting>
  <conditionalFormatting sqref="AP200:AP201">
    <cfRule type="cellIs" dxfId="109" priority="381" operator="lessThan">
      <formula>0</formula>
    </cfRule>
    <cfRule type="cellIs" dxfId="108" priority="382" operator="greaterThan">
      <formula>100.00001%</formula>
    </cfRule>
    <cfRule type="cellIs" dxfId="107" priority="383" operator="between">
      <formula>0.66</formula>
      <formula>1</formula>
    </cfRule>
    <cfRule type="cellIs" dxfId="106" priority="384" operator="between">
      <formula>0.401</formula>
      <formula>0.659999999999</formula>
    </cfRule>
    <cfRule type="cellIs" dxfId="105" priority="385" operator="between">
      <formula>0</formula>
      <formula>0.4</formula>
    </cfRule>
  </conditionalFormatting>
  <conditionalFormatting sqref="AP203:AP215">
    <cfRule type="cellIs" dxfId="104" priority="366" operator="lessThan">
      <formula>0</formula>
    </cfRule>
    <cfRule type="cellIs" dxfId="103" priority="367" operator="greaterThan">
      <formula>100.00001%</formula>
    </cfRule>
    <cfRule type="cellIs" dxfId="102" priority="368" operator="between">
      <formula>0.66</formula>
      <formula>1</formula>
    </cfRule>
    <cfRule type="cellIs" dxfId="101" priority="369" operator="between">
      <formula>0.401</formula>
      <formula>0.659999999999</formula>
    </cfRule>
    <cfRule type="cellIs" dxfId="100" priority="370" operator="between">
      <formula>0</formula>
      <formula>0.4</formula>
    </cfRule>
  </conditionalFormatting>
  <conditionalFormatting sqref="AP216:AP223">
    <cfRule type="cellIs" dxfId="99" priority="361" operator="lessThan">
      <formula>0</formula>
    </cfRule>
    <cfRule type="cellIs" dxfId="98" priority="362" operator="greaterThan">
      <formula>100.00001%</formula>
    </cfRule>
    <cfRule type="cellIs" dxfId="97" priority="363" operator="between">
      <formula>0.66</formula>
      <formula>1</formula>
    </cfRule>
    <cfRule type="cellIs" dxfId="96" priority="364" operator="between">
      <formula>0.401</formula>
      <formula>0.659999999999</formula>
    </cfRule>
    <cfRule type="cellIs" dxfId="95" priority="365" operator="between">
      <formula>0</formula>
      <formula>0.4</formula>
    </cfRule>
  </conditionalFormatting>
  <conditionalFormatting sqref="AP224">
    <cfRule type="cellIs" dxfId="94" priority="356" operator="lessThan">
      <formula>0</formula>
    </cfRule>
    <cfRule type="cellIs" dxfId="93" priority="357" operator="greaterThan">
      <formula>100.00001%</formula>
    </cfRule>
    <cfRule type="cellIs" dxfId="92" priority="358" operator="between">
      <formula>0.66</formula>
      <formula>1</formula>
    </cfRule>
    <cfRule type="cellIs" dxfId="91" priority="359" operator="between">
      <formula>0.401</formula>
      <formula>0.659999999999</formula>
    </cfRule>
    <cfRule type="cellIs" dxfId="90" priority="360" operator="between">
      <formula>0</formula>
      <formula>0.4</formula>
    </cfRule>
  </conditionalFormatting>
  <conditionalFormatting sqref="AP226">
    <cfRule type="cellIs" dxfId="89" priority="346" operator="lessThan">
      <formula>0</formula>
    </cfRule>
    <cfRule type="cellIs" dxfId="88" priority="347" operator="greaterThan">
      <formula>100.00001%</formula>
    </cfRule>
    <cfRule type="cellIs" dxfId="87" priority="348" operator="between">
      <formula>0.66</formula>
      <formula>1</formula>
    </cfRule>
    <cfRule type="cellIs" dxfId="86" priority="349" operator="between">
      <formula>0.401</formula>
      <formula>0.659999999999</formula>
    </cfRule>
    <cfRule type="cellIs" dxfId="85" priority="350" operator="between">
      <formula>0</formula>
      <formula>0.4</formula>
    </cfRule>
  </conditionalFormatting>
  <conditionalFormatting sqref="AP227:AP229">
    <cfRule type="cellIs" dxfId="84" priority="341" operator="lessThan">
      <formula>0</formula>
    </cfRule>
    <cfRule type="cellIs" dxfId="83" priority="342" operator="greaterThan">
      <formula>100.00001%</formula>
    </cfRule>
    <cfRule type="cellIs" dxfId="82" priority="343" operator="between">
      <formula>0.66</formula>
      <formula>1</formula>
    </cfRule>
    <cfRule type="cellIs" dxfId="81" priority="344" operator="between">
      <formula>0.401</formula>
      <formula>0.659999999999</formula>
    </cfRule>
    <cfRule type="cellIs" dxfId="80" priority="345" operator="between">
      <formula>0</formula>
      <formula>0.4</formula>
    </cfRule>
  </conditionalFormatting>
  <conditionalFormatting sqref="AP230">
    <cfRule type="cellIs" dxfId="79" priority="336" operator="lessThan">
      <formula>0</formula>
    </cfRule>
    <cfRule type="cellIs" dxfId="78" priority="337" operator="greaterThan">
      <formula>100.00001%</formula>
    </cfRule>
    <cfRule type="cellIs" dxfId="77" priority="338" operator="between">
      <formula>0.66</formula>
      <formula>1</formula>
    </cfRule>
    <cfRule type="cellIs" dxfId="76" priority="339" operator="between">
      <formula>0.401</formula>
      <formula>0.659999999999</formula>
    </cfRule>
    <cfRule type="cellIs" dxfId="75" priority="340" operator="between">
      <formula>0</formula>
      <formula>0.4</formula>
    </cfRule>
  </conditionalFormatting>
  <conditionalFormatting sqref="AP231:AP232">
    <cfRule type="cellIs" dxfId="74" priority="331" operator="lessThan">
      <formula>0</formula>
    </cfRule>
    <cfRule type="cellIs" dxfId="73" priority="332" operator="greaterThan">
      <formula>100.00001%</formula>
    </cfRule>
    <cfRule type="cellIs" dxfId="72" priority="333" operator="between">
      <formula>0.66</formula>
      <formula>1</formula>
    </cfRule>
    <cfRule type="cellIs" dxfId="71" priority="334" operator="between">
      <formula>0.401</formula>
      <formula>0.659999999999</formula>
    </cfRule>
    <cfRule type="cellIs" dxfId="70" priority="335" operator="between">
      <formula>0</formula>
      <formula>0.4</formula>
    </cfRule>
  </conditionalFormatting>
  <conditionalFormatting sqref="AP233:AP234">
    <cfRule type="cellIs" dxfId="69" priority="326" operator="lessThan">
      <formula>0</formula>
    </cfRule>
    <cfRule type="cellIs" dxfId="68" priority="327" operator="greaterThan">
      <formula>100.00001%</formula>
    </cfRule>
    <cfRule type="cellIs" dxfId="67" priority="328" operator="between">
      <formula>0.66</formula>
      <formula>1</formula>
    </cfRule>
    <cfRule type="cellIs" dxfId="66" priority="329" operator="between">
      <formula>0.401</formula>
      <formula>0.659999999999</formula>
    </cfRule>
    <cfRule type="cellIs" dxfId="65" priority="330" operator="between">
      <formula>0</formula>
      <formula>0.4</formula>
    </cfRule>
  </conditionalFormatting>
  <conditionalFormatting sqref="AP235:AP239">
    <cfRule type="cellIs" dxfId="64" priority="296" operator="lessThan">
      <formula>0</formula>
    </cfRule>
    <cfRule type="cellIs" dxfId="63" priority="297" operator="greaterThan">
      <formula>100.00001%</formula>
    </cfRule>
    <cfRule type="cellIs" dxfId="62" priority="298" operator="between">
      <formula>0.66</formula>
      <formula>1</formula>
    </cfRule>
    <cfRule type="cellIs" dxfId="61" priority="299" operator="between">
      <formula>0.401</formula>
      <formula>0.659999999999</formula>
    </cfRule>
    <cfRule type="cellIs" dxfId="60" priority="300" operator="between">
      <formula>0</formula>
      <formula>0.4</formula>
    </cfRule>
  </conditionalFormatting>
  <conditionalFormatting sqref="AP240">
    <cfRule type="cellIs" dxfId="59" priority="291" operator="lessThan">
      <formula>0</formula>
    </cfRule>
    <cfRule type="cellIs" dxfId="58" priority="292" operator="greaterThan">
      <formula>100.00001%</formula>
    </cfRule>
    <cfRule type="cellIs" dxfId="57" priority="293" operator="between">
      <formula>0.66</formula>
      <formula>1</formula>
    </cfRule>
    <cfRule type="cellIs" dxfId="56" priority="294" operator="between">
      <formula>0.401</formula>
      <formula>0.659999999999</formula>
    </cfRule>
    <cfRule type="cellIs" dxfId="55" priority="295" operator="between">
      <formula>0</formula>
      <formula>0.4</formula>
    </cfRule>
  </conditionalFormatting>
  <conditionalFormatting sqref="AP241:AP244">
    <cfRule type="cellIs" dxfId="54" priority="286" operator="lessThan">
      <formula>0</formula>
    </cfRule>
    <cfRule type="cellIs" dxfId="53" priority="287" operator="greaterThan">
      <formula>100.00001%</formula>
    </cfRule>
    <cfRule type="cellIs" dxfId="52" priority="288" operator="between">
      <formula>0.66</formula>
      <formula>1</formula>
    </cfRule>
    <cfRule type="cellIs" dxfId="51" priority="289" operator="between">
      <formula>0.401</formula>
      <formula>0.659999999999</formula>
    </cfRule>
    <cfRule type="cellIs" dxfId="50" priority="290" operator="between">
      <formula>0</formula>
      <formula>0.4</formula>
    </cfRule>
  </conditionalFormatting>
  <conditionalFormatting sqref="BQ54:BQ56">
    <cfRule type="cellIs" dxfId="49" priority="256" operator="lessThan">
      <formula>0</formula>
    </cfRule>
    <cfRule type="cellIs" dxfId="48" priority="257" operator="greaterThan">
      <formula>100.00001%</formula>
    </cfRule>
    <cfRule type="cellIs" dxfId="47" priority="258" operator="between">
      <formula>0.66</formula>
      <formula>1</formula>
    </cfRule>
    <cfRule type="cellIs" dxfId="46" priority="259" operator="between">
      <formula>0.401</formula>
      <formula>0.659999999999</formula>
    </cfRule>
    <cfRule type="cellIs" dxfId="45" priority="260" operator="between">
      <formula>0</formula>
      <formula>0.4</formula>
    </cfRule>
  </conditionalFormatting>
  <conditionalFormatting sqref="BQ92">
    <cfRule type="cellIs" dxfId="44" priority="216" operator="lessThan">
      <formula>0</formula>
    </cfRule>
    <cfRule type="cellIs" dxfId="43" priority="217" operator="greaterThan">
      <formula>100.00001%</formula>
    </cfRule>
    <cfRule type="cellIs" dxfId="42" priority="218" operator="between">
      <formula>0.66</formula>
      <formula>1</formula>
    </cfRule>
    <cfRule type="cellIs" dxfId="41" priority="219" operator="between">
      <formula>0.401</formula>
      <formula>0.659999999999</formula>
    </cfRule>
    <cfRule type="cellIs" dxfId="40" priority="220" operator="between">
      <formula>0</formula>
      <formula>0.4</formula>
    </cfRule>
  </conditionalFormatting>
  <conditionalFormatting sqref="BQ107:BQ125">
    <cfRule type="cellIs" dxfId="39" priority="211" operator="lessThan">
      <formula>0</formula>
    </cfRule>
    <cfRule type="cellIs" dxfId="38" priority="212" operator="greaterThan">
      <formula>100.00001%</formula>
    </cfRule>
    <cfRule type="cellIs" dxfId="37" priority="213" operator="between">
      <formula>0.66</formula>
      <formula>1</formula>
    </cfRule>
    <cfRule type="cellIs" dxfId="36" priority="214" operator="between">
      <formula>0.401</formula>
      <formula>0.659999999999</formula>
    </cfRule>
    <cfRule type="cellIs" dxfId="35" priority="215" operator="between">
      <formula>0</formula>
      <formula>0.4</formula>
    </cfRule>
  </conditionalFormatting>
  <conditionalFormatting sqref="BQ246">
    <cfRule type="cellIs" dxfId="34" priority="181" operator="lessThan">
      <formula>0</formula>
    </cfRule>
    <cfRule type="cellIs" dxfId="33" priority="182" operator="greaterThan">
      <formula>100.00001%</formula>
    </cfRule>
    <cfRule type="cellIs" dxfId="32" priority="183" operator="between">
      <formula>0.66</formula>
      <formula>1</formula>
    </cfRule>
    <cfRule type="cellIs" dxfId="31" priority="184" operator="between">
      <formula>0.401</formula>
      <formula>0.659999999999</formula>
    </cfRule>
    <cfRule type="cellIs" dxfId="30" priority="185" operator="between">
      <formula>0</formula>
      <formula>0.4</formula>
    </cfRule>
  </conditionalFormatting>
  <conditionalFormatting sqref="AY54:AY56">
    <cfRule type="cellIs" dxfId="29" priority="111" operator="lessThan">
      <formula>0</formula>
    </cfRule>
    <cfRule type="cellIs" dxfId="28" priority="112" operator="greaterThan">
      <formula>100.00001%</formula>
    </cfRule>
    <cfRule type="cellIs" dxfId="27" priority="113" operator="between">
      <formula>0.66</formula>
      <formula>1</formula>
    </cfRule>
    <cfRule type="cellIs" dxfId="26" priority="114" operator="between">
      <formula>0.401</formula>
      <formula>0.659999999999</formula>
    </cfRule>
    <cfRule type="cellIs" dxfId="25" priority="115" operator="between">
      <formula>0</formula>
      <formula>0.4</formula>
    </cfRule>
  </conditionalFormatting>
  <conditionalFormatting sqref="AY92">
    <cfRule type="cellIs" dxfId="24" priority="71" operator="lessThan">
      <formula>0</formula>
    </cfRule>
    <cfRule type="cellIs" dxfId="23" priority="72" operator="greaterThan">
      <formula>100.00001%</formula>
    </cfRule>
    <cfRule type="cellIs" dxfId="22" priority="73" operator="between">
      <formula>0.66</formula>
      <formula>1</formula>
    </cfRule>
    <cfRule type="cellIs" dxfId="21" priority="74" operator="between">
      <formula>0.401</formula>
      <formula>0.659999999999</formula>
    </cfRule>
    <cfRule type="cellIs" dxfId="20" priority="75" operator="between">
      <formula>0</formula>
      <formula>0.4</formula>
    </cfRule>
  </conditionalFormatting>
  <conditionalFormatting sqref="AY107:AY125">
    <cfRule type="cellIs" dxfId="19" priority="66" operator="lessThan">
      <formula>0</formula>
    </cfRule>
    <cfRule type="cellIs" dxfId="18" priority="67" operator="greaterThan">
      <formula>100.00001%</formula>
    </cfRule>
    <cfRule type="cellIs" dxfId="17" priority="68" operator="between">
      <formula>0.66</formula>
      <formula>1</formula>
    </cfRule>
    <cfRule type="cellIs" dxfId="16" priority="69" operator="between">
      <formula>0.401</formula>
      <formula>0.659999999999</formula>
    </cfRule>
    <cfRule type="cellIs" dxfId="15" priority="70" operator="between">
      <formula>0</formula>
      <formula>0.4</formula>
    </cfRule>
  </conditionalFormatting>
  <conditionalFormatting sqref="AY246">
    <cfRule type="cellIs" dxfId="14" priority="41" operator="lessThan">
      <formula>0</formula>
    </cfRule>
    <cfRule type="cellIs" dxfId="13" priority="42" operator="greaterThan">
      <formula>100.00001%</formula>
    </cfRule>
    <cfRule type="cellIs" dxfId="12" priority="43" operator="between">
      <formula>0.66</formula>
      <formula>1</formula>
    </cfRule>
    <cfRule type="cellIs" dxfId="11" priority="44" operator="between">
      <formula>0.401</formula>
      <formula>0.659999999999</formula>
    </cfRule>
    <cfRule type="cellIs" dxfId="10" priority="45" operator="between">
      <formula>0</formula>
      <formula>0.4</formula>
    </cfRule>
  </conditionalFormatting>
  <conditionalFormatting sqref="W57">
    <cfRule type="cellIs" dxfId="9" priority="11" operator="lessThan">
      <formula>0</formula>
    </cfRule>
    <cfRule type="cellIs" dxfId="8" priority="12" operator="greaterThan">
      <formula>100.00001%</formula>
    </cfRule>
    <cfRule type="cellIs" dxfId="7" priority="13" operator="between">
      <formula>0.66</formula>
      <formula>1</formula>
    </cfRule>
    <cfRule type="cellIs" dxfId="6" priority="14" operator="between">
      <formula>0.401</formula>
      <formula>0.659999999999</formula>
    </cfRule>
    <cfRule type="cellIs" dxfId="5" priority="15" operator="between">
      <formula>0</formula>
      <formula>0.4</formula>
    </cfRule>
  </conditionalFormatting>
  <conditionalFormatting sqref="M187:M201">
    <cfRule type="cellIs" dxfId="4" priority="1" operator="lessThan">
      <formula>0</formula>
    </cfRule>
    <cfRule type="cellIs" dxfId="3" priority="2" operator="greaterThan">
      <formula>100.00001%</formula>
    </cfRule>
    <cfRule type="cellIs" dxfId="2" priority="3" operator="between">
      <formula>0.66</formula>
      <formula>1</formula>
    </cfRule>
    <cfRule type="cellIs" dxfId="1" priority="4" operator="between">
      <formula>0.401</formula>
      <formula>0.659999999999</formula>
    </cfRule>
    <cfRule type="cellIs" dxfId="0" priority="5" operator="between">
      <formula>0</formula>
      <formula>0.4</formula>
    </cfRule>
  </conditionalFormatting>
  <pageMargins left="0.31496099999999999" right="0.31496099999999999" top="0.55118100000000003" bottom="0.55118100000000003" header="0" footer="0"/>
  <pageSetup scale="45" fitToHeight="0" orientation="portrait" r:id="rId1"/>
  <headerFooter>
    <oddFooter>&amp;C000000&amp;P</oddFooter>
  </headerFooter>
  <ignoredErrors>
    <ignoredError sqref="N7 U8 U19 U23:U24 U56 X59 U60 U65 U81 U85 U36 U45 X49 U69:U70 X86 U87 U93 X93 K85 K90 K103 K172 N187 K206 K210 K208 K212 K220 N236 N223 K241 K238 X240:X241 U241 N147 AQ147 AN147 AN149 AN151 AW146 BA174 BO86 BO88 BO91 BO93 BS91 BS88 BS85 U83:U84" formula="1"/>
    <ignoredError sqref="K61 K180" formula="1" formulaRange="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DF326-9DB1-43F6-9921-2650A2C0F9CB}">
  <dimension ref="A1:B2"/>
  <sheetViews>
    <sheetView workbookViewId="0">
      <selection activeCell="A3" sqref="A3"/>
    </sheetView>
  </sheetViews>
  <sheetFormatPr baseColWidth="10" defaultRowHeight="15"/>
  <sheetData>
    <row r="1" spans="1:2">
      <c r="A1" s="600"/>
      <c r="B1" s="599" t="s">
        <v>3279</v>
      </c>
    </row>
    <row r="2" spans="1:2">
      <c r="A2" s="598"/>
      <c r="B2" s="599" t="s">
        <v>3280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Hoja2</vt:lpstr>
      <vt:lpstr>Hoja3</vt:lpstr>
      <vt:lpstr>PRESUPUESTO</vt:lpstr>
      <vt:lpstr>PRESUPUESTO CONSOLIDADO</vt:lpstr>
      <vt:lpstr>DEPURADO</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Arq. Sebastian Gomez</dc:creator>
  <cp:lastModifiedBy>Claudia Consuelo Cardozo Amaya</cp:lastModifiedBy>
  <cp:lastPrinted>2021-12-10T17:49:24Z</cp:lastPrinted>
  <dcterms:created xsi:type="dcterms:W3CDTF">2020-08-19T19:43:18Z</dcterms:created>
  <dcterms:modified xsi:type="dcterms:W3CDTF">2022-03-23T11:52:35Z</dcterms:modified>
</cp:coreProperties>
</file>